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trlProps/ctrlProp138.xml" ContentType="application/vnd.ms-excel.controlproperties+xml"/>
  <Override PartName="/xl/drawings/drawing9.xml" ContentType="application/vnd.openxmlformats-officedocument.drawing+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1.xml" ContentType="application/vnd.openxmlformats-officedocument.drawing+xml"/>
  <Override PartName="/xl/ctrlProps/ctrlProp142.xml" ContentType="application/vnd.ms-excel.controlproperties+xml"/>
  <Override PartName="/xl/drawings/drawing12.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hidePivotFieldList="1"/>
  <mc:AlternateContent xmlns:mc="http://schemas.openxmlformats.org/markup-compatibility/2006">
    <mc:Choice Requires="x15">
      <x15ac:absPath xmlns:x15ac="http://schemas.microsoft.com/office/spreadsheetml/2010/11/ac" url="X:\1. SVS\8. PLĖTROS PROGRAMOS\1. Pazangos Priemones\1. Pazangos priemoniu aprasai\Diplomatinio tinklo efektyvumas\Isakymas\"/>
    </mc:Choice>
  </mc:AlternateContent>
  <xr:revisionPtr revIDLastSave="0" documentId="13_ncr:1_{CC1A4122-8536-4B34-8D8D-2563ADF3AF2C}" xr6:coauthVersionLast="47" xr6:coauthVersionMax="47" xr10:uidLastSave="{00000000-0000-0000-0000-000000000000}"/>
  <bookViews>
    <workbookView xWindow="-108" yWindow="-108" windowWidth="23256" windowHeight="12576" tabRatio="920" firstSheet="3" activeTab="8"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r:id="rId6"/>
    <sheet name="Alternatyva 4" sheetId="7" state="hidden" r:id="rId7"/>
    <sheet name="Alternatyva 5" sheetId="8" state="hidden" r:id="rId8"/>
    <sheet name="Prielaidos" sheetId="9" r:id="rId9"/>
    <sheet name="SNA" sheetId="10" r:id="rId10"/>
    <sheet name="SVA" sheetId="11" state="hidden" r:id="rId11"/>
    <sheet name="DA" sheetId="12" r:id="rId12"/>
    <sheet name="Poveikis VF" sheetId="13" r:id="rId13"/>
    <sheet name="Rezultatai" sheetId="14" r:id="rId14"/>
    <sheet name="Jautrumo analizė" sheetId="15" r:id="rId15"/>
    <sheet name="Scenarijų analizė" sheetId="16" r:id="rId16"/>
    <sheet name="Grafikas" sheetId="19" r:id="rId17"/>
    <sheet name="Data3" sheetId="18" state="veryHidden" r:id="rId18"/>
  </sheets>
  <definedNames>
    <definedName name="_xlnm._FilterDatabase" localSheetId="0" hidden="1">Data1!$A$1:$J$101</definedName>
    <definedName name="_xlnm._FilterDatabase" localSheetId="1" hidden="1">Data2!$A$1:$C$103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1">DA!$A:$E</definedName>
    <definedName name="_xlnm.Print_Titles" localSheetId="0">Data1!$A:$E</definedName>
    <definedName name="_xlnm.Print_Titles" localSheetId="1">Data2!$A:$C</definedName>
    <definedName name="_xlnm.Print_Titles" localSheetId="14">'Jautrumo analizė'!$A:$E</definedName>
    <definedName name="_xlnm.Print_Titles" localSheetId="12">'Poveikis VF'!$A:$F</definedName>
    <definedName name="_xlnm.Print_Titles" localSheetId="2">Pradžia!$A:$G</definedName>
    <definedName name="_xlnm.Print_Titles" localSheetId="8">Prielaidos!$A:$E</definedName>
    <definedName name="_xlnm.Print_Titles" localSheetId="15">'Scenarijų analizė'!$A:$E</definedName>
    <definedName name="_xlnm.Print_Titles" localSheetId="9">SNA!$A:$F</definedName>
    <definedName name="_xlnm.Print_Titles" localSheetId="10">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5">'Scenarijų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1" hidden="1">DA!$DC:$DC</definedName>
    <definedName name="Z_B7831A28_C714_4DC9_BB36_A1304866CBB0_.wvu.Cols" localSheetId="14" hidden="1">'Jautrumo analizė'!$DC:$DC</definedName>
    <definedName name="Z_B7831A28_C714_4DC9_BB36_A1304866CBB0_.wvu.Cols" localSheetId="12" hidden="1">'Poveikis VF'!$DD:$DD</definedName>
    <definedName name="Z_B7831A28_C714_4DC9_BB36_A1304866CBB0_.wvu.Cols" localSheetId="15" hidden="1">'Scenarijų analizė'!$DC:$DC</definedName>
    <definedName name="Z_B7831A28_C714_4DC9_BB36_A1304866CBB0_.wvu.Cols" localSheetId="9" hidden="1">SNA!$DD:$DD</definedName>
    <definedName name="Z_B7831A28_C714_4DC9_BB36_A1304866CBB0_.wvu.Cols" localSheetId="10"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1"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4" hidden="1">'Jautrumo analizė'!$A:$E</definedName>
    <definedName name="Z_B7831A28_C714_4DC9_BB36_A1304866CBB0_.wvu.PrintTitles" localSheetId="12" hidden="1">'Poveikis VF'!$A:$F</definedName>
    <definedName name="Z_B7831A28_C714_4DC9_BB36_A1304866CBB0_.wvu.PrintTitles" localSheetId="2" hidden="1">Pradžia!$A:$G</definedName>
    <definedName name="Z_B7831A28_C714_4DC9_BB36_A1304866CBB0_.wvu.PrintTitles" localSheetId="8" hidden="1">Prielaidos!$A:$E</definedName>
    <definedName name="Z_B7831A28_C714_4DC9_BB36_A1304866CBB0_.wvu.PrintTitles" localSheetId="15" hidden="1">'Scenarijų analizė'!$A:$E</definedName>
    <definedName name="Z_B7831A28_C714_4DC9_BB36_A1304866CBB0_.wvu.PrintTitles" localSheetId="9" hidden="1">SNA!$A:$F</definedName>
    <definedName name="Z_B7831A28_C714_4DC9_BB36_A1304866CBB0_.wvu.PrintTitles" localSheetId="10"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0" r:id="rId19"/>
    <pivotCache cacheId="1" r:id="rId20"/>
    <pivotCache cacheId="2" r:id="rId21"/>
    <pivotCache cacheId="3" r:id="rId2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96" i="9" l="1"/>
  <c r="K569" i="9"/>
  <c r="K570" i="9" s="1"/>
  <c r="K571" i="9" s="1"/>
  <c r="J503" i="9"/>
  <c r="J504" i="9" s="1"/>
  <c r="J505" i="9" s="1"/>
  <c r="J459" i="9"/>
  <c r="J460" i="9" s="1"/>
  <c r="J461" i="9" s="1"/>
  <c r="H209" i="9" l="1"/>
  <c r="K209" i="9" s="1"/>
  <c r="H210" i="9"/>
  <c r="K210" i="9" s="1"/>
  <c r="L210" i="9" s="1"/>
  <c r="H211" i="9"/>
  <c r="H212" i="9"/>
  <c r="K212" i="9" s="1"/>
  <c r="H213" i="9"/>
  <c r="J213" i="9" s="1"/>
  <c r="K213" i="9" s="1"/>
  <c r="H214" i="9"/>
  <c r="H215" i="9"/>
  <c r="J215" i="9" s="1"/>
  <c r="K215" i="9" s="1"/>
  <c r="H216" i="9"/>
  <c r="K216" i="9" s="1"/>
  <c r="H217" i="9"/>
  <c r="K217" i="9" s="1"/>
  <c r="H218" i="9"/>
  <c r="K218" i="9" s="1"/>
  <c r="L218" i="9" s="1"/>
  <c r="H219" i="9"/>
  <c r="K219" i="9" s="1"/>
  <c r="H220" i="9"/>
  <c r="K220" i="9" s="1"/>
  <c r="H221" i="9"/>
  <c r="K221" i="9" s="1"/>
  <c r="H222" i="9"/>
  <c r="K222" i="9" s="1"/>
  <c r="L222" i="9" s="1"/>
  <c r="H223" i="9"/>
  <c r="K223" i="9" s="1"/>
  <c r="H224" i="9"/>
  <c r="K224" i="9" s="1"/>
  <c r="H225" i="9"/>
  <c r="K225" i="9" s="1"/>
  <c r="H226" i="9"/>
  <c r="K226" i="9" s="1"/>
  <c r="H227" i="9"/>
  <c r="K227" i="9" s="1"/>
  <c r="H208" i="9"/>
  <c r="J208" i="9" s="1"/>
  <c r="V230" i="9"/>
  <c r="T230" i="9"/>
  <c r="S230" i="9"/>
  <c r="R230" i="9"/>
  <c r="W229" i="9"/>
  <c r="U229" i="9"/>
  <c r="S229" i="9"/>
  <c r="R229" i="9"/>
  <c r="O227" i="9"/>
  <c r="P227" i="9" s="1"/>
  <c r="M227" i="9"/>
  <c r="O226" i="9"/>
  <c r="P226" i="9" s="1"/>
  <c r="M226" i="9"/>
  <c r="O225" i="9"/>
  <c r="P225" i="9" s="1"/>
  <c r="M225" i="9"/>
  <c r="O224" i="9"/>
  <c r="P224" i="9" s="1"/>
  <c r="M224" i="9"/>
  <c r="O223" i="9"/>
  <c r="P223" i="9" s="1"/>
  <c r="M223" i="9"/>
  <c r="O222" i="9"/>
  <c r="P222" i="9" s="1"/>
  <c r="M222" i="9"/>
  <c r="O221" i="9"/>
  <c r="P221" i="9" s="1"/>
  <c r="M221" i="9"/>
  <c r="O220" i="9"/>
  <c r="P220" i="9" s="1"/>
  <c r="M220" i="9"/>
  <c r="O219" i="9"/>
  <c r="P219" i="9" s="1"/>
  <c r="M219" i="9"/>
  <c r="O218" i="9"/>
  <c r="P218" i="9" s="1"/>
  <c r="M218" i="9"/>
  <c r="O217" i="9"/>
  <c r="P217" i="9" s="1"/>
  <c r="M217" i="9"/>
  <c r="O216" i="9"/>
  <c r="P216" i="9" s="1"/>
  <c r="M216" i="9"/>
  <c r="O215" i="9"/>
  <c r="P215" i="9" s="1"/>
  <c r="M215" i="9"/>
  <c r="O214" i="9"/>
  <c r="P214" i="9" s="1"/>
  <c r="M214" i="9"/>
  <c r="O213" i="9"/>
  <c r="P213" i="9" s="1"/>
  <c r="M213" i="9"/>
  <c r="O212" i="9"/>
  <c r="P212" i="9" s="1"/>
  <c r="M212" i="9"/>
  <c r="O211" i="9"/>
  <c r="M211" i="9"/>
  <c r="O210" i="9"/>
  <c r="P210" i="9" s="1"/>
  <c r="M210" i="9"/>
  <c r="O209" i="9"/>
  <c r="P209" i="9" s="1"/>
  <c r="M209" i="9"/>
  <c r="O208" i="9"/>
  <c r="P208" i="9" s="1"/>
  <c r="M208" i="9"/>
  <c r="O228" i="9" l="1"/>
  <c r="Q222" i="9"/>
  <c r="W222" i="9" s="1"/>
  <c r="M228" i="9"/>
  <c r="Q210" i="9"/>
  <c r="V210" i="9" s="1"/>
  <c r="L227" i="9"/>
  <c r="Q227" i="9" s="1"/>
  <c r="L216" i="9"/>
  <c r="Q216" i="9" s="1"/>
  <c r="L221" i="9"/>
  <c r="Q221" i="9" s="1"/>
  <c r="L223" i="9"/>
  <c r="Q223" i="9" s="1"/>
  <c r="L212" i="9"/>
  <c r="Q212" i="9" s="1"/>
  <c r="L209" i="9"/>
  <c r="Q209" i="9" s="1"/>
  <c r="L225" i="9"/>
  <c r="Q225" i="9" s="1"/>
  <c r="L217" i="9"/>
  <c r="Q217" i="9" s="1"/>
  <c r="L219" i="9"/>
  <c r="Q219" i="9" s="1"/>
  <c r="L224" i="9"/>
  <c r="Q224" i="9" s="1"/>
  <c r="L215" i="9"/>
  <c r="Q215" i="9" s="1"/>
  <c r="L213" i="9"/>
  <c r="Q213" i="9" s="1"/>
  <c r="L220" i="9"/>
  <c r="Q220" i="9" s="1"/>
  <c r="L226" i="9"/>
  <c r="Q226" i="9" s="1"/>
  <c r="K208" i="9"/>
  <c r="P211" i="9"/>
  <c r="J214" i="9"/>
  <c r="K214" i="9" s="1"/>
  <c r="J211" i="9"/>
  <c r="K211" i="9" s="1"/>
  <c r="Q218" i="9"/>
  <c r="F575" i="9"/>
  <c r="J575" i="9" s="1"/>
  <c r="E575" i="9"/>
  <c r="D575" i="9"/>
  <c r="C575" i="9"/>
  <c r="F509" i="9"/>
  <c r="I509" i="9" s="1"/>
  <c r="E509" i="9"/>
  <c r="D509" i="9"/>
  <c r="C509" i="9"/>
  <c r="F476" i="9"/>
  <c r="I476" i="9" s="1"/>
  <c r="J476" i="9" s="1"/>
  <c r="K476" i="9" s="1"/>
  <c r="E476" i="9"/>
  <c r="D476" i="9"/>
  <c r="C476" i="9"/>
  <c r="F410" i="9"/>
  <c r="I410" i="9" s="1"/>
  <c r="E410" i="9"/>
  <c r="D410" i="9"/>
  <c r="C410" i="9"/>
  <c r="E348" i="9"/>
  <c r="E327" i="9"/>
  <c r="D327" i="9"/>
  <c r="C327" i="9"/>
  <c r="K477" i="9" l="1"/>
  <c r="K478" i="9" s="1"/>
  <c r="L476" i="9"/>
  <c r="I510" i="9"/>
  <c r="I511" i="9" s="1"/>
  <c r="J509" i="9"/>
  <c r="I411" i="9"/>
  <c r="I412" i="9" s="1"/>
  <c r="J410" i="9"/>
  <c r="I477" i="9"/>
  <c r="I478" i="9" s="1"/>
  <c r="J477" i="9"/>
  <c r="J478" i="9" s="1"/>
  <c r="J576" i="9"/>
  <c r="J577" i="9" s="1"/>
  <c r="K575" i="9"/>
  <c r="T210" i="9"/>
  <c r="U222" i="9"/>
  <c r="U225" i="9"/>
  <c r="W225" i="9"/>
  <c r="T209" i="9"/>
  <c r="V209" i="9"/>
  <c r="U227" i="9"/>
  <c r="W227" i="9"/>
  <c r="T217" i="9"/>
  <c r="V217" i="9"/>
  <c r="T216" i="9"/>
  <c r="V216" i="9"/>
  <c r="U220" i="9"/>
  <c r="W220" i="9"/>
  <c r="T213" i="9"/>
  <c r="V213" i="9"/>
  <c r="L211" i="9"/>
  <c r="Q211" i="9" s="1"/>
  <c r="L214" i="9"/>
  <c r="Q214" i="9" s="1"/>
  <c r="W226" i="9"/>
  <c r="U226" i="9"/>
  <c r="V215" i="9"/>
  <c r="T215" i="9"/>
  <c r="L208" i="9"/>
  <c r="Q208" i="9" s="1"/>
  <c r="K228" i="9"/>
  <c r="L228" i="9" s="1"/>
  <c r="V212" i="9"/>
  <c r="T212" i="9"/>
  <c r="W223" i="9"/>
  <c r="U223" i="9"/>
  <c r="U224" i="9"/>
  <c r="W224" i="9"/>
  <c r="W218" i="9"/>
  <c r="U218" i="9"/>
  <c r="W221" i="9"/>
  <c r="U221" i="9"/>
  <c r="U219" i="9"/>
  <c r="W219" i="9"/>
  <c r="D348" i="9"/>
  <c r="C348" i="9"/>
  <c r="E305" i="9"/>
  <c r="D305" i="9"/>
  <c r="C305" i="9"/>
  <c r="E317" i="9"/>
  <c r="D317" i="9"/>
  <c r="C317" i="9"/>
  <c r="K576" i="9" l="1"/>
  <c r="K577" i="9" s="1"/>
  <c r="L575" i="9"/>
  <c r="J510" i="9"/>
  <c r="J511" i="9" s="1"/>
  <c r="K509" i="9"/>
  <c r="L477" i="9"/>
  <c r="L478" i="9" s="1"/>
  <c r="M476" i="9"/>
  <c r="J411" i="9"/>
  <c r="J412" i="9" s="1"/>
  <c r="K410" i="9"/>
  <c r="T214" i="9"/>
  <c r="V214" i="9"/>
  <c r="V211" i="9"/>
  <c r="T211" i="9"/>
  <c r="W230" i="9"/>
  <c r="V208" i="9"/>
  <c r="T208" i="9"/>
  <c r="T229" i="9" s="1"/>
  <c r="Q228" i="9"/>
  <c r="U230" i="9"/>
  <c r="F619" i="9"/>
  <c r="J619" i="9" s="1"/>
  <c r="F616" i="9"/>
  <c r="J616" i="9" s="1"/>
  <c r="F613" i="9"/>
  <c r="J613" i="9" s="1"/>
  <c r="E613" i="9"/>
  <c r="F608" i="9"/>
  <c r="J608" i="9" s="1"/>
  <c r="F605" i="9"/>
  <c r="J605" i="9" s="1"/>
  <c r="F602" i="9"/>
  <c r="J602" i="9" s="1"/>
  <c r="E602" i="9"/>
  <c r="F597" i="9"/>
  <c r="J597" i="9" s="1"/>
  <c r="F594" i="9"/>
  <c r="J594" i="9" s="1"/>
  <c r="F591" i="9"/>
  <c r="J591" i="9" s="1"/>
  <c r="E591" i="9"/>
  <c r="F586" i="9"/>
  <c r="J586" i="9" s="1"/>
  <c r="F583" i="9"/>
  <c r="J583" i="9" s="1"/>
  <c r="F580" i="9"/>
  <c r="J580" i="9" s="1"/>
  <c r="E580" i="9"/>
  <c r="F572" i="9"/>
  <c r="J572" i="9" s="1"/>
  <c r="F564" i="9"/>
  <c r="J564" i="9" s="1"/>
  <c r="F561" i="9"/>
  <c r="J561" i="9" s="1"/>
  <c r="F558" i="9"/>
  <c r="J558" i="9" s="1"/>
  <c r="E558" i="9"/>
  <c r="F553" i="9"/>
  <c r="J553" i="9" s="1"/>
  <c r="F550" i="9"/>
  <c r="J550" i="9" s="1"/>
  <c r="F547" i="9"/>
  <c r="J547" i="9" s="1"/>
  <c r="E547" i="9"/>
  <c r="F542" i="9"/>
  <c r="J542" i="9" s="1"/>
  <c r="F539" i="9"/>
  <c r="J539" i="9" s="1"/>
  <c r="F536" i="9"/>
  <c r="J536" i="9" s="1"/>
  <c r="E536" i="9"/>
  <c r="F531" i="9"/>
  <c r="J531" i="9" s="1"/>
  <c r="F528" i="9"/>
  <c r="J528" i="9" s="1"/>
  <c r="F525" i="9"/>
  <c r="J525" i="9" s="1"/>
  <c r="E525" i="9"/>
  <c r="F520" i="9"/>
  <c r="J520" i="9" s="1"/>
  <c r="F517" i="9"/>
  <c r="J517" i="9" s="1"/>
  <c r="F514" i="9"/>
  <c r="J514" i="9" s="1"/>
  <c r="E514" i="9"/>
  <c r="F506" i="9"/>
  <c r="I506" i="9" s="1"/>
  <c r="F503" i="9"/>
  <c r="E503" i="9"/>
  <c r="F498" i="9"/>
  <c r="I498" i="9" s="1"/>
  <c r="J498" i="9" s="1"/>
  <c r="K498" i="9" s="1"/>
  <c r="F495" i="9"/>
  <c r="I495" i="9" s="1"/>
  <c r="J495" i="9" s="1"/>
  <c r="K495" i="9" s="1"/>
  <c r="F487" i="9"/>
  <c r="I487" i="9" s="1"/>
  <c r="J487" i="9" s="1"/>
  <c r="K487" i="9" s="1"/>
  <c r="F484" i="9"/>
  <c r="I484" i="9" s="1"/>
  <c r="J484" i="9" s="1"/>
  <c r="K484" i="9" s="1"/>
  <c r="F481" i="9"/>
  <c r="I481" i="9" s="1"/>
  <c r="J481" i="9" s="1"/>
  <c r="K481" i="9" s="1"/>
  <c r="E481" i="9"/>
  <c r="F473" i="9"/>
  <c r="I473" i="9" s="1"/>
  <c r="J473" i="9" s="1"/>
  <c r="K473" i="9" s="1"/>
  <c r="F470" i="9"/>
  <c r="I470" i="9" s="1"/>
  <c r="J470" i="9" s="1"/>
  <c r="K470" i="9" s="1"/>
  <c r="E470" i="9"/>
  <c r="F465" i="9"/>
  <c r="I465" i="9" s="1"/>
  <c r="J465" i="9" s="1"/>
  <c r="K465" i="9" s="1"/>
  <c r="F462" i="9"/>
  <c r="I462" i="9" s="1"/>
  <c r="J462" i="9" s="1"/>
  <c r="K462" i="9" s="1"/>
  <c r="F459" i="9"/>
  <c r="E459" i="9"/>
  <c r="F454" i="9"/>
  <c r="I454" i="9" s="1"/>
  <c r="J454" i="9" s="1"/>
  <c r="K454" i="9" s="1"/>
  <c r="F451" i="9"/>
  <c r="I451" i="9" s="1"/>
  <c r="J451" i="9" s="1"/>
  <c r="K451" i="9" s="1"/>
  <c r="F443" i="9"/>
  <c r="I443" i="9" s="1"/>
  <c r="F440" i="9"/>
  <c r="I440" i="9" s="1"/>
  <c r="F437" i="9"/>
  <c r="I437" i="9" s="1"/>
  <c r="E437" i="9"/>
  <c r="F426" i="9"/>
  <c r="I426" i="9" s="1"/>
  <c r="E426" i="9"/>
  <c r="F429" i="9"/>
  <c r="I429" i="9" s="1"/>
  <c r="F432" i="9"/>
  <c r="I432" i="9" s="1"/>
  <c r="F421" i="9"/>
  <c r="I421" i="9" s="1"/>
  <c r="F418" i="9"/>
  <c r="I418" i="9" s="1"/>
  <c r="F415" i="9"/>
  <c r="I415" i="9" s="1"/>
  <c r="E415" i="9"/>
  <c r="F407" i="9"/>
  <c r="I407" i="9" s="1"/>
  <c r="F404" i="9"/>
  <c r="I404" i="9" s="1"/>
  <c r="E404" i="9"/>
  <c r="F392" i="9"/>
  <c r="F389" i="9"/>
  <c r="F386" i="9"/>
  <c r="E386" i="9"/>
  <c r="F383" i="9"/>
  <c r="F380" i="9"/>
  <c r="F448" i="9"/>
  <c r="I448" i="9" s="1"/>
  <c r="J448" i="9" s="1"/>
  <c r="K448" i="9" s="1"/>
  <c r="E448" i="9"/>
  <c r="F377" i="9"/>
  <c r="E377" i="9"/>
  <c r="F372" i="9"/>
  <c r="F369" i="9"/>
  <c r="F366" i="9"/>
  <c r="E366" i="9"/>
  <c r="F492" i="9"/>
  <c r="I492" i="9" s="1"/>
  <c r="J492" i="9" s="1"/>
  <c r="K492" i="9" s="1"/>
  <c r="E492" i="9"/>
  <c r="F263" i="9"/>
  <c r="E263" i="9"/>
  <c r="L465" i="9" l="1"/>
  <c r="K466" i="9"/>
  <c r="K467" i="9" s="1"/>
  <c r="L462" i="9"/>
  <c r="K463" i="9"/>
  <c r="K464" i="9" s="1"/>
  <c r="K468" i="9" s="1"/>
  <c r="L487" i="9"/>
  <c r="K488" i="9"/>
  <c r="K489" i="9" s="1"/>
  <c r="L470" i="9"/>
  <c r="K471" i="9"/>
  <c r="K472" i="9" s="1"/>
  <c r="K479" i="9" s="1"/>
  <c r="M477" i="9"/>
  <c r="M478" i="9" s="1"/>
  <c r="N476" i="9"/>
  <c r="K452" i="9"/>
  <c r="K453" i="9" s="1"/>
  <c r="L451" i="9"/>
  <c r="K474" i="9"/>
  <c r="K475" i="9" s="1"/>
  <c r="L473" i="9"/>
  <c r="K510" i="9"/>
  <c r="K511" i="9" s="1"/>
  <c r="L509" i="9"/>
  <c r="L495" i="9"/>
  <c r="K496" i="9"/>
  <c r="K497" i="9" s="1"/>
  <c r="K455" i="9"/>
  <c r="K456" i="9" s="1"/>
  <c r="L454" i="9"/>
  <c r="L498" i="9"/>
  <c r="K499" i="9"/>
  <c r="K500" i="9" s="1"/>
  <c r="K449" i="9"/>
  <c r="K450" i="9" s="1"/>
  <c r="K457" i="9" s="1"/>
  <c r="L448" i="9"/>
  <c r="L481" i="9"/>
  <c r="K482" i="9"/>
  <c r="K483" i="9" s="1"/>
  <c r="L576" i="9"/>
  <c r="L577" i="9" s="1"/>
  <c r="M575" i="9"/>
  <c r="L492" i="9"/>
  <c r="K493" i="9"/>
  <c r="K494" i="9" s="1"/>
  <c r="K501" i="9" s="1"/>
  <c r="L484" i="9"/>
  <c r="K485" i="9"/>
  <c r="K486" i="9" s="1"/>
  <c r="I438" i="9"/>
  <c r="I439" i="9" s="1"/>
  <c r="J437" i="9"/>
  <c r="I471" i="9"/>
  <c r="I472" i="9" s="1"/>
  <c r="J471" i="9"/>
  <c r="J472" i="9" s="1"/>
  <c r="J526" i="9"/>
  <c r="J527" i="9" s="1"/>
  <c r="K525" i="9"/>
  <c r="J548" i="9"/>
  <c r="J549" i="9" s="1"/>
  <c r="K547" i="9"/>
  <c r="I433" i="9"/>
  <c r="I434" i="9" s="1"/>
  <c r="J432" i="9"/>
  <c r="I452" i="9"/>
  <c r="I453" i="9" s="1"/>
  <c r="J452" i="9"/>
  <c r="J453" i="9" s="1"/>
  <c r="I474" i="9"/>
  <c r="I475" i="9" s="1"/>
  <c r="J474" i="9"/>
  <c r="J475" i="9" s="1"/>
  <c r="J529" i="9"/>
  <c r="J530" i="9" s="1"/>
  <c r="K528" i="9"/>
  <c r="J551" i="9"/>
  <c r="J552" i="9" s="1"/>
  <c r="K550" i="9"/>
  <c r="J581" i="9"/>
  <c r="J582" i="9" s="1"/>
  <c r="K580" i="9"/>
  <c r="J603" i="9"/>
  <c r="J604" i="9" s="1"/>
  <c r="K602" i="9"/>
  <c r="I466" i="9"/>
  <c r="I467" i="9" s="1"/>
  <c r="J466" i="9"/>
  <c r="J467" i="9" s="1"/>
  <c r="I422" i="9"/>
  <c r="I423" i="9" s="1"/>
  <c r="J421" i="9"/>
  <c r="I507" i="9"/>
  <c r="I508" i="9" s="1"/>
  <c r="I512" i="9" s="1"/>
  <c r="J506" i="9"/>
  <c r="J584" i="9"/>
  <c r="J585" i="9" s="1"/>
  <c r="K583" i="9"/>
  <c r="I493" i="9"/>
  <c r="I494" i="9" s="1"/>
  <c r="J493" i="9"/>
  <c r="J494" i="9" s="1"/>
  <c r="I449" i="9"/>
  <c r="I450" i="9" s="1"/>
  <c r="J449" i="9"/>
  <c r="J450" i="9" s="1"/>
  <c r="I405" i="9"/>
  <c r="I406" i="9" s="1"/>
  <c r="J404" i="9"/>
  <c r="I482" i="9"/>
  <c r="I483" i="9" s="1"/>
  <c r="J482" i="9"/>
  <c r="J483" i="9" s="1"/>
  <c r="J587" i="9"/>
  <c r="J588" i="9" s="1"/>
  <c r="K586" i="9"/>
  <c r="J609" i="9"/>
  <c r="J610" i="9" s="1"/>
  <c r="K608" i="9"/>
  <c r="I444" i="9"/>
  <c r="I445" i="9" s="1"/>
  <c r="J443" i="9"/>
  <c r="I430" i="9"/>
  <c r="I431" i="9" s="1"/>
  <c r="J429" i="9"/>
  <c r="J532" i="9"/>
  <c r="J533" i="9" s="1"/>
  <c r="K531" i="9"/>
  <c r="J407" i="9"/>
  <c r="I408" i="9"/>
  <c r="I409" i="9" s="1"/>
  <c r="I427" i="9"/>
  <c r="I428" i="9" s="1"/>
  <c r="J426" i="9"/>
  <c r="I485" i="9"/>
  <c r="I486" i="9" s="1"/>
  <c r="J485" i="9"/>
  <c r="J486" i="9" s="1"/>
  <c r="J515" i="9"/>
  <c r="J516" i="9" s="1"/>
  <c r="K514" i="9"/>
  <c r="J537" i="9"/>
  <c r="J538" i="9" s="1"/>
  <c r="K536" i="9"/>
  <c r="J559" i="9"/>
  <c r="J560" i="9" s="1"/>
  <c r="K558" i="9"/>
  <c r="I496" i="9"/>
  <c r="I497" i="9" s="1"/>
  <c r="J496" i="9"/>
  <c r="J497" i="9" s="1"/>
  <c r="I455" i="9"/>
  <c r="I456" i="9" s="1"/>
  <c r="J455" i="9"/>
  <c r="J456" i="9" s="1"/>
  <c r="J554" i="9"/>
  <c r="J555" i="9" s="1"/>
  <c r="K553" i="9"/>
  <c r="J606" i="9"/>
  <c r="J607" i="9" s="1"/>
  <c r="K605" i="9"/>
  <c r="I463" i="9"/>
  <c r="I464" i="9" s="1"/>
  <c r="J463" i="9"/>
  <c r="J464" i="9" s="1"/>
  <c r="I488" i="9"/>
  <c r="I489" i="9" s="1"/>
  <c r="J488" i="9"/>
  <c r="J489" i="9" s="1"/>
  <c r="J518" i="9"/>
  <c r="J519" i="9" s="1"/>
  <c r="K517" i="9"/>
  <c r="J540" i="9"/>
  <c r="J541" i="9" s="1"/>
  <c r="K539" i="9"/>
  <c r="J562" i="9"/>
  <c r="J563" i="9" s="1"/>
  <c r="K561" i="9"/>
  <c r="J592" i="9"/>
  <c r="J593" i="9" s="1"/>
  <c r="K591" i="9"/>
  <c r="J614" i="9"/>
  <c r="J615" i="9" s="1"/>
  <c r="K613" i="9"/>
  <c r="I416" i="9"/>
  <c r="I417" i="9" s="1"/>
  <c r="J415" i="9"/>
  <c r="J521" i="9"/>
  <c r="J522" i="9" s="1"/>
  <c r="K520" i="9"/>
  <c r="J543" i="9"/>
  <c r="J544" i="9" s="1"/>
  <c r="K542" i="9"/>
  <c r="J565" i="9"/>
  <c r="J566" i="9" s="1"/>
  <c r="K564" i="9"/>
  <c r="J595" i="9"/>
  <c r="J596" i="9" s="1"/>
  <c r="K594" i="9"/>
  <c r="J617" i="9"/>
  <c r="J618" i="9" s="1"/>
  <c r="K616" i="9"/>
  <c r="K411" i="9"/>
  <c r="K412" i="9" s="1"/>
  <c r="L410" i="9"/>
  <c r="I419" i="9"/>
  <c r="I420" i="9" s="1"/>
  <c r="J418" i="9"/>
  <c r="I441" i="9"/>
  <c r="I442" i="9" s="1"/>
  <c r="J440" i="9"/>
  <c r="I499" i="9"/>
  <c r="I500" i="9" s="1"/>
  <c r="J499" i="9"/>
  <c r="J500" i="9" s="1"/>
  <c r="J573" i="9"/>
  <c r="J574" i="9" s="1"/>
  <c r="J578" i="9" s="1"/>
  <c r="K572" i="9"/>
  <c r="J598" i="9"/>
  <c r="J599" i="9" s="1"/>
  <c r="K597" i="9"/>
  <c r="J620" i="9"/>
  <c r="J621" i="9" s="1"/>
  <c r="K619" i="9"/>
  <c r="V229" i="9"/>
  <c r="F269" i="9"/>
  <c r="F266" i="9"/>
  <c r="K620" i="9" l="1"/>
  <c r="K621" i="9" s="1"/>
  <c r="L619" i="9"/>
  <c r="K606" i="9"/>
  <c r="K607" i="9" s="1"/>
  <c r="L605" i="9"/>
  <c r="K581" i="9"/>
  <c r="K582" i="9" s="1"/>
  <c r="L580" i="9"/>
  <c r="M509" i="9"/>
  <c r="L510" i="9"/>
  <c r="L511" i="9" s="1"/>
  <c r="M470" i="9"/>
  <c r="L471" i="9"/>
  <c r="L472" i="9" s="1"/>
  <c r="K598" i="9"/>
  <c r="K599" i="9" s="1"/>
  <c r="L597" i="9"/>
  <c r="J419" i="9"/>
  <c r="J420" i="9" s="1"/>
  <c r="K418" i="9"/>
  <c r="K565" i="9"/>
  <c r="K566" i="9" s="1"/>
  <c r="L564" i="9"/>
  <c r="K614" i="9"/>
  <c r="K615" i="9" s="1"/>
  <c r="L613" i="9"/>
  <c r="K518" i="9"/>
  <c r="K519" i="9" s="1"/>
  <c r="L517" i="9"/>
  <c r="K554" i="9"/>
  <c r="K555" i="9" s="1"/>
  <c r="L553" i="9"/>
  <c r="K537" i="9"/>
  <c r="K538" i="9" s="1"/>
  <c r="K545" i="9" s="1"/>
  <c r="L536" i="9"/>
  <c r="K609" i="9"/>
  <c r="K610" i="9" s="1"/>
  <c r="L608" i="9"/>
  <c r="J422" i="9"/>
  <c r="J423" i="9" s="1"/>
  <c r="K421" i="9"/>
  <c r="K551" i="9"/>
  <c r="K552" i="9" s="1"/>
  <c r="L550" i="9"/>
  <c r="J433" i="9"/>
  <c r="J434" i="9" s="1"/>
  <c r="J435" i="9" s="1"/>
  <c r="K432" i="9"/>
  <c r="J438" i="9"/>
  <c r="J439" i="9" s="1"/>
  <c r="K437" i="9"/>
  <c r="M473" i="9"/>
  <c r="L474" i="9"/>
  <c r="L475" i="9" s="1"/>
  <c r="J507" i="9"/>
  <c r="J508" i="9" s="1"/>
  <c r="J512" i="9" s="1"/>
  <c r="K506" i="9"/>
  <c r="M492" i="9"/>
  <c r="L493" i="9"/>
  <c r="L494" i="9" s="1"/>
  <c r="L501" i="9" s="1"/>
  <c r="L499" i="9"/>
  <c r="L500" i="9" s="1"/>
  <c r="M498" i="9"/>
  <c r="L488" i="9"/>
  <c r="L489" i="9" s="1"/>
  <c r="M487" i="9"/>
  <c r="J441" i="9"/>
  <c r="J442" i="9" s="1"/>
  <c r="K440" i="9"/>
  <c r="K559" i="9"/>
  <c r="K560" i="9" s="1"/>
  <c r="K567" i="9" s="1"/>
  <c r="L558" i="9"/>
  <c r="K573" i="9"/>
  <c r="K574" i="9" s="1"/>
  <c r="K578" i="9" s="1"/>
  <c r="L572" i="9"/>
  <c r="K543" i="9"/>
  <c r="K544" i="9" s="1"/>
  <c r="L542" i="9"/>
  <c r="K592" i="9"/>
  <c r="K593" i="9" s="1"/>
  <c r="L591" i="9"/>
  <c r="K515" i="9"/>
  <c r="K516" i="9" s="1"/>
  <c r="K523" i="9" s="1"/>
  <c r="L514" i="9"/>
  <c r="K532" i="9"/>
  <c r="K533" i="9" s="1"/>
  <c r="L531" i="9"/>
  <c r="K587" i="9"/>
  <c r="K588" i="9" s="1"/>
  <c r="L586" i="9"/>
  <c r="K529" i="9"/>
  <c r="K530" i="9" s="1"/>
  <c r="L528" i="9"/>
  <c r="K548" i="9"/>
  <c r="K549" i="9" s="1"/>
  <c r="K556" i="9" s="1"/>
  <c r="L547" i="9"/>
  <c r="M576" i="9"/>
  <c r="M577" i="9" s="1"/>
  <c r="N575" i="9"/>
  <c r="M454" i="9"/>
  <c r="L455" i="9"/>
  <c r="L456" i="9" s="1"/>
  <c r="M451" i="9"/>
  <c r="L452" i="9"/>
  <c r="L453" i="9" s="1"/>
  <c r="K595" i="9"/>
  <c r="K596" i="9" s="1"/>
  <c r="K600" i="9" s="1"/>
  <c r="L594" i="9"/>
  <c r="J427" i="9"/>
  <c r="J428" i="9" s="1"/>
  <c r="K426" i="9"/>
  <c r="M448" i="9"/>
  <c r="L449" i="9"/>
  <c r="L450" i="9" s="1"/>
  <c r="M462" i="9"/>
  <c r="L463" i="9"/>
  <c r="L464" i="9" s="1"/>
  <c r="K540" i="9"/>
  <c r="K541" i="9" s="1"/>
  <c r="L539" i="9"/>
  <c r="J444" i="9"/>
  <c r="J445" i="9" s="1"/>
  <c r="K443" i="9"/>
  <c r="L485" i="9"/>
  <c r="L486" i="9" s="1"/>
  <c r="M484" i="9"/>
  <c r="K617" i="9"/>
  <c r="K618" i="9" s="1"/>
  <c r="L616" i="9"/>
  <c r="K521" i="9"/>
  <c r="K522" i="9" s="1"/>
  <c r="L520" i="9"/>
  <c r="K562" i="9"/>
  <c r="K563" i="9" s="1"/>
  <c r="L561" i="9"/>
  <c r="J430" i="9"/>
  <c r="J431" i="9" s="1"/>
  <c r="K429" i="9"/>
  <c r="K584" i="9"/>
  <c r="K585" i="9" s="1"/>
  <c r="L583" i="9"/>
  <c r="K603" i="9"/>
  <c r="K604" i="9" s="1"/>
  <c r="L602" i="9"/>
  <c r="K526" i="9"/>
  <c r="K527" i="9" s="1"/>
  <c r="L525" i="9"/>
  <c r="K490" i="9"/>
  <c r="N477" i="9"/>
  <c r="N478" i="9" s="1"/>
  <c r="O476" i="9"/>
  <c r="J416" i="9"/>
  <c r="J417" i="9" s="1"/>
  <c r="K415" i="9"/>
  <c r="J611" i="9"/>
  <c r="J534" i="9"/>
  <c r="M481" i="9"/>
  <c r="L482" i="9"/>
  <c r="L483" i="9" s="1"/>
  <c r="L490" i="9" s="1"/>
  <c r="M495" i="9"/>
  <c r="L496" i="9"/>
  <c r="L497" i="9" s="1"/>
  <c r="L466" i="9"/>
  <c r="L467" i="9" s="1"/>
  <c r="M465" i="9"/>
  <c r="I468" i="9"/>
  <c r="J501" i="9"/>
  <c r="J600" i="9"/>
  <c r="J523" i="9"/>
  <c r="I501" i="9"/>
  <c r="J556" i="9"/>
  <c r="J468" i="9"/>
  <c r="J490" i="9"/>
  <c r="K611" i="9"/>
  <c r="K534" i="9"/>
  <c r="M410" i="9"/>
  <c r="L411" i="9"/>
  <c r="L412" i="9" s="1"/>
  <c r="J424" i="9"/>
  <c r="K404" i="9"/>
  <c r="J405" i="9"/>
  <c r="J406" i="9" s="1"/>
  <c r="J413" i="9" s="1"/>
  <c r="K589" i="9"/>
  <c r="J479" i="9"/>
  <c r="I490" i="9"/>
  <c r="I424" i="9"/>
  <c r="J567" i="9"/>
  <c r="I435" i="9"/>
  <c r="I413" i="9"/>
  <c r="J589" i="9"/>
  <c r="I479" i="9"/>
  <c r="I623" i="9" s="1"/>
  <c r="J457" i="9"/>
  <c r="J622" i="9"/>
  <c r="J545" i="9"/>
  <c r="J408" i="9"/>
  <c r="J409" i="9" s="1"/>
  <c r="K407" i="9"/>
  <c r="I457" i="9"/>
  <c r="I446" i="9"/>
  <c r="E619" i="9"/>
  <c r="D619" i="9"/>
  <c r="C619" i="9"/>
  <c r="E608" i="9"/>
  <c r="D608" i="9"/>
  <c r="C608" i="9"/>
  <c r="E597" i="9"/>
  <c r="C605" i="9"/>
  <c r="D605" i="9"/>
  <c r="D597" i="9"/>
  <c r="C597" i="9"/>
  <c r="E586" i="9"/>
  <c r="D586" i="9"/>
  <c r="C586" i="9"/>
  <c r="E564" i="9"/>
  <c r="D564" i="9"/>
  <c r="C564" i="9"/>
  <c r="E553" i="9"/>
  <c r="D553" i="9"/>
  <c r="C553" i="9"/>
  <c r="E542" i="9"/>
  <c r="D542" i="9"/>
  <c r="C542" i="9"/>
  <c r="E531" i="9"/>
  <c r="D531" i="9"/>
  <c r="C531" i="9"/>
  <c r="E520" i="9"/>
  <c r="D520" i="9"/>
  <c r="C520" i="9"/>
  <c r="E498" i="9"/>
  <c r="D498" i="9"/>
  <c r="C498" i="9"/>
  <c r="E487" i="9"/>
  <c r="D487" i="9"/>
  <c r="C487" i="9"/>
  <c r="E465" i="9"/>
  <c r="D465" i="9"/>
  <c r="C465" i="9"/>
  <c r="E454" i="9"/>
  <c r="D454" i="9"/>
  <c r="C454" i="9"/>
  <c r="E443" i="9"/>
  <c r="D443" i="9"/>
  <c r="C443" i="9"/>
  <c r="E432" i="9"/>
  <c r="D432" i="9"/>
  <c r="C432" i="9"/>
  <c r="E421" i="9"/>
  <c r="D421" i="9"/>
  <c r="C421" i="9"/>
  <c r="D392" i="9"/>
  <c r="C392" i="9"/>
  <c r="E383" i="9"/>
  <c r="D383" i="9"/>
  <c r="C383" i="9"/>
  <c r="E372" i="9"/>
  <c r="D372" i="9"/>
  <c r="C372" i="9"/>
  <c r="E338" i="9"/>
  <c r="D338" i="9"/>
  <c r="C338" i="9"/>
  <c r="C311" i="9"/>
  <c r="M602" i="9" l="1"/>
  <c r="L603" i="9"/>
  <c r="L604" i="9" s="1"/>
  <c r="N509" i="9"/>
  <c r="M510" i="9"/>
  <c r="M511" i="9" s="1"/>
  <c r="L584" i="9"/>
  <c r="L585" i="9" s="1"/>
  <c r="M583" i="9"/>
  <c r="L617" i="9"/>
  <c r="L618" i="9" s="1"/>
  <c r="M616" i="9"/>
  <c r="L468" i="9"/>
  <c r="L529" i="9"/>
  <c r="L530" i="9" s="1"/>
  <c r="M528" i="9"/>
  <c r="L592" i="9"/>
  <c r="L593" i="9" s="1"/>
  <c r="M591" i="9"/>
  <c r="L440" i="9"/>
  <c r="K441" i="9"/>
  <c r="K442" i="9" s="1"/>
  <c r="K507" i="9"/>
  <c r="K508" i="9" s="1"/>
  <c r="K512" i="9" s="1"/>
  <c r="L506" i="9"/>
  <c r="L551" i="9"/>
  <c r="L552" i="9" s="1"/>
  <c r="M550" i="9"/>
  <c r="L554" i="9"/>
  <c r="L555" i="9" s="1"/>
  <c r="M553" i="9"/>
  <c r="L418" i="9"/>
  <c r="K419" i="9"/>
  <c r="K420" i="9" s="1"/>
  <c r="M580" i="9"/>
  <c r="L581" i="9"/>
  <c r="L582" i="9" s="1"/>
  <c r="M496" i="9"/>
  <c r="M497" i="9" s="1"/>
  <c r="N495" i="9"/>
  <c r="O477" i="9"/>
  <c r="O478" i="9" s="1"/>
  <c r="P476" i="9"/>
  <c r="M463" i="9"/>
  <c r="M464" i="9" s="1"/>
  <c r="N462" i="9"/>
  <c r="N451" i="9"/>
  <c r="M452" i="9"/>
  <c r="M453" i="9" s="1"/>
  <c r="L521" i="9"/>
  <c r="L522" i="9" s="1"/>
  <c r="M520" i="9"/>
  <c r="M547" i="9"/>
  <c r="L548" i="9"/>
  <c r="L549" i="9" s="1"/>
  <c r="L556" i="9" s="1"/>
  <c r="L537" i="9"/>
  <c r="L538" i="9" s="1"/>
  <c r="M536" i="9"/>
  <c r="N492" i="9"/>
  <c r="M493" i="9"/>
  <c r="M494" i="9" s="1"/>
  <c r="L429" i="9"/>
  <c r="K430" i="9"/>
  <c r="K431" i="9" s="1"/>
  <c r="N484" i="9"/>
  <c r="M485" i="9"/>
  <c r="M486" i="9" s="1"/>
  <c r="L457" i="9"/>
  <c r="M586" i="9"/>
  <c r="L587" i="9"/>
  <c r="L588" i="9" s="1"/>
  <c r="L543" i="9"/>
  <c r="L544" i="9" s="1"/>
  <c r="M542" i="9"/>
  <c r="N487" i="9"/>
  <c r="M488" i="9"/>
  <c r="M489" i="9" s="1"/>
  <c r="L421" i="9"/>
  <c r="K422" i="9"/>
  <c r="K423" i="9" s="1"/>
  <c r="L518" i="9"/>
  <c r="L519" i="9" s="1"/>
  <c r="M517" i="9"/>
  <c r="M597" i="9"/>
  <c r="L598" i="9"/>
  <c r="L599" i="9" s="1"/>
  <c r="L606" i="9"/>
  <c r="L607" i="9" s="1"/>
  <c r="M605" i="9"/>
  <c r="M558" i="9"/>
  <c r="L559" i="9"/>
  <c r="L560" i="9" s="1"/>
  <c r="L567" i="9" s="1"/>
  <c r="M482" i="9"/>
  <c r="M483" i="9" s="1"/>
  <c r="N481" i="9"/>
  <c r="N448" i="9"/>
  <c r="M449" i="9"/>
  <c r="M450" i="9" s="1"/>
  <c r="M455" i="9"/>
  <c r="M456" i="9" s="1"/>
  <c r="N454" i="9"/>
  <c r="N473" i="9"/>
  <c r="M474" i="9"/>
  <c r="M475" i="9" s="1"/>
  <c r="N465" i="9"/>
  <c r="M466" i="9"/>
  <c r="M467" i="9" s="1"/>
  <c r="L595" i="9"/>
  <c r="L596" i="9" s="1"/>
  <c r="M594" i="9"/>
  <c r="L565" i="9"/>
  <c r="L566" i="9" s="1"/>
  <c r="M564" i="9"/>
  <c r="L415" i="9"/>
  <c r="K416" i="9"/>
  <c r="K417" i="9" s="1"/>
  <c r="K424" i="9" s="1"/>
  <c r="L526" i="9"/>
  <c r="L527" i="9" s="1"/>
  <c r="M525" i="9"/>
  <c r="L562" i="9"/>
  <c r="L563" i="9" s="1"/>
  <c r="M561" i="9"/>
  <c r="L443" i="9"/>
  <c r="K444" i="9"/>
  <c r="K445" i="9" s="1"/>
  <c r="K427" i="9"/>
  <c r="K428" i="9" s="1"/>
  <c r="K435" i="9" s="1"/>
  <c r="L426" i="9"/>
  <c r="N576" i="9"/>
  <c r="N577" i="9" s="1"/>
  <c r="O575" i="9"/>
  <c r="M531" i="9"/>
  <c r="L532" i="9"/>
  <c r="L533" i="9" s="1"/>
  <c r="L573" i="9"/>
  <c r="L574" i="9" s="1"/>
  <c r="L578" i="9" s="1"/>
  <c r="M572" i="9"/>
  <c r="N498" i="9"/>
  <c r="M499" i="9"/>
  <c r="M500" i="9" s="1"/>
  <c r="L437" i="9"/>
  <c r="K438" i="9"/>
  <c r="K439" i="9" s="1"/>
  <c r="L609" i="9"/>
  <c r="L610" i="9" s="1"/>
  <c r="M608" i="9"/>
  <c r="L614" i="9"/>
  <c r="L615" i="9" s="1"/>
  <c r="M613" i="9"/>
  <c r="L479" i="9"/>
  <c r="M619" i="9"/>
  <c r="L620" i="9"/>
  <c r="L621" i="9" s="1"/>
  <c r="L540" i="9"/>
  <c r="L541" i="9" s="1"/>
  <c r="M539" i="9"/>
  <c r="M514" i="9"/>
  <c r="L515" i="9"/>
  <c r="L516" i="9" s="1"/>
  <c r="L432" i="9"/>
  <c r="K433" i="9"/>
  <c r="K434" i="9" s="1"/>
  <c r="J446" i="9"/>
  <c r="J623" i="9" s="1"/>
  <c r="K622" i="9"/>
  <c r="N470" i="9"/>
  <c r="M471" i="9"/>
  <c r="M472" i="9" s="1"/>
  <c r="L404" i="9"/>
  <c r="K405" i="9"/>
  <c r="K406" i="9" s="1"/>
  <c r="K413" i="9" s="1"/>
  <c r="N410" i="9"/>
  <c r="M411" i="9"/>
  <c r="M412" i="9" s="1"/>
  <c r="K408" i="9"/>
  <c r="K409" i="9" s="1"/>
  <c r="L407" i="9"/>
  <c r="E293" i="9"/>
  <c r="D293" i="9"/>
  <c r="C293" i="9"/>
  <c r="E281" i="9"/>
  <c r="D281" i="9"/>
  <c r="C281" i="9"/>
  <c r="M587" i="9" l="1"/>
  <c r="M588" i="9" s="1"/>
  <c r="N586" i="9"/>
  <c r="N499" i="9"/>
  <c r="N500" i="9" s="1"/>
  <c r="O498" i="9"/>
  <c r="O473" i="9"/>
  <c r="N474" i="9"/>
  <c r="N475" i="9" s="1"/>
  <c r="L433" i="9"/>
  <c r="L434" i="9" s="1"/>
  <c r="L435" i="9" s="1"/>
  <c r="M432" i="9"/>
  <c r="N613" i="9"/>
  <c r="M614" i="9"/>
  <c r="M615" i="9" s="1"/>
  <c r="N572" i="9"/>
  <c r="M573" i="9"/>
  <c r="M574" i="9" s="1"/>
  <c r="M578" i="9" s="1"/>
  <c r="M565" i="9"/>
  <c r="M566" i="9" s="1"/>
  <c r="N564" i="9"/>
  <c r="N455" i="9"/>
  <c r="N456" i="9" s="1"/>
  <c r="O454" i="9"/>
  <c r="N558" i="9"/>
  <c r="M559" i="9"/>
  <c r="M560" i="9" s="1"/>
  <c r="L422" i="9"/>
  <c r="L423" i="9" s="1"/>
  <c r="M421" i="9"/>
  <c r="L545" i="9"/>
  <c r="M468" i="9"/>
  <c r="L419" i="9"/>
  <c r="L420" i="9" s="1"/>
  <c r="M418" i="9"/>
  <c r="L441" i="9"/>
  <c r="L442" i="9" s="1"/>
  <c r="M440" i="9"/>
  <c r="M584" i="9"/>
  <c r="M585" i="9" s="1"/>
  <c r="N583" i="9"/>
  <c r="O462" i="9"/>
  <c r="N463" i="9"/>
  <c r="N464" i="9" s="1"/>
  <c r="L622" i="9"/>
  <c r="L444" i="9"/>
  <c r="L445" i="9" s="1"/>
  <c r="M443" i="9"/>
  <c r="M606" i="9"/>
  <c r="M607" i="9" s="1"/>
  <c r="N605" i="9"/>
  <c r="N485" i="9"/>
  <c r="N486" i="9" s="1"/>
  <c r="O484" i="9"/>
  <c r="P477" i="9"/>
  <c r="P478" i="9" s="1"/>
  <c r="Q476" i="9"/>
  <c r="N553" i="9"/>
  <c r="M554" i="9"/>
  <c r="M555" i="9" s="1"/>
  <c r="M592" i="9"/>
  <c r="M593" i="9" s="1"/>
  <c r="N591" i="9"/>
  <c r="M426" i="9"/>
  <c r="L427" i="9"/>
  <c r="L428" i="9" s="1"/>
  <c r="N493" i="9"/>
  <c r="N494" i="9" s="1"/>
  <c r="O492" i="9"/>
  <c r="N514" i="9"/>
  <c r="M515" i="9"/>
  <c r="M516" i="9" s="1"/>
  <c r="M609" i="9"/>
  <c r="M610" i="9" s="1"/>
  <c r="N608" i="9"/>
  <c r="M562" i="9"/>
  <c r="M563" i="9" s="1"/>
  <c r="N561" i="9"/>
  <c r="M595" i="9"/>
  <c r="M596" i="9" s="1"/>
  <c r="N594" i="9"/>
  <c r="M457" i="9"/>
  <c r="N488" i="9"/>
  <c r="N489" i="9" s="1"/>
  <c r="O487" i="9"/>
  <c r="N547" i="9"/>
  <c r="M548" i="9"/>
  <c r="M549" i="9" s="1"/>
  <c r="L600" i="9"/>
  <c r="M620" i="9"/>
  <c r="M621" i="9" s="1"/>
  <c r="N619" i="9"/>
  <c r="N452" i="9"/>
  <c r="N453" i="9" s="1"/>
  <c r="O451" i="9"/>
  <c r="M537" i="9"/>
  <c r="M538" i="9" s="1"/>
  <c r="N536" i="9"/>
  <c r="L523" i="9"/>
  <c r="M479" i="9"/>
  <c r="N539" i="9"/>
  <c r="M540" i="9"/>
  <c r="M541" i="9" s="1"/>
  <c r="M532" i="9"/>
  <c r="M533" i="9" s="1"/>
  <c r="N531" i="9"/>
  <c r="N449" i="9"/>
  <c r="N450" i="9" s="1"/>
  <c r="O448" i="9"/>
  <c r="N542" i="9"/>
  <c r="M543" i="9"/>
  <c r="M544" i="9" s="1"/>
  <c r="M429" i="9"/>
  <c r="L430" i="9"/>
  <c r="L431" i="9" s="1"/>
  <c r="M521" i="9"/>
  <c r="M522" i="9" s="1"/>
  <c r="N520" i="9"/>
  <c r="N496" i="9"/>
  <c r="N497" i="9" s="1"/>
  <c r="O495" i="9"/>
  <c r="M551" i="9"/>
  <c r="M552" i="9" s="1"/>
  <c r="M556" i="9" s="1"/>
  <c r="N550" i="9"/>
  <c r="M529" i="9"/>
  <c r="M530" i="9" s="1"/>
  <c r="M534" i="9" s="1"/>
  <c r="N528" i="9"/>
  <c r="N510" i="9"/>
  <c r="N511" i="9" s="1"/>
  <c r="O509" i="9"/>
  <c r="M581" i="9"/>
  <c r="M582" i="9" s="1"/>
  <c r="N580" i="9"/>
  <c r="N471" i="9"/>
  <c r="N472" i="9" s="1"/>
  <c r="N479" i="9" s="1"/>
  <c r="O470" i="9"/>
  <c r="K446" i="9"/>
  <c r="K623" i="9" s="1"/>
  <c r="P575" i="9"/>
  <c r="O576" i="9"/>
  <c r="O577" i="9" s="1"/>
  <c r="N525" i="9"/>
  <c r="M526" i="9"/>
  <c r="M527" i="9" s="1"/>
  <c r="O481" i="9"/>
  <c r="N482" i="9"/>
  <c r="N483" i="9" s="1"/>
  <c r="N490" i="9" s="1"/>
  <c r="M598" i="9"/>
  <c r="M599" i="9" s="1"/>
  <c r="N597" i="9"/>
  <c r="L611" i="9"/>
  <c r="M617" i="9"/>
  <c r="M618" i="9" s="1"/>
  <c r="M622" i="9" s="1"/>
  <c r="N616" i="9"/>
  <c r="L416" i="9"/>
  <c r="L417" i="9" s="1"/>
  <c r="M415" i="9"/>
  <c r="L438" i="9"/>
  <c r="L439" i="9" s="1"/>
  <c r="L446" i="9" s="1"/>
  <c r="M437" i="9"/>
  <c r="L534" i="9"/>
  <c r="N466" i="9"/>
  <c r="N467" i="9" s="1"/>
  <c r="O465" i="9"/>
  <c r="M490" i="9"/>
  <c r="N517" i="9"/>
  <c r="M518" i="9"/>
  <c r="M519" i="9" s="1"/>
  <c r="M501" i="9"/>
  <c r="L589" i="9"/>
  <c r="M506" i="9"/>
  <c r="L507" i="9"/>
  <c r="L508" i="9" s="1"/>
  <c r="L512" i="9" s="1"/>
  <c r="M603" i="9"/>
  <c r="M604" i="9" s="1"/>
  <c r="M611" i="9" s="1"/>
  <c r="N602" i="9"/>
  <c r="M404" i="9"/>
  <c r="L405" i="9"/>
  <c r="L406" i="9" s="1"/>
  <c r="M407" i="9"/>
  <c r="L408" i="9"/>
  <c r="L409" i="9" s="1"/>
  <c r="L413" i="9" s="1"/>
  <c r="O410" i="9"/>
  <c r="N411" i="9"/>
  <c r="N412" i="9" s="1"/>
  <c r="E269" i="9"/>
  <c r="D269" i="9"/>
  <c r="C269" i="9"/>
  <c r="N595" i="9" l="1"/>
  <c r="N596" i="9" s="1"/>
  <c r="O594" i="9"/>
  <c r="N506" i="9"/>
  <c r="M507" i="9"/>
  <c r="M508" i="9" s="1"/>
  <c r="M512" i="9" s="1"/>
  <c r="O514" i="9"/>
  <c r="N515" i="9"/>
  <c r="N516" i="9" s="1"/>
  <c r="N523" i="9" s="1"/>
  <c r="N554" i="9"/>
  <c r="N555" i="9" s="1"/>
  <c r="O553" i="9"/>
  <c r="N418" i="9"/>
  <c r="M419" i="9"/>
  <c r="M420" i="9" s="1"/>
  <c r="O455" i="9"/>
  <c r="O456" i="9" s="1"/>
  <c r="P454" i="9"/>
  <c r="M433" i="9"/>
  <c r="M434" i="9" s="1"/>
  <c r="N432" i="9"/>
  <c r="N529" i="9"/>
  <c r="N530" i="9" s="1"/>
  <c r="O528" i="9"/>
  <c r="N620" i="9"/>
  <c r="N621" i="9" s="1"/>
  <c r="O619" i="9"/>
  <c r="O493" i="9"/>
  <c r="O494" i="9" s="1"/>
  <c r="P492" i="9"/>
  <c r="N437" i="9"/>
  <c r="M438" i="9"/>
  <c r="M439" i="9" s="1"/>
  <c r="M446" i="9" s="1"/>
  <c r="N598" i="9"/>
  <c r="N599" i="9" s="1"/>
  <c r="O597" i="9"/>
  <c r="N429" i="9"/>
  <c r="M430" i="9"/>
  <c r="M431" i="9" s="1"/>
  <c r="N540" i="9"/>
  <c r="N541" i="9" s="1"/>
  <c r="O539" i="9"/>
  <c r="M600" i="9"/>
  <c r="N501" i="9"/>
  <c r="N468" i="9"/>
  <c r="N565" i="9"/>
  <c r="N566" i="9" s="1"/>
  <c r="O564" i="9"/>
  <c r="P470" i="9"/>
  <c r="O471" i="9"/>
  <c r="O472" i="9" s="1"/>
  <c r="O479" i="9" s="1"/>
  <c r="O550" i="9"/>
  <c r="N551" i="9"/>
  <c r="N552" i="9" s="1"/>
  <c r="N556" i="9" s="1"/>
  <c r="N562" i="9"/>
  <c r="N563" i="9" s="1"/>
  <c r="O561" i="9"/>
  <c r="P484" i="9"/>
  <c r="O485" i="9"/>
  <c r="O486" i="9" s="1"/>
  <c r="O463" i="9"/>
  <c r="O464" i="9" s="1"/>
  <c r="P462" i="9"/>
  <c r="O474" i="9"/>
  <c r="O475" i="9" s="1"/>
  <c r="P473" i="9"/>
  <c r="O517" i="9"/>
  <c r="N518" i="9"/>
  <c r="N519" i="9" s="1"/>
  <c r="N543" i="9"/>
  <c r="N544" i="9" s="1"/>
  <c r="O542" i="9"/>
  <c r="N426" i="9"/>
  <c r="M427" i="9"/>
  <c r="M428" i="9" s="1"/>
  <c r="M435" i="9" s="1"/>
  <c r="O583" i="9"/>
  <c r="N584" i="9"/>
  <c r="N585" i="9" s="1"/>
  <c r="N589" i="9" s="1"/>
  <c r="M422" i="9"/>
  <c r="M423" i="9" s="1"/>
  <c r="N421" i="9"/>
  <c r="O499" i="9"/>
  <c r="O500" i="9" s="1"/>
  <c r="P498" i="9"/>
  <c r="Q477" i="9"/>
  <c r="Q478" i="9" s="1"/>
  <c r="R476" i="9"/>
  <c r="N603" i="9"/>
  <c r="N604" i="9" s="1"/>
  <c r="O602" i="9"/>
  <c r="M416" i="9"/>
  <c r="M417" i="9" s="1"/>
  <c r="M424" i="9" s="1"/>
  <c r="N415" i="9"/>
  <c r="P481" i="9"/>
  <c r="O482" i="9"/>
  <c r="O483" i="9" s="1"/>
  <c r="N581" i="9"/>
  <c r="N582" i="9" s="1"/>
  <c r="O580" i="9"/>
  <c r="P495" i="9"/>
  <c r="O496" i="9"/>
  <c r="O497" i="9" s="1"/>
  <c r="O449" i="9"/>
  <c r="O450" i="9" s="1"/>
  <c r="P448" i="9"/>
  <c r="O536" i="9"/>
  <c r="N537" i="9"/>
  <c r="N538" i="9" s="1"/>
  <c r="N545" i="9" s="1"/>
  <c r="N548" i="9"/>
  <c r="N549" i="9" s="1"/>
  <c r="O547" i="9"/>
  <c r="N609" i="9"/>
  <c r="N610" i="9" s="1"/>
  <c r="O608" i="9"/>
  <c r="O591" i="9"/>
  <c r="N592" i="9"/>
  <c r="N593" i="9" s="1"/>
  <c r="O605" i="9"/>
  <c r="N606" i="9"/>
  <c r="N607" i="9" s="1"/>
  <c r="N611" i="9" s="1"/>
  <c r="M589" i="9"/>
  <c r="O572" i="9"/>
  <c r="N573" i="9"/>
  <c r="N574" i="9" s="1"/>
  <c r="N578" i="9" s="1"/>
  <c r="Q575" i="9"/>
  <c r="P576" i="9"/>
  <c r="P577" i="9" s="1"/>
  <c r="O466" i="9"/>
  <c r="O467" i="9" s="1"/>
  <c r="P465" i="9"/>
  <c r="L424" i="9"/>
  <c r="L623" i="9" s="1"/>
  <c r="N457" i="9"/>
  <c r="M545" i="9"/>
  <c r="O488" i="9"/>
  <c r="O489" i="9" s="1"/>
  <c r="P487" i="9"/>
  <c r="N440" i="9"/>
  <c r="M441" i="9"/>
  <c r="M442" i="9" s="1"/>
  <c r="M567" i="9"/>
  <c r="O586" i="9"/>
  <c r="N587" i="9"/>
  <c r="N588" i="9" s="1"/>
  <c r="O616" i="9"/>
  <c r="N617" i="9"/>
  <c r="N618" i="9" s="1"/>
  <c r="O525" i="9"/>
  <c r="N526" i="9"/>
  <c r="N527" i="9" s="1"/>
  <c r="P509" i="9"/>
  <c r="O510" i="9"/>
  <c r="O511" i="9" s="1"/>
  <c r="N521" i="9"/>
  <c r="N522" i="9" s="1"/>
  <c r="O520" i="9"/>
  <c r="N532" i="9"/>
  <c r="N533" i="9" s="1"/>
  <c r="O531" i="9"/>
  <c r="P451" i="9"/>
  <c r="O452" i="9"/>
  <c r="O453" i="9" s="1"/>
  <c r="M523" i="9"/>
  <c r="M444" i="9"/>
  <c r="M445" i="9" s="1"/>
  <c r="N443" i="9"/>
  <c r="N559" i="9"/>
  <c r="N560" i="9" s="1"/>
  <c r="O558" i="9"/>
  <c r="O613" i="9"/>
  <c r="N614" i="9"/>
  <c r="N615" i="9" s="1"/>
  <c r="O411" i="9"/>
  <c r="O412" i="9" s="1"/>
  <c r="P410" i="9"/>
  <c r="M408" i="9"/>
  <c r="M409" i="9" s="1"/>
  <c r="N407" i="9"/>
  <c r="N404" i="9"/>
  <c r="M405" i="9"/>
  <c r="M406" i="9" s="1"/>
  <c r="D278" i="9"/>
  <c r="D290" i="9"/>
  <c r="D324" i="9"/>
  <c r="D335" i="9"/>
  <c r="D369" i="9"/>
  <c r="D380" i="9"/>
  <c r="D429" i="9"/>
  <c r="D440" i="9"/>
  <c r="D451" i="9"/>
  <c r="D517" i="9"/>
  <c r="E616" i="9"/>
  <c r="D616" i="9"/>
  <c r="E605" i="9"/>
  <c r="D594" i="9"/>
  <c r="E594" i="9"/>
  <c r="E583" i="9"/>
  <c r="E572" i="9"/>
  <c r="E561" i="9"/>
  <c r="D561" i="9"/>
  <c r="D550" i="9"/>
  <c r="E550" i="9"/>
  <c r="E539" i="9"/>
  <c r="D528" i="9"/>
  <c r="Q576" i="9" l="1"/>
  <c r="Q577" i="9" s="1"/>
  <c r="R575" i="9"/>
  <c r="O614" i="9"/>
  <c r="O615" i="9" s="1"/>
  <c r="P613" i="9"/>
  <c r="O532" i="9"/>
  <c r="O533" i="9" s="1"/>
  <c r="P531" i="9"/>
  <c r="N622" i="9"/>
  <c r="Q495" i="9"/>
  <c r="P496" i="9"/>
  <c r="P497" i="9" s="1"/>
  <c r="O584" i="9"/>
  <c r="O585" i="9" s="1"/>
  <c r="P583" i="9"/>
  <c r="O551" i="9"/>
  <c r="O552" i="9" s="1"/>
  <c r="P550" i="9"/>
  <c r="N438" i="9"/>
  <c r="N439" i="9" s="1"/>
  <c r="N446" i="9" s="1"/>
  <c r="O437" i="9"/>
  <c r="O515" i="9"/>
  <c r="O516" i="9" s="1"/>
  <c r="P514" i="9"/>
  <c r="P558" i="9"/>
  <c r="O559" i="9"/>
  <c r="O560" i="9" s="1"/>
  <c r="O617" i="9"/>
  <c r="O618" i="9" s="1"/>
  <c r="O622" i="9" s="1"/>
  <c r="P616" i="9"/>
  <c r="O573" i="9"/>
  <c r="O574" i="9" s="1"/>
  <c r="O578" i="9" s="1"/>
  <c r="P572" i="9"/>
  <c r="O548" i="9"/>
  <c r="O549" i="9" s="1"/>
  <c r="P547" i="9"/>
  <c r="O581" i="9"/>
  <c r="O582" i="9" s="1"/>
  <c r="P580" i="9"/>
  <c r="R477" i="9"/>
  <c r="R478" i="9" s="1"/>
  <c r="S476" i="9"/>
  <c r="Q462" i="9"/>
  <c r="P463" i="9"/>
  <c r="P464" i="9" s="1"/>
  <c r="P539" i="9"/>
  <c r="O540" i="9"/>
  <c r="O541" i="9" s="1"/>
  <c r="P493" i="9"/>
  <c r="P494" i="9" s="1"/>
  <c r="P501" i="9" s="1"/>
  <c r="Q492" i="9"/>
  <c r="Q454" i="9"/>
  <c r="P455" i="9"/>
  <c r="P456" i="9" s="1"/>
  <c r="O521" i="9"/>
  <c r="O522" i="9" s="1"/>
  <c r="P520" i="9"/>
  <c r="O426" i="9"/>
  <c r="N427" i="9"/>
  <c r="N428" i="9" s="1"/>
  <c r="O468" i="9"/>
  <c r="P471" i="9"/>
  <c r="P472" i="9" s="1"/>
  <c r="Q470" i="9"/>
  <c r="O501" i="9"/>
  <c r="P488" i="9"/>
  <c r="P489" i="9" s="1"/>
  <c r="Q487" i="9"/>
  <c r="O603" i="9"/>
  <c r="O604" i="9" s="1"/>
  <c r="P602" i="9"/>
  <c r="O443" i="9"/>
  <c r="N444" i="9"/>
  <c r="N445" i="9" s="1"/>
  <c r="P586" i="9"/>
  <c r="O587" i="9"/>
  <c r="O588" i="9" s="1"/>
  <c r="O490" i="9"/>
  <c r="Q498" i="9"/>
  <c r="P499" i="9"/>
  <c r="P500" i="9" s="1"/>
  <c r="O543" i="9"/>
  <c r="O544" i="9" s="1"/>
  <c r="P542" i="9"/>
  <c r="O620" i="9"/>
  <c r="O621" i="9" s="1"/>
  <c r="P619" i="9"/>
  <c r="P452" i="9"/>
  <c r="P453" i="9" s="1"/>
  <c r="Q451" i="9"/>
  <c r="O609" i="9"/>
  <c r="O610" i="9" s="1"/>
  <c r="P608" i="9"/>
  <c r="P474" i="9"/>
  <c r="P475" i="9" s="1"/>
  <c r="P479" i="9" s="1"/>
  <c r="Q473" i="9"/>
  <c r="Q465" i="9"/>
  <c r="P466" i="9"/>
  <c r="P467" i="9" s="1"/>
  <c r="P605" i="9"/>
  <c r="O606" i="9"/>
  <c r="O607" i="9" s="1"/>
  <c r="O611" i="9" s="1"/>
  <c r="P536" i="9"/>
  <c r="O537" i="9"/>
  <c r="O538" i="9" s="1"/>
  <c r="P482" i="9"/>
  <c r="P483" i="9" s="1"/>
  <c r="Q481" i="9"/>
  <c r="P485" i="9"/>
  <c r="P486" i="9" s="1"/>
  <c r="Q484" i="9"/>
  <c r="O565" i="9"/>
  <c r="O566" i="9" s="1"/>
  <c r="P564" i="9"/>
  <c r="O429" i="9"/>
  <c r="N430" i="9"/>
  <c r="N431" i="9" s="1"/>
  <c r="N419" i="9"/>
  <c r="N420" i="9" s="1"/>
  <c r="O418" i="9"/>
  <c r="N507" i="9"/>
  <c r="N508" i="9" s="1"/>
  <c r="N512" i="9" s="1"/>
  <c r="O506" i="9"/>
  <c r="P510" i="9"/>
  <c r="P511" i="9" s="1"/>
  <c r="Q509" i="9"/>
  <c r="P449" i="9"/>
  <c r="P450" i="9" s="1"/>
  <c r="P457" i="9" s="1"/>
  <c r="Q448" i="9"/>
  <c r="N416" i="9"/>
  <c r="N417" i="9" s="1"/>
  <c r="N424" i="9" s="1"/>
  <c r="O415" i="9"/>
  <c r="N422" i="9"/>
  <c r="N423" i="9" s="1"/>
  <c r="O421" i="9"/>
  <c r="P561" i="9"/>
  <c r="O562" i="9"/>
  <c r="O563" i="9" s="1"/>
  <c r="O598" i="9"/>
  <c r="O599" i="9" s="1"/>
  <c r="P597" i="9"/>
  <c r="P528" i="9"/>
  <c r="O529" i="9"/>
  <c r="O530" i="9" s="1"/>
  <c r="O554" i="9"/>
  <c r="O555" i="9" s="1"/>
  <c r="P553" i="9"/>
  <c r="O595" i="9"/>
  <c r="O596" i="9" s="1"/>
  <c r="P594" i="9"/>
  <c r="O526" i="9"/>
  <c r="O527" i="9" s="1"/>
  <c r="P525" i="9"/>
  <c r="N433" i="9"/>
  <c r="N434" i="9" s="1"/>
  <c r="N435" i="9" s="1"/>
  <c r="O432" i="9"/>
  <c r="N441" i="9"/>
  <c r="N442" i="9" s="1"/>
  <c r="O440" i="9"/>
  <c r="O592" i="9"/>
  <c r="O593" i="9" s="1"/>
  <c r="P591" i="9"/>
  <c r="O457" i="9"/>
  <c r="P517" i="9"/>
  <c r="O518" i="9"/>
  <c r="O519" i="9" s="1"/>
  <c r="N567" i="9"/>
  <c r="N534" i="9"/>
  <c r="N600" i="9"/>
  <c r="O404" i="9"/>
  <c r="N405" i="9"/>
  <c r="N406" i="9" s="1"/>
  <c r="M413" i="9"/>
  <c r="M623" i="9" s="1"/>
  <c r="P411" i="9"/>
  <c r="P412" i="9" s="1"/>
  <c r="Q410" i="9"/>
  <c r="N408" i="9"/>
  <c r="N409" i="9" s="1"/>
  <c r="N413" i="9" s="1"/>
  <c r="O407" i="9"/>
  <c r="E528" i="9"/>
  <c r="E517" i="9"/>
  <c r="E506" i="9"/>
  <c r="E495" i="9"/>
  <c r="E484" i="9"/>
  <c r="E473" i="9"/>
  <c r="E462" i="9"/>
  <c r="E451" i="9"/>
  <c r="E440" i="9"/>
  <c r="E429" i="9"/>
  <c r="E418" i="9"/>
  <c r="E407" i="9"/>
  <c r="E389" i="9"/>
  <c r="E380" i="9"/>
  <c r="E369" i="9"/>
  <c r="E345" i="9"/>
  <c r="E335" i="9"/>
  <c r="E324" i="9"/>
  <c r="E314" i="9"/>
  <c r="E302" i="9"/>
  <c r="E290" i="9"/>
  <c r="E278" i="9"/>
  <c r="E266" i="9"/>
  <c r="Q591" i="9" l="1"/>
  <c r="P592" i="9"/>
  <c r="P593" i="9" s="1"/>
  <c r="P429" i="9"/>
  <c r="O430" i="9"/>
  <c r="O431" i="9" s="1"/>
  <c r="Q536" i="9"/>
  <c r="P537" i="9"/>
  <c r="P538" i="9" s="1"/>
  <c r="R498" i="9"/>
  <c r="Q499" i="9"/>
  <c r="Q500" i="9" s="1"/>
  <c r="R487" i="9"/>
  <c r="Q488" i="9"/>
  <c r="Q489" i="9" s="1"/>
  <c r="P521" i="9"/>
  <c r="P522" i="9" s="1"/>
  <c r="Q520" i="9"/>
  <c r="P468" i="9"/>
  <c r="Q572" i="9"/>
  <c r="P573" i="9"/>
  <c r="P574" i="9" s="1"/>
  <c r="P578" i="9" s="1"/>
  <c r="O438" i="9"/>
  <c r="O439" i="9" s="1"/>
  <c r="P437" i="9"/>
  <c r="N623" i="9"/>
  <c r="Q594" i="9"/>
  <c r="P595" i="9"/>
  <c r="P596" i="9" s="1"/>
  <c r="Q463" i="9"/>
  <c r="Q464" i="9" s="1"/>
  <c r="R462" i="9"/>
  <c r="O600" i="9"/>
  <c r="P562" i="9"/>
  <c r="P563" i="9" s="1"/>
  <c r="Q561" i="9"/>
  <c r="P606" i="9"/>
  <c r="P607" i="9" s="1"/>
  <c r="Q605" i="9"/>
  <c r="S477" i="9"/>
  <c r="S478" i="9" s="1"/>
  <c r="T476" i="9"/>
  <c r="Q616" i="9"/>
  <c r="P617" i="9"/>
  <c r="P618" i="9" s="1"/>
  <c r="P622" i="9" s="1"/>
  <c r="Q550" i="9"/>
  <c r="P551" i="9"/>
  <c r="P552" i="9" s="1"/>
  <c r="Q452" i="9"/>
  <c r="Q453" i="9" s="1"/>
  <c r="R451" i="9"/>
  <c r="P532" i="9"/>
  <c r="P533" i="9" s="1"/>
  <c r="Q531" i="9"/>
  <c r="O441" i="9"/>
  <c r="O442" i="9" s="1"/>
  <c r="P440" i="9"/>
  <c r="P554" i="9"/>
  <c r="P555" i="9" s="1"/>
  <c r="Q553" i="9"/>
  <c r="O422" i="9"/>
  <c r="O423" i="9" s="1"/>
  <c r="P421" i="9"/>
  <c r="O507" i="9"/>
  <c r="O508" i="9" s="1"/>
  <c r="O512" i="9" s="1"/>
  <c r="P506" i="9"/>
  <c r="Q485" i="9"/>
  <c r="Q486" i="9" s="1"/>
  <c r="R484" i="9"/>
  <c r="Q619" i="9"/>
  <c r="P620" i="9"/>
  <c r="P621" i="9" s="1"/>
  <c r="P587" i="9"/>
  <c r="P588" i="9" s="1"/>
  <c r="Q586" i="9"/>
  <c r="Q471" i="9"/>
  <c r="Q472" i="9" s="1"/>
  <c r="R470" i="9"/>
  <c r="Q455" i="9"/>
  <c r="Q456" i="9" s="1"/>
  <c r="R454" i="9"/>
  <c r="O556" i="9"/>
  <c r="P614" i="9"/>
  <c r="P615" i="9" s="1"/>
  <c r="Q613" i="9"/>
  <c r="R465" i="9"/>
  <c r="Q466" i="9"/>
  <c r="Q467" i="9" s="1"/>
  <c r="Q493" i="9"/>
  <c r="Q494" i="9" s="1"/>
  <c r="R492" i="9"/>
  <c r="P581" i="9"/>
  <c r="P582" i="9" s="1"/>
  <c r="Q580" i="9"/>
  <c r="O567" i="9"/>
  <c r="P584" i="9"/>
  <c r="P585" i="9" s="1"/>
  <c r="Q583" i="9"/>
  <c r="Q510" i="9"/>
  <c r="Q511" i="9" s="1"/>
  <c r="R509" i="9"/>
  <c r="P565" i="9"/>
  <c r="P566" i="9" s="1"/>
  <c r="Q564" i="9"/>
  <c r="O523" i="9"/>
  <c r="P432" i="9"/>
  <c r="O433" i="9"/>
  <c r="O434" i="9" s="1"/>
  <c r="O534" i="9"/>
  <c r="P415" i="9"/>
  <c r="O416" i="9"/>
  <c r="O417" i="9" s="1"/>
  <c r="O419" i="9"/>
  <c r="O420" i="9" s="1"/>
  <c r="P418" i="9"/>
  <c r="Q482" i="9"/>
  <c r="Q483" i="9" s="1"/>
  <c r="R481" i="9"/>
  <c r="Q474" i="9"/>
  <c r="Q475" i="9" s="1"/>
  <c r="R473" i="9"/>
  <c r="P543" i="9"/>
  <c r="P544" i="9" s="1"/>
  <c r="Q542" i="9"/>
  <c r="P443" i="9"/>
  <c r="O444" i="9"/>
  <c r="O445" i="9" s="1"/>
  <c r="P559" i="9"/>
  <c r="P560" i="9" s="1"/>
  <c r="Q558" i="9"/>
  <c r="O589" i="9"/>
  <c r="R576" i="9"/>
  <c r="R577" i="9" s="1"/>
  <c r="S575" i="9"/>
  <c r="Q517" i="9"/>
  <c r="P518" i="9"/>
  <c r="P519" i="9" s="1"/>
  <c r="P529" i="9"/>
  <c r="P530" i="9" s="1"/>
  <c r="Q528" i="9"/>
  <c r="P490" i="9"/>
  <c r="P603" i="9"/>
  <c r="P604" i="9" s="1"/>
  <c r="Q602" i="9"/>
  <c r="O545" i="9"/>
  <c r="P548" i="9"/>
  <c r="P549" i="9" s="1"/>
  <c r="Q547" i="9"/>
  <c r="Q514" i="9"/>
  <c r="P515" i="9"/>
  <c r="P516" i="9" s="1"/>
  <c r="Q525" i="9"/>
  <c r="P526" i="9"/>
  <c r="P527" i="9" s="1"/>
  <c r="P598" i="9"/>
  <c r="P599" i="9" s="1"/>
  <c r="Q597" i="9"/>
  <c r="Q449" i="9"/>
  <c r="Q450" i="9" s="1"/>
  <c r="Q457" i="9" s="1"/>
  <c r="R448" i="9"/>
  <c r="Q608" i="9"/>
  <c r="P609" i="9"/>
  <c r="P610" i="9" s="1"/>
  <c r="O427" i="9"/>
  <c r="O428" i="9" s="1"/>
  <c r="O435" i="9" s="1"/>
  <c r="P426" i="9"/>
  <c r="P540" i="9"/>
  <c r="P541" i="9" s="1"/>
  <c r="Q539" i="9"/>
  <c r="Q496" i="9"/>
  <c r="Q497" i="9" s="1"/>
  <c r="R495" i="9"/>
  <c r="P407" i="9"/>
  <c r="O408" i="9"/>
  <c r="O409" i="9" s="1"/>
  <c r="Q411" i="9"/>
  <c r="Q412" i="9" s="1"/>
  <c r="R410" i="9"/>
  <c r="P404" i="9"/>
  <c r="O405" i="9"/>
  <c r="O406" i="9" s="1"/>
  <c r="O413" i="9" s="1"/>
  <c r="C616" i="9"/>
  <c r="C594" i="9"/>
  <c r="D583" i="9"/>
  <c r="C583" i="9"/>
  <c r="D572" i="9"/>
  <c r="C572" i="9"/>
  <c r="C561" i="9"/>
  <c r="C550" i="9"/>
  <c r="D539" i="9"/>
  <c r="C539" i="9"/>
  <c r="C528" i="9"/>
  <c r="C517" i="9"/>
  <c r="D506" i="9"/>
  <c r="C506" i="9"/>
  <c r="D495" i="9"/>
  <c r="C495" i="9"/>
  <c r="D484" i="9"/>
  <c r="C484" i="9"/>
  <c r="D473" i="9"/>
  <c r="C473" i="9"/>
  <c r="D462" i="9"/>
  <c r="C462" i="9"/>
  <c r="C451" i="9"/>
  <c r="C440" i="9"/>
  <c r="C429" i="9"/>
  <c r="D418" i="9"/>
  <c r="C418" i="9"/>
  <c r="D407" i="9"/>
  <c r="C407" i="9"/>
  <c r="D389" i="9"/>
  <c r="C389" i="9"/>
  <c r="C380" i="9"/>
  <c r="C369" i="9"/>
  <c r="D345" i="9"/>
  <c r="C345" i="9"/>
  <c r="C324" i="9"/>
  <c r="D314" i="9"/>
  <c r="C314" i="9"/>
  <c r="D302" i="9"/>
  <c r="C302" i="9"/>
  <c r="C290" i="9"/>
  <c r="C278" i="9"/>
  <c r="D266" i="9"/>
  <c r="C266" i="9"/>
  <c r="C335" i="9"/>
  <c r="R455" i="9" l="1"/>
  <c r="R456" i="9" s="1"/>
  <c r="S454" i="9"/>
  <c r="R496" i="9"/>
  <c r="R497" i="9" s="1"/>
  <c r="S495" i="9"/>
  <c r="S448" i="9"/>
  <c r="R449" i="9"/>
  <c r="R450" i="9" s="1"/>
  <c r="Q515" i="9"/>
  <c r="Q516" i="9" s="1"/>
  <c r="R514" i="9"/>
  <c r="P534" i="9"/>
  <c r="Q418" i="9"/>
  <c r="P419" i="9"/>
  <c r="P420" i="9" s="1"/>
  <c r="Q565" i="9"/>
  <c r="Q566" i="9" s="1"/>
  <c r="R564" i="9"/>
  <c r="Q620" i="9"/>
  <c r="Q621" i="9" s="1"/>
  <c r="R619" i="9"/>
  <c r="R550" i="9"/>
  <c r="Q551" i="9"/>
  <c r="Q552" i="9" s="1"/>
  <c r="P567" i="9"/>
  <c r="O446" i="9"/>
  <c r="O623" i="9" s="1"/>
  <c r="P444" i="9"/>
  <c r="P445" i="9" s="1"/>
  <c r="Q443" i="9"/>
  <c r="S492" i="9"/>
  <c r="R493" i="9"/>
  <c r="R494" i="9" s="1"/>
  <c r="R501" i="9" s="1"/>
  <c r="P441" i="9"/>
  <c r="P442" i="9" s="1"/>
  <c r="Q440" i="9"/>
  <c r="Q540" i="9"/>
  <c r="Q541" i="9" s="1"/>
  <c r="R539" i="9"/>
  <c r="R597" i="9"/>
  <c r="Q598" i="9"/>
  <c r="Q599" i="9" s="1"/>
  <c r="Q518" i="9"/>
  <c r="Q519" i="9" s="1"/>
  <c r="Q523" i="9" s="1"/>
  <c r="R517" i="9"/>
  <c r="Q543" i="9"/>
  <c r="Q544" i="9" s="1"/>
  <c r="R542" i="9"/>
  <c r="O424" i="9"/>
  <c r="S509" i="9"/>
  <c r="R510" i="9"/>
  <c r="R511" i="9" s="1"/>
  <c r="Q501" i="9"/>
  <c r="R616" i="9"/>
  <c r="Q617" i="9"/>
  <c r="Q618" i="9" s="1"/>
  <c r="S462" i="9"/>
  <c r="R463" i="9"/>
  <c r="R464" i="9" s="1"/>
  <c r="R572" i="9"/>
  <c r="Q573" i="9"/>
  <c r="Q574" i="9" s="1"/>
  <c r="Q578" i="9" s="1"/>
  <c r="P545" i="9"/>
  <c r="R547" i="9"/>
  <c r="Q548" i="9"/>
  <c r="Q549" i="9" s="1"/>
  <c r="S498" i="9"/>
  <c r="R499" i="9"/>
  <c r="R500" i="9" s="1"/>
  <c r="S576" i="9"/>
  <c r="S577" i="9" s="1"/>
  <c r="T575" i="9"/>
  <c r="P416" i="9"/>
  <c r="P417" i="9" s="1"/>
  <c r="Q415" i="9"/>
  <c r="R471" i="9"/>
  <c r="R472" i="9" s="1"/>
  <c r="R479" i="9" s="1"/>
  <c r="S470" i="9"/>
  <c r="P507" i="9"/>
  <c r="P508" i="9" s="1"/>
  <c r="P512" i="9" s="1"/>
  <c r="Q506" i="9"/>
  <c r="Q532" i="9"/>
  <c r="Q533" i="9" s="1"/>
  <c r="R531" i="9"/>
  <c r="U476" i="9"/>
  <c r="T477" i="9"/>
  <c r="T478" i="9" s="1"/>
  <c r="Q468" i="9"/>
  <c r="Q537" i="9"/>
  <c r="Q538" i="9" s="1"/>
  <c r="R536" i="9"/>
  <c r="Q426" i="9"/>
  <c r="P427" i="9"/>
  <c r="P428" i="9" s="1"/>
  <c r="R602" i="9"/>
  <c r="Q603" i="9"/>
  <c r="Q604" i="9" s="1"/>
  <c r="S473" i="9"/>
  <c r="R474" i="9"/>
  <c r="R475" i="9" s="1"/>
  <c r="Q584" i="9"/>
  <c r="Q585" i="9" s="1"/>
  <c r="R583" i="9"/>
  <c r="R466" i="9"/>
  <c r="R467" i="9" s="1"/>
  <c r="S465" i="9"/>
  <c r="P600" i="9"/>
  <c r="R520" i="9"/>
  <c r="Q521" i="9"/>
  <c r="Q522" i="9" s="1"/>
  <c r="S484" i="9"/>
  <c r="R485" i="9"/>
  <c r="R486" i="9" s="1"/>
  <c r="Q526" i="9"/>
  <c r="Q527" i="9" s="1"/>
  <c r="R525" i="9"/>
  <c r="P611" i="9"/>
  <c r="Q479" i="9"/>
  <c r="P589" i="9"/>
  <c r="Q614" i="9"/>
  <c r="Q615" i="9" s="1"/>
  <c r="R613" i="9"/>
  <c r="Q587" i="9"/>
  <c r="Q588" i="9" s="1"/>
  <c r="R586" i="9"/>
  <c r="Q421" i="9"/>
  <c r="P422" i="9"/>
  <c r="P423" i="9" s="1"/>
  <c r="S451" i="9"/>
  <c r="R452" i="9"/>
  <c r="R453" i="9" s="1"/>
  <c r="Q606" i="9"/>
  <c r="Q607" i="9" s="1"/>
  <c r="Q611" i="9" s="1"/>
  <c r="R605" i="9"/>
  <c r="R594" i="9"/>
  <c r="Q595" i="9"/>
  <c r="Q596" i="9" s="1"/>
  <c r="P430" i="9"/>
  <c r="P431" i="9" s="1"/>
  <c r="Q429" i="9"/>
  <c r="Q559" i="9"/>
  <c r="Q560" i="9" s="1"/>
  <c r="Q567" i="9" s="1"/>
  <c r="R558" i="9"/>
  <c r="R482" i="9"/>
  <c r="R483" i="9" s="1"/>
  <c r="R490" i="9" s="1"/>
  <c r="S481" i="9"/>
  <c r="Q432" i="9"/>
  <c r="P433" i="9"/>
  <c r="P434" i="9" s="1"/>
  <c r="P435" i="9" s="1"/>
  <c r="R608" i="9"/>
  <c r="Q609" i="9"/>
  <c r="Q610" i="9" s="1"/>
  <c r="P523" i="9"/>
  <c r="R528" i="9"/>
  <c r="Q529" i="9"/>
  <c r="Q530" i="9" s="1"/>
  <c r="Q534" i="9" s="1"/>
  <c r="Q490" i="9"/>
  <c r="Q581" i="9"/>
  <c r="Q582" i="9" s="1"/>
  <c r="R580" i="9"/>
  <c r="Q554" i="9"/>
  <c r="Q555" i="9" s="1"/>
  <c r="R553" i="9"/>
  <c r="P556" i="9"/>
  <c r="R561" i="9"/>
  <c r="Q562" i="9"/>
  <c r="Q563" i="9" s="1"/>
  <c r="P438" i="9"/>
  <c r="P439" i="9" s="1"/>
  <c r="P446" i="9" s="1"/>
  <c r="Q437" i="9"/>
  <c r="S487" i="9"/>
  <c r="R488" i="9"/>
  <c r="R489" i="9" s="1"/>
  <c r="Q592" i="9"/>
  <c r="Q593" i="9" s="1"/>
  <c r="R591" i="9"/>
  <c r="Q404" i="9"/>
  <c r="P405" i="9"/>
  <c r="P406" i="9" s="1"/>
  <c r="R411" i="9"/>
  <c r="R412" i="9" s="1"/>
  <c r="S410" i="9"/>
  <c r="Q407" i="9"/>
  <c r="P408" i="9"/>
  <c r="P409" i="9" s="1"/>
  <c r="E332" i="9"/>
  <c r="E321" i="9"/>
  <c r="R457" i="9" l="1"/>
  <c r="S536" i="9"/>
  <c r="R537" i="9"/>
  <c r="R538" i="9" s="1"/>
  <c r="T498" i="9"/>
  <c r="S499" i="9"/>
  <c r="S500" i="9" s="1"/>
  <c r="Q622" i="9"/>
  <c r="R518" i="9"/>
  <c r="R519" i="9" s="1"/>
  <c r="S517" i="9"/>
  <c r="R620" i="9"/>
  <c r="R621" i="9" s="1"/>
  <c r="S619" i="9"/>
  <c r="S528" i="9"/>
  <c r="R529" i="9"/>
  <c r="R530" i="9" s="1"/>
  <c r="S616" i="9"/>
  <c r="R617" i="9"/>
  <c r="R618" i="9" s="1"/>
  <c r="R622" i="9" s="1"/>
  <c r="Q444" i="9"/>
  <c r="Q445" i="9" s="1"/>
  <c r="R443" i="9"/>
  <c r="S553" i="9"/>
  <c r="R554" i="9"/>
  <c r="R555" i="9" s="1"/>
  <c r="Q430" i="9"/>
  <c r="Q431" i="9" s="1"/>
  <c r="R429" i="9"/>
  <c r="R415" i="9"/>
  <c r="Q416" i="9"/>
  <c r="Q417" i="9" s="1"/>
  <c r="Q424" i="9" s="1"/>
  <c r="S597" i="9"/>
  <c r="R598" i="9"/>
  <c r="R599" i="9" s="1"/>
  <c r="S496" i="9"/>
  <c r="S497" i="9" s="1"/>
  <c r="T495" i="9"/>
  <c r="T473" i="9"/>
  <c r="S474" i="9"/>
  <c r="S475" i="9" s="1"/>
  <c r="T451" i="9"/>
  <c r="S452" i="9"/>
  <c r="S453" i="9" s="1"/>
  <c r="R548" i="9"/>
  <c r="R549" i="9" s="1"/>
  <c r="S547" i="9"/>
  <c r="S564" i="9"/>
  <c r="R565" i="9"/>
  <c r="R566" i="9" s="1"/>
  <c r="S608" i="9"/>
  <c r="R609" i="9"/>
  <c r="R610" i="9" s="1"/>
  <c r="R421" i="9"/>
  <c r="Q422" i="9"/>
  <c r="Q423" i="9" s="1"/>
  <c r="R526" i="9"/>
  <c r="R527" i="9" s="1"/>
  <c r="S525" i="9"/>
  <c r="S466" i="9"/>
  <c r="S467" i="9" s="1"/>
  <c r="T465" i="9"/>
  <c r="R603" i="9"/>
  <c r="R604" i="9" s="1"/>
  <c r="S602" i="9"/>
  <c r="V476" i="9"/>
  <c r="U477" i="9"/>
  <c r="U478" i="9" s="1"/>
  <c r="P424" i="9"/>
  <c r="P623" i="9" s="1"/>
  <c r="S510" i="9"/>
  <c r="S511" i="9" s="1"/>
  <c r="T509" i="9"/>
  <c r="R540" i="9"/>
  <c r="R541" i="9" s="1"/>
  <c r="S539" i="9"/>
  <c r="S488" i="9"/>
  <c r="S489" i="9" s="1"/>
  <c r="T487" i="9"/>
  <c r="R581" i="9"/>
  <c r="R582" i="9" s="1"/>
  <c r="S580" i="9"/>
  <c r="Q600" i="9"/>
  <c r="S586" i="9"/>
  <c r="R587" i="9"/>
  <c r="R588" i="9" s="1"/>
  <c r="S531" i="9"/>
  <c r="R532" i="9"/>
  <c r="R533" i="9" s="1"/>
  <c r="T576" i="9"/>
  <c r="T577" i="9" s="1"/>
  <c r="U575" i="9"/>
  <c r="R573" i="9"/>
  <c r="R574" i="9" s="1"/>
  <c r="R578" i="9" s="1"/>
  <c r="S572" i="9"/>
  <c r="Q545" i="9"/>
  <c r="Q419" i="9"/>
  <c r="Q420" i="9" s="1"/>
  <c r="R418" i="9"/>
  <c r="S455" i="9"/>
  <c r="S456" i="9" s="1"/>
  <c r="T454" i="9"/>
  <c r="R562" i="9"/>
  <c r="R563" i="9" s="1"/>
  <c r="R567" i="9" s="1"/>
  <c r="S561" i="9"/>
  <c r="S520" i="9"/>
  <c r="R521" i="9"/>
  <c r="R522" i="9" s="1"/>
  <c r="Q438" i="9"/>
  <c r="Q439" i="9" s="1"/>
  <c r="R437" i="9"/>
  <c r="Q433" i="9"/>
  <c r="Q434" i="9" s="1"/>
  <c r="Q435" i="9" s="1"/>
  <c r="R432" i="9"/>
  <c r="S594" i="9"/>
  <c r="R595" i="9"/>
  <c r="R596" i="9" s="1"/>
  <c r="R600" i="9" s="1"/>
  <c r="S583" i="9"/>
  <c r="R584" i="9"/>
  <c r="R585" i="9" s="1"/>
  <c r="R426" i="9"/>
  <c r="Q427" i="9"/>
  <c r="Q428" i="9" s="1"/>
  <c r="R468" i="9"/>
  <c r="S542" i="9"/>
  <c r="R543" i="9"/>
  <c r="R544" i="9" s="1"/>
  <c r="R440" i="9"/>
  <c r="Q441" i="9"/>
  <c r="Q442" i="9" s="1"/>
  <c r="Q556" i="9"/>
  <c r="R559" i="9"/>
  <c r="R560" i="9" s="1"/>
  <c r="S558" i="9"/>
  <c r="S471" i="9"/>
  <c r="S472" i="9" s="1"/>
  <c r="S479" i="9" s="1"/>
  <c r="T470" i="9"/>
  <c r="S493" i="9"/>
  <c r="S494" i="9" s="1"/>
  <c r="T492" i="9"/>
  <c r="S591" i="9"/>
  <c r="R592" i="9"/>
  <c r="R593" i="9" s="1"/>
  <c r="S449" i="9"/>
  <c r="S450" i="9" s="1"/>
  <c r="T448" i="9"/>
  <c r="S482" i="9"/>
  <c r="S483" i="9" s="1"/>
  <c r="S490" i="9" s="1"/>
  <c r="T481" i="9"/>
  <c r="R606" i="9"/>
  <c r="R607" i="9" s="1"/>
  <c r="R611" i="9" s="1"/>
  <c r="S605" i="9"/>
  <c r="R614" i="9"/>
  <c r="R615" i="9" s="1"/>
  <c r="S613" i="9"/>
  <c r="T484" i="9"/>
  <c r="S485" i="9"/>
  <c r="S486" i="9" s="1"/>
  <c r="Q589" i="9"/>
  <c r="Q507" i="9"/>
  <c r="Q508" i="9" s="1"/>
  <c r="Q512" i="9" s="1"/>
  <c r="R506" i="9"/>
  <c r="T462" i="9"/>
  <c r="S463" i="9"/>
  <c r="S464" i="9" s="1"/>
  <c r="S468" i="9" s="1"/>
  <c r="S550" i="9"/>
  <c r="R551" i="9"/>
  <c r="R552" i="9" s="1"/>
  <c r="R556" i="9" s="1"/>
  <c r="S514" i="9"/>
  <c r="R515" i="9"/>
  <c r="R516" i="9" s="1"/>
  <c r="R523" i="9" s="1"/>
  <c r="Q408" i="9"/>
  <c r="Q409" i="9" s="1"/>
  <c r="R407" i="9"/>
  <c r="T410" i="9"/>
  <c r="S411" i="9"/>
  <c r="S412" i="9" s="1"/>
  <c r="P413" i="9"/>
  <c r="R404" i="9"/>
  <c r="Q405" i="9"/>
  <c r="Q406" i="9" s="1"/>
  <c r="Q413" i="9" s="1"/>
  <c r="E275" i="9"/>
  <c r="D275" i="9"/>
  <c r="T471" i="9" l="1"/>
  <c r="T472" i="9" s="1"/>
  <c r="U470" i="9"/>
  <c r="S506" i="9"/>
  <c r="R507" i="9"/>
  <c r="R508" i="9" s="1"/>
  <c r="R512" i="9" s="1"/>
  <c r="S501" i="9"/>
  <c r="S562" i="9"/>
  <c r="S563" i="9" s="1"/>
  <c r="T561" i="9"/>
  <c r="S581" i="9"/>
  <c r="S582" i="9" s="1"/>
  <c r="T580" i="9"/>
  <c r="T597" i="9"/>
  <c r="S598" i="9"/>
  <c r="S599" i="9" s="1"/>
  <c r="U576" i="9"/>
  <c r="U577" i="9" s="1"/>
  <c r="V575" i="9"/>
  <c r="T514" i="9"/>
  <c r="S515" i="9"/>
  <c r="S516" i="9" s="1"/>
  <c r="U448" i="9"/>
  <c r="T449" i="9"/>
  <c r="T450" i="9" s="1"/>
  <c r="S559" i="9"/>
  <c r="S560" i="9" s="1"/>
  <c r="T558" i="9"/>
  <c r="T602" i="9"/>
  <c r="S603" i="9"/>
  <c r="S604" i="9" s="1"/>
  <c r="S429" i="9"/>
  <c r="R430" i="9"/>
  <c r="R431" i="9" s="1"/>
  <c r="R534" i="9"/>
  <c r="T499" i="9"/>
  <c r="T500" i="9" s="1"/>
  <c r="U498" i="9"/>
  <c r="T488" i="9"/>
  <c r="T489" i="9" s="1"/>
  <c r="U487" i="9"/>
  <c r="T452" i="9"/>
  <c r="T453" i="9" s="1"/>
  <c r="U451" i="9"/>
  <c r="T485" i="9"/>
  <c r="T486" i="9" s="1"/>
  <c r="U484" i="9"/>
  <c r="S457" i="9"/>
  <c r="S437" i="9"/>
  <c r="R438" i="9"/>
  <c r="R439" i="9" s="1"/>
  <c r="S418" i="9"/>
  <c r="R419" i="9"/>
  <c r="R420" i="9" s="1"/>
  <c r="T531" i="9"/>
  <c r="S532" i="9"/>
  <c r="S533" i="9" s="1"/>
  <c r="S540" i="9"/>
  <c r="S541" i="9" s="1"/>
  <c r="T539" i="9"/>
  <c r="S609" i="9"/>
  <c r="S610" i="9" s="1"/>
  <c r="T608" i="9"/>
  <c r="T474" i="9"/>
  <c r="T475" i="9" s="1"/>
  <c r="T479" i="9" s="1"/>
  <c r="U473" i="9"/>
  <c r="S529" i="9"/>
  <c r="S530" i="9" s="1"/>
  <c r="S534" i="9" s="1"/>
  <c r="T528" i="9"/>
  <c r="R545" i="9"/>
  <c r="U481" i="9"/>
  <c r="T482" i="9"/>
  <c r="T483" i="9" s="1"/>
  <c r="T490" i="9" s="1"/>
  <c r="U454" i="9"/>
  <c r="T455" i="9"/>
  <c r="T456" i="9" s="1"/>
  <c r="S617" i="9"/>
  <c r="S618" i="9" s="1"/>
  <c r="S622" i="9" s="1"/>
  <c r="T616" i="9"/>
  <c r="S551" i="9"/>
  <c r="S552" i="9" s="1"/>
  <c r="T550" i="9"/>
  <c r="S614" i="9"/>
  <c r="S615" i="9" s="1"/>
  <c r="T613" i="9"/>
  <c r="S426" i="9"/>
  <c r="R427" i="9"/>
  <c r="R428" i="9" s="1"/>
  <c r="Q446" i="9"/>
  <c r="Q623" i="9" s="1"/>
  <c r="T466" i="9"/>
  <c r="T467" i="9" s="1"/>
  <c r="U465" i="9"/>
  <c r="T496" i="9"/>
  <c r="T497" i="9" s="1"/>
  <c r="U495" i="9"/>
  <c r="T619" i="9"/>
  <c r="S620" i="9"/>
  <c r="S621" i="9" s="1"/>
  <c r="S537" i="9"/>
  <c r="S538" i="9" s="1"/>
  <c r="T536" i="9"/>
  <c r="S595" i="9"/>
  <c r="S596" i="9" s="1"/>
  <c r="S600" i="9" s="1"/>
  <c r="T594" i="9"/>
  <c r="R416" i="9"/>
  <c r="R417" i="9" s="1"/>
  <c r="S415" i="9"/>
  <c r="T591" i="9"/>
  <c r="S592" i="9"/>
  <c r="S593" i="9" s="1"/>
  <c r="R589" i="9"/>
  <c r="S587" i="9"/>
  <c r="S588" i="9" s="1"/>
  <c r="T586" i="9"/>
  <c r="U509" i="9"/>
  <c r="T510" i="9"/>
  <c r="T511" i="9" s="1"/>
  <c r="T564" i="9"/>
  <c r="S565" i="9"/>
  <c r="S566" i="9" s="1"/>
  <c r="S554" i="9"/>
  <c r="S555" i="9" s="1"/>
  <c r="T553" i="9"/>
  <c r="T542" i="9"/>
  <c r="S543" i="9"/>
  <c r="S544" i="9" s="1"/>
  <c r="S432" i="9"/>
  <c r="R433" i="9"/>
  <c r="R434" i="9" s="1"/>
  <c r="V477" i="9"/>
  <c r="V478" i="9" s="1"/>
  <c r="W476" i="9"/>
  <c r="S421" i="9"/>
  <c r="R422" i="9"/>
  <c r="R423" i="9" s="1"/>
  <c r="T463" i="9"/>
  <c r="T464" i="9" s="1"/>
  <c r="U462" i="9"/>
  <c r="T605" i="9"/>
  <c r="S606" i="9"/>
  <c r="S607" i="9" s="1"/>
  <c r="U492" i="9"/>
  <c r="T493" i="9"/>
  <c r="T494" i="9" s="1"/>
  <c r="T501" i="9" s="1"/>
  <c r="R441" i="9"/>
  <c r="R442" i="9" s="1"/>
  <c r="S440" i="9"/>
  <c r="T583" i="9"/>
  <c r="S584" i="9"/>
  <c r="S585" i="9" s="1"/>
  <c r="S521" i="9"/>
  <c r="S522" i="9" s="1"/>
  <c r="T520" i="9"/>
  <c r="S573" i="9"/>
  <c r="S574" i="9" s="1"/>
  <c r="S578" i="9" s="1"/>
  <c r="T572" i="9"/>
  <c r="S526" i="9"/>
  <c r="S527" i="9" s="1"/>
  <c r="T525" i="9"/>
  <c r="T547" i="9"/>
  <c r="S548" i="9"/>
  <c r="S549" i="9" s="1"/>
  <c r="R444" i="9"/>
  <c r="R445" i="9" s="1"/>
  <c r="S443" i="9"/>
  <c r="S518" i="9"/>
  <c r="S519" i="9" s="1"/>
  <c r="S523" i="9" s="1"/>
  <c r="T517" i="9"/>
  <c r="S404" i="9"/>
  <c r="R405" i="9"/>
  <c r="R406" i="9" s="1"/>
  <c r="S407" i="9"/>
  <c r="R408" i="9"/>
  <c r="R409" i="9" s="1"/>
  <c r="T411" i="9"/>
  <c r="T412" i="9" s="1"/>
  <c r="U410" i="9"/>
  <c r="D613" i="9"/>
  <c r="D602" i="9"/>
  <c r="D591" i="9"/>
  <c r="D580" i="9"/>
  <c r="D558" i="9"/>
  <c r="D547" i="9"/>
  <c r="D536" i="9"/>
  <c r="D525" i="9"/>
  <c r="D514" i="9"/>
  <c r="D503" i="9"/>
  <c r="D481" i="9"/>
  <c r="D470" i="9"/>
  <c r="D459" i="9"/>
  <c r="D448" i="9"/>
  <c r="D437" i="9"/>
  <c r="D426" i="9"/>
  <c r="D415" i="9"/>
  <c r="D404" i="9"/>
  <c r="D386" i="9"/>
  <c r="D377" i="9"/>
  <c r="D366" i="9"/>
  <c r="D332" i="9"/>
  <c r="D321" i="9"/>
  <c r="D299" i="9"/>
  <c r="D287" i="9"/>
  <c r="D492" i="9"/>
  <c r="D263" i="9"/>
  <c r="S441" i="9" l="1"/>
  <c r="S442" i="9" s="1"/>
  <c r="T440" i="9"/>
  <c r="S422" i="9"/>
  <c r="S423" i="9" s="1"/>
  <c r="T421" i="9"/>
  <c r="U547" i="9"/>
  <c r="T548" i="9"/>
  <c r="T549" i="9" s="1"/>
  <c r="T584" i="9"/>
  <c r="T585" i="9" s="1"/>
  <c r="U583" i="9"/>
  <c r="T468" i="9"/>
  <c r="T587" i="9"/>
  <c r="T588" i="9" s="1"/>
  <c r="U586" i="9"/>
  <c r="T595" i="9"/>
  <c r="T596" i="9" s="1"/>
  <c r="U594" i="9"/>
  <c r="U466" i="9"/>
  <c r="U467" i="9" s="1"/>
  <c r="V465" i="9"/>
  <c r="S556" i="9"/>
  <c r="T529" i="9"/>
  <c r="T530" i="9" s="1"/>
  <c r="U528" i="9"/>
  <c r="S589" i="9"/>
  <c r="U452" i="9"/>
  <c r="U453" i="9" s="1"/>
  <c r="V451" i="9"/>
  <c r="U536" i="9"/>
  <c r="T537" i="9"/>
  <c r="T538" i="9" s="1"/>
  <c r="T518" i="9"/>
  <c r="T519" i="9" s="1"/>
  <c r="U517" i="9"/>
  <c r="T573" i="9"/>
  <c r="T574" i="9" s="1"/>
  <c r="T578" i="9" s="1"/>
  <c r="U572" i="9"/>
  <c r="W477" i="9"/>
  <c r="W478" i="9" s="1"/>
  <c r="X476" i="9"/>
  <c r="R435" i="9"/>
  <c r="T418" i="9"/>
  <c r="S419" i="9"/>
  <c r="S420" i="9" s="1"/>
  <c r="U488" i="9"/>
  <c r="U489" i="9" s="1"/>
  <c r="V487" i="9"/>
  <c r="U602" i="9"/>
  <c r="T603" i="9"/>
  <c r="T604" i="9" s="1"/>
  <c r="V576" i="9"/>
  <c r="V577" i="9" s="1"/>
  <c r="W575" i="9"/>
  <c r="U542" i="9"/>
  <c r="T543" i="9"/>
  <c r="T544" i="9" s="1"/>
  <c r="U531" i="9"/>
  <c r="T532" i="9"/>
  <c r="T533" i="9" s="1"/>
  <c r="T554" i="9"/>
  <c r="T555" i="9" s="1"/>
  <c r="U553" i="9"/>
  <c r="U474" i="9"/>
  <c r="U475" i="9" s="1"/>
  <c r="V473" i="9"/>
  <c r="V492" i="9"/>
  <c r="U493" i="9"/>
  <c r="U494" i="9" s="1"/>
  <c r="U591" i="9"/>
  <c r="T592" i="9"/>
  <c r="T593" i="9" s="1"/>
  <c r="S427" i="9"/>
  <c r="S428" i="9" s="1"/>
  <c r="T426" i="9"/>
  <c r="U455" i="9"/>
  <c r="U456" i="9" s="1"/>
  <c r="V454" i="9"/>
  <c r="U608" i="9"/>
  <c r="T609" i="9"/>
  <c r="T610" i="9" s="1"/>
  <c r="R446" i="9"/>
  <c r="R623" i="9" s="1"/>
  <c r="T559" i="9"/>
  <c r="T560" i="9" s="1"/>
  <c r="U558" i="9"/>
  <c r="T617" i="9"/>
  <c r="T618" i="9" s="1"/>
  <c r="U616" i="9"/>
  <c r="S430" i="9"/>
  <c r="S431" i="9" s="1"/>
  <c r="T429" i="9"/>
  <c r="T443" i="9"/>
  <c r="S444" i="9"/>
  <c r="S445" i="9" s="1"/>
  <c r="T521" i="9"/>
  <c r="T522" i="9" s="1"/>
  <c r="U520" i="9"/>
  <c r="S611" i="9"/>
  <c r="U564" i="9"/>
  <c r="T565" i="9"/>
  <c r="T566" i="9" s="1"/>
  <c r="S416" i="9"/>
  <c r="S417" i="9" s="1"/>
  <c r="S424" i="9" s="1"/>
  <c r="T415" i="9"/>
  <c r="U619" i="9"/>
  <c r="T620" i="9"/>
  <c r="T621" i="9" s="1"/>
  <c r="U613" i="9"/>
  <c r="T614" i="9"/>
  <c r="T615" i="9" s="1"/>
  <c r="T437" i="9"/>
  <c r="S438" i="9"/>
  <c r="S439" i="9" s="1"/>
  <c r="U499" i="9"/>
  <c r="U500" i="9" s="1"/>
  <c r="V498" i="9"/>
  <c r="S567" i="9"/>
  <c r="S507" i="9"/>
  <c r="S508" i="9" s="1"/>
  <c r="S512" i="9" s="1"/>
  <c r="T506" i="9"/>
  <c r="T562" i="9"/>
  <c r="T563" i="9" s="1"/>
  <c r="T567" i="9" s="1"/>
  <c r="U561" i="9"/>
  <c r="T606" i="9"/>
  <c r="T607" i="9" s="1"/>
  <c r="U605" i="9"/>
  <c r="S433" i="9"/>
  <c r="S434" i="9" s="1"/>
  <c r="S435" i="9" s="1"/>
  <c r="T432" i="9"/>
  <c r="R424" i="9"/>
  <c r="U496" i="9"/>
  <c r="U497" i="9" s="1"/>
  <c r="V495" i="9"/>
  <c r="V481" i="9"/>
  <c r="U482" i="9"/>
  <c r="U483" i="9" s="1"/>
  <c r="T540" i="9"/>
  <c r="T541" i="9" s="1"/>
  <c r="T545" i="9" s="1"/>
  <c r="U539" i="9"/>
  <c r="T457" i="9"/>
  <c r="U597" i="9"/>
  <c r="T598" i="9"/>
  <c r="T599" i="9" s="1"/>
  <c r="U471" i="9"/>
  <c r="U472" i="9" s="1"/>
  <c r="V470" i="9"/>
  <c r="T526" i="9"/>
  <c r="T527" i="9" s="1"/>
  <c r="U525" i="9"/>
  <c r="U514" i="9"/>
  <c r="T515" i="9"/>
  <c r="T516" i="9" s="1"/>
  <c r="U463" i="9"/>
  <c r="U464" i="9" s="1"/>
  <c r="V462" i="9"/>
  <c r="U510" i="9"/>
  <c r="U511" i="9" s="1"/>
  <c r="V509" i="9"/>
  <c r="T551" i="9"/>
  <c r="T552" i="9" s="1"/>
  <c r="U550" i="9"/>
  <c r="S545" i="9"/>
  <c r="U485" i="9"/>
  <c r="U486" i="9" s="1"/>
  <c r="V484" i="9"/>
  <c r="U449" i="9"/>
  <c r="U450" i="9" s="1"/>
  <c r="U457" i="9" s="1"/>
  <c r="V448" i="9"/>
  <c r="T581" i="9"/>
  <c r="T582" i="9" s="1"/>
  <c r="U580" i="9"/>
  <c r="U411" i="9"/>
  <c r="U412" i="9" s="1"/>
  <c r="V410" i="9"/>
  <c r="T407" i="9"/>
  <c r="S408" i="9"/>
  <c r="S409" i="9" s="1"/>
  <c r="R413" i="9"/>
  <c r="T404" i="9"/>
  <c r="S405" i="9"/>
  <c r="S406" i="9" s="1"/>
  <c r="S413" i="9" s="1"/>
  <c r="C613" i="9"/>
  <c r="C602" i="9"/>
  <c r="C591" i="9"/>
  <c r="C580" i="9"/>
  <c r="C558" i="9"/>
  <c r="C547" i="9"/>
  <c r="C536" i="9"/>
  <c r="C525" i="9"/>
  <c r="C514" i="9"/>
  <c r="C503" i="9"/>
  <c r="V496" i="9" l="1"/>
  <c r="V497" i="9" s="1"/>
  <c r="W495" i="9"/>
  <c r="U617" i="9"/>
  <c r="U618" i="9" s="1"/>
  <c r="V616" i="9"/>
  <c r="V455" i="9"/>
  <c r="V456" i="9" s="1"/>
  <c r="W454" i="9"/>
  <c r="W509" i="9"/>
  <c r="V510" i="9"/>
  <c r="V511" i="9" s="1"/>
  <c r="W470" i="9"/>
  <c r="V471" i="9"/>
  <c r="V472" i="9" s="1"/>
  <c r="V482" i="9"/>
  <c r="V483" i="9" s="1"/>
  <c r="W481" i="9"/>
  <c r="U562" i="9"/>
  <c r="U563" i="9" s="1"/>
  <c r="V561" i="9"/>
  <c r="T438" i="9"/>
  <c r="T439" i="9" s="1"/>
  <c r="U437" i="9"/>
  <c r="V564" i="9"/>
  <c r="U565" i="9"/>
  <c r="U566" i="9" s="1"/>
  <c r="V608" i="9"/>
  <c r="U609" i="9"/>
  <c r="U610" i="9" s="1"/>
  <c r="V493" i="9"/>
  <c r="V494" i="9" s="1"/>
  <c r="V501" i="9" s="1"/>
  <c r="W492" i="9"/>
  <c r="V542" i="9"/>
  <c r="U543" i="9"/>
  <c r="U544" i="9" s="1"/>
  <c r="T419" i="9"/>
  <c r="T420" i="9" s="1"/>
  <c r="U418" i="9"/>
  <c r="V466" i="9"/>
  <c r="V467" i="9" s="1"/>
  <c r="W465" i="9"/>
  <c r="T589" i="9"/>
  <c r="W576" i="9"/>
  <c r="W577" i="9" s="1"/>
  <c r="X575" i="9"/>
  <c r="W462" i="9"/>
  <c r="V463" i="9"/>
  <c r="V464" i="9" s="1"/>
  <c r="U506" i="9"/>
  <c r="T507" i="9"/>
  <c r="T508" i="9" s="1"/>
  <c r="T512" i="9" s="1"/>
  <c r="V613" i="9"/>
  <c r="U614" i="9"/>
  <c r="U615" i="9" s="1"/>
  <c r="U521" i="9"/>
  <c r="U522" i="9" s="1"/>
  <c r="V520" i="9"/>
  <c r="T622" i="9"/>
  <c r="U479" i="9"/>
  <c r="X477" i="9"/>
  <c r="X478" i="9" s="1"/>
  <c r="Y476" i="9"/>
  <c r="W451" i="9"/>
  <c r="V452" i="9"/>
  <c r="V453" i="9" s="1"/>
  <c r="U595" i="9"/>
  <c r="U596" i="9" s="1"/>
  <c r="V594" i="9"/>
  <c r="U548" i="9"/>
  <c r="U549" i="9" s="1"/>
  <c r="V547" i="9"/>
  <c r="W448" i="9"/>
  <c r="V449" i="9"/>
  <c r="V450" i="9" s="1"/>
  <c r="U468" i="9"/>
  <c r="U598" i="9"/>
  <c r="U599" i="9" s="1"/>
  <c r="V597" i="9"/>
  <c r="T427" i="9"/>
  <c r="T428" i="9" s="1"/>
  <c r="U426" i="9"/>
  <c r="V553" i="9"/>
  <c r="U554" i="9"/>
  <c r="U555" i="9" s="1"/>
  <c r="T611" i="9"/>
  <c r="T600" i="9"/>
  <c r="T422" i="9"/>
  <c r="T423" i="9" s="1"/>
  <c r="U421" i="9"/>
  <c r="T433" i="9"/>
  <c r="T434" i="9" s="1"/>
  <c r="U432" i="9"/>
  <c r="U620" i="9"/>
  <c r="U621" i="9" s="1"/>
  <c r="V619" i="9"/>
  <c r="V558" i="9"/>
  <c r="U559" i="9"/>
  <c r="U560" i="9" s="1"/>
  <c r="T556" i="9"/>
  <c r="V602" i="9"/>
  <c r="U603" i="9"/>
  <c r="U604" i="9" s="1"/>
  <c r="U573" i="9"/>
  <c r="U574" i="9" s="1"/>
  <c r="U578" i="9" s="1"/>
  <c r="V572" i="9"/>
  <c r="V586" i="9"/>
  <c r="U587" i="9"/>
  <c r="U588" i="9" s="1"/>
  <c r="W473" i="9"/>
  <c r="V474" i="9"/>
  <c r="V475" i="9" s="1"/>
  <c r="U515" i="9"/>
  <c r="U516" i="9" s="1"/>
  <c r="V514" i="9"/>
  <c r="U540" i="9"/>
  <c r="U541" i="9" s="1"/>
  <c r="V539" i="9"/>
  <c r="V499" i="9"/>
  <c r="V500" i="9" s="1"/>
  <c r="W498" i="9"/>
  <c r="T416" i="9"/>
  <c r="T417" i="9" s="1"/>
  <c r="T424" i="9" s="1"/>
  <c r="U415" i="9"/>
  <c r="U443" i="9"/>
  <c r="T444" i="9"/>
  <c r="T445" i="9" s="1"/>
  <c r="W487" i="9"/>
  <c r="V488" i="9"/>
  <c r="V489" i="9" s="1"/>
  <c r="V528" i="9"/>
  <c r="U529" i="9"/>
  <c r="U530" i="9" s="1"/>
  <c r="U534" i="9" s="1"/>
  <c r="T441" i="9"/>
  <c r="T442" i="9" s="1"/>
  <c r="U440" i="9"/>
  <c r="U551" i="9"/>
  <c r="U552" i="9" s="1"/>
  <c r="V550" i="9"/>
  <c r="V525" i="9"/>
  <c r="U526" i="9"/>
  <c r="U527" i="9" s="1"/>
  <c r="U606" i="9"/>
  <c r="U607" i="9" s="1"/>
  <c r="U611" i="9" s="1"/>
  <c r="V605" i="9"/>
  <c r="U592" i="9"/>
  <c r="U593" i="9" s="1"/>
  <c r="V591" i="9"/>
  <c r="U532" i="9"/>
  <c r="U533" i="9" s="1"/>
  <c r="V531" i="9"/>
  <c r="V517" i="9"/>
  <c r="U518" i="9"/>
  <c r="U519" i="9" s="1"/>
  <c r="T534" i="9"/>
  <c r="V536" i="9"/>
  <c r="U537" i="9"/>
  <c r="U538" i="9" s="1"/>
  <c r="W484" i="9"/>
  <c r="V485" i="9"/>
  <c r="V486" i="9" s="1"/>
  <c r="U581" i="9"/>
  <c r="U582" i="9" s="1"/>
  <c r="V580" i="9"/>
  <c r="U490" i="9"/>
  <c r="S446" i="9"/>
  <c r="S623" i="9" s="1"/>
  <c r="U429" i="9"/>
  <c r="T430" i="9"/>
  <c r="T431" i="9" s="1"/>
  <c r="U501" i="9"/>
  <c r="T523" i="9"/>
  <c r="U584" i="9"/>
  <c r="U585" i="9" s="1"/>
  <c r="V583" i="9"/>
  <c r="U404" i="9"/>
  <c r="T405" i="9"/>
  <c r="T406" i="9" s="1"/>
  <c r="T408" i="9"/>
  <c r="T409" i="9" s="1"/>
  <c r="T413" i="9" s="1"/>
  <c r="U407" i="9"/>
  <c r="W410" i="9"/>
  <c r="V411" i="9"/>
  <c r="V412" i="9" s="1"/>
  <c r="C470" i="9"/>
  <c r="C459" i="9"/>
  <c r="X473" i="9" l="1"/>
  <c r="W474" i="9"/>
  <c r="W475" i="9" s="1"/>
  <c r="W452" i="9"/>
  <c r="W453" i="9" s="1"/>
  <c r="X451" i="9"/>
  <c r="X484" i="9"/>
  <c r="W485" i="9"/>
  <c r="W486" i="9" s="1"/>
  <c r="V592" i="9"/>
  <c r="V593" i="9" s="1"/>
  <c r="W591" i="9"/>
  <c r="U441" i="9"/>
  <c r="U442" i="9" s="1"/>
  <c r="V440" i="9"/>
  <c r="V415" i="9"/>
  <c r="U416" i="9"/>
  <c r="U417" i="9" s="1"/>
  <c r="V598" i="9"/>
  <c r="V599" i="9" s="1"/>
  <c r="W597" i="9"/>
  <c r="U600" i="9"/>
  <c r="V521" i="9"/>
  <c r="V522" i="9" s="1"/>
  <c r="W520" i="9"/>
  <c r="X576" i="9"/>
  <c r="X577" i="9" s="1"/>
  <c r="Y575" i="9"/>
  <c r="V543" i="9"/>
  <c r="V544" i="9" s="1"/>
  <c r="W542" i="9"/>
  <c r="T446" i="9"/>
  <c r="T623" i="9" s="1"/>
  <c r="W510" i="9"/>
  <c r="W511" i="9" s="1"/>
  <c r="X509" i="9"/>
  <c r="V537" i="9"/>
  <c r="V538" i="9" s="1"/>
  <c r="W536" i="9"/>
  <c r="V529" i="9"/>
  <c r="V530" i="9" s="1"/>
  <c r="W528" i="9"/>
  <c r="V587" i="9"/>
  <c r="V588" i="9" s="1"/>
  <c r="W586" i="9"/>
  <c r="W619" i="9"/>
  <c r="V620" i="9"/>
  <c r="V621" i="9" s="1"/>
  <c r="V457" i="9"/>
  <c r="Y477" i="9"/>
  <c r="Y478" i="9" s="1"/>
  <c r="Z476" i="9"/>
  <c r="Z477" i="9" s="1"/>
  <c r="Z478" i="9" s="1"/>
  <c r="W613" i="9"/>
  <c r="V614" i="9"/>
  <c r="V615" i="9" s="1"/>
  <c r="W466" i="9"/>
  <c r="W467" i="9" s="1"/>
  <c r="X465" i="9"/>
  <c r="X481" i="9"/>
  <c r="W482" i="9"/>
  <c r="W483" i="9" s="1"/>
  <c r="V617" i="9"/>
  <c r="V618" i="9" s="1"/>
  <c r="W616" i="9"/>
  <c r="X498" i="9"/>
  <c r="W499" i="9"/>
  <c r="W500" i="9" s="1"/>
  <c r="W539" i="9"/>
  <c r="V540" i="9"/>
  <c r="V541" i="9" s="1"/>
  <c r="V545" i="9" s="1"/>
  <c r="W572" i="9"/>
  <c r="V573" i="9"/>
  <c r="V574" i="9" s="1"/>
  <c r="V578" i="9" s="1"/>
  <c r="W449" i="9"/>
  <c r="W450" i="9" s="1"/>
  <c r="X448" i="9"/>
  <c r="V609" i="9"/>
  <c r="V610" i="9" s="1"/>
  <c r="W608" i="9"/>
  <c r="V490" i="9"/>
  <c r="U622" i="9"/>
  <c r="X492" i="9"/>
  <c r="W493" i="9"/>
  <c r="W494" i="9" s="1"/>
  <c r="V429" i="9"/>
  <c r="U430" i="9"/>
  <c r="U431" i="9" s="1"/>
  <c r="W558" i="9"/>
  <c r="V559" i="9"/>
  <c r="V560" i="9" s="1"/>
  <c r="V567" i="9" s="1"/>
  <c r="V581" i="9"/>
  <c r="V582" i="9" s="1"/>
  <c r="W580" i="9"/>
  <c r="W517" i="9"/>
  <c r="V518" i="9"/>
  <c r="V519" i="9" s="1"/>
  <c r="V526" i="9"/>
  <c r="V527" i="9" s="1"/>
  <c r="W525" i="9"/>
  <c r="X487" i="9"/>
  <c r="W488" i="9"/>
  <c r="W489" i="9" s="1"/>
  <c r="U545" i="9"/>
  <c r="V432" i="9"/>
  <c r="U433" i="9"/>
  <c r="U434" i="9" s="1"/>
  <c r="V554" i="9"/>
  <c r="V555" i="9" s="1"/>
  <c r="W553" i="9"/>
  <c r="V548" i="9"/>
  <c r="V549" i="9" s="1"/>
  <c r="W547" i="9"/>
  <c r="U507" i="9"/>
  <c r="U508" i="9" s="1"/>
  <c r="U512" i="9" s="1"/>
  <c r="V506" i="9"/>
  <c r="U419" i="9"/>
  <c r="U420" i="9" s="1"/>
  <c r="V418" i="9"/>
  <c r="U567" i="9"/>
  <c r="V479" i="9"/>
  <c r="X495" i="9"/>
  <c r="W496" i="9"/>
  <c r="W497" i="9" s="1"/>
  <c r="W455" i="9"/>
  <c r="W456" i="9" s="1"/>
  <c r="X454" i="9"/>
  <c r="W605" i="9"/>
  <c r="V606" i="9"/>
  <c r="V607" i="9" s="1"/>
  <c r="W583" i="9"/>
  <c r="V584" i="9"/>
  <c r="V585" i="9" s="1"/>
  <c r="U589" i="9"/>
  <c r="W531" i="9"/>
  <c r="V532" i="9"/>
  <c r="V533" i="9" s="1"/>
  <c r="V551" i="9"/>
  <c r="V552" i="9" s="1"/>
  <c r="W550" i="9"/>
  <c r="V515" i="9"/>
  <c r="V516" i="9" s="1"/>
  <c r="W514" i="9"/>
  <c r="T435" i="9"/>
  <c r="U427" i="9"/>
  <c r="U428" i="9" s="1"/>
  <c r="U435" i="9" s="1"/>
  <c r="V426" i="9"/>
  <c r="V468" i="9"/>
  <c r="V565" i="9"/>
  <c r="V566" i="9" s="1"/>
  <c r="W564" i="9"/>
  <c r="W471" i="9"/>
  <c r="W472" i="9" s="1"/>
  <c r="W479" i="9" s="1"/>
  <c r="X470" i="9"/>
  <c r="V562" i="9"/>
  <c r="V563" i="9" s="1"/>
  <c r="W561" i="9"/>
  <c r="U556" i="9"/>
  <c r="U444" i="9"/>
  <c r="U445" i="9" s="1"/>
  <c r="V443" i="9"/>
  <c r="U523" i="9"/>
  <c r="V603" i="9"/>
  <c r="V604" i="9" s="1"/>
  <c r="W602" i="9"/>
  <c r="U422" i="9"/>
  <c r="U423" i="9" s="1"/>
  <c r="V421" i="9"/>
  <c r="V595" i="9"/>
  <c r="V596" i="9" s="1"/>
  <c r="W594" i="9"/>
  <c r="X462" i="9"/>
  <c r="W463" i="9"/>
  <c r="W464" i="9" s="1"/>
  <c r="U438" i="9"/>
  <c r="U439" i="9" s="1"/>
  <c r="V437" i="9"/>
  <c r="W411" i="9"/>
  <c r="W412" i="9" s="1"/>
  <c r="X410" i="9"/>
  <c r="U408" i="9"/>
  <c r="U409" i="9" s="1"/>
  <c r="V407" i="9"/>
  <c r="V404" i="9"/>
  <c r="U405" i="9"/>
  <c r="U406" i="9" s="1"/>
  <c r="C448" i="9"/>
  <c r="C437" i="9"/>
  <c r="C426" i="9"/>
  <c r="C415" i="9"/>
  <c r="C404" i="9"/>
  <c r="W443" i="9" l="1"/>
  <c r="V444" i="9"/>
  <c r="V445" i="9" s="1"/>
  <c r="X455" i="9"/>
  <c r="X456" i="9" s="1"/>
  <c r="Y454" i="9"/>
  <c r="W506" i="9"/>
  <c r="V507" i="9"/>
  <c r="V508" i="9" s="1"/>
  <c r="V512" i="9" s="1"/>
  <c r="V589" i="9"/>
  <c r="X466" i="9"/>
  <c r="X467" i="9" s="1"/>
  <c r="Y465" i="9"/>
  <c r="W620" i="9"/>
  <c r="W621" i="9" s="1"/>
  <c r="X619" i="9"/>
  <c r="X510" i="9"/>
  <c r="X511" i="9" s="1"/>
  <c r="Y509" i="9"/>
  <c r="X591" i="9"/>
  <c r="W592" i="9"/>
  <c r="W593" i="9" s="1"/>
  <c r="W609" i="9"/>
  <c r="W610" i="9" s="1"/>
  <c r="X608" i="9"/>
  <c r="V427" i="9"/>
  <c r="V428" i="9" s="1"/>
  <c r="W426" i="9"/>
  <c r="W559" i="9"/>
  <c r="W560" i="9" s="1"/>
  <c r="X558" i="9"/>
  <c r="W421" i="9"/>
  <c r="V422" i="9"/>
  <c r="V423" i="9" s="1"/>
  <c r="X561" i="9"/>
  <c r="W562" i="9"/>
  <c r="W563" i="9" s="1"/>
  <c r="Y495" i="9"/>
  <c r="X496" i="9"/>
  <c r="X497" i="9" s="1"/>
  <c r="V556" i="9"/>
  <c r="W526" i="9"/>
  <c r="W527" i="9" s="1"/>
  <c r="X525" i="9"/>
  <c r="Y498" i="9"/>
  <c r="X499" i="9"/>
  <c r="X500" i="9" s="1"/>
  <c r="W614" i="9"/>
  <c r="W615" i="9" s="1"/>
  <c r="X613" i="9"/>
  <c r="X528" i="9"/>
  <c r="W529" i="9"/>
  <c r="W530" i="9" s="1"/>
  <c r="W543" i="9"/>
  <c r="W544" i="9" s="1"/>
  <c r="X542" i="9"/>
  <c r="X485" i="9"/>
  <c r="X486" i="9" s="1"/>
  <c r="Y484" i="9"/>
  <c r="X594" i="9"/>
  <c r="W595" i="9"/>
  <c r="W596" i="9" s="1"/>
  <c r="W554" i="9"/>
  <c r="W555" i="9" s="1"/>
  <c r="X553" i="9"/>
  <c r="W429" i="9"/>
  <c r="V430" i="9"/>
  <c r="V431" i="9" s="1"/>
  <c r="X449" i="9"/>
  <c r="X450" i="9" s="1"/>
  <c r="X457" i="9" s="1"/>
  <c r="Y448" i="9"/>
  <c r="W617" i="9"/>
  <c r="W618" i="9" s="1"/>
  <c r="W622" i="9" s="1"/>
  <c r="X616" i="9"/>
  <c r="V534" i="9"/>
  <c r="U424" i="9"/>
  <c r="X452" i="9"/>
  <c r="X453" i="9" s="1"/>
  <c r="Y451" i="9"/>
  <c r="W532" i="9"/>
  <c r="W533" i="9" s="1"/>
  <c r="X531" i="9"/>
  <c r="U446" i="9"/>
  <c r="X602" i="9"/>
  <c r="W603" i="9"/>
  <c r="W604" i="9" s="1"/>
  <c r="X471" i="9"/>
  <c r="X472" i="9" s="1"/>
  <c r="Y470" i="9"/>
  <c r="X514" i="9"/>
  <c r="W515" i="9"/>
  <c r="W516" i="9" s="1"/>
  <c r="W523" i="9" s="1"/>
  <c r="W584" i="9"/>
  <c r="W585" i="9" s="1"/>
  <c r="X583" i="9"/>
  <c r="V523" i="9"/>
  <c r="W501" i="9"/>
  <c r="W457" i="9"/>
  <c r="V622" i="9"/>
  <c r="W537" i="9"/>
  <c r="W538" i="9" s="1"/>
  <c r="X536" i="9"/>
  <c r="Z575" i="9"/>
  <c r="Z576" i="9" s="1"/>
  <c r="Z577" i="9" s="1"/>
  <c r="Y576" i="9"/>
  <c r="Y577" i="9" s="1"/>
  <c r="V416" i="9"/>
  <c r="V417" i="9" s="1"/>
  <c r="W415" i="9"/>
  <c r="X586" i="9"/>
  <c r="W587" i="9"/>
  <c r="W588" i="9" s="1"/>
  <c r="W548" i="9"/>
  <c r="W549" i="9" s="1"/>
  <c r="X547" i="9"/>
  <c r="W598" i="9"/>
  <c r="W599" i="9" s="1"/>
  <c r="X597" i="9"/>
  <c r="V611" i="9"/>
  <c r="W418" i="9"/>
  <c r="V419" i="9"/>
  <c r="V420" i="9" s="1"/>
  <c r="W518" i="9"/>
  <c r="W519" i="9" s="1"/>
  <c r="X517" i="9"/>
  <c r="Y492" i="9"/>
  <c r="X493" i="9"/>
  <c r="X494" i="9" s="1"/>
  <c r="X501" i="9" s="1"/>
  <c r="W490" i="9"/>
  <c r="W440" i="9"/>
  <c r="V441" i="9"/>
  <c r="V442" i="9" s="1"/>
  <c r="W540" i="9"/>
  <c r="W541" i="9" s="1"/>
  <c r="W545" i="9" s="1"/>
  <c r="X539" i="9"/>
  <c r="V600" i="9"/>
  <c r="Y487" i="9"/>
  <c r="X488" i="9"/>
  <c r="X489" i="9" s="1"/>
  <c r="W437" i="9"/>
  <c r="V438" i="9"/>
  <c r="V439" i="9" s="1"/>
  <c r="W468" i="9"/>
  <c r="X463" i="9"/>
  <c r="X464" i="9" s="1"/>
  <c r="X468" i="9" s="1"/>
  <c r="Y462" i="9"/>
  <c r="W565" i="9"/>
  <c r="W566" i="9" s="1"/>
  <c r="X564" i="9"/>
  <c r="X550" i="9"/>
  <c r="W551" i="9"/>
  <c r="W552" i="9" s="1"/>
  <c r="W606" i="9"/>
  <c r="W607" i="9" s="1"/>
  <c r="W611" i="9" s="1"/>
  <c r="X605" i="9"/>
  <c r="V433" i="9"/>
  <c r="V434" i="9" s="1"/>
  <c r="V435" i="9" s="1"/>
  <c r="W432" i="9"/>
  <c r="W581" i="9"/>
  <c r="W582" i="9" s="1"/>
  <c r="W589" i="9" s="1"/>
  <c r="X580" i="9"/>
  <c r="X572" i="9"/>
  <c r="W573" i="9"/>
  <c r="W574" i="9" s="1"/>
  <c r="W578" i="9" s="1"/>
  <c r="X482" i="9"/>
  <c r="X483" i="9" s="1"/>
  <c r="Y481" i="9"/>
  <c r="W521" i="9"/>
  <c r="W522" i="9" s="1"/>
  <c r="X520" i="9"/>
  <c r="X474" i="9"/>
  <c r="X475" i="9" s="1"/>
  <c r="Y473" i="9"/>
  <c r="V408" i="9"/>
  <c r="V409" i="9" s="1"/>
  <c r="W407" i="9"/>
  <c r="Y410" i="9"/>
  <c r="X411" i="9"/>
  <c r="X412" i="9" s="1"/>
  <c r="W404" i="9"/>
  <c r="V405" i="9"/>
  <c r="V406" i="9" s="1"/>
  <c r="V413" i="9" s="1"/>
  <c r="U413" i="9"/>
  <c r="U623" i="9" s="1"/>
  <c r="C299" i="9"/>
  <c r="C287" i="9"/>
  <c r="Y580" i="9" l="1"/>
  <c r="X581" i="9"/>
  <c r="X582" i="9" s="1"/>
  <c r="X565" i="9"/>
  <c r="X566" i="9" s="1"/>
  <c r="Y564" i="9"/>
  <c r="Y488" i="9"/>
  <c r="Y489" i="9" s="1"/>
  <c r="Z487" i="9"/>
  <c r="Z488" i="9" s="1"/>
  <c r="Z489" i="9" s="1"/>
  <c r="X532" i="9"/>
  <c r="X533" i="9" s="1"/>
  <c r="Y531" i="9"/>
  <c r="Y449" i="9"/>
  <c r="Y450" i="9" s="1"/>
  <c r="Z448" i="9"/>
  <c r="Z449" i="9" s="1"/>
  <c r="Z450" i="9" s="1"/>
  <c r="Z484" i="9"/>
  <c r="Z485" i="9" s="1"/>
  <c r="Z486" i="9" s="1"/>
  <c r="Y485" i="9"/>
  <c r="Y486" i="9" s="1"/>
  <c r="Y561" i="9"/>
  <c r="X562" i="9"/>
  <c r="X563" i="9" s="1"/>
  <c r="X567" i="9" s="1"/>
  <c r="Z492" i="9"/>
  <c r="Z493" i="9" s="1"/>
  <c r="Z494" i="9" s="1"/>
  <c r="Y493" i="9"/>
  <c r="Y494" i="9" s="1"/>
  <c r="W433" i="9"/>
  <c r="W434" i="9" s="1"/>
  <c r="X432" i="9"/>
  <c r="Z462" i="9"/>
  <c r="Z463" i="9" s="1"/>
  <c r="Z464" i="9" s="1"/>
  <c r="Y463" i="9"/>
  <c r="Y464" i="9" s="1"/>
  <c r="Y539" i="9"/>
  <c r="X540" i="9"/>
  <c r="X541" i="9" s="1"/>
  <c r="Y517" i="9"/>
  <c r="X518" i="9"/>
  <c r="X519" i="9" s="1"/>
  <c r="Y514" i="9"/>
  <c r="X515" i="9"/>
  <c r="X516" i="9" s="1"/>
  <c r="Y452" i="9"/>
  <c r="Y453" i="9" s="1"/>
  <c r="Z451" i="9"/>
  <c r="Z452" i="9" s="1"/>
  <c r="Z453" i="9" s="1"/>
  <c r="Y542" i="9"/>
  <c r="X543" i="9"/>
  <c r="X544" i="9" s="1"/>
  <c r="X526" i="9"/>
  <c r="X527" i="9" s="1"/>
  <c r="Y525" i="9"/>
  <c r="W422" i="9"/>
  <c r="W423" i="9" s="1"/>
  <c r="X421" i="9"/>
  <c r="X592" i="9"/>
  <c r="X593" i="9" s="1"/>
  <c r="Y591" i="9"/>
  <c r="V623" i="9"/>
  <c r="Y471" i="9"/>
  <c r="Y472" i="9" s="1"/>
  <c r="Z470" i="9"/>
  <c r="Z471" i="9" s="1"/>
  <c r="Z472" i="9" s="1"/>
  <c r="X429" i="9"/>
  <c r="W430" i="9"/>
  <c r="W431" i="9" s="1"/>
  <c r="X559" i="9"/>
  <c r="X560" i="9" s="1"/>
  <c r="Y558" i="9"/>
  <c r="Y510" i="9"/>
  <c r="Y511" i="9" s="1"/>
  <c r="Z509" i="9"/>
  <c r="Z510" i="9" s="1"/>
  <c r="Z511" i="9" s="1"/>
  <c r="X506" i="9"/>
  <c r="W507" i="9"/>
  <c r="W508" i="9" s="1"/>
  <c r="W512" i="9" s="1"/>
  <c r="X521" i="9"/>
  <c r="X522" i="9" s="1"/>
  <c r="Y520" i="9"/>
  <c r="Y547" i="9"/>
  <c r="X548" i="9"/>
  <c r="X549" i="9" s="1"/>
  <c r="Z481" i="9"/>
  <c r="Z482" i="9" s="1"/>
  <c r="Z483" i="9" s="1"/>
  <c r="Y482" i="9"/>
  <c r="Y483" i="9" s="1"/>
  <c r="Y490" i="9" s="1"/>
  <c r="X606" i="9"/>
  <c r="X607" i="9" s="1"/>
  <c r="Y605" i="9"/>
  <c r="X587" i="9"/>
  <c r="X588" i="9" s="1"/>
  <c r="Y586" i="9"/>
  <c r="X479" i="9"/>
  <c r="Y553" i="9"/>
  <c r="X554" i="9"/>
  <c r="X555" i="9" s="1"/>
  <c r="W534" i="9"/>
  <c r="W567" i="9"/>
  <c r="Z454" i="9"/>
  <c r="Z455" i="9" s="1"/>
  <c r="Z456" i="9" s="1"/>
  <c r="Y455" i="9"/>
  <c r="Y456" i="9" s="1"/>
  <c r="V446" i="9"/>
  <c r="X440" i="9"/>
  <c r="W441" i="9"/>
  <c r="W442" i="9" s="1"/>
  <c r="X418" i="9"/>
  <c r="W419" i="9"/>
  <c r="W420" i="9" s="1"/>
  <c r="W416" i="9"/>
  <c r="W417" i="9" s="1"/>
  <c r="W424" i="9" s="1"/>
  <c r="X415" i="9"/>
  <c r="Y528" i="9"/>
  <c r="X529" i="9"/>
  <c r="X530" i="9" s="1"/>
  <c r="W427" i="9"/>
  <c r="W428" i="9" s="1"/>
  <c r="W435" i="9" s="1"/>
  <c r="X426" i="9"/>
  <c r="X620" i="9"/>
  <c r="X621" i="9" s="1"/>
  <c r="Y619" i="9"/>
  <c r="Y536" i="9"/>
  <c r="X537" i="9"/>
  <c r="X538" i="9" s="1"/>
  <c r="Y499" i="9"/>
  <c r="Y500" i="9" s="1"/>
  <c r="Z498" i="9"/>
  <c r="Z499" i="9" s="1"/>
  <c r="Z500" i="9" s="1"/>
  <c r="X490" i="9"/>
  <c r="X573" i="9"/>
  <c r="X574" i="9" s="1"/>
  <c r="X578" i="9" s="1"/>
  <c r="Y572" i="9"/>
  <c r="W556" i="9"/>
  <c r="W438" i="9"/>
  <c r="W439" i="9" s="1"/>
  <c r="W446" i="9" s="1"/>
  <c r="X437" i="9"/>
  <c r="V424" i="9"/>
  <c r="X603" i="9"/>
  <c r="X604" i="9" s="1"/>
  <c r="Y602" i="9"/>
  <c r="Y616" i="9"/>
  <c r="X617" i="9"/>
  <c r="X618" i="9" s="1"/>
  <c r="W600" i="9"/>
  <c r="X614" i="9"/>
  <c r="X615" i="9" s="1"/>
  <c r="Y613" i="9"/>
  <c r="Z495" i="9"/>
  <c r="Z496" i="9" s="1"/>
  <c r="Z497" i="9" s="1"/>
  <c r="Y496" i="9"/>
  <c r="Y497" i="9" s="1"/>
  <c r="Y474" i="9"/>
  <c r="Y475" i="9" s="1"/>
  <c r="Z473" i="9"/>
  <c r="Z474" i="9" s="1"/>
  <c r="Z475" i="9" s="1"/>
  <c r="Z479" i="9" s="1"/>
  <c r="Y550" i="9"/>
  <c r="X551" i="9"/>
  <c r="X552" i="9" s="1"/>
  <c r="X598" i="9"/>
  <c r="X599" i="9" s="1"/>
  <c r="Y597" i="9"/>
  <c r="X584" i="9"/>
  <c r="X585" i="9" s="1"/>
  <c r="X589" i="9" s="1"/>
  <c r="Y583" i="9"/>
  <c r="Y594" i="9"/>
  <c r="X595" i="9"/>
  <c r="X596" i="9" s="1"/>
  <c r="Y608" i="9"/>
  <c r="X609" i="9"/>
  <c r="X610" i="9" s="1"/>
  <c r="Z465" i="9"/>
  <c r="Z466" i="9" s="1"/>
  <c r="Z467" i="9" s="1"/>
  <c r="Y466" i="9"/>
  <c r="Y467" i="9" s="1"/>
  <c r="W444" i="9"/>
  <c r="W445" i="9" s="1"/>
  <c r="X443" i="9"/>
  <c r="X404" i="9"/>
  <c r="W405" i="9"/>
  <c r="W406" i="9" s="1"/>
  <c r="X407" i="9"/>
  <c r="W408" i="9"/>
  <c r="W409" i="9" s="1"/>
  <c r="Y411" i="9"/>
  <c r="Y412" i="9" s="1"/>
  <c r="Z410" i="9"/>
  <c r="Z411" i="9" s="1"/>
  <c r="Z412" i="9" s="1"/>
  <c r="S25" i="9"/>
  <c r="S27" i="9"/>
  <c r="S28" i="9"/>
  <c r="S24" i="9"/>
  <c r="I25" i="9"/>
  <c r="I27" i="9"/>
  <c r="I28" i="9"/>
  <c r="I24" i="9"/>
  <c r="G25" i="9"/>
  <c r="G27" i="9"/>
  <c r="G28" i="9"/>
  <c r="G24" i="9"/>
  <c r="S39" i="9"/>
  <c r="S38" i="9"/>
  <c r="S37" i="9"/>
  <c r="S36" i="9"/>
  <c r="I39" i="9"/>
  <c r="I38" i="9"/>
  <c r="I37" i="9"/>
  <c r="I36" i="9"/>
  <c r="G39" i="9"/>
  <c r="G38" i="9"/>
  <c r="G37" i="9"/>
  <c r="G36" i="9"/>
  <c r="AJ41" i="9"/>
  <c r="W623" i="9" l="1"/>
  <c r="W413" i="9"/>
  <c r="Z597" i="9"/>
  <c r="Z598" i="9" s="1"/>
  <c r="Z599" i="9" s="1"/>
  <c r="Y598" i="9"/>
  <c r="Y599" i="9" s="1"/>
  <c r="Y614" i="9"/>
  <c r="Y615" i="9" s="1"/>
  <c r="Z613" i="9"/>
  <c r="Z614" i="9" s="1"/>
  <c r="Z615" i="9" s="1"/>
  <c r="X438" i="9"/>
  <c r="X439" i="9" s="1"/>
  <c r="X446" i="9" s="1"/>
  <c r="Y437" i="9"/>
  <c r="X545" i="9"/>
  <c r="Y415" i="9"/>
  <c r="X416" i="9"/>
  <c r="X417" i="9" s="1"/>
  <c r="Y606" i="9"/>
  <c r="Y607" i="9" s="1"/>
  <c r="Z605" i="9"/>
  <c r="Z606" i="9" s="1"/>
  <c r="Z607" i="9" s="1"/>
  <c r="Y518" i="9"/>
  <c r="Y519" i="9" s="1"/>
  <c r="Z517" i="9"/>
  <c r="Z518" i="9" s="1"/>
  <c r="Z519" i="9" s="1"/>
  <c r="Z523" i="9" s="1"/>
  <c r="Z501" i="9"/>
  <c r="Y595" i="9"/>
  <c r="Y596" i="9" s="1"/>
  <c r="Z594" i="9"/>
  <c r="Z595" i="9" s="1"/>
  <c r="Z596" i="9" s="1"/>
  <c r="Y551" i="9"/>
  <c r="Y552" i="9" s="1"/>
  <c r="Z550" i="9"/>
  <c r="Z551" i="9" s="1"/>
  <c r="Z552" i="9" s="1"/>
  <c r="X622" i="9"/>
  <c r="Y573" i="9"/>
  <c r="Y574" i="9" s="1"/>
  <c r="Y578" i="9" s="1"/>
  <c r="Z572" i="9"/>
  <c r="Z573" i="9" s="1"/>
  <c r="Z574" i="9" s="1"/>
  <c r="Z578" i="9" s="1"/>
  <c r="X419" i="9"/>
  <c r="X420" i="9" s="1"/>
  <c r="Y418" i="9"/>
  <c r="Z490" i="9"/>
  <c r="Y592" i="9"/>
  <c r="Y593" i="9" s="1"/>
  <c r="Z591" i="9"/>
  <c r="Z592" i="9" s="1"/>
  <c r="Z593" i="9" s="1"/>
  <c r="Y468" i="9"/>
  <c r="X507" i="9"/>
  <c r="X508" i="9" s="1"/>
  <c r="X512" i="9" s="1"/>
  <c r="Y506" i="9"/>
  <c r="X600" i="9"/>
  <c r="Y543" i="9"/>
  <c r="Y544" i="9" s="1"/>
  <c r="Z542" i="9"/>
  <c r="Z543" i="9" s="1"/>
  <c r="Z544" i="9" s="1"/>
  <c r="Z616" i="9"/>
  <c r="Z617" i="9" s="1"/>
  <c r="Z618" i="9" s="1"/>
  <c r="Y617" i="9"/>
  <c r="Y618" i="9" s="1"/>
  <c r="X427" i="9"/>
  <c r="X428" i="9" s="1"/>
  <c r="Y426" i="9"/>
  <c r="Y554" i="9"/>
  <c r="Y555" i="9" s="1"/>
  <c r="Z553" i="9"/>
  <c r="Z554" i="9" s="1"/>
  <c r="Z555" i="9" s="1"/>
  <c r="X556" i="9"/>
  <c r="Y559" i="9"/>
  <c r="Y560" i="9" s="1"/>
  <c r="Z558" i="9"/>
  <c r="Z559" i="9" s="1"/>
  <c r="Z560" i="9" s="1"/>
  <c r="Z468" i="9"/>
  <c r="Y565" i="9"/>
  <c r="Y566" i="9" s="1"/>
  <c r="Z564" i="9"/>
  <c r="Z565" i="9" s="1"/>
  <c r="Z566" i="9" s="1"/>
  <c r="Z608" i="9"/>
  <c r="Z609" i="9" s="1"/>
  <c r="Z610" i="9" s="1"/>
  <c r="Y609" i="9"/>
  <c r="Y610" i="9" s="1"/>
  <c r="Z536" i="9"/>
  <c r="Z537" i="9" s="1"/>
  <c r="Z538" i="9" s="1"/>
  <c r="Y537" i="9"/>
  <c r="Y538" i="9" s="1"/>
  <c r="Z583" i="9"/>
  <c r="Z584" i="9" s="1"/>
  <c r="Z585" i="9" s="1"/>
  <c r="Y584" i="9"/>
  <c r="Y585" i="9" s="1"/>
  <c r="Y479" i="9"/>
  <c r="Y603" i="9"/>
  <c r="Y604" i="9" s="1"/>
  <c r="Y611" i="9" s="1"/>
  <c r="Z602" i="9"/>
  <c r="Z603" i="9" s="1"/>
  <c r="Z604" i="9" s="1"/>
  <c r="Y440" i="9"/>
  <c r="X441" i="9"/>
  <c r="X442" i="9" s="1"/>
  <c r="Y548" i="9"/>
  <c r="Y549" i="9" s="1"/>
  <c r="Z547" i="9"/>
  <c r="Z548" i="9" s="1"/>
  <c r="Z549" i="9" s="1"/>
  <c r="Y421" i="9"/>
  <c r="X422" i="9"/>
  <c r="X423" i="9" s="1"/>
  <c r="Y432" i="9"/>
  <c r="X433" i="9"/>
  <c r="X434" i="9" s="1"/>
  <c r="X435" i="9" s="1"/>
  <c r="Z457" i="9"/>
  <c r="Z561" i="9"/>
  <c r="Z562" i="9" s="1"/>
  <c r="Z563" i="9" s="1"/>
  <c r="Y562" i="9"/>
  <c r="Y563" i="9" s="1"/>
  <c r="X444" i="9"/>
  <c r="X445" i="9" s="1"/>
  <c r="Y443" i="9"/>
  <c r="X611" i="9"/>
  <c r="X534" i="9"/>
  <c r="Z586" i="9"/>
  <c r="Z587" i="9" s="1"/>
  <c r="Z588" i="9" s="1"/>
  <c r="Y587" i="9"/>
  <c r="Y588" i="9" s="1"/>
  <c r="Z520" i="9"/>
  <c r="Z521" i="9" s="1"/>
  <c r="Z522" i="9" s="1"/>
  <c r="Y521" i="9"/>
  <c r="Y522" i="9" s="1"/>
  <c r="Y515" i="9"/>
  <c r="Y516" i="9" s="1"/>
  <c r="Y523" i="9" s="1"/>
  <c r="Z514" i="9"/>
  <c r="Z515" i="9" s="1"/>
  <c r="Z516" i="9" s="1"/>
  <c r="Y457" i="9"/>
  <c r="Y620" i="9"/>
  <c r="Y621" i="9" s="1"/>
  <c r="Z619" i="9"/>
  <c r="Z620" i="9" s="1"/>
  <c r="Z621" i="9" s="1"/>
  <c r="Z539" i="9"/>
  <c r="Z540" i="9" s="1"/>
  <c r="Z541" i="9" s="1"/>
  <c r="Z545" i="9" s="1"/>
  <c r="Y540" i="9"/>
  <c r="Y541" i="9" s="1"/>
  <c r="Z528" i="9"/>
  <c r="Z529" i="9" s="1"/>
  <c r="Z530" i="9" s="1"/>
  <c r="Y529" i="9"/>
  <c r="Y530" i="9" s="1"/>
  <c r="Y429" i="9"/>
  <c r="X430" i="9"/>
  <c r="X431" i="9" s="1"/>
  <c r="Y526" i="9"/>
  <c r="Y527" i="9" s="1"/>
  <c r="Z525" i="9"/>
  <c r="Z526" i="9" s="1"/>
  <c r="Z527" i="9" s="1"/>
  <c r="X523" i="9"/>
  <c r="Y501" i="9"/>
  <c r="Y532" i="9"/>
  <c r="Y533" i="9" s="1"/>
  <c r="Z531" i="9"/>
  <c r="Z532" i="9" s="1"/>
  <c r="Z533" i="9" s="1"/>
  <c r="Y581" i="9"/>
  <c r="Y582" i="9" s="1"/>
  <c r="Y589" i="9" s="1"/>
  <c r="Z580" i="9"/>
  <c r="Z581" i="9" s="1"/>
  <c r="Z582" i="9" s="1"/>
  <c r="X408" i="9"/>
  <c r="X409" i="9" s="1"/>
  <c r="Y407" i="9"/>
  <c r="Y404" i="9"/>
  <c r="X405" i="9"/>
  <c r="X406" i="9" s="1"/>
  <c r="AJ103" i="9"/>
  <c r="Y441" i="9" l="1"/>
  <c r="Y442" i="9" s="1"/>
  <c r="Z440" i="9"/>
  <c r="Z441" i="9" s="1"/>
  <c r="Z442" i="9" s="1"/>
  <c r="Z556" i="9"/>
  <c r="Z437" i="9"/>
  <c r="Z438" i="9" s="1"/>
  <c r="Z439" i="9" s="1"/>
  <c r="Y438" i="9"/>
  <c r="Y439" i="9" s="1"/>
  <c r="Z426" i="9"/>
  <c r="Z427" i="9" s="1"/>
  <c r="Z428" i="9" s="1"/>
  <c r="Y427" i="9"/>
  <c r="Y428" i="9" s="1"/>
  <c r="Z589" i="9"/>
  <c r="Z611" i="9"/>
  <c r="Y430" i="9"/>
  <c r="Y431" i="9" s="1"/>
  <c r="Z429" i="9"/>
  <c r="Z430" i="9" s="1"/>
  <c r="Z431" i="9" s="1"/>
  <c r="Y444" i="9"/>
  <c r="Y445" i="9" s="1"/>
  <c r="Z443" i="9"/>
  <c r="Z444" i="9" s="1"/>
  <c r="Z445" i="9" s="1"/>
  <c r="Y422" i="9"/>
  <c r="Y423" i="9" s="1"/>
  <c r="Z421" i="9"/>
  <c r="Z422" i="9" s="1"/>
  <c r="Z423" i="9" s="1"/>
  <c r="Y622" i="9"/>
  <c r="Z567" i="9"/>
  <c r="Z622" i="9"/>
  <c r="Y556" i="9"/>
  <c r="X424" i="9"/>
  <c r="X623" i="9" s="1"/>
  <c r="Y507" i="9"/>
  <c r="Y508" i="9" s="1"/>
  <c r="Y512" i="9" s="1"/>
  <c r="Z506" i="9"/>
  <c r="Z507" i="9" s="1"/>
  <c r="Z508" i="9" s="1"/>
  <c r="Z512" i="9" s="1"/>
  <c r="Y433" i="9"/>
  <c r="Y434" i="9" s="1"/>
  <c r="Z432" i="9"/>
  <c r="Z433" i="9" s="1"/>
  <c r="Z434" i="9" s="1"/>
  <c r="Z534" i="9"/>
  <c r="Y545" i="9"/>
  <c r="Y567" i="9"/>
  <c r="Z600" i="9"/>
  <c r="Z415" i="9"/>
  <c r="Z416" i="9" s="1"/>
  <c r="Z417" i="9" s="1"/>
  <c r="Z424" i="9" s="1"/>
  <c r="Y416" i="9"/>
  <c r="Y417" i="9" s="1"/>
  <c r="Y424" i="9" s="1"/>
  <c r="Y534" i="9"/>
  <c r="Y419" i="9"/>
  <c r="Y420" i="9" s="1"/>
  <c r="Z418" i="9"/>
  <c r="Z419" i="9" s="1"/>
  <c r="Z420" i="9" s="1"/>
  <c r="Y600" i="9"/>
  <c r="Y408" i="9"/>
  <c r="Y409" i="9" s="1"/>
  <c r="Z407" i="9"/>
  <c r="Z408" i="9" s="1"/>
  <c r="Z409" i="9" s="1"/>
  <c r="Z404" i="9"/>
  <c r="Z405" i="9" s="1"/>
  <c r="Z406" i="9" s="1"/>
  <c r="Z413" i="9" s="1"/>
  <c r="Y405" i="9"/>
  <c r="Y406" i="9" s="1"/>
  <c r="X413" i="9"/>
  <c r="J70" i="6"/>
  <c r="J70" i="5"/>
  <c r="J70" i="4"/>
  <c r="H76" i="15"/>
  <c r="H31" i="15"/>
  <c r="H42" i="15"/>
  <c r="H20" i="15"/>
  <c r="H87" i="15"/>
  <c r="H54" i="15"/>
  <c r="H65" i="15"/>
  <c r="Y435" i="9" l="1"/>
  <c r="Y446" i="9"/>
  <c r="Z446" i="9"/>
  <c r="Z435" i="9"/>
  <c r="Z623" i="9" s="1"/>
  <c r="Y623" i="9"/>
  <c r="Y413" i="9"/>
  <c r="F8" i="15"/>
  <c r="R12" i="15"/>
  <c r="X12" i="15"/>
  <c r="N12" i="15"/>
  <c r="K12" i="15"/>
  <c r="S12" i="15"/>
  <c r="M12" i="15"/>
  <c r="T12" i="15"/>
  <c r="V12" i="15"/>
  <c r="AB12" i="15"/>
  <c r="J12" i="15"/>
  <c r="U12" i="15"/>
  <c r="O12" i="15"/>
  <c r="L12" i="15"/>
  <c r="Z12" i="15"/>
  <c r="W12" i="15"/>
  <c r="P12" i="15"/>
  <c r="Y12" i="15"/>
  <c r="H12" i="15"/>
  <c r="I12" i="15"/>
  <c r="Q12" i="15"/>
  <c r="AA12" i="15"/>
  <c r="F12" i="15" l="1"/>
  <c r="T13" i="15"/>
  <c r="K13" i="15"/>
  <c r="Q13" i="15"/>
  <c r="Y13" i="15"/>
  <c r="AB13" i="15"/>
  <c r="P13" i="15"/>
  <c r="Z13" i="15"/>
  <c r="N13" i="15"/>
  <c r="S13" i="15"/>
  <c r="R13" i="15"/>
  <c r="M13" i="15"/>
  <c r="I13" i="15"/>
  <c r="X13" i="15"/>
  <c r="H13" i="15"/>
  <c r="V13" i="15"/>
  <c r="J13" i="15"/>
  <c r="AA13" i="15"/>
  <c r="O13" i="15"/>
  <c r="U13" i="15"/>
  <c r="L13" i="15"/>
  <c r="W13" i="15"/>
  <c r="F13" i="15" l="1"/>
  <c r="Q14" i="15"/>
  <c r="H14" i="15"/>
  <c r="Y14" i="15"/>
  <c r="S14" i="15"/>
  <c r="T14" i="15"/>
  <c r="R14" i="15"/>
  <c r="L14" i="15"/>
  <c r="K14" i="15"/>
  <c r="N14" i="15"/>
  <c r="AA14" i="15"/>
  <c r="O14" i="15"/>
  <c r="V14" i="15"/>
  <c r="AB14" i="15"/>
  <c r="P14" i="15"/>
  <c r="M14" i="15"/>
  <c r="J14" i="15"/>
  <c r="W14" i="15"/>
  <c r="X14" i="15"/>
  <c r="I14" i="15"/>
  <c r="U14" i="15"/>
  <c r="Z14" i="15"/>
  <c r="F14" i="15" l="1"/>
  <c r="N15" i="15"/>
  <c r="M15" i="15"/>
  <c r="Q15" i="15"/>
  <c r="H15" i="15"/>
  <c r="W15" i="15"/>
  <c r="X15" i="15"/>
  <c r="Y15" i="15"/>
  <c r="P15" i="15"/>
  <c r="AB15" i="15"/>
  <c r="Z15" i="15"/>
  <c r="AA15" i="15"/>
  <c r="U15" i="15"/>
  <c r="I15" i="15"/>
  <c r="L15" i="15"/>
  <c r="S15" i="15"/>
  <c r="R15" i="15"/>
  <c r="O15" i="15"/>
  <c r="J15" i="15"/>
  <c r="V15" i="15"/>
  <c r="T15" i="15"/>
  <c r="K15" i="15"/>
  <c r="F15" i="15" l="1"/>
  <c r="W16" i="15"/>
  <c r="P16" i="15"/>
  <c r="R16" i="15"/>
  <c r="S16" i="15"/>
  <c r="M16" i="15"/>
  <c r="Z16" i="15"/>
  <c r="K16" i="15"/>
  <c r="U16" i="15"/>
  <c r="O16" i="15"/>
  <c r="AB16" i="15"/>
  <c r="H16" i="15"/>
  <c r="I16" i="15"/>
  <c r="T16" i="15"/>
  <c r="Q16" i="15"/>
  <c r="Y16" i="15"/>
  <c r="L16" i="15"/>
  <c r="J16" i="15"/>
  <c r="N16" i="15"/>
  <c r="V16" i="15"/>
  <c r="X16" i="15"/>
  <c r="AA16" i="15"/>
  <c r="F16" i="15" l="1"/>
  <c r="M17" i="15"/>
  <c r="T17" i="15"/>
  <c r="U17" i="15"/>
  <c r="J17" i="15"/>
  <c r="AB17" i="15"/>
  <c r="P17" i="15"/>
  <c r="Y17" i="15"/>
  <c r="N17" i="15"/>
  <c r="Z17" i="15"/>
  <c r="I17" i="15"/>
  <c r="R17" i="15"/>
  <c r="X17" i="15"/>
  <c r="O17" i="15"/>
  <c r="L17" i="15"/>
  <c r="W17" i="15"/>
  <c r="S17" i="15"/>
  <c r="H17" i="15"/>
  <c r="Q17" i="15"/>
  <c r="K17" i="15"/>
  <c r="AA17" i="15"/>
  <c r="V17" i="15"/>
  <c r="F17" i="15" l="1"/>
  <c r="K18" i="15"/>
  <c r="O18" i="15"/>
  <c r="L18" i="15"/>
  <c r="X18" i="15"/>
  <c r="Q18" i="15"/>
  <c r="S18" i="15"/>
  <c r="AA18" i="15"/>
  <c r="U18" i="15"/>
  <c r="Y18" i="15"/>
  <c r="T18" i="15"/>
  <c r="Z18" i="15"/>
  <c r="W18" i="15"/>
  <c r="P18" i="15"/>
  <c r="M18" i="15"/>
  <c r="AB18" i="15"/>
  <c r="H18" i="15"/>
  <c r="N18" i="15"/>
  <c r="R18" i="15"/>
  <c r="I18" i="15"/>
  <c r="V18" i="15"/>
  <c r="J18" i="15"/>
  <c r="F18" i="15" l="1"/>
  <c r="T19" i="15"/>
  <c r="M19" i="15"/>
  <c r="O19" i="15"/>
  <c r="I19" i="15"/>
  <c r="AA19" i="15"/>
  <c r="J19" i="15"/>
  <c r="S19" i="15"/>
  <c r="X19" i="15"/>
  <c r="R19" i="15"/>
  <c r="Z19" i="15"/>
  <c r="V19" i="15"/>
  <c r="N19" i="15"/>
  <c r="H19" i="15"/>
  <c r="K19" i="15"/>
  <c r="Y19" i="15"/>
  <c r="U19" i="15"/>
  <c r="L19" i="15"/>
  <c r="Q19" i="15"/>
  <c r="AB19" i="15"/>
  <c r="P19" i="15"/>
  <c r="W19" i="15"/>
  <c r="F19" i="15" l="1"/>
  <c r="N39" i="15"/>
  <c r="AB26" i="15"/>
  <c r="S57" i="15"/>
  <c r="Q31" i="15"/>
  <c r="Y36" i="15"/>
  <c r="R25" i="15"/>
  <c r="Q34" i="15"/>
  <c r="J27" i="15"/>
  <c r="T26" i="15"/>
  <c r="I30" i="15"/>
  <c r="Z37" i="15"/>
  <c r="AB50" i="15"/>
  <c r="T42" i="15"/>
  <c r="T46" i="15"/>
  <c r="AA50" i="15"/>
  <c r="S37" i="15"/>
  <c r="N20" i="15"/>
  <c r="Y37" i="15"/>
  <c r="N54" i="15"/>
  <c r="Q40" i="15"/>
  <c r="O54" i="15"/>
  <c r="Y48" i="15"/>
  <c r="U30" i="15"/>
  <c r="M39" i="15"/>
  <c r="N23" i="15"/>
  <c r="R39" i="15"/>
  <c r="Q39" i="15"/>
  <c r="X49" i="15"/>
  <c r="L30" i="15"/>
  <c r="V57" i="15"/>
  <c r="AB29" i="15"/>
  <c r="Q26" i="15"/>
  <c r="AA46" i="15"/>
  <c r="AB37" i="15"/>
  <c r="P36" i="15"/>
  <c r="S20" i="15"/>
  <c r="O30" i="15"/>
  <c r="Z54" i="15"/>
  <c r="R52" i="15"/>
  <c r="R36" i="15"/>
  <c r="AB39" i="15"/>
  <c r="K31" i="15"/>
  <c r="W46" i="15"/>
  <c r="U37" i="15"/>
  <c r="R40" i="15"/>
  <c r="J36" i="15"/>
  <c r="AB28" i="15"/>
  <c r="T36" i="15"/>
  <c r="Z38" i="15"/>
  <c r="Q47" i="15"/>
  <c r="AA54" i="15"/>
  <c r="R27" i="15"/>
  <c r="P49" i="15"/>
  <c r="O52" i="15"/>
  <c r="R41" i="15"/>
  <c r="Z28" i="15"/>
  <c r="H26" i="15"/>
  <c r="AB36" i="15"/>
  <c r="T25" i="15"/>
  <c r="O29" i="15"/>
  <c r="U31" i="15"/>
  <c r="Z35" i="15"/>
  <c r="V52" i="15"/>
  <c r="K28" i="15"/>
  <c r="X23" i="15"/>
  <c r="I50" i="15"/>
  <c r="X54" i="15"/>
  <c r="Q28" i="15"/>
  <c r="Q38" i="15"/>
  <c r="I37" i="15"/>
  <c r="W57" i="15"/>
  <c r="I26" i="15"/>
  <c r="T29" i="15"/>
  <c r="Q51" i="15"/>
  <c r="U39" i="15"/>
  <c r="X40" i="15"/>
  <c r="K46" i="15"/>
  <c r="X51" i="15"/>
  <c r="AB23" i="15"/>
  <c r="K52" i="15"/>
  <c r="T57" i="15"/>
  <c r="O47" i="15"/>
  <c r="AA26" i="15"/>
  <c r="T41" i="15"/>
  <c r="O53" i="15"/>
  <c r="I28" i="15"/>
  <c r="AA39" i="15"/>
  <c r="L39" i="15"/>
  <c r="V51" i="15"/>
  <c r="W24" i="15"/>
  <c r="L41" i="15"/>
  <c r="AB57" i="15"/>
  <c r="Y53" i="15"/>
  <c r="L31" i="15"/>
  <c r="K27" i="15"/>
  <c r="K38" i="15"/>
  <c r="I41" i="15"/>
  <c r="J31" i="15"/>
  <c r="P41" i="15"/>
  <c r="X37" i="15"/>
  <c r="S26" i="15"/>
  <c r="P46" i="15"/>
  <c r="Y26" i="15"/>
  <c r="X52" i="15"/>
  <c r="J29" i="15"/>
  <c r="X25" i="15"/>
  <c r="X27" i="15"/>
  <c r="L48" i="15"/>
  <c r="AA25" i="15"/>
  <c r="V48" i="15"/>
  <c r="X42" i="15"/>
  <c r="O23" i="15"/>
  <c r="M20" i="15"/>
  <c r="N40" i="15"/>
  <c r="U28" i="15"/>
  <c r="J40" i="15"/>
  <c r="W48" i="15"/>
  <c r="M31" i="15"/>
  <c r="P54" i="15"/>
  <c r="T30" i="15"/>
  <c r="Q20" i="15"/>
  <c r="Y24" i="15"/>
  <c r="P57" i="15"/>
  <c r="H28" i="15"/>
  <c r="J20" i="15"/>
  <c r="O42" i="15"/>
  <c r="L29" i="15"/>
  <c r="Q37" i="15"/>
  <c r="AA36" i="15"/>
  <c r="U38" i="15"/>
  <c r="V28" i="15"/>
  <c r="Y57" i="15"/>
  <c r="J41" i="15"/>
  <c r="AA49" i="15"/>
  <c r="Z57" i="15"/>
  <c r="P25" i="15"/>
  <c r="K53" i="15"/>
  <c r="AB31" i="15"/>
  <c r="X38" i="15"/>
  <c r="H24" i="15"/>
  <c r="S41" i="15"/>
  <c r="AB52" i="15"/>
  <c r="K25" i="15"/>
  <c r="H30" i="15"/>
  <c r="S34" i="15"/>
  <c r="O37" i="15"/>
  <c r="P23" i="15"/>
  <c r="V41" i="15"/>
  <c r="AA34" i="15"/>
  <c r="N34" i="15"/>
  <c r="J24" i="15"/>
  <c r="V26" i="15"/>
  <c r="J28" i="15"/>
  <c r="Q48" i="15"/>
  <c r="P28" i="15"/>
  <c r="U57" i="15"/>
  <c r="P27" i="15"/>
  <c r="S29" i="15"/>
  <c r="AB48" i="15"/>
  <c r="M29" i="15"/>
  <c r="AB24" i="15"/>
  <c r="K35" i="15"/>
  <c r="U25" i="15"/>
  <c r="Y52" i="15"/>
  <c r="Y40" i="15"/>
  <c r="AA37" i="15"/>
  <c r="U53" i="15"/>
  <c r="M49" i="15"/>
  <c r="X36" i="15"/>
  <c r="Z50" i="15"/>
  <c r="AB53" i="15"/>
  <c r="T20" i="15"/>
  <c r="AB40" i="15"/>
  <c r="V38" i="15"/>
  <c r="Z53" i="15"/>
  <c r="AA24" i="15"/>
  <c r="T38" i="15"/>
  <c r="X31" i="15"/>
  <c r="M35" i="15"/>
  <c r="J38" i="15"/>
  <c r="AA23" i="15"/>
  <c r="S25" i="15"/>
  <c r="L26" i="15"/>
  <c r="X24" i="15"/>
  <c r="P37" i="15"/>
  <c r="Y54" i="15"/>
  <c r="S42" i="15"/>
  <c r="L23" i="15"/>
  <c r="U48" i="15"/>
  <c r="Z42" i="15"/>
  <c r="H25" i="15"/>
  <c r="N24" i="15"/>
  <c r="N41" i="15"/>
  <c r="X30" i="15"/>
  <c r="Z25" i="15"/>
  <c r="R42" i="15"/>
  <c r="W34" i="15"/>
  <c r="J46" i="15"/>
  <c r="AB42" i="15"/>
  <c r="V35" i="15"/>
  <c r="X57" i="15"/>
  <c r="M34" i="15"/>
  <c r="P53" i="15"/>
  <c r="M26" i="15"/>
  <c r="V25" i="15"/>
  <c r="V50" i="15"/>
  <c r="M25" i="15"/>
  <c r="L52" i="15"/>
  <c r="H47" i="15"/>
  <c r="Y49" i="15"/>
  <c r="M38" i="15"/>
  <c r="W40" i="15"/>
  <c r="R35" i="15"/>
  <c r="O48" i="15"/>
  <c r="Z27" i="15"/>
  <c r="I29" i="15"/>
  <c r="S53" i="15"/>
  <c r="W28" i="15"/>
  <c r="AA48" i="15"/>
  <c r="S24" i="15"/>
  <c r="AB25" i="15"/>
  <c r="K29" i="15"/>
  <c r="O27" i="15"/>
  <c r="X46" i="15"/>
  <c r="P39" i="15"/>
  <c r="T31" i="15"/>
  <c r="H29" i="15"/>
  <c r="S48" i="15"/>
  <c r="O51" i="15"/>
  <c r="J52" i="15"/>
  <c r="N49" i="15"/>
  <c r="N36" i="15"/>
  <c r="V23" i="15"/>
  <c r="T48" i="15"/>
  <c r="AA52" i="15"/>
  <c r="S38" i="15"/>
  <c r="O25" i="15"/>
  <c r="V20" i="15"/>
  <c r="W25" i="15"/>
  <c r="M30" i="15"/>
  <c r="I39" i="15"/>
  <c r="K20" i="15"/>
  <c r="M28" i="15"/>
  <c r="O24" i="15"/>
  <c r="I25" i="15"/>
  <c r="I40" i="15"/>
  <c r="L24" i="15"/>
  <c r="P48" i="15"/>
  <c r="R20" i="15"/>
  <c r="AB35" i="15"/>
  <c r="X41" i="15"/>
  <c r="N50" i="15"/>
  <c r="W52" i="15"/>
  <c r="T50" i="15"/>
  <c r="H52" i="15"/>
  <c r="T35" i="15"/>
  <c r="S31" i="15"/>
  <c r="O31" i="15"/>
  <c r="J30" i="15"/>
  <c r="S40" i="15"/>
  <c r="V24" i="15"/>
  <c r="V37" i="15"/>
  <c r="V36" i="15"/>
  <c r="Y46" i="15"/>
  <c r="J51" i="15"/>
  <c r="X39" i="15"/>
  <c r="I24" i="15"/>
  <c r="J26" i="15"/>
  <c r="V42" i="15"/>
  <c r="P29" i="15"/>
  <c r="J53" i="15"/>
  <c r="W38" i="15"/>
  <c r="S39" i="15"/>
  <c r="AA31" i="15"/>
  <c r="R47" i="15"/>
  <c r="X53" i="15"/>
  <c r="J25" i="15"/>
  <c r="O50" i="15"/>
  <c r="M36" i="15"/>
  <c r="O34" i="15"/>
  <c r="U51" i="15"/>
  <c r="I53" i="15"/>
  <c r="Q53" i="15"/>
  <c r="Y51" i="15"/>
  <c r="N38" i="15"/>
  <c r="M24" i="15"/>
  <c r="V49" i="15"/>
  <c r="N52" i="15"/>
  <c r="L34" i="15"/>
  <c r="Y34" i="15"/>
  <c r="R34" i="15"/>
  <c r="K50" i="15"/>
  <c r="Q57" i="15"/>
  <c r="H51" i="15"/>
  <c r="I52" i="15"/>
  <c r="M41" i="15"/>
  <c r="W41" i="15"/>
  <c r="L53" i="15"/>
  <c r="Z30" i="15"/>
  <c r="Z49" i="15"/>
  <c r="R26" i="15"/>
  <c r="N35" i="15"/>
  <c r="R48" i="15"/>
  <c r="W51" i="15"/>
  <c r="AA20" i="15"/>
  <c r="S28" i="15"/>
  <c r="R50" i="15"/>
  <c r="Y31" i="15"/>
  <c r="L36" i="15"/>
  <c r="S27" i="15"/>
  <c r="H41" i="15"/>
  <c r="Q46" i="15"/>
  <c r="V47" i="15"/>
  <c r="AB41" i="15"/>
  <c r="X50" i="15"/>
  <c r="X47" i="15"/>
  <c r="H50" i="15"/>
  <c r="P51" i="15"/>
  <c r="M48" i="15"/>
  <c r="R57" i="15"/>
  <c r="O57" i="15"/>
  <c r="U29" i="15"/>
  <c r="T52" i="15"/>
  <c r="Q36" i="15"/>
  <c r="T34" i="15"/>
  <c r="Y47" i="15"/>
  <c r="T28" i="15"/>
  <c r="Z39" i="15"/>
  <c r="P34" i="15"/>
  <c r="H36" i="15"/>
  <c r="AA35" i="15"/>
  <c r="T53" i="15"/>
  <c r="O28" i="15"/>
  <c r="Q50" i="15"/>
  <c r="L46" i="15"/>
  <c r="Z46" i="15"/>
  <c r="K51" i="15"/>
  <c r="Z51" i="15"/>
  <c r="U36" i="15"/>
  <c r="N57" i="15"/>
  <c r="Q24" i="15"/>
  <c r="I31" i="15"/>
  <c r="P31" i="15"/>
  <c r="N51" i="15"/>
  <c r="H38" i="15"/>
  <c r="V34" i="15"/>
  <c r="N27" i="15"/>
  <c r="V30" i="15"/>
  <c r="K26" i="15"/>
  <c r="S30" i="15"/>
  <c r="W23" i="15"/>
  <c r="L35" i="15"/>
  <c r="M54" i="15"/>
  <c r="AA28" i="15"/>
  <c r="L40" i="15"/>
  <c r="H39" i="15"/>
  <c r="Y42" i="15"/>
  <c r="S46" i="15"/>
  <c r="K23" i="15"/>
  <c r="V27" i="15"/>
  <c r="R29" i="15"/>
  <c r="J23" i="15"/>
  <c r="O36" i="15"/>
  <c r="J35" i="15"/>
  <c r="X29" i="15"/>
  <c r="N28" i="15"/>
  <c r="AB27" i="15"/>
  <c r="P47" i="15"/>
  <c r="S52" i="15"/>
  <c r="H48" i="15"/>
  <c r="AA42" i="15"/>
  <c r="U20" i="15"/>
  <c r="Q30" i="15"/>
  <c r="U52" i="15"/>
  <c r="K39" i="15"/>
  <c r="Y39" i="15"/>
  <c r="K30" i="15"/>
  <c r="Y29" i="15"/>
  <c r="T49" i="15"/>
  <c r="L37" i="15"/>
  <c r="I51" i="15"/>
  <c r="W39" i="15"/>
  <c r="AA40" i="15"/>
  <c r="Z41" i="15"/>
  <c r="Z40" i="15"/>
  <c r="AB20" i="15"/>
  <c r="Z26" i="15"/>
  <c r="V53" i="15"/>
  <c r="U42" i="15"/>
  <c r="N31" i="15"/>
  <c r="R23" i="15"/>
  <c r="Z36" i="15"/>
  <c r="Y28" i="15"/>
  <c r="U23" i="15"/>
  <c r="N46" i="15"/>
  <c r="P30" i="15"/>
  <c r="I36" i="15"/>
  <c r="W54" i="15"/>
  <c r="V29" i="15"/>
  <c r="Z47" i="15"/>
  <c r="M46" i="15"/>
  <c r="O49" i="15"/>
  <c r="Y38" i="15"/>
  <c r="K41" i="15"/>
  <c r="J42" i="15"/>
  <c r="W50" i="15"/>
  <c r="N47" i="15"/>
  <c r="AB54" i="15"/>
  <c r="O39" i="15"/>
  <c r="AA53" i="15"/>
  <c r="M51" i="15"/>
  <c r="AB38" i="15"/>
  <c r="AA57" i="15"/>
  <c r="Q49" i="15"/>
  <c r="N48" i="15"/>
  <c r="K37" i="15"/>
  <c r="O46" i="15"/>
  <c r="AA51" i="15"/>
  <c r="N30" i="15"/>
  <c r="L49" i="15"/>
  <c r="P40" i="15"/>
  <c r="I46" i="15"/>
  <c r="J49" i="15"/>
  <c r="Z52" i="15"/>
  <c r="Y30" i="15"/>
  <c r="M23" i="15"/>
  <c r="S50" i="15"/>
  <c r="J54" i="15"/>
  <c r="Q25" i="15"/>
  <c r="I49" i="15"/>
  <c r="U24" i="15"/>
  <c r="P20" i="15"/>
  <c r="P42" i="15"/>
  <c r="Z48" i="15"/>
  <c r="J39" i="15"/>
  <c r="X28" i="15"/>
  <c r="T27" i="15"/>
  <c r="I54" i="15"/>
  <c r="S23" i="15"/>
  <c r="Y20" i="15"/>
  <c r="Q23" i="15"/>
  <c r="S51" i="15"/>
  <c r="J57" i="15"/>
  <c r="K34" i="15"/>
  <c r="H53" i="15"/>
  <c r="V31" i="15"/>
  <c r="U46" i="15"/>
  <c r="S49" i="15"/>
  <c r="V39" i="15"/>
  <c r="Y35" i="15"/>
  <c r="T47" i="15"/>
  <c r="U50" i="15"/>
  <c r="Y23" i="15"/>
  <c r="L20" i="15"/>
  <c r="W29" i="15"/>
  <c r="T24" i="15"/>
  <c r="H35" i="15"/>
  <c r="Z34" i="15"/>
  <c r="W35" i="15"/>
  <c r="R24" i="15"/>
  <c r="AB30" i="15"/>
  <c r="I34" i="15"/>
  <c r="L47" i="15"/>
  <c r="X48" i="15"/>
  <c r="X26" i="15"/>
  <c r="Z24" i="15"/>
  <c r="H37" i="15"/>
  <c r="W36" i="15"/>
  <c r="R31" i="15"/>
  <c r="P35" i="15"/>
  <c r="N42" i="15"/>
  <c r="W26" i="15"/>
  <c r="N53" i="15"/>
  <c r="P38" i="15"/>
  <c r="H57" i="15"/>
  <c r="W31" i="15"/>
  <c r="W37" i="15"/>
  <c r="R38" i="15"/>
  <c r="S35" i="15"/>
  <c r="M52" i="15"/>
  <c r="W20" i="15"/>
  <c r="L51" i="15"/>
  <c r="H40" i="15"/>
  <c r="M40" i="15"/>
  <c r="R37" i="15"/>
  <c r="U49" i="15"/>
  <c r="M47" i="15"/>
  <c r="Q42" i="15"/>
  <c r="V40" i="15"/>
  <c r="Z23" i="15"/>
  <c r="R46" i="15"/>
  <c r="U41" i="15"/>
  <c r="Q52" i="15"/>
  <c r="R30" i="15"/>
  <c r="AA27" i="15"/>
  <c r="AA47" i="15"/>
  <c r="M42" i="15"/>
  <c r="U27" i="15"/>
  <c r="Q54" i="15"/>
  <c r="O40" i="15"/>
  <c r="I27" i="15"/>
  <c r="Y27" i="15"/>
  <c r="P52" i="15"/>
  <c r="O38" i="15"/>
  <c r="Q35" i="15"/>
  <c r="T51" i="15"/>
  <c r="I57" i="15"/>
  <c r="N26" i="15"/>
  <c r="K42" i="15"/>
  <c r="X20" i="15"/>
  <c r="R28" i="15"/>
  <c r="AB47" i="15"/>
  <c r="W49" i="15"/>
  <c r="T23" i="15"/>
  <c r="K24" i="15"/>
  <c r="P26" i="15"/>
  <c r="L38" i="15"/>
  <c r="K49" i="15"/>
  <c r="I38" i="15"/>
  <c r="U47" i="15"/>
  <c r="J50" i="15"/>
  <c r="L42" i="15"/>
  <c r="N37" i="15"/>
  <c r="AB51" i="15"/>
  <c r="V54" i="15"/>
  <c r="Y41" i="15"/>
  <c r="O26" i="15"/>
  <c r="S36" i="15"/>
  <c r="X34" i="15"/>
  <c r="AB49" i="15"/>
  <c r="P50" i="15"/>
  <c r="I42" i="15"/>
  <c r="U26" i="15"/>
  <c r="U40" i="15"/>
  <c r="P24" i="15"/>
  <c r="O35" i="15"/>
  <c r="AB34" i="15"/>
  <c r="W30" i="15"/>
  <c r="AA41" i="15"/>
  <c r="R49" i="15"/>
  <c r="R51" i="15"/>
  <c r="I20" i="15"/>
  <c r="AA29" i="15"/>
  <c r="X35" i="15"/>
  <c r="Z29" i="15"/>
  <c r="AB46" i="15"/>
  <c r="L27" i="15"/>
  <c r="J37" i="15"/>
  <c r="T40" i="15"/>
  <c r="Y50" i="15"/>
  <c r="W27" i="15"/>
  <c r="N25" i="15"/>
  <c r="N29" i="15"/>
  <c r="W42" i="15"/>
  <c r="O20" i="15"/>
  <c r="K54" i="15"/>
  <c r="AA38" i="15"/>
  <c r="M53" i="15"/>
  <c r="U35" i="15"/>
  <c r="T39" i="15"/>
  <c r="M50" i="15"/>
  <c r="L25" i="15"/>
  <c r="I23" i="15"/>
  <c r="Q41" i="15"/>
  <c r="T37" i="15"/>
  <c r="M27" i="15"/>
  <c r="L28" i="15"/>
  <c r="Q29" i="15"/>
  <c r="M37" i="15"/>
  <c r="L54" i="15"/>
  <c r="AA30" i="15"/>
  <c r="Y25" i="15"/>
  <c r="Z31" i="15"/>
  <c r="S47" i="15"/>
  <c r="Z20" i="15"/>
  <c r="J34" i="15"/>
  <c r="R53" i="15"/>
  <c r="K40" i="15"/>
  <c r="K36" i="15"/>
  <c r="U34" i="15"/>
  <c r="O41" i="15"/>
  <c r="Q27" i="15"/>
  <c r="H23" i="15"/>
  <c r="H34" i="15"/>
  <c r="V46" i="15"/>
  <c r="H49" i="15"/>
  <c r="H27" i="15"/>
  <c r="W53" i="15"/>
  <c r="W47" i="15"/>
  <c r="L50" i="15"/>
  <c r="I35" i="15"/>
  <c r="F53" i="15" l="1"/>
  <c r="F49" i="15"/>
  <c r="F31" i="15"/>
  <c r="F27" i="15"/>
  <c r="F23" i="15"/>
  <c r="F36" i="15"/>
  <c r="F37" i="15"/>
  <c r="F50" i="15"/>
  <c r="F28" i="15"/>
  <c r="F24" i="15"/>
  <c r="F42" i="15"/>
  <c r="F38" i="15"/>
  <c r="F34" i="15"/>
  <c r="F41" i="15"/>
  <c r="F29" i="15"/>
  <c r="F25" i="15"/>
  <c r="F40" i="15"/>
  <c r="F39" i="15"/>
  <c r="F35" i="15"/>
  <c r="F20" i="15"/>
  <c r="F11" i="15" s="1"/>
  <c r="F51" i="15"/>
  <c r="F52" i="15"/>
  <c r="F30" i="15"/>
  <c r="F26" i="15"/>
  <c r="S73" i="15"/>
  <c r="M64" i="15"/>
  <c r="N62" i="15"/>
  <c r="J63" i="15"/>
  <c r="R73" i="15"/>
  <c r="AB60" i="15"/>
  <c r="P59" i="15"/>
  <c r="P69" i="15"/>
  <c r="Q65" i="15"/>
  <c r="P73" i="15"/>
  <c r="AA62" i="15"/>
  <c r="T70" i="15"/>
  <c r="X61" i="15"/>
  <c r="J72" i="15"/>
  <c r="S65" i="15"/>
  <c r="U61" i="15"/>
  <c r="N61" i="15"/>
  <c r="V63" i="15"/>
  <c r="J65" i="15"/>
  <c r="L60" i="15"/>
  <c r="H72" i="15"/>
  <c r="O71" i="15"/>
  <c r="R63" i="15"/>
  <c r="J71" i="15"/>
  <c r="W74" i="15"/>
  <c r="M59" i="15"/>
  <c r="W69" i="15"/>
  <c r="O76" i="15"/>
  <c r="I60" i="15"/>
  <c r="X68" i="15"/>
  <c r="I64" i="15"/>
  <c r="Q69" i="15"/>
  <c r="S79" i="15"/>
  <c r="W61" i="15"/>
  <c r="U63" i="15"/>
  <c r="K63" i="15"/>
  <c r="Y64" i="15"/>
  <c r="V65" i="15"/>
  <c r="R72" i="15"/>
  <c r="T62" i="15"/>
  <c r="S72" i="15"/>
  <c r="AB58" i="15"/>
  <c r="J79" i="15"/>
  <c r="P71" i="15"/>
  <c r="J60" i="15"/>
  <c r="V60" i="15"/>
  <c r="Z73" i="15"/>
  <c r="AA73" i="15"/>
  <c r="S62" i="15"/>
  <c r="Z58" i="15"/>
  <c r="R62" i="15"/>
  <c r="AA70" i="15"/>
  <c r="S63" i="15"/>
  <c r="Z71" i="15"/>
  <c r="AB69" i="15"/>
  <c r="N65" i="15"/>
  <c r="U68" i="15"/>
  <c r="X73" i="15"/>
  <c r="U79" i="15"/>
  <c r="X65" i="15"/>
  <c r="T69" i="15"/>
  <c r="R58" i="15"/>
  <c r="M61" i="15"/>
  <c r="V73" i="15"/>
  <c r="S70" i="15"/>
  <c r="AB64" i="15"/>
  <c r="Y69" i="15"/>
  <c r="Z59" i="15"/>
  <c r="O68" i="15"/>
  <c r="Y75" i="15"/>
  <c r="AB74" i="15"/>
  <c r="AA71" i="15"/>
  <c r="J62" i="15"/>
  <c r="H63" i="15"/>
  <c r="AA65" i="15"/>
  <c r="L70" i="15"/>
  <c r="H79" i="15"/>
  <c r="O79" i="15"/>
  <c r="H74" i="15"/>
  <c r="J64" i="15"/>
  <c r="M74" i="15"/>
  <c r="S76" i="15"/>
  <c r="I76" i="15"/>
  <c r="N60" i="15"/>
  <c r="J76" i="15"/>
  <c r="U69" i="15"/>
  <c r="J59" i="15"/>
  <c r="Z62" i="15"/>
  <c r="I79" i="15"/>
  <c r="O70" i="15"/>
  <c r="AB61" i="15"/>
  <c r="Q72" i="15"/>
  <c r="T65" i="15"/>
  <c r="AA68" i="15"/>
  <c r="K79" i="15"/>
  <c r="Z65" i="15"/>
  <c r="U65" i="15"/>
  <c r="S68" i="15"/>
  <c r="I62" i="15"/>
  <c r="J74" i="15"/>
  <c r="W72" i="15"/>
  <c r="V74" i="15"/>
  <c r="H75" i="15"/>
  <c r="L74" i="15"/>
  <c r="O63" i="15"/>
  <c r="Q59" i="15"/>
  <c r="X71" i="15"/>
  <c r="Q61" i="15"/>
  <c r="T71" i="15"/>
  <c r="AA72" i="15"/>
  <c r="AA59" i="15"/>
  <c r="X72" i="15"/>
  <c r="H62" i="15"/>
  <c r="N76" i="15"/>
  <c r="W60" i="15"/>
  <c r="M62" i="15"/>
  <c r="Q58" i="15"/>
  <c r="I63" i="15"/>
  <c r="J61" i="15"/>
  <c r="K64" i="15"/>
  <c r="L76" i="15"/>
  <c r="P64" i="15"/>
  <c r="I65" i="15"/>
  <c r="Y58" i="15"/>
  <c r="K58" i="15"/>
  <c r="Y74" i="15"/>
  <c r="N69" i="15"/>
  <c r="W71" i="15"/>
  <c r="O69" i="15"/>
  <c r="X70" i="15"/>
  <c r="M63" i="15"/>
  <c r="AB62" i="15"/>
  <c r="J73" i="15"/>
  <c r="R65" i="15"/>
  <c r="W58" i="15"/>
  <c r="R76" i="15"/>
  <c r="T75" i="15"/>
  <c r="S58" i="15"/>
  <c r="W70" i="15"/>
  <c r="AA75" i="15"/>
  <c r="U64" i="15"/>
  <c r="K70" i="15"/>
  <c r="Z69" i="15"/>
  <c r="R79" i="15"/>
  <c r="N73" i="15"/>
  <c r="Q60" i="15"/>
  <c r="H61" i="15"/>
  <c r="AA64" i="15"/>
  <c r="O65" i="15"/>
  <c r="AB65" i="15"/>
  <c r="L68" i="15"/>
  <c r="W63" i="15"/>
  <c r="Y72" i="15"/>
  <c r="T63" i="15"/>
  <c r="U62" i="15"/>
  <c r="K72" i="15"/>
  <c r="R59" i="15"/>
  <c r="Q74" i="15"/>
  <c r="H59" i="15"/>
  <c r="Z75" i="15"/>
  <c r="T74" i="15"/>
  <c r="Y59" i="15"/>
  <c r="Q75" i="15"/>
  <c r="L75" i="15"/>
  <c r="P74" i="15"/>
  <c r="P60" i="15"/>
  <c r="O59" i="15"/>
  <c r="H58" i="15"/>
  <c r="R64" i="15"/>
  <c r="V59" i="15"/>
  <c r="U58" i="15"/>
  <c r="K73" i="15"/>
  <c r="J75" i="15"/>
  <c r="I70" i="15"/>
  <c r="Y65" i="15"/>
  <c r="I73" i="15"/>
  <c r="V64" i="15"/>
  <c r="R70" i="15"/>
  <c r="Y71" i="15"/>
  <c r="V68" i="15"/>
  <c r="W79" i="15"/>
  <c r="N68" i="15"/>
  <c r="Y60" i="15"/>
  <c r="AB63" i="15"/>
  <c r="R60" i="15"/>
  <c r="H60" i="15"/>
  <c r="AA58" i="15"/>
  <c r="Z76" i="15"/>
  <c r="P75" i="15"/>
  <c r="T59" i="15"/>
  <c r="T60" i="15"/>
  <c r="U75" i="15"/>
  <c r="H73" i="15"/>
  <c r="W73" i="15"/>
  <c r="U72" i="15"/>
  <c r="Q73" i="15"/>
  <c r="Y73" i="15"/>
  <c r="P65" i="15"/>
  <c r="X64" i="15"/>
  <c r="N63" i="15"/>
  <c r="AB70" i="15"/>
  <c r="AA69" i="15"/>
  <c r="S64" i="15"/>
  <c r="N70" i="15"/>
  <c r="Y62" i="15"/>
  <c r="K65" i="15"/>
  <c r="AA74" i="15"/>
  <c r="T64" i="15"/>
  <c r="M58" i="15"/>
  <c r="L73" i="15"/>
  <c r="AB72" i="15"/>
  <c r="I58" i="15"/>
  <c r="P61" i="15"/>
  <c r="L72" i="15"/>
  <c r="V69" i="15"/>
  <c r="M68" i="15"/>
  <c r="Q70" i="15"/>
  <c r="V76" i="15"/>
  <c r="J58" i="15"/>
  <c r="AB75" i="15"/>
  <c r="M70" i="15"/>
  <c r="Z61" i="15"/>
  <c r="L58" i="15"/>
  <c r="N75" i="15"/>
  <c r="X63" i="15"/>
  <c r="I75" i="15"/>
  <c r="I72" i="15"/>
  <c r="P63" i="15"/>
  <c r="M60" i="15"/>
  <c r="O62" i="15"/>
  <c r="O72" i="15"/>
  <c r="Z63" i="15"/>
  <c r="S71" i="15"/>
  <c r="K60" i="15"/>
  <c r="N64" i="15"/>
  <c r="K74" i="15"/>
  <c r="S61" i="15"/>
  <c r="AA79" i="15"/>
  <c r="M69" i="15"/>
  <c r="T76" i="15"/>
  <c r="N58" i="15"/>
  <c r="L71" i="15"/>
  <c r="X79" i="15"/>
  <c r="AB76" i="15"/>
  <c r="T61" i="15"/>
  <c r="T73" i="15"/>
  <c r="X62" i="15"/>
  <c r="AB73" i="15"/>
  <c r="K75" i="15"/>
  <c r="S69" i="15"/>
  <c r="V72" i="15"/>
  <c r="P68" i="15"/>
  <c r="X59" i="15"/>
  <c r="S74" i="15"/>
  <c r="Z72" i="15"/>
  <c r="X75" i="15"/>
  <c r="Z79" i="15"/>
  <c r="X60" i="15"/>
  <c r="R61" i="15"/>
  <c r="M76" i="15"/>
  <c r="U59" i="15"/>
  <c r="O73" i="15"/>
  <c r="V58" i="15"/>
  <c r="V71" i="15"/>
  <c r="O61" i="15"/>
  <c r="AA60" i="15"/>
  <c r="M65" i="15"/>
  <c r="Q62" i="15"/>
  <c r="X74" i="15"/>
  <c r="L79" i="15"/>
  <c r="Z70" i="15"/>
  <c r="U73" i="15"/>
  <c r="K61" i="15"/>
  <c r="W68" i="15"/>
  <c r="Z64" i="15"/>
  <c r="Y63" i="15"/>
  <c r="O58" i="15"/>
  <c r="M72" i="15"/>
  <c r="V70" i="15"/>
  <c r="R69" i="15"/>
  <c r="I71" i="15"/>
  <c r="Q68" i="15"/>
  <c r="AB79" i="15"/>
  <c r="R71" i="15"/>
  <c r="U74" i="15"/>
  <c r="L65" i="15"/>
  <c r="P72" i="15"/>
  <c r="P76" i="15"/>
  <c r="K59" i="15"/>
  <c r="W65" i="15"/>
  <c r="U76" i="15"/>
  <c r="AA61" i="15"/>
  <c r="V61" i="15"/>
  <c r="H64" i="15"/>
  <c r="T58" i="15"/>
  <c r="Z60" i="15"/>
  <c r="V79" i="15"/>
  <c r="Y70" i="15"/>
  <c r="L63" i="15"/>
  <c r="O75" i="15"/>
  <c r="P79" i="15"/>
  <c r="X76" i="15"/>
  <c r="H70" i="15"/>
  <c r="M79" i="15"/>
  <c r="T79" i="15"/>
  <c r="I61" i="15"/>
  <c r="Y61" i="15"/>
  <c r="N59" i="15"/>
  <c r="AB71" i="15"/>
  <c r="K76" i="15"/>
  <c r="R75" i="15"/>
  <c r="AB68" i="15"/>
  <c r="Y79" i="15"/>
  <c r="S59" i="15"/>
  <c r="X58" i="15"/>
  <c r="I74" i="15"/>
  <c r="L64" i="15"/>
  <c r="P70" i="15"/>
  <c r="S60" i="15"/>
  <c r="U71" i="15"/>
  <c r="Q76" i="15"/>
  <c r="S75" i="15"/>
  <c r="Z68" i="15"/>
  <c r="W62" i="15"/>
  <c r="X69" i="15"/>
  <c r="W59" i="15"/>
  <c r="Y68" i="15"/>
  <c r="P62" i="15"/>
  <c r="T72" i="15"/>
  <c r="O74" i="15"/>
  <c r="O64" i="15"/>
  <c r="AB59" i="15"/>
  <c r="Q63" i="15"/>
  <c r="W76" i="15"/>
  <c r="Q71" i="15"/>
  <c r="U70" i="15"/>
  <c r="AA76" i="15"/>
  <c r="M75" i="15"/>
  <c r="H71" i="15"/>
  <c r="M73" i="15"/>
  <c r="U60" i="15"/>
  <c r="L59" i="15"/>
  <c r="L62" i="15"/>
  <c r="N74" i="15"/>
  <c r="O60" i="15"/>
  <c r="R74" i="15"/>
  <c r="N79" i="15"/>
  <c r="AA63" i="15"/>
  <c r="N72" i="15"/>
  <c r="Y76" i="15"/>
  <c r="V75" i="15"/>
  <c r="Q64" i="15"/>
  <c r="P58" i="15"/>
  <c r="L61" i="15"/>
  <c r="M71" i="15"/>
  <c r="T68" i="15"/>
  <c r="J70" i="15"/>
  <c r="Q79" i="15"/>
  <c r="K62" i="15"/>
  <c r="W75" i="15"/>
  <c r="Z74" i="15"/>
  <c r="W64" i="15"/>
  <c r="R68" i="15"/>
  <c r="V62" i="15"/>
  <c r="I59" i="15"/>
  <c r="F65" i="15" l="1"/>
  <c r="F61" i="15"/>
  <c r="F76" i="15"/>
  <c r="F72" i="15"/>
  <c r="F62" i="15"/>
  <c r="F58" i="15"/>
  <c r="F73" i="15"/>
  <c r="F75" i="15"/>
  <c r="F63" i="15"/>
  <c r="F59" i="15"/>
  <c r="F74" i="15"/>
  <c r="F70" i="15"/>
  <c r="F64" i="15"/>
  <c r="F60" i="15"/>
  <c r="F33" i="15"/>
  <c r="F22" i="15"/>
  <c r="F79" i="15"/>
  <c r="J81" i="15"/>
  <c r="P86" i="15"/>
  <c r="H95" i="15"/>
  <c r="AA97" i="15"/>
  <c r="R85" i="15"/>
  <c r="L96" i="15"/>
  <c r="S82" i="15"/>
  <c r="M87" i="15"/>
  <c r="J99" i="15"/>
  <c r="T97" i="15"/>
  <c r="S80" i="15"/>
  <c r="AB83" i="15"/>
  <c r="W98" i="15"/>
  <c r="L86" i="15"/>
  <c r="L80" i="15"/>
  <c r="T96" i="15"/>
  <c r="I93" i="15"/>
  <c r="Q98" i="15"/>
  <c r="Z97" i="15"/>
  <c r="I84" i="15"/>
  <c r="AA82" i="15"/>
  <c r="AB99" i="15"/>
  <c r="N83" i="15"/>
  <c r="M96" i="15"/>
  <c r="I99" i="15"/>
  <c r="Y81" i="15"/>
  <c r="U96" i="15"/>
  <c r="L87" i="15"/>
  <c r="J80" i="15"/>
  <c r="J84" i="15"/>
  <c r="S98" i="15"/>
  <c r="Z96" i="15"/>
  <c r="S86" i="15"/>
  <c r="W82" i="15"/>
  <c r="V99" i="15"/>
  <c r="S85" i="15"/>
  <c r="N99" i="15"/>
  <c r="V83" i="15"/>
  <c r="K83" i="15"/>
  <c r="K82" i="15"/>
  <c r="R96" i="15"/>
  <c r="K97" i="15"/>
  <c r="I87" i="15"/>
  <c r="AB87" i="15"/>
  <c r="H99" i="15"/>
  <c r="Q86" i="15"/>
  <c r="Q99" i="15"/>
  <c r="H82" i="15"/>
  <c r="V96" i="15"/>
  <c r="O83" i="15"/>
  <c r="AA98" i="15"/>
  <c r="Y86" i="15"/>
  <c r="W84" i="15"/>
  <c r="O86" i="15"/>
  <c r="O96" i="15"/>
  <c r="H90" i="15"/>
  <c r="N80" i="15"/>
  <c r="U81" i="15"/>
  <c r="Z83" i="15"/>
  <c r="X97" i="15"/>
  <c r="Z80" i="15"/>
  <c r="X87" i="15"/>
  <c r="R98" i="15"/>
  <c r="AA84" i="15"/>
  <c r="AB85" i="15"/>
  <c r="R80" i="15"/>
  <c r="K87" i="15"/>
  <c r="T80" i="15"/>
  <c r="T87" i="15"/>
  <c r="V98" i="15"/>
  <c r="J83" i="15"/>
  <c r="W85" i="15"/>
  <c r="T98" i="15"/>
  <c r="I86" i="15"/>
  <c r="K80" i="15"/>
  <c r="J85" i="15"/>
  <c r="I81" i="15"/>
  <c r="U82" i="15"/>
  <c r="P82" i="15"/>
  <c r="Y87" i="15"/>
  <c r="T82" i="15"/>
  <c r="Q85" i="15"/>
  <c r="I82" i="15"/>
  <c r="H81" i="15"/>
  <c r="M97" i="15"/>
  <c r="S96" i="15"/>
  <c r="W96" i="15"/>
  <c r="U97" i="15"/>
  <c r="AA86" i="15"/>
  <c r="V86" i="15"/>
  <c r="J87" i="15"/>
  <c r="R83" i="15"/>
  <c r="K93" i="15"/>
  <c r="V85" i="15"/>
  <c r="L98" i="15"/>
  <c r="H86" i="15"/>
  <c r="X85" i="15"/>
  <c r="U85" i="15"/>
  <c r="L85" i="15"/>
  <c r="Y82" i="15"/>
  <c r="S97" i="15"/>
  <c r="P84" i="15"/>
  <c r="O87" i="15"/>
  <c r="R84" i="15"/>
  <c r="M86" i="15"/>
  <c r="N84" i="15"/>
  <c r="H85" i="15"/>
  <c r="P96" i="15"/>
  <c r="W80" i="15"/>
  <c r="H84" i="15"/>
  <c r="L97" i="15"/>
  <c r="W99" i="15"/>
  <c r="X81" i="15"/>
  <c r="H98" i="15"/>
  <c r="N81" i="15"/>
  <c r="X96" i="15"/>
  <c r="N97" i="15"/>
  <c r="H91" i="15"/>
  <c r="P81" i="15"/>
  <c r="W97" i="15"/>
  <c r="W86" i="15"/>
  <c r="M84" i="15"/>
  <c r="H97" i="15"/>
  <c r="Z81" i="15"/>
  <c r="S87" i="15"/>
  <c r="Y99" i="15"/>
  <c r="Y83" i="15"/>
  <c r="AB80" i="15"/>
  <c r="N87" i="15"/>
  <c r="I97" i="15"/>
  <c r="L82" i="15"/>
  <c r="AA81" i="15"/>
  <c r="Q96" i="15"/>
  <c r="Y84" i="15"/>
  <c r="T81" i="15"/>
  <c r="O84" i="15"/>
  <c r="J97" i="15"/>
  <c r="O98" i="15"/>
  <c r="I80" i="15"/>
  <c r="Z84" i="15"/>
  <c r="X98" i="15"/>
  <c r="I85" i="15"/>
  <c r="T85" i="15"/>
  <c r="K98" i="15"/>
  <c r="M99" i="15"/>
  <c r="U98" i="15"/>
  <c r="R86" i="15"/>
  <c r="Q87" i="15"/>
  <c r="J96" i="15"/>
  <c r="P97" i="15"/>
  <c r="O81" i="15"/>
  <c r="K99" i="15"/>
  <c r="T83" i="15"/>
  <c r="N82" i="15"/>
  <c r="Y85" i="15"/>
  <c r="U99" i="15"/>
  <c r="V87" i="15"/>
  <c r="U87" i="15"/>
  <c r="L83" i="15"/>
  <c r="W81" i="15"/>
  <c r="T86" i="15"/>
  <c r="R87" i="15"/>
  <c r="O82" i="15"/>
  <c r="X83" i="15"/>
  <c r="S83" i="15"/>
  <c r="K96" i="15"/>
  <c r="M83" i="15"/>
  <c r="AB97" i="15"/>
  <c r="K85" i="15"/>
  <c r="Q82" i="15"/>
  <c r="Y96" i="15"/>
  <c r="S81" i="15"/>
  <c r="S99" i="15"/>
  <c r="R97" i="15"/>
  <c r="P83" i="15"/>
  <c r="R82" i="15"/>
  <c r="Z98" i="15"/>
  <c r="P80" i="15"/>
  <c r="AA83" i="15"/>
  <c r="I96" i="15"/>
  <c r="O80" i="15"/>
  <c r="L81" i="15"/>
  <c r="K84" i="15"/>
  <c r="O99" i="15"/>
  <c r="J93" i="15"/>
  <c r="J86" i="15"/>
  <c r="AB96" i="15"/>
  <c r="X82" i="15"/>
  <c r="Z99" i="15"/>
  <c r="U80" i="15"/>
  <c r="O85" i="15"/>
  <c r="I83" i="15"/>
  <c r="H94" i="15"/>
  <c r="V82" i="15"/>
  <c r="X86" i="15"/>
  <c r="U86" i="15"/>
  <c r="K86" i="15"/>
  <c r="AB82" i="15"/>
  <c r="Q83" i="15"/>
  <c r="AA99" i="15"/>
  <c r="X80" i="15"/>
  <c r="Y80" i="15"/>
  <c r="N86" i="15"/>
  <c r="V81" i="15"/>
  <c r="M80" i="15"/>
  <c r="N96" i="15"/>
  <c r="H93" i="15"/>
  <c r="W83" i="15"/>
  <c r="U83" i="15"/>
  <c r="Z82" i="15"/>
  <c r="L99" i="15"/>
  <c r="P87" i="15"/>
  <c r="Q81" i="15"/>
  <c r="Z86" i="15"/>
  <c r="M81" i="15"/>
  <c r="J82" i="15"/>
  <c r="Y98" i="15"/>
  <c r="R81" i="15"/>
  <c r="AA96" i="15"/>
  <c r="AB98" i="15"/>
  <c r="V80" i="15"/>
  <c r="Z85" i="15"/>
  <c r="AA80" i="15"/>
  <c r="M82" i="15"/>
  <c r="H83" i="15"/>
  <c r="AB86" i="15"/>
  <c r="P85" i="15"/>
  <c r="Z87" i="15"/>
  <c r="O97" i="15"/>
  <c r="N98" i="15"/>
  <c r="AB84" i="15"/>
  <c r="I92" i="15"/>
  <c r="P98" i="15"/>
  <c r="AA85" i="15"/>
  <c r="R99" i="15"/>
  <c r="AA87" i="15"/>
  <c r="N85" i="15"/>
  <c r="H96" i="15"/>
  <c r="Y97" i="15"/>
  <c r="L84" i="15"/>
  <c r="AB81" i="15"/>
  <c r="S84" i="15"/>
  <c r="Q97" i="15"/>
  <c r="V84" i="15"/>
  <c r="T99" i="15"/>
  <c r="W87" i="15"/>
  <c r="H80" i="15"/>
  <c r="I95" i="15"/>
  <c r="J98" i="15"/>
  <c r="K81" i="15"/>
  <c r="M98" i="15"/>
  <c r="X99" i="15"/>
  <c r="H92" i="15"/>
  <c r="T84" i="15"/>
  <c r="I98" i="15"/>
  <c r="U84" i="15"/>
  <c r="Q84" i="15"/>
  <c r="Q80" i="15"/>
  <c r="M85" i="15"/>
  <c r="X84" i="15"/>
  <c r="P99" i="15"/>
  <c r="V97" i="15"/>
  <c r="F10" i="15" l="1"/>
  <c r="F96" i="15"/>
  <c r="F86" i="15"/>
  <c r="F82" i="15"/>
  <c r="F97" i="15"/>
  <c r="F87" i="15"/>
  <c r="F83" i="15"/>
  <c r="F98" i="15"/>
  <c r="F84" i="15"/>
  <c r="F80" i="15"/>
  <c r="F99" i="15"/>
  <c r="F85" i="15"/>
  <c r="F81" i="15"/>
  <c r="H8" i="15"/>
  <c r="H11" i="15"/>
  <c r="H22" i="15"/>
  <c r="H33" i="15"/>
  <c r="H56" i="15"/>
  <c r="H78" i="15"/>
  <c r="H89" i="15"/>
  <c r="I8" i="15"/>
  <c r="I11" i="15"/>
  <c r="I22" i="15"/>
  <c r="I33" i="15"/>
  <c r="I56" i="15"/>
  <c r="I78" i="15"/>
  <c r="J8" i="15"/>
  <c r="J11" i="15"/>
  <c r="J22" i="15"/>
  <c r="J33" i="15"/>
  <c r="J56" i="15"/>
  <c r="J78" i="15"/>
  <c r="K8" i="15"/>
  <c r="K11" i="15"/>
  <c r="K22" i="15"/>
  <c r="K33" i="15"/>
  <c r="K78" i="15"/>
  <c r="L8" i="15"/>
  <c r="L11" i="15"/>
  <c r="L22" i="15"/>
  <c r="L33" i="15"/>
  <c r="L45" i="15"/>
  <c r="L78" i="15"/>
  <c r="M8" i="15"/>
  <c r="M11" i="15"/>
  <c r="M22" i="15"/>
  <c r="M33" i="15"/>
  <c r="M45" i="15"/>
  <c r="M67" i="15"/>
  <c r="M78" i="15"/>
  <c r="N8" i="15"/>
  <c r="N11" i="15"/>
  <c r="N22" i="15"/>
  <c r="N33" i="15"/>
  <c r="N45" i="15"/>
  <c r="N56" i="15"/>
  <c r="N78" i="15"/>
  <c r="O8" i="15"/>
  <c r="O11" i="15"/>
  <c r="O22" i="15"/>
  <c r="O33" i="15"/>
  <c r="O45" i="15"/>
  <c r="O56" i="15"/>
  <c r="O67" i="15"/>
  <c r="O78" i="15"/>
  <c r="P8" i="15"/>
  <c r="P11" i="15"/>
  <c r="P22" i="15"/>
  <c r="P33" i="15"/>
  <c r="P45" i="15"/>
  <c r="P56" i="15"/>
  <c r="P67" i="15"/>
  <c r="P78" i="15"/>
  <c r="Q8" i="15"/>
  <c r="Q11" i="15"/>
  <c r="Q22" i="15"/>
  <c r="Q33" i="15"/>
  <c r="Q45" i="15"/>
  <c r="Q56" i="15"/>
  <c r="Q67" i="15"/>
  <c r="Q78" i="15"/>
  <c r="R11" i="15"/>
  <c r="R22" i="15"/>
  <c r="R33" i="15"/>
  <c r="R56" i="15"/>
  <c r="R67" i="15"/>
  <c r="R78" i="15"/>
  <c r="S11" i="15"/>
  <c r="S22" i="15"/>
  <c r="S33" i="15"/>
  <c r="S56" i="15"/>
  <c r="S67" i="15"/>
  <c r="S78" i="15"/>
  <c r="T11" i="15"/>
  <c r="T22" i="15"/>
  <c r="T33" i="15"/>
  <c r="T56" i="15"/>
  <c r="T67" i="15"/>
  <c r="T78" i="15"/>
  <c r="U11" i="15"/>
  <c r="U22" i="15"/>
  <c r="U33" i="15"/>
  <c r="U56" i="15"/>
  <c r="U67" i="15"/>
  <c r="U78" i="15"/>
  <c r="V8" i="15"/>
  <c r="V11" i="15"/>
  <c r="V22" i="15"/>
  <c r="V33" i="15"/>
  <c r="V45" i="15"/>
  <c r="V56" i="15"/>
  <c r="V67" i="15"/>
  <c r="V78" i="15"/>
  <c r="W8" i="15"/>
  <c r="W11" i="15"/>
  <c r="W22" i="15"/>
  <c r="W33" i="15"/>
  <c r="W45" i="15"/>
  <c r="W56" i="15"/>
  <c r="W67" i="15"/>
  <c r="W78" i="15"/>
  <c r="X8" i="15"/>
  <c r="X11" i="15"/>
  <c r="X22" i="15"/>
  <c r="X33" i="15"/>
  <c r="X45" i="15"/>
  <c r="X56" i="15"/>
  <c r="X67" i="15"/>
  <c r="X78" i="15"/>
  <c r="Y8" i="15"/>
  <c r="Y11" i="15"/>
  <c r="Y22" i="15"/>
  <c r="Y33" i="15"/>
  <c r="Y45" i="15"/>
  <c r="Y56" i="15"/>
  <c r="Y67" i="15"/>
  <c r="Y78" i="15"/>
  <c r="Z8" i="15"/>
  <c r="Z11" i="15"/>
  <c r="Z22" i="15"/>
  <c r="Z33" i="15"/>
  <c r="Z45" i="15"/>
  <c r="Z56" i="15"/>
  <c r="Z67" i="15"/>
  <c r="Z78" i="15"/>
  <c r="AA8" i="15"/>
  <c r="AA11" i="15"/>
  <c r="AA22" i="15"/>
  <c r="AA33" i="15"/>
  <c r="AA45" i="15"/>
  <c r="AA56" i="15"/>
  <c r="AA67" i="15"/>
  <c r="AA78" i="15"/>
  <c r="AB8" i="15"/>
  <c r="AB11" i="15"/>
  <c r="AB22" i="15"/>
  <c r="AB33" i="15"/>
  <c r="AB45" i="15"/>
  <c r="AB56" i="15"/>
  <c r="AB67" i="15"/>
  <c r="AB78" i="15"/>
  <c r="Y110" i="15"/>
  <c r="O109" i="15"/>
  <c r="Y103" i="15"/>
  <c r="W105" i="15"/>
  <c r="P107" i="15"/>
  <c r="P110" i="15"/>
  <c r="S105" i="15"/>
  <c r="M106" i="15"/>
  <c r="O108" i="15"/>
  <c r="I107" i="15"/>
  <c r="K108" i="15"/>
  <c r="V110" i="15"/>
  <c r="Q104" i="15"/>
  <c r="O106" i="15"/>
  <c r="S109" i="15"/>
  <c r="L105" i="15"/>
  <c r="H109" i="15"/>
  <c r="K105" i="15"/>
  <c r="W109" i="15"/>
  <c r="Y105" i="15"/>
  <c r="L104" i="15"/>
  <c r="AB108" i="15"/>
  <c r="J110" i="15"/>
  <c r="K104" i="15"/>
  <c r="Z109" i="15"/>
  <c r="I104" i="15"/>
  <c r="S108" i="15"/>
  <c r="N109" i="15"/>
  <c r="P106" i="15"/>
  <c r="AC54" i="15"/>
  <c r="J107" i="15"/>
  <c r="W108" i="15"/>
  <c r="H103" i="15"/>
  <c r="R104" i="15"/>
  <c r="M105" i="15"/>
  <c r="P105" i="15"/>
  <c r="AA110" i="15"/>
  <c r="T108" i="15"/>
  <c r="X109" i="15"/>
  <c r="R106" i="15"/>
  <c r="Q103" i="15"/>
  <c r="I110" i="15"/>
  <c r="N104" i="15"/>
  <c r="Z105" i="15"/>
  <c r="AB103" i="15"/>
  <c r="AA104" i="15"/>
  <c r="T107" i="15"/>
  <c r="AA103" i="15"/>
  <c r="V105" i="15"/>
  <c r="H106" i="15"/>
  <c r="X106" i="15"/>
  <c r="U108" i="15"/>
  <c r="P108" i="15"/>
  <c r="T104" i="15"/>
  <c r="N110" i="15"/>
  <c r="O107" i="15"/>
  <c r="J108" i="15"/>
  <c r="H105" i="15"/>
  <c r="I109" i="15"/>
  <c r="Z104" i="15"/>
  <c r="O105" i="15"/>
  <c r="W104" i="15"/>
  <c r="Y109" i="15"/>
  <c r="V106" i="15"/>
  <c r="I106" i="15"/>
  <c r="P109" i="15"/>
  <c r="T106" i="15"/>
  <c r="Q109" i="15"/>
  <c r="Q105" i="15"/>
  <c r="Q107" i="15"/>
  <c r="Q108" i="15"/>
  <c r="K106" i="15"/>
  <c r="AB104" i="15"/>
  <c r="X107" i="15"/>
  <c r="Z107" i="15"/>
  <c r="W107" i="15"/>
  <c r="AA106" i="15"/>
  <c r="K103" i="15"/>
  <c r="AA109" i="15"/>
  <c r="Y104" i="15"/>
  <c r="S104" i="15"/>
  <c r="L109" i="15"/>
  <c r="M103" i="15"/>
  <c r="Z108" i="15"/>
  <c r="N106" i="15"/>
  <c r="T103" i="15"/>
  <c r="I103" i="15"/>
  <c r="R107" i="15"/>
  <c r="I105" i="15"/>
  <c r="AC76" i="15"/>
  <c r="R103" i="15"/>
  <c r="L108" i="15"/>
  <c r="V103" i="15"/>
  <c r="M110" i="15"/>
  <c r="H108" i="15"/>
  <c r="U109" i="15"/>
  <c r="R108" i="15"/>
  <c r="S107" i="15"/>
  <c r="Z106" i="15"/>
  <c r="J106" i="15"/>
  <c r="Q110" i="15"/>
  <c r="L110" i="15"/>
  <c r="U103" i="15"/>
  <c r="P104" i="15"/>
  <c r="W106" i="15"/>
  <c r="H104" i="15"/>
  <c r="V109" i="15"/>
  <c r="N105" i="15"/>
  <c r="K110" i="15"/>
  <c r="AA108" i="15"/>
  <c r="S106" i="15"/>
  <c r="T110" i="15"/>
  <c r="AB110" i="15"/>
  <c r="J103" i="15"/>
  <c r="R105" i="15"/>
  <c r="T105" i="15"/>
  <c r="X104" i="15"/>
  <c r="AB106" i="15"/>
  <c r="S103" i="15"/>
  <c r="AC65" i="15"/>
  <c r="M109" i="15"/>
  <c r="Y107" i="15"/>
  <c r="AC42" i="15"/>
  <c r="AA105" i="15"/>
  <c r="X108" i="15"/>
  <c r="Q106" i="15"/>
  <c r="N108" i="15"/>
  <c r="L107" i="15"/>
  <c r="AA107" i="15"/>
  <c r="R109" i="15"/>
  <c r="U110" i="15"/>
  <c r="L106" i="15"/>
  <c r="V104" i="15"/>
  <c r="K107" i="15"/>
  <c r="K109" i="15"/>
  <c r="N103" i="15"/>
  <c r="AB109" i="15"/>
  <c r="M104" i="15"/>
  <c r="AC20" i="15"/>
  <c r="H102" i="15"/>
  <c r="U106" i="15"/>
  <c r="P103" i="15"/>
  <c r="AC87" i="15"/>
  <c r="W110" i="15"/>
  <c r="U105" i="15"/>
  <c r="U107" i="15"/>
  <c r="AB105" i="15"/>
  <c r="T109" i="15"/>
  <c r="U104" i="15"/>
  <c r="W103" i="15"/>
  <c r="S110" i="15"/>
  <c r="Z103" i="15"/>
  <c r="O104" i="15"/>
  <c r="Y108" i="15"/>
  <c r="V107" i="15"/>
  <c r="H110" i="15"/>
  <c r="J104" i="15"/>
  <c r="N107" i="15"/>
  <c r="L103" i="15"/>
  <c r="X103" i="15"/>
  <c r="J109" i="15"/>
  <c r="AB107" i="15"/>
  <c r="J105" i="15"/>
  <c r="AC31" i="15"/>
  <c r="X110" i="15"/>
  <c r="O110" i="15"/>
  <c r="H107" i="15"/>
  <c r="M108" i="15"/>
  <c r="V108" i="15"/>
  <c r="Y106" i="15"/>
  <c r="X105" i="15"/>
  <c r="R110" i="15"/>
  <c r="M107" i="15"/>
  <c r="O103" i="15"/>
  <c r="I108" i="15"/>
  <c r="Z110" i="15"/>
  <c r="F103" i="15" l="1"/>
  <c r="F108" i="15"/>
  <c r="F104" i="15"/>
  <c r="F109" i="15"/>
  <c r="F105" i="15"/>
  <c r="F110" i="15"/>
  <c r="F106" i="15"/>
  <c r="F107" i="15"/>
  <c r="F78" i="15"/>
  <c r="H10" i="15"/>
  <c r="X10" i="15"/>
  <c r="J10" i="15"/>
  <c r="R10" i="15"/>
  <c r="O44" i="15"/>
  <c r="U10" i="15"/>
  <c r="P44" i="15"/>
  <c r="Z10" i="15"/>
  <c r="L10" i="15"/>
  <c r="Z44" i="15"/>
  <c r="V10" i="15"/>
  <c r="AB10" i="15"/>
  <c r="Y10" i="15"/>
  <c r="Q10" i="15"/>
  <c r="W44" i="15"/>
  <c r="N10" i="15"/>
  <c r="M10" i="15"/>
  <c r="I10" i="15"/>
  <c r="T10" i="15"/>
  <c r="W10" i="15"/>
  <c r="AB44" i="15"/>
  <c r="AA44" i="15"/>
  <c r="X44" i="15"/>
  <c r="O10" i="15"/>
  <c r="AA10" i="15"/>
  <c r="S10" i="15"/>
  <c r="P10" i="15"/>
  <c r="K10" i="15"/>
  <c r="Y44" i="15"/>
  <c r="V44" i="15"/>
  <c r="Q44" i="15"/>
  <c r="AC8" i="15"/>
  <c r="AC13" i="15"/>
  <c r="AC12" i="15"/>
  <c r="AC17" i="15"/>
  <c r="AC19" i="15"/>
  <c r="AC14" i="15"/>
  <c r="AC15" i="15"/>
  <c r="AC16" i="15"/>
  <c r="AC18" i="15"/>
  <c r="O9" i="15" l="1"/>
  <c r="X9" i="15"/>
  <c r="Z9" i="15"/>
  <c r="W9" i="15"/>
  <c r="P9" i="15"/>
  <c r="AB9" i="15"/>
  <c r="AA9" i="15"/>
  <c r="V9" i="15"/>
  <c r="Q9" i="15"/>
  <c r="Y9" i="15"/>
  <c r="AC11" i="15"/>
  <c r="AC30" i="15"/>
  <c r="AC28" i="15"/>
  <c r="AC26" i="15"/>
  <c r="AC25" i="15"/>
  <c r="AC24" i="15"/>
  <c r="AC23" i="15"/>
  <c r="AC27" i="15"/>
  <c r="AC29" i="15"/>
  <c r="AC22" i="15" l="1"/>
  <c r="AC40" i="15"/>
  <c r="AC49" i="15"/>
  <c r="AC99" i="15"/>
  <c r="AD87" i="15"/>
  <c r="AC64" i="15"/>
  <c r="AC75" i="15"/>
  <c r="AC83" i="15"/>
  <c r="AC92" i="15"/>
  <c r="AC53" i="15"/>
  <c r="AC104" i="15"/>
  <c r="AD65" i="15"/>
  <c r="AC63" i="15"/>
  <c r="AC82" i="15"/>
  <c r="AC95" i="15"/>
  <c r="AC74" i="15"/>
  <c r="AD54" i="15"/>
  <c r="AC46" i="15"/>
  <c r="AC97" i="15"/>
  <c r="AC57" i="15"/>
  <c r="AC36" i="15"/>
  <c r="AC102" i="15"/>
  <c r="AC51" i="15"/>
  <c r="AC103" i="15"/>
  <c r="AC47" i="15"/>
  <c r="AC60" i="15"/>
  <c r="AC73" i="15"/>
  <c r="AC62" i="15"/>
  <c r="AC91" i="15"/>
  <c r="AC37" i="15"/>
  <c r="AC70" i="15"/>
  <c r="AD42" i="15"/>
  <c r="AC85" i="15"/>
  <c r="AC79" i="15"/>
  <c r="AC80" i="15"/>
  <c r="AC107" i="15"/>
  <c r="AC39" i="15"/>
  <c r="AC72" i="15"/>
  <c r="AC86" i="15"/>
  <c r="AC81" i="15"/>
  <c r="AC84" i="15"/>
  <c r="AC38" i="15"/>
  <c r="AC69" i="15"/>
  <c r="AC109" i="15"/>
  <c r="AC58" i="15"/>
  <c r="AC48" i="15"/>
  <c r="AD20" i="15"/>
  <c r="AC50" i="15"/>
  <c r="AC61" i="15"/>
  <c r="AC41" i="15"/>
  <c r="AC71" i="15"/>
  <c r="AC68" i="15"/>
  <c r="AC98" i="15"/>
  <c r="AC110" i="15"/>
  <c r="AD76" i="15"/>
  <c r="AC35" i="15"/>
  <c r="AC52" i="15"/>
  <c r="AC34" i="15"/>
  <c r="AD31" i="15"/>
  <c r="AC106" i="15"/>
  <c r="AC93" i="15"/>
  <c r="AC105" i="15"/>
  <c r="AC96" i="15"/>
  <c r="AC108" i="15"/>
  <c r="AC59" i="15"/>
  <c r="AC78" i="15" l="1"/>
  <c r="AC67" i="15"/>
  <c r="AC56" i="15"/>
  <c r="AC45" i="15"/>
  <c r="AC33" i="15"/>
  <c r="AC10" i="15" s="1"/>
  <c r="AD8" i="15"/>
  <c r="AD91" i="15"/>
  <c r="AD17" i="15"/>
  <c r="AD57" i="15"/>
  <c r="AD102" i="15"/>
  <c r="AE42" i="15"/>
  <c r="AD16" i="15"/>
  <c r="AD24" i="15"/>
  <c r="AD28" i="15"/>
  <c r="AD95" i="15"/>
  <c r="AD18" i="15"/>
  <c r="AD36" i="15"/>
  <c r="AD79" i="15"/>
  <c r="AD99" i="15"/>
  <c r="AD51" i="15"/>
  <c r="AD40" i="15"/>
  <c r="AD63" i="15"/>
  <c r="AD53" i="15"/>
  <c r="AD15" i="15"/>
  <c r="AD71" i="15"/>
  <c r="AD97" i="15"/>
  <c r="AD70" i="15"/>
  <c r="AE20" i="15"/>
  <c r="AD110" i="15"/>
  <c r="AD109" i="15"/>
  <c r="AD14" i="15"/>
  <c r="AD80" i="15"/>
  <c r="AD103" i="15"/>
  <c r="AD82" i="15"/>
  <c r="AD69" i="15"/>
  <c r="AD81" i="15"/>
  <c r="AD64" i="15"/>
  <c r="AD68" i="15"/>
  <c r="AD74" i="15"/>
  <c r="AD105" i="15"/>
  <c r="AD59" i="15"/>
  <c r="AD72" i="15"/>
  <c r="AD104" i="15"/>
  <c r="AD39" i="15"/>
  <c r="AD93" i="15"/>
  <c r="AD58" i="15"/>
  <c r="AD84" i="15"/>
  <c r="AD23" i="15"/>
  <c r="AD19" i="15"/>
  <c r="AD47" i="15"/>
  <c r="AD75" i="15"/>
  <c r="AD26" i="15"/>
  <c r="AD106" i="15"/>
  <c r="AD50" i="15"/>
  <c r="AD52" i="15"/>
  <c r="AD85" i="15"/>
  <c r="AD60" i="15"/>
  <c r="AD41" i="15"/>
  <c r="AD13" i="15"/>
  <c r="AD48" i="15"/>
  <c r="AD12" i="15"/>
  <c r="AE76" i="15"/>
  <c r="AE31" i="15"/>
  <c r="AD38" i="15"/>
  <c r="AD49" i="15"/>
  <c r="AD37" i="15"/>
  <c r="AD46" i="15"/>
  <c r="AD27" i="15"/>
  <c r="AD34" i="15"/>
  <c r="AD35" i="15"/>
  <c r="AD61" i="15"/>
  <c r="AD96" i="15"/>
  <c r="AD107" i="15"/>
  <c r="AD29" i="15"/>
  <c r="AD30" i="15"/>
  <c r="AD92" i="15"/>
  <c r="AD62" i="15"/>
  <c r="AD98" i="15"/>
  <c r="AD25" i="15"/>
  <c r="AE65" i="15"/>
  <c r="AD73" i="15"/>
  <c r="AD86" i="15"/>
  <c r="AD83" i="15"/>
  <c r="AE87" i="15"/>
  <c r="AD108" i="15"/>
  <c r="AE54" i="15"/>
  <c r="AD67" i="15" l="1"/>
  <c r="AD11" i="15"/>
  <c r="AD78" i="15"/>
  <c r="AD56" i="15"/>
  <c r="AD45" i="15"/>
  <c r="AD33" i="15"/>
  <c r="AD22" i="15"/>
  <c r="AC44" i="15"/>
  <c r="AC9" i="15" s="1"/>
  <c r="AE8" i="15"/>
  <c r="AE61" i="15"/>
  <c r="AE80" i="15"/>
  <c r="AE75" i="15"/>
  <c r="AE36" i="15"/>
  <c r="AE62" i="15"/>
  <c r="AE39" i="15"/>
  <c r="AE41" i="15"/>
  <c r="AE98" i="15"/>
  <c r="AE15" i="15"/>
  <c r="AE69" i="15"/>
  <c r="AE110" i="15"/>
  <c r="AE103" i="15"/>
  <c r="AE68" i="15"/>
  <c r="AE95" i="15"/>
  <c r="AE26" i="15"/>
  <c r="AE72" i="15"/>
  <c r="AE59" i="15"/>
  <c r="AE96" i="15"/>
  <c r="AE91" i="15"/>
  <c r="AE82" i="15"/>
  <c r="AE37" i="15"/>
  <c r="AE49" i="15"/>
  <c r="AE83" i="15"/>
  <c r="AE58" i="15"/>
  <c r="AE85" i="15"/>
  <c r="AE24" i="15"/>
  <c r="AE25" i="15"/>
  <c r="AE38" i="15"/>
  <c r="AE64" i="15"/>
  <c r="AE70" i="15"/>
  <c r="AE46" i="15"/>
  <c r="AE29" i="15"/>
  <c r="AE60" i="15"/>
  <c r="AE12" i="15"/>
  <c r="AE79" i="15"/>
  <c r="AE84" i="15"/>
  <c r="AF76" i="15"/>
  <c r="AE18" i="15"/>
  <c r="AF42" i="15"/>
  <c r="AE109" i="15"/>
  <c r="AF54" i="15"/>
  <c r="AE102" i="15"/>
  <c r="AE50" i="15"/>
  <c r="AF65" i="15"/>
  <c r="AE52" i="15"/>
  <c r="AE104" i="15"/>
  <c r="AE13" i="15"/>
  <c r="AE47" i="15"/>
  <c r="AE16" i="15"/>
  <c r="AE97" i="15"/>
  <c r="AE81" i="15"/>
  <c r="AE92" i="15"/>
  <c r="AF87" i="15"/>
  <c r="AE30" i="15"/>
  <c r="AE105" i="15"/>
  <c r="AF31" i="15"/>
  <c r="AE57" i="15"/>
  <c r="AE23" i="15"/>
  <c r="AE53" i="15"/>
  <c r="AE99" i="15"/>
  <c r="AE27" i="15"/>
  <c r="AE106" i="15"/>
  <c r="AF20" i="15"/>
  <c r="AE51" i="15"/>
  <c r="AE19" i="15"/>
  <c r="AE107" i="15"/>
  <c r="AE14" i="15"/>
  <c r="AE34" i="15"/>
  <c r="AE35" i="15"/>
  <c r="AE48" i="15"/>
  <c r="AE73" i="15"/>
  <c r="AE40" i="15"/>
  <c r="AE93" i="15"/>
  <c r="AE71" i="15"/>
  <c r="AE28" i="15"/>
  <c r="AE17" i="15"/>
  <c r="AE63" i="15"/>
  <c r="AE108" i="15"/>
  <c r="AE74" i="15"/>
  <c r="AE86" i="15"/>
  <c r="AE45" i="15" l="1"/>
  <c r="AE33" i="15"/>
  <c r="AE22" i="15"/>
  <c r="AE56" i="15"/>
  <c r="AE11" i="15"/>
  <c r="AE78" i="15"/>
  <c r="AE67" i="15"/>
  <c r="AD10" i="15"/>
  <c r="AD44" i="15"/>
  <c r="AF8" i="15"/>
  <c r="AG87" i="15"/>
  <c r="AF48" i="15"/>
  <c r="AF47" i="15"/>
  <c r="AF83" i="15"/>
  <c r="AF57" i="15"/>
  <c r="AF98" i="15"/>
  <c r="AF75" i="15"/>
  <c r="AF52" i="15"/>
  <c r="AF41" i="15"/>
  <c r="AF74" i="15"/>
  <c r="AF70" i="15"/>
  <c r="AF28" i="15"/>
  <c r="AG65" i="15"/>
  <c r="AF71" i="15"/>
  <c r="AF60" i="15"/>
  <c r="AF38" i="15"/>
  <c r="AF64" i="15"/>
  <c r="AF104" i="15"/>
  <c r="AF99" i="15"/>
  <c r="AF84" i="15"/>
  <c r="AF36" i="15"/>
  <c r="AF14" i="15"/>
  <c r="AF13" i="15"/>
  <c r="AF63" i="15"/>
  <c r="AF79" i="15"/>
  <c r="AG42" i="15"/>
  <c r="AF40" i="15"/>
  <c r="AF105" i="15"/>
  <c r="AF73" i="15"/>
  <c r="AF46" i="15"/>
  <c r="AF17" i="15"/>
  <c r="AF50" i="15"/>
  <c r="AF49" i="15"/>
  <c r="AF12" i="15"/>
  <c r="AF15" i="15"/>
  <c r="AF61" i="15"/>
  <c r="AG20" i="15"/>
  <c r="AF107" i="15"/>
  <c r="AF29" i="15"/>
  <c r="AF103" i="15"/>
  <c r="AF102" i="15"/>
  <c r="AF82" i="15"/>
  <c r="AF80" i="15"/>
  <c r="AF18" i="15"/>
  <c r="AF58" i="15"/>
  <c r="AF106" i="15"/>
  <c r="AF86" i="15"/>
  <c r="AF27" i="15"/>
  <c r="AF24" i="15"/>
  <c r="AF92" i="15"/>
  <c r="AF72" i="15"/>
  <c r="AF19" i="15"/>
  <c r="AF69" i="15"/>
  <c r="AF53" i="15"/>
  <c r="AF85" i="15"/>
  <c r="AF96" i="15"/>
  <c r="AF37" i="15"/>
  <c r="AF91" i="15"/>
  <c r="AF62" i="15"/>
  <c r="AF68" i="15"/>
  <c r="AF81" i="15"/>
  <c r="AF35" i="15"/>
  <c r="AF39" i="15"/>
  <c r="AF95" i="15"/>
  <c r="AG54" i="15"/>
  <c r="AF23" i="15"/>
  <c r="AF110" i="15"/>
  <c r="AF16" i="15"/>
  <c r="AF59" i="15"/>
  <c r="AF109" i="15"/>
  <c r="AF51" i="15"/>
  <c r="AG76" i="15"/>
  <c r="AF93" i="15"/>
  <c r="AF30" i="15"/>
  <c r="AF108" i="15"/>
  <c r="AF25" i="15"/>
  <c r="AG31" i="15"/>
  <c r="AF34" i="15"/>
  <c r="AF97" i="15"/>
  <c r="AF26" i="15"/>
  <c r="AE44" i="15" l="1"/>
  <c r="AD9" i="15"/>
  <c r="AF33" i="15"/>
  <c r="AF22" i="15"/>
  <c r="AF11" i="15"/>
  <c r="AF78" i="15"/>
  <c r="AF67" i="15"/>
  <c r="AF45" i="15"/>
  <c r="AF56" i="15"/>
  <c r="AE10" i="15"/>
  <c r="AG8" i="15"/>
  <c r="AG23" i="15"/>
  <c r="AG38" i="15"/>
  <c r="AG40" i="15"/>
  <c r="AG79" i="15"/>
  <c r="AG82" i="15"/>
  <c r="AG86" i="15"/>
  <c r="AG52" i="15"/>
  <c r="AG92" i="15"/>
  <c r="AH42" i="15"/>
  <c r="AG17" i="15"/>
  <c r="AG63" i="15"/>
  <c r="AG99" i="15"/>
  <c r="AG74" i="15"/>
  <c r="AG103" i="15"/>
  <c r="AG73" i="15"/>
  <c r="AG108" i="15"/>
  <c r="AG28" i="15"/>
  <c r="AG35" i="15"/>
  <c r="AG12" i="15"/>
  <c r="AG24" i="15"/>
  <c r="AG107" i="15"/>
  <c r="AG57" i="15"/>
  <c r="AG75" i="15"/>
  <c r="AG95" i="15"/>
  <c r="AG39" i="15"/>
  <c r="AG102" i="15"/>
  <c r="AG16" i="15"/>
  <c r="AG46" i="15"/>
  <c r="AG58" i="15"/>
  <c r="AG72" i="15"/>
  <c r="AH76" i="15"/>
  <c r="AG60" i="15"/>
  <c r="AG61" i="15"/>
  <c r="AG68" i="15"/>
  <c r="AG69" i="15"/>
  <c r="AG30" i="15"/>
  <c r="AH31" i="15"/>
  <c r="AG85" i="15"/>
  <c r="AG96" i="15"/>
  <c r="AG93" i="15"/>
  <c r="AG19" i="15"/>
  <c r="AG27" i="15"/>
  <c r="AG37" i="15"/>
  <c r="AG26" i="15"/>
  <c r="AG106" i="15"/>
  <c r="AG80" i="15"/>
  <c r="AG98" i="15"/>
  <c r="AH20" i="15"/>
  <c r="AG18" i="15"/>
  <c r="AG64" i="15"/>
  <c r="AG91" i="15"/>
  <c r="AG34" i="15"/>
  <c r="AH87" i="15"/>
  <c r="AG51" i="15"/>
  <c r="AG71" i="15"/>
  <c r="AG62" i="15"/>
  <c r="AG109" i="15"/>
  <c r="AG13" i="15"/>
  <c r="AG41" i="15"/>
  <c r="AG53" i="15"/>
  <c r="AG49" i="15"/>
  <c r="AG36" i="15"/>
  <c r="AG25" i="15"/>
  <c r="AG104" i="15"/>
  <c r="AG84" i="15"/>
  <c r="AG97" i="15"/>
  <c r="AG14" i="15"/>
  <c r="AH54" i="15"/>
  <c r="AG50" i="15"/>
  <c r="AG29" i="15"/>
  <c r="AG105" i="15"/>
  <c r="AG15" i="15"/>
  <c r="AG81" i="15"/>
  <c r="AH65" i="15"/>
  <c r="AG48" i="15"/>
  <c r="AG59" i="15"/>
  <c r="AG47" i="15"/>
  <c r="AG110" i="15"/>
  <c r="AG70" i="15"/>
  <c r="AG83" i="15"/>
  <c r="AE9" i="15" l="1"/>
  <c r="AG45" i="15"/>
  <c r="AG56" i="15"/>
  <c r="AG33" i="15"/>
  <c r="AG22" i="15"/>
  <c r="AG11" i="15"/>
  <c r="AG78" i="15"/>
  <c r="AG67" i="15"/>
  <c r="AF44" i="15"/>
  <c r="AF10" i="15"/>
  <c r="AH8" i="15"/>
  <c r="AH108" i="15"/>
  <c r="AH52" i="15"/>
  <c r="AH60" i="15"/>
  <c r="AI20" i="15"/>
  <c r="AH64" i="15"/>
  <c r="AH18" i="15"/>
  <c r="AH109" i="15"/>
  <c r="AH57" i="15"/>
  <c r="AH82" i="15"/>
  <c r="AH106" i="15"/>
  <c r="AH29" i="15"/>
  <c r="AH51" i="15"/>
  <c r="AH80" i="15"/>
  <c r="AH40" i="15"/>
  <c r="AI54" i="15"/>
  <c r="AH72" i="15"/>
  <c r="AH85" i="15"/>
  <c r="AH93" i="15"/>
  <c r="AH46" i="15"/>
  <c r="AH12" i="15"/>
  <c r="AH58" i="15"/>
  <c r="AH79" i="15"/>
  <c r="AH16" i="15"/>
  <c r="AH23" i="15"/>
  <c r="AH17" i="15"/>
  <c r="AH19" i="15"/>
  <c r="AH27" i="15"/>
  <c r="AH30" i="15"/>
  <c r="AH98" i="15"/>
  <c r="AI76" i="15"/>
  <c r="AH62" i="15"/>
  <c r="AH14" i="15"/>
  <c r="AH104" i="15"/>
  <c r="AH49" i="15"/>
  <c r="AH95" i="15"/>
  <c r="AI42" i="15"/>
  <c r="AH75" i="15"/>
  <c r="AH70" i="15"/>
  <c r="AH34" i="15"/>
  <c r="AH47" i="15"/>
  <c r="AH83" i="15"/>
  <c r="AH13" i="15"/>
  <c r="AH48" i="15"/>
  <c r="AH15" i="15"/>
  <c r="AH71" i="15"/>
  <c r="AH69" i="15"/>
  <c r="AH36" i="15"/>
  <c r="AH61" i="15"/>
  <c r="AH99" i="15"/>
  <c r="AH73" i="15"/>
  <c r="AH24" i="15"/>
  <c r="AH38" i="15"/>
  <c r="AH37" i="15"/>
  <c r="AH97" i="15"/>
  <c r="AH26" i="15"/>
  <c r="AH86" i="15"/>
  <c r="AH92" i="15"/>
  <c r="AH39" i="15"/>
  <c r="AH102" i="15"/>
  <c r="AH41" i="15"/>
  <c r="AH103" i="15"/>
  <c r="AH110" i="15"/>
  <c r="AH107" i="15"/>
  <c r="AH63" i="15"/>
  <c r="AH35" i="15"/>
  <c r="AH74" i="15"/>
  <c r="AI65" i="15"/>
  <c r="AH28" i="15"/>
  <c r="AI31" i="15"/>
  <c r="AH59" i="15"/>
  <c r="AH68" i="15"/>
  <c r="AH91" i="15"/>
  <c r="AH50" i="15"/>
  <c r="AH25" i="15"/>
  <c r="AH105" i="15"/>
  <c r="AH84" i="15"/>
  <c r="AH53" i="15"/>
  <c r="AI87" i="15"/>
  <c r="AH96" i="15"/>
  <c r="AH81" i="15"/>
  <c r="AF9" i="15" l="1"/>
  <c r="AG44" i="15"/>
  <c r="AH33" i="15"/>
  <c r="AH22" i="15"/>
  <c r="AH11" i="15"/>
  <c r="AH78" i="15"/>
  <c r="AH67" i="15"/>
  <c r="AH45" i="15"/>
  <c r="AH56" i="15"/>
  <c r="AG10" i="15"/>
  <c r="AI8" i="15"/>
  <c r="AI75" i="15"/>
  <c r="AI35" i="15"/>
  <c r="AI102" i="15"/>
  <c r="AI53" i="15"/>
  <c r="AI106" i="15"/>
  <c r="AI93" i="15"/>
  <c r="AI83" i="15"/>
  <c r="AI38" i="15"/>
  <c r="AI18" i="15"/>
  <c r="AI68" i="15"/>
  <c r="AI73" i="15"/>
  <c r="AI16" i="15"/>
  <c r="AI52" i="15"/>
  <c r="AI60" i="15"/>
  <c r="AI27" i="15"/>
  <c r="AI64" i="15"/>
  <c r="AI37" i="15"/>
  <c r="AI79" i="15"/>
  <c r="AI96" i="15"/>
  <c r="AI23" i="15"/>
  <c r="AI26" i="15"/>
  <c r="AI81" i="15"/>
  <c r="AI69" i="15"/>
  <c r="AI28" i="15"/>
  <c r="AI63" i="15"/>
  <c r="AI110" i="15"/>
  <c r="AI84" i="15"/>
  <c r="AI50" i="15"/>
  <c r="AI34" i="15"/>
  <c r="AI59" i="15"/>
  <c r="AI19" i="15"/>
  <c r="AI95" i="15"/>
  <c r="AI107" i="15"/>
  <c r="AJ20" i="15"/>
  <c r="AI41" i="15"/>
  <c r="AI40" i="15"/>
  <c r="AI108" i="15"/>
  <c r="AI48" i="15"/>
  <c r="AI30" i="15"/>
  <c r="AI49" i="15"/>
  <c r="AI74" i="15"/>
  <c r="AI105" i="15"/>
  <c r="AI71" i="15"/>
  <c r="AI99" i="15"/>
  <c r="AI47" i="15"/>
  <c r="AI17" i="15"/>
  <c r="AI46" i="15"/>
  <c r="AI98" i="15"/>
  <c r="AJ76" i="15"/>
  <c r="AI61" i="15"/>
  <c r="AI57" i="15"/>
  <c r="AI14" i="15"/>
  <c r="AI103" i="15"/>
  <c r="AI15" i="15"/>
  <c r="AI85" i="15"/>
  <c r="AI109" i="15"/>
  <c r="AI12" i="15"/>
  <c r="AI13" i="15"/>
  <c r="AI91" i="15"/>
  <c r="AI39" i="15"/>
  <c r="AI97" i="15"/>
  <c r="AI58" i="15"/>
  <c r="AI36" i="15"/>
  <c r="AJ54" i="15"/>
  <c r="AJ65" i="15"/>
  <c r="AI29" i="15"/>
  <c r="AI80" i="15"/>
  <c r="AI62" i="15"/>
  <c r="AI70" i="15"/>
  <c r="AI24" i="15"/>
  <c r="AI25" i="15"/>
  <c r="AJ42" i="15"/>
  <c r="AJ87" i="15"/>
  <c r="AI86" i="15"/>
  <c r="AI82" i="15"/>
  <c r="AI72" i="15"/>
  <c r="AI92" i="15"/>
  <c r="AI51" i="15"/>
  <c r="AJ31" i="15"/>
  <c r="AI104" i="15"/>
  <c r="AG9" i="15" l="1"/>
  <c r="AI56" i="15"/>
  <c r="AI45" i="15"/>
  <c r="AI33" i="15"/>
  <c r="AI22" i="15"/>
  <c r="AI11" i="15"/>
  <c r="AI78" i="15"/>
  <c r="AI67" i="15"/>
  <c r="AH44" i="15"/>
  <c r="AH10" i="15"/>
  <c r="AJ8" i="15"/>
  <c r="AJ19" i="15"/>
  <c r="AJ104" i="15"/>
  <c r="AJ107" i="15"/>
  <c r="AJ58" i="15"/>
  <c r="AJ40" i="15"/>
  <c r="AJ29" i="15"/>
  <c r="AJ25" i="15"/>
  <c r="AJ50" i="15"/>
  <c r="AJ106" i="15"/>
  <c r="AJ59" i="15"/>
  <c r="AJ15" i="15"/>
  <c r="AJ24" i="15"/>
  <c r="AJ38" i="15"/>
  <c r="AJ83" i="15"/>
  <c r="AJ74" i="15"/>
  <c r="AJ60" i="15"/>
  <c r="AJ17" i="15"/>
  <c r="AJ47" i="15"/>
  <c r="AJ61" i="15"/>
  <c r="AJ92" i="15"/>
  <c r="AJ23" i="15"/>
  <c r="AJ35" i="15"/>
  <c r="AJ37" i="15"/>
  <c r="AJ98" i="15"/>
  <c r="AJ102" i="15"/>
  <c r="AJ14" i="15"/>
  <c r="AJ81" i="15"/>
  <c r="AJ69" i="15"/>
  <c r="AJ64" i="15"/>
  <c r="AJ82" i="15"/>
  <c r="AJ93" i="15"/>
  <c r="AK54" i="15"/>
  <c r="AJ26" i="15"/>
  <c r="AJ84" i="15"/>
  <c r="AJ68" i="15"/>
  <c r="AJ91" i="15"/>
  <c r="AJ34" i="15"/>
  <c r="AJ109" i="15"/>
  <c r="AJ85" i="15"/>
  <c r="AK87" i="15"/>
  <c r="AJ75" i="15"/>
  <c r="AJ48" i="15"/>
  <c r="AJ96" i="15"/>
  <c r="AK42" i="15"/>
  <c r="AJ46" i="15"/>
  <c r="AK31" i="15"/>
  <c r="AJ70" i="15"/>
  <c r="AJ39" i="15"/>
  <c r="AJ13" i="15"/>
  <c r="AJ41" i="15"/>
  <c r="AJ108" i="15"/>
  <c r="AK65" i="15"/>
  <c r="AJ63" i="15"/>
  <c r="AJ80" i="15"/>
  <c r="AJ97" i="15"/>
  <c r="AJ62" i="15"/>
  <c r="AJ12" i="15"/>
  <c r="AJ103" i="15"/>
  <c r="AJ95" i="15"/>
  <c r="AJ86" i="15"/>
  <c r="AJ16" i="15"/>
  <c r="AJ28" i="15"/>
  <c r="AK20" i="15"/>
  <c r="AK76" i="15"/>
  <c r="AJ79" i="15"/>
  <c r="AJ30" i="15"/>
  <c r="AJ18" i="15"/>
  <c r="AJ99" i="15"/>
  <c r="AJ53" i="15"/>
  <c r="AJ71" i="15"/>
  <c r="AJ110" i="15"/>
  <c r="AJ57" i="15"/>
  <c r="AJ36" i="15"/>
  <c r="AJ72" i="15"/>
  <c r="AJ49" i="15"/>
  <c r="AJ51" i="15"/>
  <c r="AJ73" i="15"/>
  <c r="AJ105" i="15"/>
  <c r="AJ52" i="15"/>
  <c r="AJ27" i="15"/>
  <c r="AI44" i="15" l="1"/>
  <c r="AH9" i="15"/>
  <c r="AJ33" i="15"/>
  <c r="AJ22" i="15"/>
  <c r="AJ11" i="15"/>
  <c r="AJ78" i="15"/>
  <c r="AJ67" i="15"/>
  <c r="AJ45" i="15"/>
  <c r="AJ56" i="15"/>
  <c r="AI10" i="15"/>
  <c r="AK8" i="15"/>
  <c r="AK52" i="15"/>
  <c r="AK85" i="15"/>
  <c r="AK99" i="15"/>
  <c r="AK105" i="15"/>
  <c r="AK96" i="15"/>
  <c r="AK14" i="15"/>
  <c r="AL42" i="15"/>
  <c r="AK35" i="15"/>
  <c r="AK80" i="15"/>
  <c r="AK91" i="15"/>
  <c r="AK37" i="15"/>
  <c r="AK97" i="15"/>
  <c r="AK25" i="15"/>
  <c r="AK28" i="15"/>
  <c r="AK49" i="15"/>
  <c r="AK34" i="15"/>
  <c r="AK92" i="15"/>
  <c r="AK108" i="15"/>
  <c r="AK69" i="15"/>
  <c r="AK30" i="15"/>
  <c r="AK103" i="15"/>
  <c r="AK57" i="15"/>
  <c r="AK110" i="15"/>
  <c r="AK107" i="15"/>
  <c r="AL65" i="15"/>
  <c r="AK60" i="15"/>
  <c r="AK47" i="15"/>
  <c r="AK39" i="15"/>
  <c r="AK61" i="15"/>
  <c r="AK72" i="15"/>
  <c r="AK23" i="15"/>
  <c r="AK38" i="15"/>
  <c r="AK106" i="15"/>
  <c r="AK36" i="15"/>
  <c r="AL31" i="15"/>
  <c r="AK104" i="15"/>
  <c r="AL76" i="15"/>
  <c r="AK26" i="15"/>
  <c r="AK59" i="15"/>
  <c r="AL54" i="15"/>
  <c r="AK58" i="15"/>
  <c r="AK109" i="15"/>
  <c r="AK62" i="15"/>
  <c r="AK75" i="15"/>
  <c r="AK102" i="15"/>
  <c r="AK27" i="15"/>
  <c r="AK53" i="15"/>
  <c r="AK68" i="15"/>
  <c r="AK19" i="15"/>
  <c r="AK63" i="15"/>
  <c r="AK29" i="15"/>
  <c r="AK70" i="15"/>
  <c r="AK82" i="15"/>
  <c r="AK93" i="15"/>
  <c r="AK79" i="15"/>
  <c r="AK12" i="15"/>
  <c r="AK46" i="15"/>
  <c r="AK71" i="15"/>
  <c r="AK13" i="15"/>
  <c r="AK83" i="15"/>
  <c r="AK41" i="15"/>
  <c r="AK40" i="15"/>
  <c r="AL20" i="15"/>
  <c r="AK64" i="15"/>
  <c r="AK16" i="15"/>
  <c r="AK17" i="15"/>
  <c r="AK81" i="15"/>
  <c r="AK48" i="15"/>
  <c r="AK50" i="15"/>
  <c r="AK24" i="15"/>
  <c r="AK51" i="15"/>
  <c r="AK98" i="15"/>
  <c r="AK73" i="15"/>
  <c r="AL87" i="15"/>
  <c r="AK86" i="15"/>
  <c r="AK95" i="15"/>
  <c r="AK74" i="15"/>
  <c r="AK18" i="15"/>
  <c r="AK84" i="15"/>
  <c r="AK15" i="15"/>
  <c r="AI9" i="15" l="1"/>
  <c r="AK45" i="15"/>
  <c r="AK33" i="15"/>
  <c r="AK22" i="15"/>
  <c r="AK11" i="15"/>
  <c r="AK56" i="15"/>
  <c r="AK78" i="15"/>
  <c r="AK67" i="15"/>
  <c r="AJ44" i="15"/>
  <c r="AJ10" i="15"/>
  <c r="AL8" i="15"/>
  <c r="AL59" i="15"/>
  <c r="AL69" i="15"/>
  <c r="AL53" i="15"/>
  <c r="AL16" i="15"/>
  <c r="AL52" i="15"/>
  <c r="AL46" i="15"/>
  <c r="AL12" i="15"/>
  <c r="AM20" i="15"/>
  <c r="AM54" i="15"/>
  <c r="AL29" i="15"/>
  <c r="AL93" i="15"/>
  <c r="AL35" i="15"/>
  <c r="AL109" i="15"/>
  <c r="AL72" i="15"/>
  <c r="AL92" i="15"/>
  <c r="AL30" i="15"/>
  <c r="AL108" i="15"/>
  <c r="AL58" i="15"/>
  <c r="AL99" i="15"/>
  <c r="AL64" i="15"/>
  <c r="AL36" i="15"/>
  <c r="AL75" i="15"/>
  <c r="AL28" i="15"/>
  <c r="AL38" i="15"/>
  <c r="AL34" i="15"/>
  <c r="AL40" i="15"/>
  <c r="AL96" i="15"/>
  <c r="AL62" i="15"/>
  <c r="AL106" i="15"/>
  <c r="AL27" i="15"/>
  <c r="AL86" i="15"/>
  <c r="AL84" i="15"/>
  <c r="AL79" i="15"/>
  <c r="AM87" i="15"/>
  <c r="AL19" i="15"/>
  <c r="AL83" i="15"/>
  <c r="AL61" i="15"/>
  <c r="AL25" i="15"/>
  <c r="AL15" i="15"/>
  <c r="AL60" i="15"/>
  <c r="AL26" i="15"/>
  <c r="AL110" i="15"/>
  <c r="AL63" i="15"/>
  <c r="AL107" i="15"/>
  <c r="AL18" i="15"/>
  <c r="AL70" i="15"/>
  <c r="AL103" i="15"/>
  <c r="AL74" i="15"/>
  <c r="AL17" i="15"/>
  <c r="AL51" i="15"/>
  <c r="AL47" i="15"/>
  <c r="AL48" i="15"/>
  <c r="AM76" i="15"/>
  <c r="AL102" i="15"/>
  <c r="AM65" i="15"/>
  <c r="AL82" i="15"/>
  <c r="AL24" i="15"/>
  <c r="AL39" i="15"/>
  <c r="AL49" i="15"/>
  <c r="AL95" i="15"/>
  <c r="AL50" i="15"/>
  <c r="AL85" i="15"/>
  <c r="AL23" i="15"/>
  <c r="AL91" i="15"/>
  <c r="AL57" i="15"/>
  <c r="AL98" i="15"/>
  <c r="AL80" i="15"/>
  <c r="AL104" i="15"/>
  <c r="AL105" i="15"/>
  <c r="AL81" i="15"/>
  <c r="AL13" i="15"/>
  <c r="AL41" i="15"/>
  <c r="AM31" i="15"/>
  <c r="AL68" i="15"/>
  <c r="AL37" i="15"/>
  <c r="AL73" i="15"/>
  <c r="AM42" i="15"/>
  <c r="AL14" i="15"/>
  <c r="AL71" i="15"/>
  <c r="AL97" i="15"/>
  <c r="AJ9" i="15" l="1"/>
  <c r="AK44" i="15"/>
  <c r="AL33" i="15"/>
  <c r="AL22" i="15"/>
  <c r="AL45" i="15"/>
  <c r="AL11" i="15"/>
  <c r="AL78" i="15"/>
  <c r="AL67" i="15"/>
  <c r="AL56" i="15"/>
  <c r="AK10" i="15"/>
  <c r="AM8" i="15"/>
  <c r="AM85" i="15"/>
  <c r="AM109" i="15"/>
  <c r="AN76" i="15"/>
  <c r="AM68" i="15"/>
  <c r="AM72" i="15"/>
  <c r="AN42" i="15"/>
  <c r="AM70" i="15"/>
  <c r="AM95" i="15"/>
  <c r="AM29" i="15"/>
  <c r="AM49" i="15"/>
  <c r="AM48" i="15"/>
  <c r="AM84" i="15"/>
  <c r="AM106" i="15"/>
  <c r="AM38" i="15"/>
  <c r="AM108" i="15"/>
  <c r="AM14" i="15"/>
  <c r="AM58" i="15"/>
  <c r="AM60" i="15"/>
  <c r="AM19" i="15"/>
  <c r="AM41" i="15"/>
  <c r="AM50" i="15"/>
  <c r="AM59" i="15"/>
  <c r="AM40" i="15"/>
  <c r="AM81" i="15"/>
  <c r="AM52" i="15"/>
  <c r="AM69" i="15"/>
  <c r="AM28" i="15"/>
  <c r="AN65" i="15"/>
  <c r="AM74" i="15"/>
  <c r="AM34" i="15"/>
  <c r="AM73" i="15"/>
  <c r="AN31" i="15"/>
  <c r="AM102" i="15"/>
  <c r="AM47" i="15"/>
  <c r="AM57" i="15"/>
  <c r="AM64" i="15"/>
  <c r="AM23" i="15"/>
  <c r="AM12" i="15"/>
  <c r="AN54" i="15"/>
  <c r="AM97" i="15"/>
  <c r="AM110" i="15"/>
  <c r="AM98" i="15"/>
  <c r="AM83" i="15"/>
  <c r="AM51" i="15"/>
  <c r="AM63" i="15"/>
  <c r="AM25" i="15"/>
  <c r="AM36" i="15"/>
  <c r="AM62" i="15"/>
  <c r="AM18" i="15"/>
  <c r="AM30" i="15"/>
  <c r="AM99" i="15"/>
  <c r="AM16" i="15"/>
  <c r="AM37" i="15"/>
  <c r="AM93" i="15"/>
  <c r="AM46" i="15"/>
  <c r="AM13" i="15"/>
  <c r="AM80" i="15"/>
  <c r="AM35" i="15"/>
  <c r="AM61" i="15"/>
  <c r="AM107" i="15"/>
  <c r="AM17" i="15"/>
  <c r="AM27" i="15"/>
  <c r="AM15" i="15"/>
  <c r="AM79" i="15"/>
  <c r="AM86" i="15"/>
  <c r="AM39" i="15"/>
  <c r="AM103" i="15"/>
  <c r="AM53" i="15"/>
  <c r="AM91" i="15"/>
  <c r="AM92" i="15"/>
  <c r="AM104" i="15"/>
  <c r="AM71" i="15"/>
  <c r="AM26" i="15"/>
  <c r="AN20" i="15"/>
  <c r="AM75" i="15"/>
  <c r="AM24" i="15"/>
  <c r="AM96" i="15"/>
  <c r="AN87" i="15"/>
  <c r="AM105" i="15"/>
  <c r="AM82" i="15"/>
  <c r="AK9" i="15" l="1"/>
  <c r="AM45" i="15"/>
  <c r="AM33" i="15"/>
  <c r="AM22" i="15"/>
  <c r="AM11" i="15"/>
  <c r="AM78" i="15"/>
  <c r="AM56" i="15"/>
  <c r="AM67" i="15"/>
  <c r="AL44" i="15"/>
  <c r="AL10" i="15"/>
  <c r="AN8" i="15"/>
  <c r="AN48" i="15"/>
  <c r="AN28" i="15"/>
  <c r="AN25" i="15"/>
  <c r="AN75" i="15"/>
  <c r="AN106" i="15"/>
  <c r="AN35" i="15"/>
  <c r="AN92" i="15"/>
  <c r="AN85" i="15"/>
  <c r="AN70" i="15"/>
  <c r="AN62" i="15"/>
  <c r="AN80" i="15"/>
  <c r="AN110" i="15"/>
  <c r="AN61" i="15"/>
  <c r="AN74" i="15"/>
  <c r="AO76" i="15"/>
  <c r="AO31" i="15"/>
  <c r="AN109" i="15"/>
  <c r="AN30" i="15"/>
  <c r="AN47" i="15"/>
  <c r="AN93" i="15"/>
  <c r="AN36" i="15"/>
  <c r="AN86" i="15"/>
  <c r="AO87" i="15"/>
  <c r="AO65" i="15"/>
  <c r="AN73" i="15"/>
  <c r="AN24" i="15"/>
  <c r="AN68" i="15"/>
  <c r="AN51" i="15"/>
  <c r="AN46" i="15"/>
  <c r="AN37" i="15"/>
  <c r="AN91" i="15"/>
  <c r="AN63" i="15"/>
  <c r="AN103" i="15"/>
  <c r="AN69" i="15"/>
  <c r="AN59" i="15"/>
  <c r="AN27" i="15"/>
  <c r="AN79" i="15"/>
  <c r="AN72" i="15"/>
  <c r="AN19" i="15"/>
  <c r="AN15" i="15"/>
  <c r="AN104" i="15"/>
  <c r="AN58" i="15"/>
  <c r="AN60" i="15"/>
  <c r="AN18" i="15"/>
  <c r="AN40" i="15"/>
  <c r="AN84" i="15"/>
  <c r="AN23" i="15"/>
  <c r="AN39" i="15"/>
  <c r="AN97" i="15"/>
  <c r="AN16" i="15"/>
  <c r="AN107" i="15"/>
  <c r="AN96" i="15"/>
  <c r="AN57" i="15"/>
  <c r="AN26" i="15"/>
  <c r="AN105" i="15"/>
  <c r="AN102" i="15"/>
  <c r="AN52" i="15"/>
  <c r="AN17" i="15"/>
  <c r="AN81" i="15"/>
  <c r="AN83" i="15"/>
  <c r="AN98" i="15"/>
  <c r="AN53" i="15"/>
  <c r="AN41" i="15"/>
  <c r="AN50" i="15"/>
  <c r="AN71" i="15"/>
  <c r="AO20" i="15"/>
  <c r="AN14" i="15"/>
  <c r="AN49" i="15"/>
  <c r="AN82" i="15"/>
  <c r="AN64" i="15"/>
  <c r="AN108" i="15"/>
  <c r="AN95" i="15"/>
  <c r="AO54" i="15"/>
  <c r="AN38" i="15"/>
  <c r="AN12" i="15"/>
  <c r="AO42" i="15"/>
  <c r="AN34" i="15"/>
  <c r="AN29" i="15"/>
  <c r="AN99" i="15"/>
  <c r="AN13" i="15"/>
  <c r="AL9" i="15" l="1"/>
  <c r="AM44" i="15"/>
  <c r="AN33" i="15"/>
  <c r="AN22" i="15"/>
  <c r="AN45" i="15"/>
  <c r="AN11" i="15"/>
  <c r="AN78" i="15"/>
  <c r="AN67" i="15"/>
  <c r="AN56" i="15"/>
  <c r="AM10" i="15"/>
  <c r="AO8" i="15"/>
  <c r="AO64" i="15"/>
  <c r="AO83" i="15"/>
  <c r="AO29" i="15"/>
  <c r="AO74" i="15"/>
  <c r="AO35" i="15"/>
  <c r="AO28" i="15"/>
  <c r="AO107" i="15"/>
  <c r="AO25" i="15"/>
  <c r="AP31" i="15"/>
  <c r="AO95" i="15"/>
  <c r="AO99" i="15"/>
  <c r="AO96" i="15"/>
  <c r="AO86" i="15"/>
  <c r="AO19" i="15"/>
  <c r="AO103" i="15"/>
  <c r="AO36" i="15"/>
  <c r="AO51" i="15"/>
  <c r="AO13" i="15"/>
  <c r="AP87" i="15"/>
  <c r="AP42" i="15"/>
  <c r="AO84" i="15"/>
  <c r="AO68" i="15"/>
  <c r="AO71" i="15"/>
  <c r="AO57" i="15"/>
  <c r="AP20" i="15"/>
  <c r="AO34" i="15"/>
  <c r="AO106" i="15"/>
  <c r="AO23" i="15"/>
  <c r="AO60" i="15"/>
  <c r="AO80" i="15"/>
  <c r="AO104" i="15"/>
  <c r="AO41" i="15"/>
  <c r="AO63" i="15"/>
  <c r="AO110" i="15"/>
  <c r="AO92" i="15"/>
  <c r="AO50" i="15"/>
  <c r="AP65" i="15"/>
  <c r="AO81" i="15"/>
  <c r="AO16" i="15"/>
  <c r="AO75" i="15"/>
  <c r="AP76" i="15"/>
  <c r="AO98" i="15"/>
  <c r="AO72" i="15"/>
  <c r="AO37" i="15"/>
  <c r="AO69" i="15"/>
  <c r="AO58" i="15"/>
  <c r="AO62" i="15"/>
  <c r="AO24" i="15"/>
  <c r="AP54" i="15"/>
  <c r="AO105" i="15"/>
  <c r="AO93" i="15"/>
  <c r="AO47" i="15"/>
  <c r="AO26" i="15"/>
  <c r="AO38" i="15"/>
  <c r="AO85" i="15"/>
  <c r="AO70" i="15"/>
  <c r="AO79" i="15"/>
  <c r="AO46" i="15"/>
  <c r="AO39" i="15"/>
  <c r="AO109" i="15"/>
  <c r="AO97" i="15"/>
  <c r="AO52" i="15"/>
  <c r="AO12" i="15"/>
  <c r="AO48" i="15"/>
  <c r="AO27" i="15"/>
  <c r="AO91" i="15"/>
  <c r="AO17" i="15"/>
  <c r="AO53" i="15"/>
  <c r="AO30" i="15"/>
  <c r="AO108" i="15"/>
  <c r="AO40" i="15"/>
  <c r="AO18" i="15"/>
  <c r="AO59" i="15"/>
  <c r="AO61" i="15"/>
  <c r="AO73" i="15"/>
  <c r="AO14" i="15"/>
  <c r="AO82" i="15"/>
  <c r="AO49" i="15"/>
  <c r="AO102" i="15"/>
  <c r="AO15" i="15"/>
  <c r="AM9" i="15" l="1"/>
  <c r="AO45" i="15"/>
  <c r="AO56" i="15"/>
  <c r="AO33" i="15"/>
  <c r="AO22" i="15"/>
  <c r="AO11" i="15"/>
  <c r="AO78" i="15"/>
  <c r="AO67" i="15"/>
  <c r="AN44" i="15"/>
  <c r="AN10" i="15"/>
  <c r="AP8" i="15"/>
  <c r="AP82" i="15"/>
  <c r="AP70" i="15"/>
  <c r="AP53" i="15"/>
  <c r="AP105" i="15"/>
  <c r="AP59" i="15"/>
  <c r="AP47" i="15"/>
  <c r="AP58" i="15"/>
  <c r="AP92" i="15"/>
  <c r="AP41" i="15"/>
  <c r="AP60" i="15"/>
  <c r="AP73" i="15"/>
  <c r="AQ54" i="15"/>
  <c r="AP110" i="15"/>
  <c r="AP109" i="15"/>
  <c r="AP30" i="15"/>
  <c r="AP19" i="15"/>
  <c r="AP107" i="15"/>
  <c r="AP108" i="15"/>
  <c r="AP27" i="15"/>
  <c r="AP104" i="15"/>
  <c r="AP72" i="15"/>
  <c r="AQ42" i="15"/>
  <c r="AP49" i="15"/>
  <c r="AP25" i="15"/>
  <c r="AP83" i="15"/>
  <c r="AP57" i="15"/>
  <c r="AP93" i="15"/>
  <c r="AP102" i="15"/>
  <c r="AP18" i="15"/>
  <c r="AP79" i="15"/>
  <c r="AP24" i="15"/>
  <c r="AQ76" i="15"/>
  <c r="AP40" i="15"/>
  <c r="AP12" i="15"/>
  <c r="AP17" i="15"/>
  <c r="AP23" i="15"/>
  <c r="AQ31" i="15"/>
  <c r="AP39" i="15"/>
  <c r="AP48" i="15"/>
  <c r="AP35" i="15"/>
  <c r="AP74" i="15"/>
  <c r="AP14" i="15"/>
  <c r="AP16" i="15"/>
  <c r="AP103" i="15"/>
  <c r="AP106" i="15"/>
  <c r="AP61" i="15"/>
  <c r="AP52" i="15"/>
  <c r="AP29" i="15"/>
  <c r="AP34" i="15"/>
  <c r="AP62" i="15"/>
  <c r="AP75" i="15"/>
  <c r="AP38" i="15"/>
  <c r="AQ20" i="15"/>
  <c r="AP50" i="15"/>
  <c r="AP37" i="15"/>
  <c r="AP68" i="15"/>
  <c r="AP95" i="15"/>
  <c r="AP69" i="15"/>
  <c r="AP86" i="15"/>
  <c r="AP36" i="15"/>
  <c r="AQ87" i="15"/>
  <c r="AP85" i="15"/>
  <c r="AP46" i="15"/>
  <c r="AP98" i="15"/>
  <c r="AP91" i="15"/>
  <c r="AP80" i="15"/>
  <c r="AP97" i="15"/>
  <c r="AP13" i="15"/>
  <c r="AP64" i="15"/>
  <c r="AP63" i="15"/>
  <c r="AP99" i="15"/>
  <c r="AP96" i="15"/>
  <c r="AP84" i="15"/>
  <c r="AP15" i="15"/>
  <c r="AP81" i="15"/>
  <c r="AP71" i="15"/>
  <c r="AQ65" i="15"/>
  <c r="AP26" i="15"/>
  <c r="AP28" i="15"/>
  <c r="AP51" i="15"/>
  <c r="AN9" i="15" l="1"/>
  <c r="AO44" i="15"/>
  <c r="AP33" i="15"/>
  <c r="AP22" i="15"/>
  <c r="AP11" i="15"/>
  <c r="AP45" i="15"/>
  <c r="AP78" i="15"/>
  <c r="AP67" i="15"/>
  <c r="AP56" i="15"/>
  <c r="AO10" i="15"/>
  <c r="AQ8" i="15"/>
  <c r="AQ41" i="15"/>
  <c r="AQ71" i="15"/>
  <c r="AQ62" i="15"/>
  <c r="AQ92" i="15"/>
  <c r="AQ103" i="15"/>
  <c r="AQ46" i="15"/>
  <c r="AQ25" i="15"/>
  <c r="AQ16" i="15"/>
  <c r="AQ58" i="15"/>
  <c r="AQ72" i="15"/>
  <c r="AQ39" i="15"/>
  <c r="AQ82" i="15"/>
  <c r="AQ80" i="15"/>
  <c r="AQ59" i="15"/>
  <c r="AQ69" i="15"/>
  <c r="AQ86" i="15"/>
  <c r="AQ63" i="15"/>
  <c r="AQ14" i="15"/>
  <c r="AQ60" i="15"/>
  <c r="AQ24" i="15"/>
  <c r="AQ108" i="15"/>
  <c r="AQ40" i="15"/>
  <c r="AQ34" i="15"/>
  <c r="AQ38" i="15"/>
  <c r="AQ70" i="15"/>
  <c r="AQ81" i="15"/>
  <c r="AQ106" i="15"/>
  <c r="AQ49" i="15"/>
  <c r="AR31" i="15"/>
  <c r="AQ37" i="15"/>
  <c r="AQ48" i="15"/>
  <c r="AQ27" i="15"/>
  <c r="AQ19" i="15"/>
  <c r="AQ97" i="15"/>
  <c r="AQ74" i="15"/>
  <c r="AQ93" i="15"/>
  <c r="AQ84" i="15"/>
  <c r="AQ47" i="15"/>
  <c r="AQ36" i="15"/>
  <c r="AQ13" i="15"/>
  <c r="AQ105" i="15"/>
  <c r="AR54" i="15"/>
  <c r="AQ64" i="15"/>
  <c r="AQ75" i="15"/>
  <c r="AQ104" i="15"/>
  <c r="AQ99" i="15"/>
  <c r="AQ107" i="15"/>
  <c r="AQ95" i="15"/>
  <c r="AQ52" i="15"/>
  <c r="AQ61" i="15"/>
  <c r="AQ28" i="15"/>
  <c r="AQ79" i="15"/>
  <c r="AR42" i="15"/>
  <c r="AQ53" i="15"/>
  <c r="AQ91" i="15"/>
  <c r="AQ68" i="15"/>
  <c r="AQ110" i="15"/>
  <c r="AQ23" i="15"/>
  <c r="AQ57" i="15"/>
  <c r="AQ98" i="15"/>
  <c r="AQ73" i="15"/>
  <c r="AR76" i="15"/>
  <c r="AQ85" i="15"/>
  <c r="AQ35" i="15"/>
  <c r="AR20" i="15"/>
  <c r="AQ30" i="15"/>
  <c r="AR65" i="15"/>
  <c r="AQ26" i="15"/>
  <c r="AQ12" i="15"/>
  <c r="AQ102" i="15"/>
  <c r="AQ18" i="15"/>
  <c r="AR87" i="15"/>
  <c r="AQ109" i="15"/>
  <c r="AQ50" i="15"/>
  <c r="AQ51" i="15"/>
  <c r="AQ83" i="15"/>
  <c r="AQ17" i="15"/>
  <c r="AQ29" i="15"/>
  <c r="AQ96" i="15"/>
  <c r="AQ15" i="15"/>
  <c r="AO9" i="15" l="1"/>
  <c r="AQ56" i="15"/>
  <c r="AQ45" i="15"/>
  <c r="AQ33" i="15"/>
  <c r="AQ22" i="15"/>
  <c r="AQ11" i="15"/>
  <c r="AQ78" i="15"/>
  <c r="AQ67" i="15"/>
  <c r="AP44" i="15"/>
  <c r="AP10" i="15"/>
  <c r="AR8" i="15"/>
  <c r="AS54" i="15"/>
  <c r="AR86" i="15"/>
  <c r="AR83" i="15"/>
  <c r="AS65" i="15"/>
  <c r="AR61" i="15"/>
  <c r="AR79" i="15"/>
  <c r="AR35" i="15"/>
  <c r="AR12" i="15"/>
  <c r="AR57" i="15"/>
  <c r="AR105" i="15"/>
  <c r="AR106" i="15"/>
  <c r="AR52" i="15"/>
  <c r="AR23" i="15"/>
  <c r="AR70" i="15"/>
  <c r="AR84" i="15"/>
  <c r="AR109" i="15"/>
  <c r="AR68" i="15"/>
  <c r="AS42" i="15"/>
  <c r="AR29" i="15"/>
  <c r="AR24" i="15"/>
  <c r="AR36" i="15"/>
  <c r="AS87" i="15"/>
  <c r="AR69" i="15"/>
  <c r="AR73" i="15"/>
  <c r="AR53" i="15"/>
  <c r="AS31" i="15"/>
  <c r="AR81" i="15"/>
  <c r="AR38" i="15"/>
  <c r="AR80" i="15"/>
  <c r="AR98" i="15"/>
  <c r="AR59" i="15"/>
  <c r="AR99" i="15"/>
  <c r="AR28" i="15"/>
  <c r="AR103" i="15"/>
  <c r="AR37" i="15"/>
  <c r="AR97" i="15"/>
  <c r="AR74" i="15"/>
  <c r="AR91" i="15"/>
  <c r="AR25" i="15"/>
  <c r="AR92" i="15"/>
  <c r="AR107" i="15"/>
  <c r="AR85" i="15"/>
  <c r="AR95" i="15"/>
  <c r="AR26" i="15"/>
  <c r="AR51" i="15"/>
  <c r="AR15" i="15"/>
  <c r="AR16" i="15"/>
  <c r="AR63" i="15"/>
  <c r="AR30" i="15"/>
  <c r="AR96" i="15"/>
  <c r="AR17" i="15"/>
  <c r="AR48" i="15"/>
  <c r="AR102" i="15"/>
  <c r="AR64" i="15"/>
  <c r="AR58" i="15"/>
  <c r="AR108" i="15"/>
  <c r="AR13" i="15"/>
  <c r="AR82" i="15"/>
  <c r="AR60" i="15"/>
  <c r="AR39" i="15"/>
  <c r="AR93" i="15"/>
  <c r="AR71" i="15"/>
  <c r="AR104" i="15"/>
  <c r="AR72" i="15"/>
  <c r="AR34" i="15"/>
  <c r="AR49" i="15"/>
  <c r="AR62" i="15"/>
  <c r="AR19" i="15"/>
  <c r="AS20" i="15"/>
  <c r="AR27" i="15"/>
  <c r="AR75" i="15"/>
  <c r="AR46" i="15"/>
  <c r="AR50" i="15"/>
  <c r="AR14" i="15"/>
  <c r="AR18" i="15"/>
  <c r="AS76" i="15"/>
  <c r="AR40" i="15"/>
  <c r="AR47" i="15"/>
  <c r="AR110" i="15"/>
  <c r="AR41" i="15"/>
  <c r="AQ44" i="15" l="1"/>
  <c r="AP9" i="15"/>
  <c r="AR45" i="15"/>
  <c r="AR33" i="15"/>
  <c r="AR22" i="15"/>
  <c r="AR11" i="15"/>
  <c r="AR78" i="15"/>
  <c r="AR67" i="15"/>
  <c r="AR56" i="15"/>
  <c r="AQ10" i="15"/>
  <c r="AS8" i="15"/>
  <c r="AS28" i="15"/>
  <c r="AS23" i="15"/>
  <c r="AS63" i="15"/>
  <c r="AS46" i="15"/>
  <c r="AS49" i="15"/>
  <c r="AS109" i="15"/>
  <c r="AS60" i="15"/>
  <c r="AS61" i="15"/>
  <c r="AS86" i="15"/>
  <c r="AS47" i="15"/>
  <c r="AS73" i="15"/>
  <c r="AS40" i="15"/>
  <c r="AT20" i="15"/>
  <c r="AS52" i="15"/>
  <c r="AS102" i="15"/>
  <c r="AS108" i="15"/>
  <c r="AS96" i="15"/>
  <c r="AS82" i="15"/>
  <c r="AS12" i="15"/>
  <c r="AS62" i="15"/>
  <c r="AS103" i="15"/>
  <c r="AS15" i="15"/>
  <c r="AS27" i="15"/>
  <c r="AT42" i="15"/>
  <c r="AS39" i="15"/>
  <c r="AS83" i="15"/>
  <c r="AS92" i="15"/>
  <c r="AS104" i="15"/>
  <c r="AS38" i="15"/>
  <c r="AT65" i="15"/>
  <c r="AS48" i="15"/>
  <c r="AS17" i="15"/>
  <c r="AS26" i="15"/>
  <c r="AS35" i="15"/>
  <c r="AS14" i="15"/>
  <c r="AS72" i="15"/>
  <c r="AS79" i="15"/>
  <c r="AS50" i="15"/>
  <c r="AS37" i="15"/>
  <c r="AS36" i="15"/>
  <c r="AS93" i="15"/>
  <c r="AS71" i="15"/>
  <c r="AS59" i="15"/>
  <c r="AS105" i="15"/>
  <c r="AS75" i="15"/>
  <c r="AS16" i="15"/>
  <c r="AT31" i="15"/>
  <c r="AS13" i="15"/>
  <c r="AS57" i="15"/>
  <c r="AT76" i="15"/>
  <c r="AS41" i="15"/>
  <c r="AS18" i="15"/>
  <c r="AS70" i="15"/>
  <c r="AS110" i="15"/>
  <c r="AS69" i="15"/>
  <c r="AT54" i="15"/>
  <c r="AS99" i="15"/>
  <c r="AS91" i="15"/>
  <c r="AS106" i="15"/>
  <c r="AS80" i="15"/>
  <c r="AS85" i="15"/>
  <c r="AS81" i="15"/>
  <c r="AS98" i="15"/>
  <c r="AS30" i="15"/>
  <c r="AS51" i="15"/>
  <c r="AT87" i="15"/>
  <c r="AS29" i="15"/>
  <c r="AS34" i="15"/>
  <c r="AS58" i="15"/>
  <c r="AS19" i="15"/>
  <c r="AS95" i="15"/>
  <c r="AS107" i="15"/>
  <c r="AS68" i="15"/>
  <c r="AS74" i="15"/>
  <c r="AS84" i="15"/>
  <c r="AS97" i="15"/>
  <c r="AS24" i="15"/>
  <c r="AS64" i="15"/>
  <c r="AS25" i="15"/>
  <c r="AS53" i="15"/>
  <c r="AQ9" i="15" l="1"/>
  <c r="AS45" i="15"/>
  <c r="AS33" i="15"/>
  <c r="AS22" i="15"/>
  <c r="AS11" i="15"/>
  <c r="AS56" i="15"/>
  <c r="AS78" i="15"/>
  <c r="AS67" i="15"/>
  <c r="AR44" i="15"/>
  <c r="AR10" i="15"/>
  <c r="AT8" i="15"/>
  <c r="AT40" i="15"/>
  <c r="AT64" i="15"/>
  <c r="AT38" i="15"/>
  <c r="AT71" i="15"/>
  <c r="AT52" i="15"/>
  <c r="AT51" i="15"/>
  <c r="AT59" i="15"/>
  <c r="AT39" i="15"/>
  <c r="AU87" i="15"/>
  <c r="AT13" i="15"/>
  <c r="AT82" i="15"/>
  <c r="AT95" i="15"/>
  <c r="AT47" i="15"/>
  <c r="AT110" i="15"/>
  <c r="AT96" i="15"/>
  <c r="AT18" i="15"/>
  <c r="AT97" i="15"/>
  <c r="AU54" i="15"/>
  <c r="AT92" i="15"/>
  <c r="AT103" i="15"/>
  <c r="AT17" i="15"/>
  <c r="AT109" i="15"/>
  <c r="AT30" i="15"/>
  <c r="AT53" i="15"/>
  <c r="AT79" i="15"/>
  <c r="AT104" i="15"/>
  <c r="AT63" i="15"/>
  <c r="AT46" i="15"/>
  <c r="AT36" i="15"/>
  <c r="AT98" i="15"/>
  <c r="AT57" i="15"/>
  <c r="AT74" i="15"/>
  <c r="AT24" i="15"/>
  <c r="AU76" i="15"/>
  <c r="AT35" i="15"/>
  <c r="AT107" i="15"/>
  <c r="AT16" i="15"/>
  <c r="AT50" i="15"/>
  <c r="AU42" i="15"/>
  <c r="AT86" i="15"/>
  <c r="AT91" i="15"/>
  <c r="AT75" i="15"/>
  <c r="AT19" i="15"/>
  <c r="AT69" i="15"/>
  <c r="AT73" i="15"/>
  <c r="AU65" i="15"/>
  <c r="AT68" i="15"/>
  <c r="AT62" i="15"/>
  <c r="AT61" i="15"/>
  <c r="AT34" i="15"/>
  <c r="AT23" i="15"/>
  <c r="AT80" i="15"/>
  <c r="AT106" i="15"/>
  <c r="AT105" i="15"/>
  <c r="AT99" i="15"/>
  <c r="AT85" i="15"/>
  <c r="AT27" i="15"/>
  <c r="AT25" i="15"/>
  <c r="AU20" i="15"/>
  <c r="AT29" i="15"/>
  <c r="AT58" i="15"/>
  <c r="AT26" i="15"/>
  <c r="AT41" i="15"/>
  <c r="AT48" i="15"/>
  <c r="AT60" i="15"/>
  <c r="AT28" i="15"/>
  <c r="AT108" i="15"/>
  <c r="AT81" i="15"/>
  <c r="AT93" i="15"/>
  <c r="AT14" i="15"/>
  <c r="AT15" i="15"/>
  <c r="AT49" i="15"/>
  <c r="AT12" i="15"/>
  <c r="AT37" i="15"/>
  <c r="AU31" i="15"/>
  <c r="AT84" i="15"/>
  <c r="AT72" i="15"/>
  <c r="AT70" i="15"/>
  <c r="AT102" i="15"/>
  <c r="AT83" i="15"/>
  <c r="AR9" i="15" l="1"/>
  <c r="AS44" i="15"/>
  <c r="AT33" i="15"/>
  <c r="AT22" i="15"/>
  <c r="AT11" i="15"/>
  <c r="AT78" i="15"/>
  <c r="AT67" i="15"/>
  <c r="AT45" i="15"/>
  <c r="AT56" i="15"/>
  <c r="AS10" i="15"/>
  <c r="AU8" i="15"/>
  <c r="AU24" i="15"/>
  <c r="AU62" i="15"/>
  <c r="AU93" i="15"/>
  <c r="AU83" i="15"/>
  <c r="AU72" i="15"/>
  <c r="AU23" i="15"/>
  <c r="AU95" i="15"/>
  <c r="AV31" i="15"/>
  <c r="AU35" i="15"/>
  <c r="AU36" i="15"/>
  <c r="AU73" i="15"/>
  <c r="AU104" i="15"/>
  <c r="AU97" i="15"/>
  <c r="AV54" i="15"/>
  <c r="AU37" i="15"/>
  <c r="AU52" i="15"/>
  <c r="AU19" i="15"/>
  <c r="AU70" i="15"/>
  <c r="AU17" i="15"/>
  <c r="AU38" i="15"/>
  <c r="AU75" i="15"/>
  <c r="AU106" i="15"/>
  <c r="AU74" i="15"/>
  <c r="AU109" i="15"/>
  <c r="AU29" i="15"/>
  <c r="AU39" i="15"/>
  <c r="AU18" i="15"/>
  <c r="AU12" i="15"/>
  <c r="AU102" i="15"/>
  <c r="AU49" i="15"/>
  <c r="AU79" i="15"/>
  <c r="AU86" i="15"/>
  <c r="AU110" i="15"/>
  <c r="AU40" i="15"/>
  <c r="AU26" i="15"/>
  <c r="AU41" i="15"/>
  <c r="AU16" i="15"/>
  <c r="AU61" i="15"/>
  <c r="AU69" i="15"/>
  <c r="AU13" i="15"/>
  <c r="AU92" i="15"/>
  <c r="AU81" i="15"/>
  <c r="AU60" i="15"/>
  <c r="AU91" i="15"/>
  <c r="AU51" i="15"/>
  <c r="AU14" i="15"/>
  <c r="AU28" i="15"/>
  <c r="AU63" i="15"/>
  <c r="AU53" i="15"/>
  <c r="AU25" i="15"/>
  <c r="AU48" i="15"/>
  <c r="AV20" i="15"/>
  <c r="AU34" i="15"/>
  <c r="AV42" i="15"/>
  <c r="AV65" i="15"/>
  <c r="AU96" i="15"/>
  <c r="AU59" i="15"/>
  <c r="AU103" i="15"/>
  <c r="AU84" i="15"/>
  <c r="AU80" i="15"/>
  <c r="AU27" i="15"/>
  <c r="AU82" i="15"/>
  <c r="AV87" i="15"/>
  <c r="AU68" i="15"/>
  <c r="AV76" i="15"/>
  <c r="AU85" i="15"/>
  <c r="AU99" i="15"/>
  <c r="AU46" i="15"/>
  <c r="AU58" i="15"/>
  <c r="AU98" i="15"/>
  <c r="AU107" i="15"/>
  <c r="AU30" i="15"/>
  <c r="AU50" i="15"/>
  <c r="AU105" i="15"/>
  <c r="AU71" i="15"/>
  <c r="AU57" i="15"/>
  <c r="AU64" i="15"/>
  <c r="AU108" i="15"/>
  <c r="AU47" i="15"/>
  <c r="AU15" i="15"/>
  <c r="AS9" i="15" l="1"/>
  <c r="AU45" i="15"/>
  <c r="AU33" i="15"/>
  <c r="AU22" i="15"/>
  <c r="AU56" i="15"/>
  <c r="AU11" i="15"/>
  <c r="AU78" i="15"/>
  <c r="AU67" i="15"/>
  <c r="AT44" i="15"/>
  <c r="AT10" i="15"/>
  <c r="AV8" i="15"/>
  <c r="AV92" i="15"/>
  <c r="AV57" i="15"/>
  <c r="AV18" i="15"/>
  <c r="AV105" i="15"/>
  <c r="AV99" i="15"/>
  <c r="AV102" i="15"/>
  <c r="AW65" i="15"/>
  <c r="AV15" i="15"/>
  <c r="AV103" i="15"/>
  <c r="AV109" i="15"/>
  <c r="AV91" i="15"/>
  <c r="AV52" i="15"/>
  <c r="AV80" i="15"/>
  <c r="AV46" i="15"/>
  <c r="AV62" i="15"/>
  <c r="AV34" i="15"/>
  <c r="AV71" i="15"/>
  <c r="AV73" i="15"/>
  <c r="AV82" i="15"/>
  <c r="AV28" i="15"/>
  <c r="AV48" i="15"/>
  <c r="AV37" i="15"/>
  <c r="AV72" i="15"/>
  <c r="AV97" i="15"/>
  <c r="AV35" i="15"/>
  <c r="AV23" i="15"/>
  <c r="AV16" i="15"/>
  <c r="AV27" i="15"/>
  <c r="AW76" i="15"/>
  <c r="AV29" i="15"/>
  <c r="AV104" i="15"/>
  <c r="AV86" i="15"/>
  <c r="AV59" i="15"/>
  <c r="AV14" i="15"/>
  <c r="AV75" i="15"/>
  <c r="AV17" i="15"/>
  <c r="AV39" i="15"/>
  <c r="AV110" i="15"/>
  <c r="AV85" i="15"/>
  <c r="AV53" i="15"/>
  <c r="AW31" i="15"/>
  <c r="AV41" i="15"/>
  <c r="AV70" i="15"/>
  <c r="AV51" i="15"/>
  <c r="AV63" i="15"/>
  <c r="AW42" i="15"/>
  <c r="AV25" i="15"/>
  <c r="AV68" i="15"/>
  <c r="AV83" i="15"/>
  <c r="AV49" i="15"/>
  <c r="AW54" i="15"/>
  <c r="AV12" i="15"/>
  <c r="AV26" i="15"/>
  <c r="AV30" i="15"/>
  <c r="AV107" i="15"/>
  <c r="AV40" i="15"/>
  <c r="AV58" i="15"/>
  <c r="AV93" i="15"/>
  <c r="AV106" i="15"/>
  <c r="AV61" i="15"/>
  <c r="AV81" i="15"/>
  <c r="AV98" i="15"/>
  <c r="AV60" i="15"/>
  <c r="AW87" i="15"/>
  <c r="AV50" i="15"/>
  <c r="AV38" i="15"/>
  <c r="AV19" i="15"/>
  <c r="AW20" i="15"/>
  <c r="AV95" i="15"/>
  <c r="AV84" i="15"/>
  <c r="AV74" i="15"/>
  <c r="AV24" i="15"/>
  <c r="AV108" i="15"/>
  <c r="AV64" i="15"/>
  <c r="AV69" i="15"/>
  <c r="AV79" i="15"/>
  <c r="AV96" i="15"/>
  <c r="AV36" i="15"/>
  <c r="AV13" i="15"/>
  <c r="AV47" i="15"/>
  <c r="AT9" i="15" l="1"/>
  <c r="AU44" i="15"/>
  <c r="AV45" i="15"/>
  <c r="AV33" i="15"/>
  <c r="AV11" i="15"/>
  <c r="AV22" i="15"/>
  <c r="AV78" i="15"/>
  <c r="AV67" i="15"/>
  <c r="AV56" i="15"/>
  <c r="AU10" i="15"/>
  <c r="AW8" i="15"/>
  <c r="AW49" i="15"/>
  <c r="AW61" i="15"/>
  <c r="AW68" i="15"/>
  <c r="AW107" i="15"/>
  <c r="AW73" i="15"/>
  <c r="AW30" i="15"/>
  <c r="AX65" i="15"/>
  <c r="AW96" i="15"/>
  <c r="AW83" i="15"/>
  <c r="AX20" i="15"/>
  <c r="AW36" i="15"/>
  <c r="AW99" i="15"/>
  <c r="AW47" i="15"/>
  <c r="AX31" i="15"/>
  <c r="AW13" i="15"/>
  <c r="AW74" i="15"/>
  <c r="AW60" i="15"/>
  <c r="AW46" i="15"/>
  <c r="AW80" i="15"/>
  <c r="AW26" i="15"/>
  <c r="AW91" i="15"/>
  <c r="AW17" i="15"/>
  <c r="AW79" i="15"/>
  <c r="AW69" i="15"/>
  <c r="AX87" i="15"/>
  <c r="AW34" i="15"/>
  <c r="AX42" i="15"/>
  <c r="AW25" i="15"/>
  <c r="AW19" i="15"/>
  <c r="AW93" i="15"/>
  <c r="AW97" i="15"/>
  <c r="AW51" i="15"/>
  <c r="AW104" i="15"/>
  <c r="AW41" i="15"/>
  <c r="AW75" i="15"/>
  <c r="AW59" i="15"/>
  <c r="AW102" i="15"/>
  <c r="AW92" i="15"/>
  <c r="AW18" i="15"/>
  <c r="AW64" i="15"/>
  <c r="AW40" i="15"/>
  <c r="AW70" i="15"/>
  <c r="AW57" i="15"/>
  <c r="AW52" i="15"/>
  <c r="AW48" i="15"/>
  <c r="AW98" i="15"/>
  <c r="AW95" i="15"/>
  <c r="AW24" i="15"/>
  <c r="AW50" i="15"/>
  <c r="AW105" i="15"/>
  <c r="AX54" i="15"/>
  <c r="AW37" i="15"/>
  <c r="AW110" i="15"/>
  <c r="AW82" i="15"/>
  <c r="AW53" i="15"/>
  <c r="AW103" i="15"/>
  <c r="AW27" i="15"/>
  <c r="AW15" i="15"/>
  <c r="AW14" i="15"/>
  <c r="AW12" i="15"/>
  <c r="AW39" i="15"/>
  <c r="AW38" i="15"/>
  <c r="AW35" i="15"/>
  <c r="AW28" i="15"/>
  <c r="AW108" i="15"/>
  <c r="AW84" i="15"/>
  <c r="AW72" i="15"/>
  <c r="AW23" i="15"/>
  <c r="AW29" i="15"/>
  <c r="AW62" i="15"/>
  <c r="AW58" i="15"/>
  <c r="AW85" i="15"/>
  <c r="AW109" i="15"/>
  <c r="AW86" i="15"/>
  <c r="AW63" i="15"/>
  <c r="AW71" i="15"/>
  <c r="AW106" i="15"/>
  <c r="AW81" i="15"/>
  <c r="AW16" i="15"/>
  <c r="AX76" i="15"/>
  <c r="AU9" i="15" l="1"/>
  <c r="AW45" i="15"/>
  <c r="AW56" i="15"/>
  <c r="AW33" i="15"/>
  <c r="AW22" i="15"/>
  <c r="AW11" i="15"/>
  <c r="AW78" i="15"/>
  <c r="AW67" i="15"/>
  <c r="AV44" i="15"/>
  <c r="AV10" i="15"/>
  <c r="AX8" i="15"/>
  <c r="AX70" i="15"/>
  <c r="AX102" i="15"/>
  <c r="AX35" i="15"/>
  <c r="AY76" i="15"/>
  <c r="AX52" i="15"/>
  <c r="AX82" i="15"/>
  <c r="AX93" i="15"/>
  <c r="AX62" i="15"/>
  <c r="AX61" i="15"/>
  <c r="AX40" i="15"/>
  <c r="AX17" i="15"/>
  <c r="AX98" i="15"/>
  <c r="AX53" i="15"/>
  <c r="AX16" i="15"/>
  <c r="AX29" i="15"/>
  <c r="AX41" i="15"/>
  <c r="AX38" i="15"/>
  <c r="AX104" i="15"/>
  <c r="AX59" i="15"/>
  <c r="AX60" i="15"/>
  <c r="AX19" i="15"/>
  <c r="AX63" i="15"/>
  <c r="AX99" i="15"/>
  <c r="AX68" i="15"/>
  <c r="AX91" i="15"/>
  <c r="AX108" i="15"/>
  <c r="AX85" i="15"/>
  <c r="AX64" i="15"/>
  <c r="AX58" i="15"/>
  <c r="AX24" i="15"/>
  <c r="AX13" i="15"/>
  <c r="AX49" i="15"/>
  <c r="AX23" i="15"/>
  <c r="AX83" i="15"/>
  <c r="AX12" i="15"/>
  <c r="AX71" i="15"/>
  <c r="AX47" i="15"/>
  <c r="AY31" i="15"/>
  <c r="AX80" i="15"/>
  <c r="AX69" i="15"/>
  <c r="AX30" i="15"/>
  <c r="AX84" i="15"/>
  <c r="AX15" i="15"/>
  <c r="AX27" i="15"/>
  <c r="AX50" i="15"/>
  <c r="AX106" i="15"/>
  <c r="AX26" i="15"/>
  <c r="AX46" i="15"/>
  <c r="AX105" i="15"/>
  <c r="AX34" i="15"/>
  <c r="AX28" i="15"/>
  <c r="AX92" i="15"/>
  <c r="AX96" i="15"/>
  <c r="AY65" i="15"/>
  <c r="AX37" i="15"/>
  <c r="AX74" i="15"/>
  <c r="AX25" i="15"/>
  <c r="AX39" i="15"/>
  <c r="AY87" i="15"/>
  <c r="AX86" i="15"/>
  <c r="AX36" i="15"/>
  <c r="AX103" i="15"/>
  <c r="AX81" i="15"/>
  <c r="AX95" i="15"/>
  <c r="AX110" i="15"/>
  <c r="AY54" i="15"/>
  <c r="AY42" i="15"/>
  <c r="AX57" i="15"/>
  <c r="AX48" i="15"/>
  <c r="AX73" i="15"/>
  <c r="AX107" i="15"/>
  <c r="AX79" i="15"/>
  <c r="AX97" i="15"/>
  <c r="AX109" i="15"/>
  <c r="AX75" i="15"/>
  <c r="AX51" i="15"/>
  <c r="AX14" i="15"/>
  <c r="AY20" i="15"/>
  <c r="AX72" i="15"/>
  <c r="AX18" i="15"/>
  <c r="AW44" i="15" l="1"/>
  <c r="AV9" i="15"/>
  <c r="AX33" i="15"/>
  <c r="AX22" i="15"/>
  <c r="AX11" i="15"/>
  <c r="AX45" i="15"/>
  <c r="AX78" i="15"/>
  <c r="AX67" i="15"/>
  <c r="AX56" i="15"/>
  <c r="AW10" i="15"/>
  <c r="AY8" i="15"/>
  <c r="AY52" i="15"/>
  <c r="AY30" i="15"/>
  <c r="AY51" i="15"/>
  <c r="AY84" i="15"/>
  <c r="AY80" i="15"/>
  <c r="AY72" i="15"/>
  <c r="AZ54" i="15"/>
  <c r="AZ76" i="15"/>
  <c r="AY41" i="15"/>
  <c r="AY64" i="15"/>
  <c r="AY82" i="15"/>
  <c r="AZ87" i="15"/>
  <c r="AY79" i="15"/>
  <c r="AY50" i="15"/>
  <c r="AY13" i="15"/>
  <c r="AY58" i="15"/>
  <c r="AY27" i="15"/>
  <c r="AY39" i="15"/>
  <c r="AY95" i="15"/>
  <c r="AY70" i="15"/>
  <c r="AY105" i="15"/>
  <c r="AY108" i="15"/>
  <c r="AY38" i="15"/>
  <c r="AY74" i="15"/>
  <c r="AY99" i="15"/>
  <c r="AY60" i="15"/>
  <c r="AY34" i="15"/>
  <c r="AY104" i="15"/>
  <c r="AY35" i="15"/>
  <c r="AY81" i="15"/>
  <c r="AZ42" i="15"/>
  <c r="AY83" i="15"/>
  <c r="AY106" i="15"/>
  <c r="AY47" i="15"/>
  <c r="AY26" i="15"/>
  <c r="AY103" i="15"/>
  <c r="AY93" i="15"/>
  <c r="AY24" i="15"/>
  <c r="AY75" i="15"/>
  <c r="AY40" i="15"/>
  <c r="AY29" i="15"/>
  <c r="AY19" i="15"/>
  <c r="AY37" i="15"/>
  <c r="AZ20" i="15"/>
  <c r="AY61" i="15"/>
  <c r="AY62" i="15"/>
  <c r="AY102" i="15"/>
  <c r="AY53" i="15"/>
  <c r="AY15" i="15"/>
  <c r="AY69" i="15"/>
  <c r="AY48" i="15"/>
  <c r="AY23" i="15"/>
  <c r="AY110" i="15"/>
  <c r="AY57" i="15"/>
  <c r="AZ65" i="15"/>
  <c r="AY36" i="15"/>
  <c r="AY71" i="15"/>
  <c r="AY17" i="15"/>
  <c r="AZ31" i="15"/>
  <c r="AY12" i="15"/>
  <c r="AY92" i="15"/>
  <c r="AY73" i="15"/>
  <c r="AY68" i="15"/>
  <c r="AY63" i="15"/>
  <c r="AY98" i="15"/>
  <c r="AY107" i="15"/>
  <c r="AY96" i="15"/>
  <c r="AY85" i="15"/>
  <c r="AY49" i="15"/>
  <c r="AY59" i="15"/>
  <c r="AY18" i="15"/>
  <c r="AY46" i="15"/>
  <c r="AY109" i="15"/>
  <c r="AY86" i="15"/>
  <c r="AY97" i="15"/>
  <c r="AY91" i="15"/>
  <c r="AY28" i="15"/>
  <c r="AY25" i="15"/>
  <c r="AY16" i="15"/>
  <c r="AY14" i="15"/>
  <c r="AW9" i="15" l="1"/>
  <c r="AY56" i="15"/>
  <c r="AY45" i="15"/>
  <c r="AY33" i="15"/>
  <c r="AY22" i="15"/>
  <c r="AY11" i="15"/>
  <c r="AY78" i="15"/>
  <c r="AY67" i="15"/>
  <c r="AX44" i="15"/>
  <c r="AX10" i="15"/>
  <c r="AZ8" i="15"/>
  <c r="AZ104" i="15"/>
  <c r="AZ110" i="15"/>
  <c r="AZ57" i="15"/>
  <c r="AZ102" i="15"/>
  <c r="AZ60" i="15"/>
  <c r="AZ86" i="15"/>
  <c r="AZ71" i="15"/>
  <c r="AZ62" i="15"/>
  <c r="AZ28" i="15"/>
  <c r="AZ30" i="15"/>
  <c r="AZ75" i="15"/>
  <c r="AZ19" i="15"/>
  <c r="AZ91" i="15"/>
  <c r="BA54" i="15"/>
  <c r="AZ48" i="15"/>
  <c r="BA31" i="15"/>
  <c r="BA76" i="15"/>
  <c r="AZ39" i="15"/>
  <c r="AZ34" i="15"/>
  <c r="AZ98" i="15"/>
  <c r="AZ92" i="15"/>
  <c r="BA65" i="15"/>
  <c r="AZ24" i="15"/>
  <c r="AZ18" i="15"/>
  <c r="AZ81" i="15"/>
  <c r="AZ36" i="15"/>
  <c r="AZ16" i="15"/>
  <c r="AZ41" i="15"/>
  <c r="AZ26" i="15"/>
  <c r="AZ68" i="15"/>
  <c r="AZ108" i="15"/>
  <c r="AZ12" i="15"/>
  <c r="AZ46" i="15"/>
  <c r="AZ51" i="15"/>
  <c r="AZ107" i="15"/>
  <c r="AZ105" i="15"/>
  <c r="AZ29" i="15"/>
  <c r="AZ70" i="15"/>
  <c r="AZ95" i="15"/>
  <c r="AZ23" i="15"/>
  <c r="AZ79" i="15"/>
  <c r="AZ106" i="15"/>
  <c r="AZ103" i="15"/>
  <c r="AZ17" i="15"/>
  <c r="AZ49" i="15"/>
  <c r="AZ27" i="15"/>
  <c r="AZ84" i="15"/>
  <c r="AZ109" i="15"/>
  <c r="AZ61" i="15"/>
  <c r="AZ73" i="15"/>
  <c r="AZ53" i="15"/>
  <c r="AZ83" i="15"/>
  <c r="AZ69" i="15"/>
  <c r="AZ59" i="15"/>
  <c r="AZ72" i="15"/>
  <c r="AZ74" i="15"/>
  <c r="AZ47" i="15"/>
  <c r="AZ58" i="15"/>
  <c r="AZ37" i="15"/>
  <c r="AZ64" i="15"/>
  <c r="AZ52" i="15"/>
  <c r="AZ35" i="15"/>
  <c r="BA42" i="15"/>
  <c r="AZ50" i="15"/>
  <c r="AZ85" i="15"/>
  <c r="AZ63" i="15"/>
  <c r="AZ38" i="15"/>
  <c r="AZ93" i="15"/>
  <c r="AZ97" i="15"/>
  <c r="AZ13" i="15"/>
  <c r="AZ25" i="15"/>
  <c r="AZ40" i="15"/>
  <c r="AZ80" i="15"/>
  <c r="AZ15" i="15"/>
  <c r="AZ82" i="15"/>
  <c r="AZ99" i="15"/>
  <c r="BA87" i="15"/>
  <c r="AZ96" i="15"/>
  <c r="AZ14" i="15"/>
  <c r="BA20" i="15"/>
  <c r="AX9" i="15" l="1"/>
  <c r="AY44" i="15"/>
  <c r="AZ33" i="15"/>
  <c r="AZ22" i="15"/>
  <c r="AZ11" i="15"/>
  <c r="AZ45" i="15"/>
  <c r="AZ78" i="15"/>
  <c r="AZ67" i="15"/>
  <c r="AZ56" i="15"/>
  <c r="AY10" i="15"/>
  <c r="BA8" i="15"/>
  <c r="BA37" i="15"/>
  <c r="BB54" i="15"/>
  <c r="BA29" i="15"/>
  <c r="BA30" i="15"/>
  <c r="BA86" i="15"/>
  <c r="BA17" i="15"/>
  <c r="BA26" i="15"/>
  <c r="BA47" i="15"/>
  <c r="BA68" i="15"/>
  <c r="BA16" i="15"/>
  <c r="BA98" i="15"/>
  <c r="BA80" i="15"/>
  <c r="BB87" i="15"/>
  <c r="BA74" i="15"/>
  <c r="BA72" i="15"/>
  <c r="BA24" i="15"/>
  <c r="BA69" i="15"/>
  <c r="BA110" i="15"/>
  <c r="BA79" i="15"/>
  <c r="BA35" i="15"/>
  <c r="BA73" i="15"/>
  <c r="BB20" i="15"/>
  <c r="BA97" i="15"/>
  <c r="BA27" i="15"/>
  <c r="BA107" i="15"/>
  <c r="BA71" i="15"/>
  <c r="BA34" i="15"/>
  <c r="BA57" i="15"/>
  <c r="BA53" i="15"/>
  <c r="BA40" i="15"/>
  <c r="BA99" i="15"/>
  <c r="BA50" i="15"/>
  <c r="BA61" i="15"/>
  <c r="BA12" i="15"/>
  <c r="BA81" i="15"/>
  <c r="BA19" i="15"/>
  <c r="BA103" i="15"/>
  <c r="BB31" i="15"/>
  <c r="BA105" i="15"/>
  <c r="BA36" i="15"/>
  <c r="BA104" i="15"/>
  <c r="BA75" i="15"/>
  <c r="BA102" i="15"/>
  <c r="BA39" i="15"/>
  <c r="BA58" i="15"/>
  <c r="BA108" i="15"/>
  <c r="BB76" i="15"/>
  <c r="BA52" i="15"/>
  <c r="BA70" i="15"/>
  <c r="BA51" i="15"/>
  <c r="BA85" i="15"/>
  <c r="BB42" i="15"/>
  <c r="BA63" i="15"/>
  <c r="BA13" i="15"/>
  <c r="BA23" i="15"/>
  <c r="BA38" i="15"/>
  <c r="BA48" i="15"/>
  <c r="BA41" i="15"/>
  <c r="BA109" i="15"/>
  <c r="BA46" i="15"/>
  <c r="BA59" i="15"/>
  <c r="BA15" i="15"/>
  <c r="BA60" i="15"/>
  <c r="BA91" i="15"/>
  <c r="BA96" i="15"/>
  <c r="BA25" i="15"/>
  <c r="BA92" i="15"/>
  <c r="BB65" i="15"/>
  <c r="BA83" i="15"/>
  <c r="BA49" i="15"/>
  <c r="BA93" i="15"/>
  <c r="BA82" i="15"/>
  <c r="BA28" i="15"/>
  <c r="BA64" i="15"/>
  <c r="BA18" i="15"/>
  <c r="BA84" i="15"/>
  <c r="BA106" i="15"/>
  <c r="BA95" i="15"/>
  <c r="BA14" i="15"/>
  <c r="BA62" i="15"/>
  <c r="AY9" i="15" l="1"/>
  <c r="BA56" i="15"/>
  <c r="BA45" i="15"/>
  <c r="BA33" i="15"/>
  <c r="BA22" i="15"/>
  <c r="BA11" i="15"/>
  <c r="BA78" i="15"/>
  <c r="BA67" i="15"/>
  <c r="AZ44" i="15"/>
  <c r="AZ10" i="15"/>
  <c r="BB8" i="15"/>
  <c r="BC87" i="15"/>
  <c r="BB86" i="15"/>
  <c r="BB99" i="15"/>
  <c r="BB64" i="15"/>
  <c r="BB53" i="15"/>
  <c r="BB58" i="15"/>
  <c r="BB68" i="15"/>
  <c r="BB79" i="15"/>
  <c r="BB17" i="15"/>
  <c r="BB19" i="15"/>
  <c r="BB110" i="15"/>
  <c r="BC20" i="15"/>
  <c r="BB60" i="15"/>
  <c r="BB13" i="15"/>
  <c r="BB34" i="15"/>
  <c r="BB15" i="15"/>
  <c r="BB62" i="15"/>
  <c r="BB80" i="15"/>
  <c r="BB91" i="15"/>
  <c r="BB97" i="15"/>
  <c r="BB93" i="15"/>
  <c r="BB107" i="15"/>
  <c r="BB16" i="15"/>
  <c r="BC76" i="15"/>
  <c r="BB98" i="15"/>
  <c r="BB40" i="15"/>
  <c r="BB35" i="15"/>
  <c r="BB74" i="15"/>
  <c r="BC42" i="15"/>
  <c r="BB49" i="15"/>
  <c r="BB106" i="15"/>
  <c r="BB85" i="15"/>
  <c r="BB25" i="15"/>
  <c r="BB36" i="15"/>
  <c r="BB104" i="15"/>
  <c r="BB50" i="15"/>
  <c r="BB14" i="15"/>
  <c r="BC31" i="15"/>
  <c r="BB83" i="15"/>
  <c r="BB73" i="15"/>
  <c r="BB105" i="15"/>
  <c r="BC65" i="15"/>
  <c r="BB102" i="15"/>
  <c r="BB29" i="15"/>
  <c r="BB52" i="15"/>
  <c r="BB57" i="15"/>
  <c r="BB70" i="15"/>
  <c r="BB46" i="15"/>
  <c r="BB27" i="15"/>
  <c r="BC54" i="15"/>
  <c r="BB28" i="15"/>
  <c r="BB47" i="15"/>
  <c r="BB30" i="15"/>
  <c r="BB95" i="15"/>
  <c r="BB71" i="15"/>
  <c r="BB18" i="15"/>
  <c r="BB69" i="15"/>
  <c r="BB12" i="15"/>
  <c r="BB75" i="15"/>
  <c r="BB26" i="15"/>
  <c r="BB63" i="15"/>
  <c r="BB92" i="15"/>
  <c r="BB109" i="15"/>
  <c r="BB24" i="15"/>
  <c r="BB82" i="15"/>
  <c r="BB37" i="15"/>
  <c r="BB39" i="15"/>
  <c r="BB59" i="15"/>
  <c r="BB103" i="15"/>
  <c r="BB108" i="15"/>
  <c r="BB41" i="15"/>
  <c r="BB96" i="15"/>
  <c r="BB23" i="15"/>
  <c r="BB81" i="15"/>
  <c r="BB61" i="15"/>
  <c r="BB51" i="15"/>
  <c r="BB84" i="15"/>
  <c r="BB72" i="15"/>
  <c r="BB48" i="15"/>
  <c r="BB38" i="15"/>
  <c r="AZ9" i="15" l="1"/>
  <c r="BA44" i="15"/>
  <c r="BB33" i="15"/>
  <c r="BB22" i="15"/>
  <c r="BB11" i="15"/>
  <c r="BB45" i="15"/>
  <c r="BB78" i="15"/>
  <c r="BB67" i="15"/>
  <c r="BB56" i="15"/>
  <c r="BA10" i="15"/>
  <c r="BC8" i="15"/>
  <c r="BC47" i="15"/>
  <c r="BC75" i="15"/>
  <c r="BC97" i="15"/>
  <c r="BC37" i="15"/>
  <c r="BC14" i="15"/>
  <c r="BC51" i="15"/>
  <c r="BC108" i="15"/>
  <c r="BC86" i="15"/>
  <c r="BC36" i="15"/>
  <c r="BC102" i="15"/>
  <c r="BC99" i="15"/>
  <c r="BC46" i="15"/>
  <c r="BD20" i="15"/>
  <c r="BC52" i="15"/>
  <c r="BC62" i="15"/>
  <c r="BD54" i="15"/>
  <c r="BC35" i="15"/>
  <c r="BD65" i="15"/>
  <c r="BC49" i="15"/>
  <c r="BC103" i="15"/>
  <c r="BC57" i="15"/>
  <c r="BC81" i="15"/>
  <c r="BC12" i="15"/>
  <c r="BC64" i="15"/>
  <c r="BC48" i="15"/>
  <c r="BC30" i="15"/>
  <c r="BC70" i="15"/>
  <c r="BC80" i="15"/>
  <c r="BC59" i="15"/>
  <c r="BC41" i="15"/>
  <c r="BC17" i="15"/>
  <c r="BC69" i="15"/>
  <c r="BC19" i="15"/>
  <c r="BC27" i="15"/>
  <c r="BC110" i="15"/>
  <c r="BD31" i="15"/>
  <c r="BC85" i="15"/>
  <c r="BC68" i="15"/>
  <c r="BC50" i="15"/>
  <c r="BC29" i="15"/>
  <c r="BC24" i="15"/>
  <c r="BC107" i="15"/>
  <c r="BC25" i="15"/>
  <c r="BC72" i="15"/>
  <c r="BD76" i="15"/>
  <c r="BC40" i="15"/>
  <c r="BC63" i="15"/>
  <c r="BC105" i="15"/>
  <c r="BD42" i="15"/>
  <c r="BC91" i="15"/>
  <c r="BC95" i="15"/>
  <c r="BC34" i="15"/>
  <c r="BC71" i="15"/>
  <c r="BC98" i="15"/>
  <c r="BC109" i="15"/>
  <c r="BC73" i="15"/>
  <c r="BC23" i="15"/>
  <c r="BC79" i="15"/>
  <c r="BC82" i="15"/>
  <c r="BC39" i="15"/>
  <c r="BC15" i="15"/>
  <c r="BC28" i="15"/>
  <c r="BC16" i="15"/>
  <c r="BC92" i="15"/>
  <c r="BC74" i="15"/>
  <c r="BC93" i="15"/>
  <c r="BC61" i="15"/>
  <c r="BC104" i="15"/>
  <c r="BC58" i="15"/>
  <c r="BC84" i="15"/>
  <c r="BC13" i="15"/>
  <c r="BC53" i="15"/>
  <c r="BD87" i="15"/>
  <c r="BC26" i="15"/>
  <c r="BC60" i="15"/>
  <c r="BC96" i="15"/>
  <c r="BC38" i="15"/>
  <c r="BC83" i="15"/>
  <c r="BC106" i="15"/>
  <c r="BC18" i="15"/>
  <c r="BA9" i="15" l="1"/>
  <c r="BB44" i="15"/>
  <c r="BC45" i="15"/>
  <c r="BC22" i="15"/>
  <c r="BC11" i="15"/>
  <c r="BC33" i="15"/>
  <c r="BC78" i="15"/>
  <c r="BC56" i="15"/>
  <c r="BC67" i="15"/>
  <c r="BB10" i="15"/>
  <c r="BD8" i="15"/>
  <c r="BE31" i="15"/>
  <c r="BE76" i="15"/>
  <c r="BD69" i="15"/>
  <c r="BD84" i="15"/>
  <c r="BD19" i="15"/>
  <c r="BD26" i="15"/>
  <c r="BD75" i="15"/>
  <c r="BD53" i="15"/>
  <c r="BD99" i="15"/>
  <c r="BD47" i="15"/>
  <c r="BD110" i="15"/>
  <c r="BD107" i="15"/>
  <c r="BD109" i="15"/>
  <c r="BD91" i="15"/>
  <c r="BD102" i="15"/>
  <c r="BD59" i="15"/>
  <c r="BD23" i="15"/>
  <c r="BD34" i="15"/>
  <c r="BD12" i="15"/>
  <c r="BD68" i="15"/>
  <c r="BD38" i="15"/>
  <c r="BD92" i="15"/>
  <c r="BD16" i="15"/>
  <c r="BD73" i="15"/>
  <c r="BD39" i="15"/>
  <c r="BD18" i="15"/>
  <c r="BD63" i="15"/>
  <c r="BD70" i="15"/>
  <c r="BD46" i="15"/>
  <c r="BD74" i="15"/>
  <c r="BD79" i="15"/>
  <c r="BD48" i="15"/>
  <c r="BD29" i="15"/>
  <c r="BD17" i="15"/>
  <c r="BD49" i="15"/>
  <c r="BD30" i="15"/>
  <c r="BD58" i="15"/>
  <c r="BD97" i="15"/>
  <c r="BE42" i="15"/>
  <c r="BD82" i="15"/>
  <c r="BE20" i="15"/>
  <c r="BE87" i="15"/>
  <c r="BE54" i="15"/>
  <c r="BD83" i="15"/>
  <c r="BD15" i="15"/>
  <c r="BD81" i="15"/>
  <c r="BD103" i="15"/>
  <c r="BD57" i="15"/>
  <c r="BD14" i="15"/>
  <c r="BD36" i="15"/>
  <c r="BD51" i="15"/>
  <c r="BD35" i="15"/>
  <c r="BD37" i="15"/>
  <c r="BD13" i="15"/>
  <c r="BD71" i="15"/>
  <c r="BE65" i="15"/>
  <c r="BD27" i="15"/>
  <c r="BD105" i="15"/>
  <c r="BD52" i="15"/>
  <c r="BD80" i="15"/>
  <c r="BD85" i="15"/>
  <c r="BD61" i="15"/>
  <c r="BD41" i="15"/>
  <c r="BD104" i="15"/>
  <c r="BD64" i="15"/>
  <c r="BD98" i="15"/>
  <c r="BD25" i="15"/>
  <c r="BD106" i="15"/>
  <c r="BD62" i="15"/>
  <c r="BD50" i="15"/>
  <c r="BD86" i="15"/>
  <c r="BD28" i="15"/>
  <c r="BD40" i="15"/>
  <c r="BD24" i="15"/>
  <c r="BD96" i="15"/>
  <c r="BD108" i="15"/>
  <c r="BD72" i="15"/>
  <c r="BD95" i="15"/>
  <c r="BD93" i="15"/>
  <c r="BD60" i="15"/>
  <c r="BB9" i="15" l="1"/>
  <c r="BC10" i="15"/>
  <c r="BC44" i="15"/>
  <c r="BD45" i="15"/>
  <c r="BD33" i="15"/>
  <c r="BD22" i="15"/>
  <c r="BD11" i="15"/>
  <c r="BD78" i="15"/>
  <c r="BD56" i="15"/>
  <c r="BD67" i="15"/>
  <c r="BE8" i="15"/>
  <c r="BE58" i="15"/>
  <c r="BE99" i="15"/>
  <c r="BE68" i="15"/>
  <c r="BE50" i="15"/>
  <c r="BE14" i="15"/>
  <c r="BE110" i="15"/>
  <c r="BE57" i="15"/>
  <c r="BE71" i="15"/>
  <c r="BE72" i="15"/>
  <c r="BE61" i="15"/>
  <c r="BE34" i="15"/>
  <c r="BE106" i="15"/>
  <c r="BE75" i="15"/>
  <c r="BE25" i="15"/>
  <c r="BE60" i="15"/>
  <c r="BE97" i="15"/>
  <c r="BE51" i="15"/>
  <c r="BE46" i="15"/>
  <c r="BE62" i="15"/>
  <c r="BE13" i="15"/>
  <c r="BE73" i="15"/>
  <c r="BE79" i="15"/>
  <c r="BE41" i="15"/>
  <c r="BE74" i="15"/>
  <c r="BE109" i="15"/>
  <c r="BE105" i="15"/>
  <c r="BE81" i="15"/>
  <c r="BE30" i="15"/>
  <c r="BE48" i="15"/>
  <c r="BE69" i="15"/>
  <c r="BE63" i="15"/>
  <c r="BE17" i="15"/>
  <c r="BE85" i="15"/>
  <c r="BE70" i="15"/>
  <c r="BF42" i="15"/>
  <c r="BE49" i="15"/>
  <c r="BE82" i="15"/>
  <c r="BE26" i="15"/>
  <c r="BE84" i="15"/>
  <c r="BE80" i="15"/>
  <c r="BE86" i="15"/>
  <c r="BE108" i="15"/>
  <c r="BE59" i="15"/>
  <c r="BE15" i="15"/>
  <c r="BE95" i="15"/>
  <c r="BE53" i="15"/>
  <c r="BE39" i="15"/>
  <c r="BE37" i="15"/>
  <c r="BF20" i="15"/>
  <c r="BE93" i="15"/>
  <c r="BF87" i="15"/>
  <c r="BE98" i="15"/>
  <c r="BE107" i="15"/>
  <c r="BE19" i="15"/>
  <c r="BE83" i="15"/>
  <c r="BE18" i="15"/>
  <c r="BE16" i="15"/>
  <c r="BF31" i="15"/>
  <c r="BE29" i="15"/>
  <c r="BE35" i="15"/>
  <c r="BF65" i="15"/>
  <c r="BE91" i="15"/>
  <c r="BE104" i="15"/>
  <c r="BE47" i="15"/>
  <c r="BE102" i="15"/>
  <c r="BE64" i="15"/>
  <c r="BE40" i="15"/>
  <c r="BE36" i="15"/>
  <c r="BF76" i="15"/>
  <c r="BF54" i="15"/>
  <c r="BE38" i="15"/>
  <c r="BE27" i="15"/>
  <c r="BE96" i="15"/>
  <c r="BE12" i="15"/>
  <c r="BE103" i="15"/>
  <c r="BE28" i="15"/>
  <c r="BE52" i="15"/>
  <c r="BE24" i="15"/>
  <c r="BE23" i="15"/>
  <c r="BE92" i="15"/>
  <c r="BC9" i="15" l="1"/>
  <c r="BD44" i="15"/>
  <c r="BE67" i="15"/>
  <c r="BE56" i="15"/>
  <c r="BE45" i="15"/>
  <c r="BE33" i="15"/>
  <c r="BE22" i="15"/>
  <c r="BE11" i="15"/>
  <c r="BE78" i="15"/>
  <c r="BD10" i="15"/>
  <c r="BF8" i="15"/>
  <c r="BF79" i="15"/>
  <c r="BF16" i="15"/>
  <c r="BF99" i="15"/>
  <c r="BF35" i="15"/>
  <c r="BF29" i="15"/>
  <c r="BG54" i="15"/>
  <c r="BF68" i="15"/>
  <c r="BF30" i="15"/>
  <c r="BF72" i="15"/>
  <c r="BF82" i="15"/>
  <c r="BF83" i="15"/>
  <c r="BF97" i="15"/>
  <c r="BF25" i="15"/>
  <c r="BF19" i="15"/>
  <c r="BF14" i="15"/>
  <c r="BF80" i="15"/>
  <c r="BF34" i="15"/>
  <c r="BF60" i="15"/>
  <c r="BF103" i="15"/>
  <c r="BF81" i="15"/>
  <c r="BG65" i="15"/>
  <c r="BF48" i="15"/>
  <c r="BF23" i="15"/>
  <c r="BF84" i="15"/>
  <c r="BF74" i="15"/>
  <c r="BF28" i="15"/>
  <c r="BF106" i="15"/>
  <c r="BG76" i="15"/>
  <c r="BF92" i="15"/>
  <c r="BG31" i="15"/>
  <c r="BF15" i="15"/>
  <c r="BF37" i="15"/>
  <c r="BF64" i="15"/>
  <c r="BF105" i="15"/>
  <c r="BF75" i="15"/>
  <c r="BF95" i="15"/>
  <c r="BF41" i="15"/>
  <c r="BF38" i="15"/>
  <c r="BF13" i="15"/>
  <c r="BF50" i="15"/>
  <c r="BF93" i="15"/>
  <c r="BF71" i="15"/>
  <c r="BF51" i="15"/>
  <c r="BF107" i="15"/>
  <c r="BF52" i="15"/>
  <c r="BF73" i="15"/>
  <c r="BF61" i="15"/>
  <c r="BF109" i="15"/>
  <c r="BF110" i="15"/>
  <c r="BF49" i="15"/>
  <c r="BF46" i="15"/>
  <c r="BF12" i="15"/>
  <c r="BF104" i="15"/>
  <c r="BG42" i="15"/>
  <c r="BF91" i="15"/>
  <c r="BF40" i="15"/>
  <c r="BF98" i="15"/>
  <c r="BF96" i="15"/>
  <c r="BF63" i="15"/>
  <c r="BG20" i="15"/>
  <c r="BF47" i="15"/>
  <c r="BF86" i="15"/>
  <c r="BF36" i="15"/>
  <c r="BF69" i="15"/>
  <c r="BF53" i="15"/>
  <c r="BF85" i="15"/>
  <c r="BF24" i="15"/>
  <c r="BF108" i="15"/>
  <c r="BF102" i="15"/>
  <c r="BG87" i="15"/>
  <c r="BF58" i="15"/>
  <c r="BF62" i="15"/>
  <c r="BF57" i="15"/>
  <c r="BF27" i="15"/>
  <c r="BF26" i="15"/>
  <c r="BF18" i="15"/>
  <c r="BF59" i="15"/>
  <c r="BF17" i="15"/>
  <c r="BF39" i="15"/>
  <c r="BF70" i="15"/>
  <c r="BD9" i="15" l="1"/>
  <c r="BF56" i="15"/>
  <c r="BF45" i="15"/>
  <c r="BF11" i="15"/>
  <c r="BF22" i="15"/>
  <c r="BF33" i="15"/>
  <c r="BF78" i="15"/>
  <c r="BF67" i="15"/>
  <c r="BE10" i="15"/>
  <c r="BE44" i="15"/>
  <c r="BG8" i="15"/>
  <c r="BG17" i="15"/>
  <c r="BG86" i="15"/>
  <c r="BG48" i="15"/>
  <c r="BG52" i="15"/>
  <c r="BG51" i="15"/>
  <c r="BG18" i="15"/>
  <c r="BH42" i="15"/>
  <c r="BG37" i="15"/>
  <c r="BG72" i="15"/>
  <c r="BG84" i="15"/>
  <c r="BG23" i="15"/>
  <c r="BG25" i="15"/>
  <c r="BG102" i="15"/>
  <c r="BG61" i="15"/>
  <c r="BG26" i="15"/>
  <c r="BH65" i="15"/>
  <c r="BG40" i="15"/>
  <c r="BH54" i="15"/>
  <c r="BG80" i="15"/>
  <c r="BG27" i="15"/>
  <c r="BG46" i="15"/>
  <c r="BG35" i="15"/>
  <c r="BG108" i="15"/>
  <c r="BG39" i="15"/>
  <c r="BG74" i="15"/>
  <c r="BG36" i="15"/>
  <c r="BG49" i="15"/>
  <c r="BG60" i="15"/>
  <c r="BG104" i="15"/>
  <c r="BG38" i="15"/>
  <c r="BG28" i="15"/>
  <c r="BG34" i="15"/>
  <c r="BG69" i="15"/>
  <c r="BH20" i="15"/>
  <c r="BG103" i="15"/>
  <c r="BG14" i="15"/>
  <c r="BG85" i="15"/>
  <c r="BH31" i="15"/>
  <c r="BG57" i="15"/>
  <c r="BG53" i="15"/>
  <c r="BG19" i="15"/>
  <c r="BG93" i="15"/>
  <c r="BG15" i="15"/>
  <c r="BG97" i="15"/>
  <c r="BG16" i="15"/>
  <c r="BG30" i="15"/>
  <c r="BG105" i="15"/>
  <c r="BG83" i="15"/>
  <c r="BG12" i="15"/>
  <c r="BG68" i="15"/>
  <c r="BG41" i="15"/>
  <c r="BG75" i="15"/>
  <c r="BG95" i="15"/>
  <c r="BG29" i="15"/>
  <c r="BG82" i="15"/>
  <c r="BG98" i="15"/>
  <c r="BG92" i="15"/>
  <c r="BG59" i="15"/>
  <c r="BG24" i="15"/>
  <c r="BG107" i="15"/>
  <c r="BH76" i="15"/>
  <c r="BG50" i="15"/>
  <c r="BG47" i="15"/>
  <c r="BG70" i="15"/>
  <c r="BG64" i="15"/>
  <c r="BG96" i="15"/>
  <c r="BG71" i="15"/>
  <c r="BH87" i="15"/>
  <c r="BG81" i="15"/>
  <c r="BG109" i="15"/>
  <c r="BG79" i="15"/>
  <c r="BG62" i="15"/>
  <c r="BG63" i="15"/>
  <c r="BG91" i="15"/>
  <c r="BG13" i="15"/>
  <c r="BG58" i="15"/>
  <c r="BG99" i="15"/>
  <c r="BG106" i="15"/>
  <c r="BG110" i="15"/>
  <c r="BG73" i="15"/>
  <c r="BF44" i="15" l="1"/>
  <c r="BF10" i="15"/>
  <c r="BE9" i="15"/>
  <c r="BG45" i="15"/>
  <c r="BG33" i="15"/>
  <c r="BG22" i="15"/>
  <c r="BG11" i="15"/>
  <c r="BG78" i="15"/>
  <c r="BG67" i="15"/>
  <c r="BG56" i="15"/>
  <c r="BH8" i="15"/>
  <c r="BH19" i="15"/>
  <c r="BH103" i="15"/>
  <c r="BI20" i="15"/>
  <c r="BH29" i="15"/>
  <c r="BH106" i="15"/>
  <c r="BH95" i="15"/>
  <c r="BH40" i="15"/>
  <c r="BH68" i="15"/>
  <c r="BH46" i="15"/>
  <c r="BH82" i="15"/>
  <c r="BH52" i="15"/>
  <c r="BH102" i="15"/>
  <c r="BH59" i="15"/>
  <c r="BI31" i="15"/>
  <c r="BH104" i="15"/>
  <c r="BH73" i="15"/>
  <c r="BH107" i="15"/>
  <c r="BH61" i="15"/>
  <c r="BI42" i="15"/>
  <c r="BH50" i="15"/>
  <c r="BI54" i="15"/>
  <c r="BH58" i="15"/>
  <c r="BH39" i="15"/>
  <c r="BH75" i="15"/>
  <c r="BH25" i="15"/>
  <c r="BH24" i="15"/>
  <c r="BH16" i="15"/>
  <c r="BH108" i="15"/>
  <c r="BH57" i="15"/>
  <c r="BH36" i="15"/>
  <c r="BI76" i="15"/>
  <c r="BH17" i="15"/>
  <c r="BH62" i="15"/>
  <c r="BH69" i="15"/>
  <c r="BH98" i="15"/>
  <c r="BH18" i="15"/>
  <c r="BH13" i="15"/>
  <c r="BH84" i="15"/>
  <c r="BH48" i="15"/>
  <c r="BH35" i="15"/>
  <c r="BH72" i="15"/>
  <c r="BH47" i="15"/>
  <c r="BH85" i="15"/>
  <c r="BI65" i="15"/>
  <c r="BH81" i="15"/>
  <c r="BH86" i="15"/>
  <c r="BH38" i="15"/>
  <c r="BH12" i="15"/>
  <c r="BH28" i="15"/>
  <c r="BH110" i="15"/>
  <c r="BH71" i="15"/>
  <c r="BH99" i="15"/>
  <c r="BI87" i="15"/>
  <c r="BH60" i="15"/>
  <c r="BH27" i="15"/>
  <c r="BH93" i="15"/>
  <c r="BH64" i="15"/>
  <c r="BH74" i="15"/>
  <c r="BH97" i="15"/>
  <c r="BH14" i="15"/>
  <c r="BH70" i="15"/>
  <c r="BH92" i="15"/>
  <c r="BH51" i="15"/>
  <c r="BH37" i="15"/>
  <c r="BH49" i="15"/>
  <c r="BH91" i="15"/>
  <c r="BH26" i="15"/>
  <c r="BH23" i="15"/>
  <c r="BH41" i="15"/>
  <c r="BH80" i="15"/>
  <c r="BH83" i="15"/>
  <c r="BH105" i="15"/>
  <c r="BH15" i="15"/>
  <c r="BH79" i="15"/>
  <c r="BH34" i="15"/>
  <c r="BH109" i="15"/>
  <c r="BH96" i="15"/>
  <c r="BH53" i="15"/>
  <c r="BH30" i="15"/>
  <c r="BH63" i="15"/>
  <c r="BF9" i="15" l="1"/>
  <c r="BH56" i="15"/>
  <c r="BH45" i="15"/>
  <c r="BH33" i="15"/>
  <c r="BH22" i="15"/>
  <c r="BH11" i="15"/>
  <c r="BH67" i="15"/>
  <c r="BH78" i="15"/>
  <c r="BG44" i="15"/>
  <c r="BG10" i="15"/>
  <c r="BI8" i="15"/>
  <c r="BI53" i="15"/>
  <c r="BI71" i="15"/>
  <c r="BI29" i="15"/>
  <c r="BJ31" i="15"/>
  <c r="BJ65" i="15"/>
  <c r="BI13" i="15"/>
  <c r="BI97" i="15"/>
  <c r="BI34" i="15"/>
  <c r="BI73" i="15"/>
  <c r="BI108" i="15"/>
  <c r="BI26" i="15"/>
  <c r="BI109" i="15"/>
  <c r="BI104" i="15"/>
  <c r="BI93" i="15"/>
  <c r="BI75" i="15"/>
  <c r="BI72" i="15"/>
  <c r="BI18" i="15"/>
  <c r="BI37" i="15"/>
  <c r="BI23" i="15"/>
  <c r="BI62" i="15"/>
  <c r="BI59" i="15"/>
  <c r="BI64" i="15"/>
  <c r="BI27" i="15"/>
  <c r="BI48" i="15"/>
  <c r="BI98" i="15"/>
  <c r="BI70" i="15"/>
  <c r="BJ87" i="15"/>
  <c r="BI28" i="15"/>
  <c r="BI15" i="15"/>
  <c r="BI14" i="15"/>
  <c r="BI46" i="15"/>
  <c r="BI99" i="15"/>
  <c r="BI74" i="15"/>
  <c r="BI80" i="15"/>
  <c r="BI40" i="15"/>
  <c r="BI47" i="15"/>
  <c r="BI69" i="15"/>
  <c r="BI39" i="15"/>
  <c r="BJ76" i="15"/>
  <c r="BI95" i="15"/>
  <c r="BI79" i="15"/>
  <c r="BI38" i="15"/>
  <c r="BI17" i="15"/>
  <c r="BI12" i="15"/>
  <c r="BI35" i="15"/>
  <c r="BI24" i="15"/>
  <c r="BI61" i="15"/>
  <c r="BI107" i="15"/>
  <c r="BI50" i="15"/>
  <c r="BI51" i="15"/>
  <c r="BJ42" i="15"/>
  <c r="BI30" i="15"/>
  <c r="BI57" i="15"/>
  <c r="BI85" i="15"/>
  <c r="BI41" i="15"/>
  <c r="BI86" i="15"/>
  <c r="BI36" i="15"/>
  <c r="BJ54" i="15"/>
  <c r="BI103" i="15"/>
  <c r="BI81" i="15"/>
  <c r="BI92" i="15"/>
  <c r="BI105" i="15"/>
  <c r="BI49" i="15"/>
  <c r="BI83" i="15"/>
  <c r="BI58" i="15"/>
  <c r="BI19" i="15"/>
  <c r="BI102" i="15"/>
  <c r="BI91" i="15"/>
  <c r="BI16" i="15"/>
  <c r="BI63" i="15"/>
  <c r="BJ20" i="15"/>
  <c r="BI84" i="15"/>
  <c r="BI25" i="15"/>
  <c r="BI110" i="15"/>
  <c r="BI52" i="15"/>
  <c r="BI96" i="15"/>
  <c r="BI68" i="15"/>
  <c r="BI60" i="15"/>
  <c r="BI82" i="15"/>
  <c r="BI106" i="15"/>
  <c r="BG9" i="15" l="1"/>
  <c r="BH44" i="15"/>
  <c r="BI33" i="15"/>
  <c r="BI22" i="15"/>
  <c r="BI11" i="15"/>
  <c r="BI78" i="15"/>
  <c r="BI45" i="15"/>
  <c r="BI67" i="15"/>
  <c r="BI56" i="15"/>
  <c r="BH10" i="15"/>
  <c r="BJ8" i="15"/>
  <c r="BJ12" i="15"/>
  <c r="BJ75" i="15"/>
  <c r="BJ51" i="15"/>
  <c r="BJ41" i="15"/>
  <c r="BJ47" i="15"/>
  <c r="BJ80" i="15"/>
  <c r="BJ99" i="15"/>
  <c r="BJ53" i="15"/>
  <c r="BJ36" i="15"/>
  <c r="BJ37" i="15"/>
  <c r="BJ72" i="15"/>
  <c r="BJ86" i="15"/>
  <c r="BK87" i="15"/>
  <c r="BJ68" i="15"/>
  <c r="BK31" i="15"/>
  <c r="BJ58" i="15"/>
  <c r="BJ105" i="15"/>
  <c r="BJ57" i="15"/>
  <c r="BJ96" i="15"/>
  <c r="BJ49" i="15"/>
  <c r="BJ109" i="15"/>
  <c r="BJ14" i="15"/>
  <c r="BJ50" i="15"/>
  <c r="BJ79" i="15"/>
  <c r="BJ63" i="15"/>
  <c r="BJ17" i="15"/>
  <c r="BK20" i="15"/>
  <c r="BJ84" i="15"/>
  <c r="BJ16" i="15"/>
  <c r="BJ25" i="15"/>
  <c r="BJ48" i="15"/>
  <c r="BJ27" i="15"/>
  <c r="BJ26" i="15"/>
  <c r="BK54" i="15"/>
  <c r="BJ34" i="15"/>
  <c r="BJ62" i="15"/>
  <c r="BJ23" i="15"/>
  <c r="BJ102" i="15"/>
  <c r="BJ46" i="15"/>
  <c r="BK42" i="15"/>
  <c r="BJ107" i="15"/>
  <c r="BJ106" i="15"/>
  <c r="BJ13" i="15"/>
  <c r="BJ108" i="15"/>
  <c r="BJ71" i="15"/>
  <c r="BJ40" i="15"/>
  <c r="BJ98" i="15"/>
  <c r="BJ81" i="15"/>
  <c r="BK65" i="15"/>
  <c r="BJ18" i="15"/>
  <c r="BJ69" i="15"/>
  <c r="BJ30" i="15"/>
  <c r="BK76" i="15"/>
  <c r="BJ64" i="15"/>
  <c r="BJ61" i="15"/>
  <c r="BJ97" i="15"/>
  <c r="BJ60" i="15"/>
  <c r="BJ110" i="15"/>
  <c r="BJ29" i="15"/>
  <c r="BJ19" i="15"/>
  <c r="BJ70" i="15"/>
  <c r="BJ83" i="15"/>
  <c r="BJ24" i="15"/>
  <c r="BJ28" i="15"/>
  <c r="BJ85" i="15"/>
  <c r="BJ103" i="15"/>
  <c r="BJ104" i="15"/>
  <c r="BJ73" i="15"/>
  <c r="BJ92" i="15"/>
  <c r="BJ82" i="15"/>
  <c r="BJ74" i="15"/>
  <c r="BJ52" i="15"/>
  <c r="BJ39" i="15"/>
  <c r="BJ91" i="15"/>
  <c r="BJ59" i="15"/>
  <c r="BJ95" i="15"/>
  <c r="BJ93" i="15"/>
  <c r="BJ15" i="15"/>
  <c r="BJ38" i="15"/>
  <c r="BJ35" i="15"/>
  <c r="BH9" i="15" l="1"/>
  <c r="BJ56" i="15"/>
  <c r="BJ45" i="15"/>
  <c r="BJ11" i="15"/>
  <c r="BJ78" i="15"/>
  <c r="BJ33" i="15"/>
  <c r="BJ22" i="15"/>
  <c r="BJ67" i="15"/>
  <c r="BI44" i="15"/>
  <c r="BI10" i="15"/>
  <c r="BK8" i="15"/>
  <c r="BK71" i="15"/>
  <c r="BK47" i="15"/>
  <c r="BK16" i="15"/>
  <c r="BK91" i="15"/>
  <c r="BL87" i="15"/>
  <c r="BK27" i="15"/>
  <c r="BK105" i="15"/>
  <c r="BK12" i="15"/>
  <c r="BK28" i="15"/>
  <c r="BK107" i="15"/>
  <c r="BK49" i="15"/>
  <c r="BK53" i="15"/>
  <c r="BK59" i="15"/>
  <c r="BK29" i="15"/>
  <c r="BK102" i="15"/>
  <c r="BK30" i="15"/>
  <c r="BK25" i="15"/>
  <c r="BK75" i="15"/>
  <c r="BK64" i="15"/>
  <c r="BK35" i="15"/>
  <c r="BK58" i="15"/>
  <c r="BK17" i="15"/>
  <c r="BK85" i="15"/>
  <c r="BK48" i="15"/>
  <c r="BK23" i="15"/>
  <c r="BK110" i="15"/>
  <c r="BL20" i="15"/>
  <c r="BK15" i="15"/>
  <c r="BK18" i="15"/>
  <c r="BK98" i="15"/>
  <c r="BK96" i="15"/>
  <c r="BK50" i="15"/>
  <c r="BK97" i="15"/>
  <c r="BK79" i="15"/>
  <c r="BK36" i="15"/>
  <c r="BL31" i="15"/>
  <c r="BK51" i="15"/>
  <c r="BK103" i="15"/>
  <c r="BK13" i="15"/>
  <c r="BK34" i="15"/>
  <c r="BK52" i="15"/>
  <c r="BK60" i="15"/>
  <c r="BL42" i="15"/>
  <c r="BK104" i="15"/>
  <c r="BL76" i="15"/>
  <c r="BK70" i="15"/>
  <c r="BK14" i="15"/>
  <c r="BK26" i="15"/>
  <c r="BK40" i="15"/>
  <c r="BK74" i="15"/>
  <c r="BK106" i="15"/>
  <c r="BK83" i="15"/>
  <c r="BL54" i="15"/>
  <c r="BK73" i="15"/>
  <c r="BK95" i="15"/>
  <c r="BK69" i="15"/>
  <c r="BK84" i="15"/>
  <c r="BK62" i="15"/>
  <c r="BK109" i="15"/>
  <c r="BK61" i="15"/>
  <c r="BK63" i="15"/>
  <c r="BK80" i="15"/>
  <c r="BK24" i="15"/>
  <c r="BK86" i="15"/>
  <c r="BK93" i="15"/>
  <c r="BK72" i="15"/>
  <c r="BK81" i="15"/>
  <c r="BK82" i="15"/>
  <c r="BL65" i="15"/>
  <c r="BK41" i="15"/>
  <c r="BK57" i="15"/>
  <c r="BK68" i="15"/>
  <c r="BK99" i="15"/>
  <c r="BK19" i="15"/>
  <c r="BK37" i="15"/>
  <c r="BK39" i="15"/>
  <c r="BK108" i="15"/>
  <c r="BK46" i="15"/>
  <c r="BK92" i="15"/>
  <c r="BK38" i="15"/>
  <c r="BI9" i="15" l="1"/>
  <c r="BJ44" i="15"/>
  <c r="BJ10" i="15"/>
  <c r="BK45" i="15"/>
  <c r="BK33" i="15"/>
  <c r="BK11" i="15"/>
  <c r="BK78" i="15"/>
  <c r="BK67" i="15"/>
  <c r="BK22" i="15"/>
  <c r="BK56" i="15"/>
  <c r="BL8" i="15"/>
  <c r="BL48" i="15"/>
  <c r="BL71" i="15"/>
  <c r="BL69" i="15"/>
  <c r="BL24" i="15"/>
  <c r="BL64" i="15"/>
  <c r="BL73" i="15"/>
  <c r="BL51" i="15"/>
  <c r="BL93" i="15"/>
  <c r="BL38" i="15"/>
  <c r="BL16" i="15"/>
  <c r="BL68" i="15"/>
  <c r="BL62" i="15"/>
  <c r="BL107" i="15"/>
  <c r="BL27" i="15"/>
  <c r="BL74" i="15"/>
  <c r="BL72" i="15"/>
  <c r="BL14" i="15"/>
  <c r="BL23" i="15"/>
  <c r="BL109" i="15"/>
  <c r="BL85" i="15"/>
  <c r="BL91" i="15"/>
  <c r="BL63" i="15"/>
  <c r="BL61" i="15"/>
  <c r="BL98" i="15"/>
  <c r="BL39" i="15"/>
  <c r="BL12" i="15"/>
  <c r="BM76" i="15"/>
  <c r="BL53" i="15"/>
  <c r="BL58" i="15"/>
  <c r="BL35" i="15"/>
  <c r="BL106" i="15"/>
  <c r="BL99" i="15"/>
  <c r="BM42" i="15"/>
  <c r="BL36" i="15"/>
  <c r="BL25" i="15"/>
  <c r="BL13" i="15"/>
  <c r="BL52" i="15"/>
  <c r="BL83" i="15"/>
  <c r="BL18" i="15"/>
  <c r="BL70" i="15"/>
  <c r="BL49" i="15"/>
  <c r="BL26" i="15"/>
  <c r="BL29" i="15"/>
  <c r="BL34" i="15"/>
  <c r="BL37" i="15"/>
  <c r="BM87" i="15"/>
  <c r="BL57" i="15"/>
  <c r="BL75" i="15"/>
  <c r="BL81" i="15"/>
  <c r="BL19" i="15"/>
  <c r="BM54" i="15"/>
  <c r="BL110" i="15"/>
  <c r="BL59" i="15"/>
  <c r="BL86" i="15"/>
  <c r="BL96" i="15"/>
  <c r="BL82" i="15"/>
  <c r="BL92" i="15"/>
  <c r="BL15" i="15"/>
  <c r="BL50" i="15"/>
  <c r="BL102" i="15"/>
  <c r="BL47" i="15"/>
  <c r="BL105" i="15"/>
  <c r="BL60" i="15"/>
  <c r="BM20" i="15"/>
  <c r="BL28" i="15"/>
  <c r="BM31" i="15"/>
  <c r="BL40" i="15"/>
  <c r="BL95" i="15"/>
  <c r="BL97" i="15"/>
  <c r="BL79" i="15"/>
  <c r="BM65" i="15"/>
  <c r="BL84" i="15"/>
  <c r="BL17" i="15"/>
  <c r="BL41" i="15"/>
  <c r="BL30" i="15"/>
  <c r="BL103" i="15"/>
  <c r="BL108" i="15"/>
  <c r="BL104" i="15"/>
  <c r="BL46" i="15"/>
  <c r="BL80" i="15"/>
  <c r="BJ9" i="15" l="1"/>
  <c r="BL33" i="15"/>
  <c r="BL67" i="15"/>
  <c r="BL11" i="15"/>
  <c r="BL56" i="15"/>
  <c r="BL45" i="15"/>
  <c r="BL22" i="15"/>
  <c r="BL78" i="15"/>
  <c r="BK44" i="15"/>
  <c r="BK10" i="15"/>
  <c r="BM8" i="15"/>
  <c r="BM29" i="15"/>
  <c r="BM72" i="15"/>
  <c r="BM68" i="15"/>
  <c r="BM51" i="15"/>
  <c r="BM49" i="15"/>
  <c r="BM24" i="15"/>
  <c r="BM69" i="15"/>
  <c r="BM28" i="15"/>
  <c r="BM52" i="15"/>
  <c r="BM99" i="15"/>
  <c r="BM71" i="15"/>
  <c r="BM12" i="15"/>
  <c r="BM60" i="15"/>
  <c r="BM73" i="15"/>
  <c r="BM58" i="15"/>
  <c r="BM74" i="15"/>
  <c r="BM48" i="15"/>
  <c r="BM91" i="15"/>
  <c r="BM18" i="15"/>
  <c r="BM16" i="15"/>
  <c r="BM47" i="15"/>
  <c r="BM17" i="15"/>
  <c r="BM25" i="15"/>
  <c r="BM85" i="15"/>
  <c r="BM41" i="15"/>
  <c r="BM82" i="15"/>
  <c r="BM84" i="15"/>
  <c r="BM108" i="15"/>
  <c r="BM96" i="15"/>
  <c r="BM40" i="15"/>
  <c r="BN42" i="15"/>
  <c r="BN87" i="15"/>
  <c r="BM37" i="15"/>
  <c r="BM19" i="15"/>
  <c r="BM59" i="15"/>
  <c r="BM110" i="15"/>
  <c r="BM103" i="15"/>
  <c r="BM98" i="15"/>
  <c r="BM104" i="15"/>
  <c r="BM93" i="15"/>
  <c r="BM70" i="15"/>
  <c r="BN31" i="15"/>
  <c r="BN54" i="15"/>
  <c r="BM102" i="15"/>
  <c r="BM61" i="15"/>
  <c r="BM75" i="15"/>
  <c r="BM105" i="15"/>
  <c r="BM53" i="15"/>
  <c r="BM46" i="15"/>
  <c r="BM80" i="15"/>
  <c r="BM81" i="15"/>
  <c r="BN20" i="15"/>
  <c r="BM50" i="15"/>
  <c r="BM106" i="15"/>
  <c r="BN65" i="15"/>
  <c r="BM13" i="15"/>
  <c r="BM97" i="15"/>
  <c r="BM64" i="15"/>
  <c r="BM26" i="15"/>
  <c r="BN76" i="15"/>
  <c r="BM86" i="15"/>
  <c r="BM92" i="15"/>
  <c r="BM95" i="15"/>
  <c r="BM38" i="15"/>
  <c r="BM36" i="15"/>
  <c r="BM83" i="15"/>
  <c r="BM62" i="15"/>
  <c r="BM35" i="15"/>
  <c r="BM39" i="15"/>
  <c r="BM63" i="15"/>
  <c r="BM23" i="15"/>
  <c r="BM30" i="15"/>
  <c r="BM107" i="15"/>
  <c r="BM57" i="15"/>
  <c r="BM109" i="15"/>
  <c r="BM34" i="15"/>
  <c r="BM79" i="15"/>
  <c r="BM27" i="15"/>
  <c r="BM14" i="15"/>
  <c r="BM15" i="15"/>
  <c r="BK9" i="15" l="1"/>
  <c r="BM33" i="15"/>
  <c r="BM22" i="15"/>
  <c r="BM11" i="15"/>
  <c r="BM45" i="15"/>
  <c r="BM78" i="15"/>
  <c r="BM67" i="15"/>
  <c r="BM56" i="15"/>
  <c r="BL44" i="15"/>
  <c r="BL10" i="15"/>
  <c r="BN8" i="15"/>
  <c r="BN61" i="15"/>
  <c r="BN36" i="15"/>
  <c r="BN18" i="15"/>
  <c r="BN99" i="15"/>
  <c r="BN92" i="15"/>
  <c r="BN50" i="15"/>
  <c r="BN62" i="15"/>
  <c r="BN29" i="15"/>
  <c r="BN30" i="15"/>
  <c r="BN41" i="15"/>
  <c r="BN14" i="15"/>
  <c r="BO42" i="15"/>
  <c r="BN47" i="15"/>
  <c r="BN28" i="15"/>
  <c r="BN73" i="15"/>
  <c r="BN16" i="15"/>
  <c r="BN106" i="15"/>
  <c r="BN53" i="15"/>
  <c r="BN37" i="15"/>
  <c r="BO20" i="15"/>
  <c r="BN12" i="15"/>
  <c r="BN103" i="15"/>
  <c r="BN17" i="15"/>
  <c r="BN85" i="15"/>
  <c r="BN26" i="15"/>
  <c r="BN40" i="15"/>
  <c r="BN27" i="15"/>
  <c r="BN80" i="15"/>
  <c r="BN81" i="15"/>
  <c r="BN60" i="15"/>
  <c r="BN84" i="15"/>
  <c r="BN59" i="15"/>
  <c r="BN13" i="15"/>
  <c r="BN35" i="15"/>
  <c r="BN83" i="15"/>
  <c r="BN63" i="15"/>
  <c r="BN39" i="15"/>
  <c r="BN58" i="15"/>
  <c r="BO76" i="15"/>
  <c r="BN109" i="15"/>
  <c r="BN71" i="15"/>
  <c r="BN19" i="15"/>
  <c r="BN96" i="15"/>
  <c r="BN51" i="15"/>
  <c r="BN107" i="15"/>
  <c r="BN64" i="15"/>
  <c r="BN110" i="15"/>
  <c r="BN104" i="15"/>
  <c r="BN38" i="15"/>
  <c r="BN74" i="15"/>
  <c r="BN25" i="15"/>
  <c r="BN86" i="15"/>
  <c r="BN108" i="15"/>
  <c r="BO31" i="15"/>
  <c r="BN34" i="15"/>
  <c r="BO87" i="15"/>
  <c r="BN68" i="15"/>
  <c r="BN82" i="15"/>
  <c r="BN79" i="15"/>
  <c r="BN91" i="15"/>
  <c r="BN52" i="15"/>
  <c r="BN93" i="15"/>
  <c r="BN24" i="15"/>
  <c r="BN98" i="15"/>
  <c r="BN46" i="15"/>
  <c r="BN97" i="15"/>
  <c r="BN49" i="15"/>
  <c r="BN48" i="15"/>
  <c r="BO54" i="15"/>
  <c r="BN23" i="15"/>
  <c r="BN95" i="15"/>
  <c r="BN102" i="15"/>
  <c r="BN105" i="15"/>
  <c r="BN70" i="15"/>
  <c r="BO65" i="15"/>
  <c r="BN75" i="15"/>
  <c r="BN72" i="15"/>
  <c r="BN69" i="15"/>
  <c r="BN15" i="15"/>
  <c r="BN57" i="15"/>
  <c r="BL9" i="15" l="1"/>
  <c r="BN45" i="15"/>
  <c r="BN33" i="15"/>
  <c r="BN11" i="15"/>
  <c r="BN22" i="15"/>
  <c r="BN78" i="15"/>
  <c r="BN67" i="15"/>
  <c r="BN56" i="15"/>
  <c r="BM44" i="15"/>
  <c r="BM10" i="15"/>
  <c r="BO8" i="15"/>
  <c r="BO69" i="15"/>
  <c r="BO93" i="15"/>
  <c r="BO63" i="15"/>
  <c r="BO52" i="15"/>
  <c r="BO86" i="15"/>
  <c r="BP54" i="15"/>
  <c r="BO35" i="15"/>
  <c r="BO37" i="15"/>
  <c r="BO26" i="15"/>
  <c r="BO75" i="15"/>
  <c r="BO60" i="15"/>
  <c r="BO72" i="15"/>
  <c r="BO36" i="15"/>
  <c r="BO107" i="15"/>
  <c r="BO81" i="15"/>
  <c r="BO24" i="15"/>
  <c r="BO105" i="15"/>
  <c r="BO85" i="15"/>
  <c r="BO102" i="15"/>
  <c r="BO80" i="15"/>
  <c r="BO106" i="15"/>
  <c r="BO39" i="15"/>
  <c r="BO12" i="15"/>
  <c r="BP20" i="15"/>
  <c r="BO25" i="15"/>
  <c r="BO34" i="15"/>
  <c r="BO30" i="15"/>
  <c r="BP76" i="15"/>
  <c r="BO96" i="15"/>
  <c r="BO29" i="15"/>
  <c r="BO71" i="15"/>
  <c r="BO17" i="15"/>
  <c r="BO13" i="15"/>
  <c r="BO109" i="15"/>
  <c r="BO98" i="15"/>
  <c r="BO47" i="15"/>
  <c r="BO49" i="15"/>
  <c r="BO108" i="15"/>
  <c r="BO41" i="15"/>
  <c r="BO92" i="15"/>
  <c r="BO28" i="15"/>
  <c r="BO46" i="15"/>
  <c r="BO99" i="15"/>
  <c r="BO83" i="15"/>
  <c r="BO104" i="15"/>
  <c r="BP42" i="15"/>
  <c r="BO84" i="15"/>
  <c r="BO61" i="15"/>
  <c r="BO38" i="15"/>
  <c r="BO50" i="15"/>
  <c r="BO19" i="15"/>
  <c r="BO57" i="15"/>
  <c r="BO53" i="15"/>
  <c r="BO14" i="15"/>
  <c r="BO58" i="15"/>
  <c r="BO59" i="15"/>
  <c r="BO48" i="15"/>
  <c r="BO74" i="15"/>
  <c r="BO110" i="15"/>
  <c r="BO16" i="15"/>
  <c r="BO40" i="15"/>
  <c r="BO91" i="15"/>
  <c r="BO82" i="15"/>
  <c r="BO68" i="15"/>
  <c r="BO73" i="15"/>
  <c r="BP31" i="15"/>
  <c r="BO27" i="15"/>
  <c r="BO23" i="15"/>
  <c r="BO70" i="15"/>
  <c r="BP65" i="15"/>
  <c r="BO79" i="15"/>
  <c r="BP87" i="15"/>
  <c r="BO97" i="15"/>
  <c r="BO15" i="15"/>
  <c r="BO18" i="15"/>
  <c r="BO51" i="15"/>
  <c r="BO103" i="15"/>
  <c r="BO62" i="15"/>
  <c r="BO95" i="15"/>
  <c r="BO64" i="15"/>
  <c r="BM9" i="15" l="1"/>
  <c r="BO45" i="15"/>
  <c r="BO33" i="15"/>
  <c r="BO22" i="15"/>
  <c r="BO11" i="15"/>
  <c r="BO67" i="15"/>
  <c r="BO78" i="15"/>
  <c r="BO56" i="15"/>
  <c r="BN44" i="15"/>
  <c r="BN10" i="15"/>
  <c r="BP8" i="15"/>
  <c r="BP84" i="15"/>
  <c r="BP74" i="15"/>
  <c r="BP29" i="15"/>
  <c r="BP14" i="15"/>
  <c r="BP38" i="15"/>
  <c r="BP28" i="15"/>
  <c r="BP106" i="15"/>
  <c r="BQ76" i="15"/>
  <c r="BP39" i="15"/>
  <c r="BP63" i="15"/>
  <c r="BP71" i="15"/>
  <c r="BP98" i="15"/>
  <c r="BP37" i="15"/>
  <c r="BQ54" i="15"/>
  <c r="BP105" i="15"/>
  <c r="BP46" i="15"/>
  <c r="BP51" i="15"/>
  <c r="BP62" i="15"/>
  <c r="BP41" i="15"/>
  <c r="BP60" i="15"/>
  <c r="BP85" i="15"/>
  <c r="BP109" i="15"/>
  <c r="BP16" i="15"/>
  <c r="BP64" i="15"/>
  <c r="BP69" i="15"/>
  <c r="BP110" i="15"/>
  <c r="BP27" i="15"/>
  <c r="BP99" i="15"/>
  <c r="BP61" i="15"/>
  <c r="BP47" i="15"/>
  <c r="BP49" i="15"/>
  <c r="BP53" i="15"/>
  <c r="BP48" i="15"/>
  <c r="BP83" i="15"/>
  <c r="BP24" i="15"/>
  <c r="BP86" i="15"/>
  <c r="BP75" i="15"/>
  <c r="BP107" i="15"/>
  <c r="BP58" i="15"/>
  <c r="BP70" i="15"/>
  <c r="BP93" i="15"/>
  <c r="BP59" i="15"/>
  <c r="BP36" i="15"/>
  <c r="BQ31" i="15"/>
  <c r="BP73" i="15"/>
  <c r="BP40" i="15"/>
  <c r="BP79" i="15"/>
  <c r="BP81" i="15"/>
  <c r="BP35" i="15"/>
  <c r="BP96" i="15"/>
  <c r="BP102" i="15"/>
  <c r="BP97" i="15"/>
  <c r="BP19" i="15"/>
  <c r="BP25" i="15"/>
  <c r="BQ65" i="15"/>
  <c r="BP80" i="15"/>
  <c r="BP17" i="15"/>
  <c r="BP13" i="15"/>
  <c r="BP34" i="15"/>
  <c r="BQ87" i="15"/>
  <c r="BP52" i="15"/>
  <c r="BP72" i="15"/>
  <c r="BP12" i="15"/>
  <c r="BP15" i="15"/>
  <c r="BP82" i="15"/>
  <c r="BP26" i="15"/>
  <c r="BP23" i="15"/>
  <c r="BP30" i="15"/>
  <c r="BP91" i="15"/>
  <c r="BQ42" i="15"/>
  <c r="BP68" i="15"/>
  <c r="BP108" i="15"/>
  <c r="BP92" i="15"/>
  <c r="BP50" i="15"/>
  <c r="BP95" i="15"/>
  <c r="BP103" i="15"/>
  <c r="BP18" i="15"/>
  <c r="BP104" i="15"/>
  <c r="BP57" i="15"/>
  <c r="BQ20" i="15"/>
  <c r="BN9" i="15" l="1"/>
  <c r="BP33" i="15"/>
  <c r="BP22" i="15"/>
  <c r="BP11" i="15"/>
  <c r="BP45" i="15"/>
  <c r="BP78" i="15"/>
  <c r="BP67" i="15"/>
  <c r="BP56" i="15"/>
  <c r="BO44" i="15"/>
  <c r="BO10" i="15"/>
  <c r="BQ8" i="15"/>
  <c r="BQ18" i="15"/>
  <c r="BR42" i="15"/>
  <c r="BQ92" i="15"/>
  <c r="BR87" i="15"/>
  <c r="BQ37" i="15"/>
  <c r="BR76" i="15"/>
  <c r="BQ51" i="15"/>
  <c r="BQ16" i="15"/>
  <c r="BQ49" i="15"/>
  <c r="BQ97" i="15"/>
  <c r="BQ106" i="15"/>
  <c r="BQ99" i="15"/>
  <c r="BQ68" i="15"/>
  <c r="BQ63" i="15"/>
  <c r="BQ50" i="15"/>
  <c r="BQ80" i="15"/>
  <c r="BQ30" i="15"/>
  <c r="BQ73" i="15"/>
  <c r="BQ91" i="15"/>
  <c r="BQ25" i="15"/>
  <c r="BQ107" i="15"/>
  <c r="BQ19" i="15"/>
  <c r="BQ59" i="15"/>
  <c r="BR20" i="15"/>
  <c r="BQ36" i="15"/>
  <c r="BQ13" i="15"/>
  <c r="BQ83" i="15"/>
  <c r="BQ41" i="15"/>
  <c r="BQ82" i="15"/>
  <c r="BQ34" i="15"/>
  <c r="BQ102" i="15"/>
  <c r="BQ96" i="15"/>
  <c r="BQ58" i="15"/>
  <c r="BQ52" i="15"/>
  <c r="BQ57" i="15"/>
  <c r="BQ61" i="15"/>
  <c r="BR31" i="15"/>
  <c r="BQ40" i="15"/>
  <c r="BQ39" i="15"/>
  <c r="BQ71" i="15"/>
  <c r="BQ60" i="15"/>
  <c r="BQ27" i="15"/>
  <c r="BQ35" i="15"/>
  <c r="BQ81" i="15"/>
  <c r="BQ93" i="15"/>
  <c r="BQ12" i="15"/>
  <c r="BQ103" i="15"/>
  <c r="BQ109" i="15"/>
  <c r="BQ26" i="15"/>
  <c r="BQ23" i="15"/>
  <c r="BQ86" i="15"/>
  <c r="BQ105" i="15"/>
  <c r="BQ70" i="15"/>
  <c r="BQ74" i="15"/>
  <c r="BQ110" i="15"/>
  <c r="BQ69" i="15"/>
  <c r="BQ98" i="15"/>
  <c r="BR54" i="15"/>
  <c r="BQ72" i="15"/>
  <c r="BQ85" i="15"/>
  <c r="BQ53" i="15"/>
  <c r="BQ14" i="15"/>
  <c r="BQ28" i="15"/>
  <c r="BQ48" i="15"/>
  <c r="BQ15" i="15"/>
  <c r="BQ29" i="15"/>
  <c r="BQ79" i="15"/>
  <c r="BQ17" i="15"/>
  <c r="BQ47" i="15"/>
  <c r="BQ95" i="15"/>
  <c r="BQ104" i="15"/>
  <c r="BQ62" i="15"/>
  <c r="BQ84" i="15"/>
  <c r="BQ46" i="15"/>
  <c r="BQ64" i="15"/>
  <c r="BR65" i="15"/>
  <c r="BQ108" i="15"/>
  <c r="BQ38" i="15"/>
  <c r="BQ75" i="15"/>
  <c r="BQ24" i="15"/>
  <c r="BO9" i="15" l="1"/>
  <c r="BQ22" i="15"/>
  <c r="BQ11" i="15"/>
  <c r="BQ78" i="15"/>
  <c r="BQ33" i="15"/>
  <c r="BQ67" i="15"/>
  <c r="BQ45" i="15"/>
  <c r="BQ56" i="15"/>
  <c r="BP44" i="15"/>
  <c r="BP10" i="15"/>
  <c r="BR8" i="15"/>
  <c r="BR69" i="15"/>
  <c r="BR16" i="15"/>
  <c r="BR82" i="15"/>
  <c r="BR96" i="15"/>
  <c r="BR107" i="15"/>
  <c r="BR71" i="15"/>
  <c r="BR30" i="15"/>
  <c r="BR52" i="15"/>
  <c r="BR58" i="15"/>
  <c r="BR91" i="15"/>
  <c r="BR38" i="15"/>
  <c r="BR110" i="15"/>
  <c r="BR15" i="15"/>
  <c r="BR79" i="15"/>
  <c r="BR36" i="15"/>
  <c r="BS54" i="15"/>
  <c r="BR39" i="15"/>
  <c r="BR23" i="15"/>
  <c r="BR50" i="15"/>
  <c r="BR84" i="15"/>
  <c r="BR86" i="15"/>
  <c r="BR97" i="15"/>
  <c r="BR73" i="15"/>
  <c r="BR81" i="15"/>
  <c r="BR46" i="15"/>
  <c r="BR35" i="15"/>
  <c r="BR106" i="15"/>
  <c r="BS31" i="15"/>
  <c r="BR41" i="15"/>
  <c r="BR18" i="15"/>
  <c r="BR85" i="15"/>
  <c r="BR103" i="15"/>
  <c r="BR25" i="15"/>
  <c r="BR53" i="15"/>
  <c r="BR40" i="15"/>
  <c r="BR27" i="15"/>
  <c r="BR17" i="15"/>
  <c r="BR62" i="15"/>
  <c r="BR60" i="15"/>
  <c r="BR109" i="15"/>
  <c r="BR72" i="15"/>
  <c r="BS87" i="15"/>
  <c r="BR29" i="15"/>
  <c r="BR13" i="15"/>
  <c r="BS76" i="15"/>
  <c r="BR83" i="15"/>
  <c r="BR99" i="15"/>
  <c r="BR14" i="15"/>
  <c r="BR37" i="15"/>
  <c r="BR80" i="15"/>
  <c r="BR105" i="15"/>
  <c r="BR102" i="15"/>
  <c r="BR49" i="15"/>
  <c r="BR108" i="15"/>
  <c r="BR28" i="15"/>
  <c r="BS42" i="15"/>
  <c r="BR61" i="15"/>
  <c r="BR24" i="15"/>
  <c r="BR34" i="15"/>
  <c r="BR26" i="15"/>
  <c r="BR64" i="15"/>
  <c r="BR93" i="15"/>
  <c r="BR74" i="15"/>
  <c r="BR68" i="15"/>
  <c r="BR70" i="15"/>
  <c r="BR51" i="15"/>
  <c r="BR48" i="15"/>
  <c r="BR98" i="15"/>
  <c r="BR95" i="15"/>
  <c r="BR57" i="15"/>
  <c r="BS65" i="15"/>
  <c r="BR19" i="15"/>
  <c r="BR92" i="15"/>
  <c r="BR104" i="15"/>
  <c r="BR12" i="15"/>
  <c r="BS20" i="15"/>
  <c r="BR75" i="15"/>
  <c r="BR63" i="15"/>
  <c r="BR47" i="15"/>
  <c r="BR59" i="15"/>
  <c r="BP9" i="15" l="1"/>
  <c r="BQ10" i="15"/>
  <c r="BQ44" i="15"/>
  <c r="BR45" i="15"/>
  <c r="BR33" i="15"/>
  <c r="BR11" i="15"/>
  <c r="BR22" i="15"/>
  <c r="BR78" i="15"/>
  <c r="BR67" i="15"/>
  <c r="BR56" i="15"/>
  <c r="BS8" i="15"/>
  <c r="BS85" i="15"/>
  <c r="BS27" i="15"/>
  <c r="BS97" i="15"/>
  <c r="BS17" i="15"/>
  <c r="BS18" i="15"/>
  <c r="BS41" i="15"/>
  <c r="BS84" i="15"/>
  <c r="BS29" i="15"/>
  <c r="BS70" i="15"/>
  <c r="BS102" i="15"/>
  <c r="BS53" i="15"/>
  <c r="BS108" i="15"/>
  <c r="BS34" i="15"/>
  <c r="BS19" i="15"/>
  <c r="BS86" i="15"/>
  <c r="BT87" i="15"/>
  <c r="BS64" i="15"/>
  <c r="BS57" i="15"/>
  <c r="BS51" i="15"/>
  <c r="BS38" i="15"/>
  <c r="BS63" i="15"/>
  <c r="BT31" i="15"/>
  <c r="BS52" i="15"/>
  <c r="BS103" i="15"/>
  <c r="BS62" i="15"/>
  <c r="BS30" i="15"/>
  <c r="BS95" i="15"/>
  <c r="BS68" i="15"/>
  <c r="BS91" i="15"/>
  <c r="BS73" i="15"/>
  <c r="BS12" i="15"/>
  <c r="BS81" i="15"/>
  <c r="BS28" i="15"/>
  <c r="BS110" i="15"/>
  <c r="BS79" i="15"/>
  <c r="BS39" i="15"/>
  <c r="BS75" i="15"/>
  <c r="BS58" i="15"/>
  <c r="BS48" i="15"/>
  <c r="BS105" i="15"/>
  <c r="BS16" i="15"/>
  <c r="BS82" i="15"/>
  <c r="BS15" i="15"/>
  <c r="BT54" i="15"/>
  <c r="BS23" i="15"/>
  <c r="BS74" i="15"/>
  <c r="BS107" i="15"/>
  <c r="BS46" i="15"/>
  <c r="BS47" i="15"/>
  <c r="BS13" i="15"/>
  <c r="BS96" i="15"/>
  <c r="BS14" i="15"/>
  <c r="BS36" i="15"/>
  <c r="BS104" i="15"/>
  <c r="BS93" i="15"/>
  <c r="BS61" i="15"/>
  <c r="BT20" i="15"/>
  <c r="BS71" i="15"/>
  <c r="BS80" i="15"/>
  <c r="BS69" i="15"/>
  <c r="BS25" i="15"/>
  <c r="BS50" i="15"/>
  <c r="BT65" i="15"/>
  <c r="BS35" i="15"/>
  <c r="BT76" i="15"/>
  <c r="BS37" i="15"/>
  <c r="BS83" i="15"/>
  <c r="BS106" i="15"/>
  <c r="BS40" i="15"/>
  <c r="BS72" i="15"/>
  <c r="BS99" i="15"/>
  <c r="BS49" i="15"/>
  <c r="BT42" i="15"/>
  <c r="BS92" i="15"/>
  <c r="BS60" i="15"/>
  <c r="BS98" i="15"/>
  <c r="BS109" i="15"/>
  <c r="BS26" i="15"/>
  <c r="BS24" i="15"/>
  <c r="BS59" i="15"/>
  <c r="BQ9" i="15" l="1"/>
  <c r="BS45" i="15"/>
  <c r="BS33" i="15"/>
  <c r="BS67" i="15"/>
  <c r="BS22" i="15"/>
  <c r="BS11" i="15"/>
  <c r="BS56" i="15"/>
  <c r="BS78" i="15"/>
  <c r="BR44" i="15"/>
  <c r="BR10" i="15"/>
  <c r="BT8" i="15"/>
  <c r="BU75" i="15"/>
  <c r="BT16" i="15"/>
  <c r="BU74" i="15"/>
  <c r="BU86" i="15"/>
  <c r="BT71" i="15"/>
  <c r="BT19" i="15"/>
  <c r="BU18" i="15"/>
  <c r="BT95" i="15"/>
  <c r="BU83" i="15"/>
  <c r="BU99" i="15"/>
  <c r="BT64" i="15"/>
  <c r="BT98" i="15"/>
  <c r="BU37" i="15"/>
  <c r="BU76" i="15"/>
  <c r="BU16" i="15"/>
  <c r="BU69" i="15"/>
  <c r="BU61" i="15"/>
  <c r="BT59" i="15"/>
  <c r="BT109" i="15"/>
  <c r="BU102" i="15"/>
  <c r="BU65" i="15"/>
  <c r="BU79" i="15"/>
  <c r="BU73" i="15"/>
  <c r="BU39" i="15"/>
  <c r="BT35" i="15"/>
  <c r="BU107" i="15"/>
  <c r="BT70" i="15"/>
  <c r="BT17" i="15"/>
  <c r="BU29" i="15"/>
  <c r="BU47" i="15"/>
  <c r="BT102" i="15"/>
  <c r="BT46" i="15"/>
  <c r="BU84" i="15"/>
  <c r="BV54" i="15"/>
  <c r="BU105" i="15"/>
  <c r="BU95" i="15"/>
  <c r="BU20" i="15"/>
  <c r="BT34" i="15"/>
  <c r="BT61" i="15"/>
  <c r="BT47" i="15"/>
  <c r="BT60" i="15"/>
  <c r="BT75" i="15"/>
  <c r="BT15" i="15"/>
  <c r="BU25" i="15"/>
  <c r="BU62" i="15"/>
  <c r="BT29" i="15"/>
  <c r="BT14" i="15"/>
  <c r="BU54" i="15"/>
  <c r="BV87" i="15"/>
  <c r="BU48" i="15"/>
  <c r="BT12" i="15"/>
  <c r="BT53" i="15"/>
  <c r="BT48" i="15"/>
  <c r="BU93" i="15"/>
  <c r="BT80" i="15"/>
  <c r="BT58" i="15"/>
  <c r="BT27" i="15"/>
  <c r="BT73" i="15"/>
  <c r="BU63" i="15"/>
  <c r="BU46" i="15"/>
  <c r="BU51" i="15"/>
  <c r="BU57" i="15"/>
  <c r="BU12" i="15"/>
  <c r="BU41" i="15"/>
  <c r="BT105" i="15"/>
  <c r="BT108" i="15"/>
  <c r="BT69" i="15"/>
  <c r="BT50" i="15"/>
  <c r="BU24" i="15"/>
  <c r="BT30" i="15"/>
  <c r="BU72" i="15"/>
  <c r="BU85" i="15"/>
  <c r="BT99" i="15"/>
  <c r="BT23" i="15"/>
  <c r="BV20" i="15"/>
  <c r="BU109" i="15"/>
  <c r="BT81" i="15"/>
  <c r="BU35" i="15"/>
  <c r="BU30" i="15"/>
  <c r="BT106" i="15"/>
  <c r="BU71" i="15"/>
  <c r="BT79" i="15"/>
  <c r="BU82" i="15"/>
  <c r="BU40" i="15"/>
  <c r="BT39" i="15"/>
  <c r="BT28" i="15"/>
  <c r="BU52" i="15"/>
  <c r="BU49" i="15"/>
  <c r="BT83" i="15"/>
  <c r="BU96" i="15"/>
  <c r="BT103" i="15"/>
  <c r="BU68" i="15"/>
  <c r="BU59" i="15"/>
  <c r="BU14" i="15"/>
  <c r="BU98" i="15"/>
  <c r="BV76" i="15"/>
  <c r="BT24" i="15"/>
  <c r="BT40" i="15"/>
  <c r="BT92" i="15"/>
  <c r="BU50" i="15"/>
  <c r="BT85" i="15"/>
  <c r="BV65" i="15"/>
  <c r="BT36" i="15"/>
  <c r="BU81" i="15"/>
  <c r="BU42" i="15"/>
  <c r="BT52" i="15"/>
  <c r="BV42" i="15"/>
  <c r="BU91" i="15"/>
  <c r="BT97" i="15"/>
  <c r="BT63" i="15"/>
  <c r="BT82" i="15"/>
  <c r="BU64" i="15"/>
  <c r="BT51" i="15"/>
  <c r="BU31" i="15"/>
  <c r="BT68" i="15"/>
  <c r="BU103" i="15"/>
  <c r="BU34" i="15"/>
  <c r="BT91" i="15"/>
  <c r="BU38" i="15"/>
  <c r="BU106" i="15"/>
  <c r="BU104" i="15"/>
  <c r="BT37" i="15"/>
  <c r="BT26" i="15"/>
  <c r="BU23" i="15"/>
  <c r="BU110" i="15"/>
  <c r="BT57" i="15"/>
  <c r="BU13" i="15"/>
  <c r="BU87" i="15"/>
  <c r="BU70" i="15"/>
  <c r="BT96" i="15"/>
  <c r="BU108" i="15"/>
  <c r="BU36" i="15"/>
  <c r="BT110" i="15"/>
  <c r="BT74" i="15"/>
  <c r="BT62" i="15"/>
  <c r="BU53" i="15"/>
  <c r="BT13" i="15"/>
  <c r="BT38" i="15"/>
  <c r="BT93" i="15"/>
  <c r="BT107" i="15"/>
  <c r="BU97" i="15"/>
  <c r="BT18" i="15"/>
  <c r="BU17" i="15"/>
  <c r="BU15" i="15"/>
  <c r="BT72" i="15"/>
  <c r="BT104" i="15"/>
  <c r="BU80" i="15"/>
  <c r="BU26" i="15"/>
  <c r="BU92" i="15"/>
  <c r="BU28" i="15"/>
  <c r="BV31" i="15"/>
  <c r="BT49" i="15"/>
  <c r="BT84" i="15"/>
  <c r="BU58" i="15"/>
  <c r="BU19" i="15"/>
  <c r="BT86" i="15"/>
  <c r="BT41" i="15"/>
  <c r="BU60" i="15"/>
  <c r="BU27" i="15"/>
  <c r="BT25" i="15"/>
  <c r="BR9" i="15" l="1"/>
  <c r="BT33" i="15"/>
  <c r="BU11" i="15"/>
  <c r="BU8" i="15"/>
  <c r="BT45" i="15"/>
  <c r="BU78" i="15"/>
  <c r="BT22" i="15"/>
  <c r="BU67" i="15"/>
  <c r="BT11" i="15"/>
  <c r="BU56" i="15"/>
  <c r="BU45" i="15"/>
  <c r="BT78" i="15"/>
  <c r="BU33" i="15"/>
  <c r="BT67" i="15"/>
  <c r="BU22" i="15"/>
  <c r="BT56" i="15"/>
  <c r="BS44" i="15"/>
  <c r="BS10" i="15"/>
  <c r="BV8" i="15"/>
  <c r="BV96" i="15"/>
  <c r="BW31" i="15"/>
  <c r="BV23" i="15"/>
  <c r="BV110" i="15"/>
  <c r="BV19" i="15"/>
  <c r="BV52" i="15"/>
  <c r="BV26" i="15"/>
  <c r="BV73" i="15"/>
  <c r="BV80" i="15"/>
  <c r="BV37" i="15"/>
  <c r="BW20" i="15"/>
  <c r="BV51" i="15"/>
  <c r="BV91" i="15"/>
  <c r="BV79" i="15"/>
  <c r="BV17" i="15"/>
  <c r="BV29" i="15"/>
  <c r="BV64" i="15"/>
  <c r="BV59" i="15"/>
  <c r="BV61" i="15"/>
  <c r="BV48" i="15"/>
  <c r="BV39" i="15"/>
  <c r="BV16" i="15"/>
  <c r="BV103" i="15"/>
  <c r="BV82" i="15"/>
  <c r="BV106" i="15"/>
  <c r="BV95" i="15"/>
  <c r="BW54" i="15"/>
  <c r="BV99" i="15"/>
  <c r="BV28" i="15"/>
  <c r="BW87" i="15"/>
  <c r="BV72" i="15"/>
  <c r="BV97" i="15"/>
  <c r="BV84" i="15"/>
  <c r="BV74" i="15"/>
  <c r="BV25" i="15"/>
  <c r="BV93" i="15"/>
  <c r="BV102" i="15"/>
  <c r="BV50" i="15"/>
  <c r="BV68" i="15"/>
  <c r="BV70" i="15"/>
  <c r="BV34" i="15"/>
  <c r="BV49" i="15"/>
  <c r="BV60" i="15"/>
  <c r="BV85" i="15"/>
  <c r="BV62" i="15"/>
  <c r="BV63" i="15"/>
  <c r="BV86" i="15"/>
  <c r="BV24" i="15"/>
  <c r="BV98" i="15"/>
  <c r="BV40" i="15"/>
  <c r="BV57" i="15"/>
  <c r="BV58" i="15"/>
  <c r="BV75" i="15"/>
  <c r="BV71" i="15"/>
  <c r="BV83" i="15"/>
  <c r="BV92" i="15"/>
  <c r="BV38" i="15"/>
  <c r="BV27" i="15"/>
  <c r="BV12" i="15"/>
  <c r="BV41" i="15"/>
  <c r="BV81" i="15"/>
  <c r="BV53" i="15"/>
  <c r="BV108" i="15"/>
  <c r="BV14" i="15"/>
  <c r="BV69" i="15"/>
  <c r="BV13" i="15"/>
  <c r="BV105" i="15"/>
  <c r="BV47" i="15"/>
  <c r="BV104" i="15"/>
  <c r="BV30" i="15"/>
  <c r="BV109" i="15"/>
  <c r="BV46" i="15"/>
  <c r="BW65" i="15"/>
  <c r="BV36" i="15"/>
  <c r="BW42" i="15"/>
  <c r="BV35" i="15"/>
  <c r="BV107" i="15"/>
  <c r="BV15" i="15"/>
  <c r="BV18" i="15"/>
  <c r="BW76" i="15"/>
  <c r="BU44" i="15" l="1"/>
  <c r="BT44" i="15"/>
  <c r="BS9" i="15"/>
  <c r="BV22" i="15"/>
  <c r="BV11" i="15"/>
  <c r="BV33" i="15"/>
  <c r="BV78" i="15"/>
  <c r="BV67" i="15"/>
  <c r="BV56" i="15"/>
  <c r="BV45" i="15"/>
  <c r="BU10" i="15"/>
  <c r="BT10" i="15"/>
  <c r="BW8" i="15"/>
  <c r="BW74" i="15"/>
  <c r="BW37" i="15"/>
  <c r="BW64" i="15"/>
  <c r="BW23" i="15"/>
  <c r="BW34" i="15"/>
  <c r="BX20" i="15"/>
  <c r="BW59" i="15"/>
  <c r="BW38" i="15"/>
  <c r="BW86" i="15"/>
  <c r="BW35" i="15"/>
  <c r="BW40" i="15"/>
  <c r="BW50" i="15"/>
  <c r="BW83" i="15"/>
  <c r="BW12" i="15"/>
  <c r="BW29" i="15"/>
  <c r="BW61" i="15"/>
  <c r="BW15" i="15"/>
  <c r="BW19" i="15"/>
  <c r="BW99" i="15"/>
  <c r="BW27" i="15"/>
  <c r="BW62" i="15"/>
  <c r="BW41" i="15"/>
  <c r="BW107" i="15"/>
  <c r="BW69" i="15"/>
  <c r="BW60" i="15"/>
  <c r="BW75" i="15"/>
  <c r="BW72" i="15"/>
  <c r="BW48" i="15"/>
  <c r="BW49" i="15"/>
  <c r="BW85" i="15"/>
  <c r="BW93" i="15"/>
  <c r="BW36" i="15"/>
  <c r="BW28" i="15"/>
  <c r="BW73" i="15"/>
  <c r="BW98" i="15"/>
  <c r="BW17" i="15"/>
  <c r="BW51" i="15"/>
  <c r="BW82" i="15"/>
  <c r="BW92" i="15"/>
  <c r="BW95" i="15"/>
  <c r="BW46" i="15"/>
  <c r="BW70" i="15"/>
  <c r="BW26" i="15"/>
  <c r="BW80" i="15"/>
  <c r="BW18" i="15"/>
  <c r="BW106" i="15"/>
  <c r="BW57" i="15"/>
  <c r="BW13" i="15"/>
  <c r="BW84" i="15"/>
  <c r="BW105" i="15"/>
  <c r="BX42" i="15"/>
  <c r="BW68" i="15"/>
  <c r="BW16" i="15"/>
  <c r="BX54" i="15"/>
  <c r="BW104" i="15"/>
  <c r="BW39" i="15"/>
  <c r="BW63" i="15"/>
  <c r="BW14" i="15"/>
  <c r="BW91" i="15"/>
  <c r="BW81" i="15"/>
  <c r="BX31" i="15"/>
  <c r="BX87" i="15"/>
  <c r="BW47" i="15"/>
  <c r="BW58" i="15"/>
  <c r="BW103" i="15"/>
  <c r="BW102" i="15"/>
  <c r="BW71" i="15"/>
  <c r="BW109" i="15"/>
  <c r="BX76" i="15"/>
  <c r="BW79" i="15"/>
  <c r="BW97" i="15"/>
  <c r="BW53" i="15"/>
  <c r="BW25" i="15"/>
  <c r="BX65" i="15"/>
  <c r="BW52" i="15"/>
  <c r="BW96" i="15"/>
  <c r="BW30" i="15"/>
  <c r="BW108" i="15"/>
  <c r="BW110" i="15"/>
  <c r="BW24" i="15"/>
  <c r="BV10" i="15" l="1"/>
  <c r="BU9" i="15"/>
  <c r="BT9" i="15"/>
  <c r="BW22" i="15"/>
  <c r="BW11" i="15"/>
  <c r="BW33" i="15"/>
  <c r="BW67" i="15"/>
  <c r="BW56" i="15"/>
  <c r="BW78" i="15"/>
  <c r="BW45" i="15"/>
  <c r="BV44" i="15"/>
  <c r="BX8" i="15"/>
  <c r="BX61" i="15"/>
  <c r="BX39" i="15"/>
  <c r="BX91" i="15"/>
  <c r="BX68" i="15"/>
  <c r="BX79" i="15"/>
  <c r="BY31" i="15"/>
  <c r="BX86" i="15"/>
  <c r="BX50" i="15"/>
  <c r="BX105" i="15"/>
  <c r="BX25" i="15"/>
  <c r="BX35" i="15"/>
  <c r="BX14" i="15"/>
  <c r="BX52" i="15"/>
  <c r="BY42" i="15"/>
  <c r="BX103" i="15"/>
  <c r="BX24" i="15"/>
  <c r="BY87" i="15"/>
  <c r="BX104" i="15"/>
  <c r="BX47" i="15"/>
  <c r="BX46" i="15"/>
  <c r="BY54" i="15"/>
  <c r="BX108" i="15"/>
  <c r="BX40" i="15"/>
  <c r="BX18" i="15"/>
  <c r="BX69" i="15"/>
  <c r="BX13" i="15"/>
  <c r="BX99" i="15"/>
  <c r="BX107" i="15"/>
  <c r="BX92" i="15"/>
  <c r="BX16" i="15"/>
  <c r="BX75" i="15"/>
  <c r="BX63" i="15"/>
  <c r="BX84" i="15"/>
  <c r="BX98" i="15"/>
  <c r="BX71" i="15"/>
  <c r="BX82" i="15"/>
  <c r="BX53" i="15"/>
  <c r="BX72" i="15"/>
  <c r="BX62" i="15"/>
  <c r="BX70" i="15"/>
  <c r="BX19" i="15"/>
  <c r="BX23" i="15"/>
  <c r="BX15" i="15"/>
  <c r="BX27" i="15"/>
  <c r="BX58" i="15"/>
  <c r="BX95" i="15"/>
  <c r="BY65" i="15"/>
  <c r="BY76" i="15"/>
  <c r="BX12" i="15"/>
  <c r="BX28" i="15"/>
  <c r="BX83" i="15"/>
  <c r="BX48" i="15"/>
  <c r="BX110" i="15"/>
  <c r="BX81" i="15"/>
  <c r="BX96" i="15"/>
  <c r="BX93" i="15"/>
  <c r="BX109" i="15"/>
  <c r="BX106" i="15"/>
  <c r="BX59" i="15"/>
  <c r="BX97" i="15"/>
  <c r="BX34" i="15"/>
  <c r="BX41" i="15"/>
  <c r="BX85" i="15"/>
  <c r="BX57" i="15"/>
  <c r="BY20" i="15"/>
  <c r="BX30" i="15"/>
  <c r="BX49" i="15"/>
  <c r="BX74" i="15"/>
  <c r="BX80" i="15"/>
  <c r="BX29" i="15"/>
  <c r="BX64" i="15"/>
  <c r="BX36" i="15"/>
  <c r="BX26" i="15"/>
  <c r="BX37" i="15"/>
  <c r="BX38" i="15"/>
  <c r="BX102" i="15"/>
  <c r="BX17" i="15"/>
  <c r="BX51" i="15"/>
  <c r="BX60" i="15"/>
  <c r="BX73" i="15"/>
  <c r="BV9" i="15" l="1"/>
  <c r="BW10" i="15"/>
  <c r="BX45" i="15"/>
  <c r="BX33" i="15"/>
  <c r="BX22" i="15"/>
  <c r="BX56" i="15"/>
  <c r="BX11" i="15"/>
  <c r="BX78" i="15"/>
  <c r="BX67" i="15"/>
  <c r="BW44" i="15"/>
  <c r="BY8" i="15"/>
  <c r="BY106" i="15"/>
  <c r="BY17" i="15"/>
  <c r="BY36" i="15"/>
  <c r="BY24" i="15"/>
  <c r="BY62" i="15"/>
  <c r="BY19" i="15"/>
  <c r="BY15" i="15"/>
  <c r="BZ76" i="15"/>
  <c r="BZ20" i="15"/>
  <c r="BY103" i="15"/>
  <c r="BY81" i="15"/>
  <c r="BY108" i="15"/>
  <c r="BZ54" i="15"/>
  <c r="BZ42" i="15"/>
  <c r="BY107" i="15"/>
  <c r="BY39" i="15"/>
  <c r="BY12" i="15"/>
  <c r="BY29" i="15"/>
  <c r="BY80" i="15"/>
  <c r="BY71" i="15"/>
  <c r="BY82" i="15"/>
  <c r="BY16" i="15"/>
  <c r="BY28" i="15"/>
  <c r="BY52" i="15"/>
  <c r="BZ31" i="15"/>
  <c r="BY102" i="15"/>
  <c r="BY86" i="15"/>
  <c r="BY75" i="15"/>
  <c r="BY38" i="15"/>
  <c r="BY46" i="15"/>
  <c r="BY83" i="15"/>
  <c r="BY49" i="15"/>
  <c r="BY69" i="15"/>
  <c r="BY96" i="15"/>
  <c r="BY23" i="15"/>
  <c r="BY72" i="15"/>
  <c r="BY26" i="15"/>
  <c r="BY95" i="15"/>
  <c r="BY34" i="15"/>
  <c r="BY50" i="15"/>
  <c r="BY93" i="15"/>
  <c r="BY40" i="15"/>
  <c r="BY14" i="15"/>
  <c r="BY58" i="15"/>
  <c r="BY57" i="15"/>
  <c r="BY51" i="15"/>
  <c r="BY53" i="15"/>
  <c r="BY35" i="15"/>
  <c r="BY104" i="15"/>
  <c r="BY97" i="15"/>
  <c r="BY110" i="15"/>
  <c r="BY61" i="15"/>
  <c r="BY92" i="15"/>
  <c r="BY74" i="15"/>
  <c r="BY47" i="15"/>
  <c r="BZ65" i="15"/>
  <c r="BY63" i="15"/>
  <c r="BY25" i="15"/>
  <c r="BY41" i="15"/>
  <c r="BY37" i="15"/>
  <c r="BY18" i="15"/>
  <c r="BY70" i="15"/>
  <c r="BY73" i="15"/>
  <c r="BY109" i="15"/>
  <c r="BY84" i="15"/>
  <c r="BY13" i="15"/>
  <c r="BY59" i="15"/>
  <c r="BY68" i="15"/>
  <c r="BY64" i="15"/>
  <c r="BY27" i="15"/>
  <c r="BZ87" i="15"/>
  <c r="BY60" i="15"/>
  <c r="BY79" i="15"/>
  <c r="BY30" i="15"/>
  <c r="BY48" i="15"/>
  <c r="BY99" i="15"/>
  <c r="BY105" i="15"/>
  <c r="BY85" i="15"/>
  <c r="BY98" i="15"/>
  <c r="BY91" i="15"/>
  <c r="BW9" i="15" l="1"/>
  <c r="BY45" i="15"/>
  <c r="BY33" i="15"/>
  <c r="BY22" i="15"/>
  <c r="BY11" i="15"/>
  <c r="BY56" i="15"/>
  <c r="BY78" i="15"/>
  <c r="BY67" i="15"/>
  <c r="BX10" i="15"/>
  <c r="BX44" i="15"/>
  <c r="BZ8" i="15"/>
  <c r="CA76" i="15"/>
  <c r="BZ62" i="15"/>
  <c r="BZ69" i="15"/>
  <c r="BZ24" i="15"/>
  <c r="BZ108" i="15"/>
  <c r="BZ53" i="15"/>
  <c r="CA20" i="15"/>
  <c r="BZ61" i="15"/>
  <c r="BZ27" i="15"/>
  <c r="BZ16" i="15"/>
  <c r="BZ35" i="15"/>
  <c r="BZ91" i="15"/>
  <c r="BZ95" i="15"/>
  <c r="BZ48" i="15"/>
  <c r="BZ84" i="15"/>
  <c r="BZ58" i="15"/>
  <c r="BZ72" i="15"/>
  <c r="CA54" i="15"/>
  <c r="BZ12" i="15"/>
  <c r="CA87" i="15"/>
  <c r="BZ106" i="15"/>
  <c r="BZ97" i="15"/>
  <c r="BZ74" i="15"/>
  <c r="BZ107" i="15"/>
  <c r="BZ92" i="15"/>
  <c r="BZ38" i="15"/>
  <c r="BZ63" i="15"/>
  <c r="BZ26" i="15"/>
  <c r="CA65" i="15"/>
  <c r="BZ102" i="15"/>
  <c r="BZ37" i="15"/>
  <c r="BZ80" i="15"/>
  <c r="BZ39" i="15"/>
  <c r="BZ28" i="15"/>
  <c r="BZ79" i="15"/>
  <c r="BZ98" i="15"/>
  <c r="CA42" i="15"/>
  <c r="BZ64" i="15"/>
  <c r="BZ52" i="15"/>
  <c r="BZ99" i="15"/>
  <c r="BZ83" i="15"/>
  <c r="BZ96" i="15"/>
  <c r="BZ47" i="15"/>
  <c r="BZ103" i="15"/>
  <c r="BZ25" i="15"/>
  <c r="BZ36" i="15"/>
  <c r="BZ60" i="15"/>
  <c r="BZ41" i="15"/>
  <c r="BZ70" i="15"/>
  <c r="BZ86" i="15"/>
  <c r="BZ71" i="15"/>
  <c r="BZ18" i="15"/>
  <c r="BZ14" i="15"/>
  <c r="BZ85" i="15"/>
  <c r="BZ29" i="15"/>
  <c r="BZ110" i="15"/>
  <c r="BZ13" i="15"/>
  <c r="BZ68" i="15"/>
  <c r="CA31" i="15"/>
  <c r="BZ59" i="15"/>
  <c r="BZ49" i="15"/>
  <c r="BZ19" i="15"/>
  <c r="BZ105" i="15"/>
  <c r="BZ82" i="15"/>
  <c r="BZ15" i="15"/>
  <c r="BZ109" i="15"/>
  <c r="BZ73" i="15"/>
  <c r="BZ30" i="15"/>
  <c r="BZ17" i="15"/>
  <c r="BZ81" i="15"/>
  <c r="BZ51" i="15"/>
  <c r="BZ104" i="15"/>
  <c r="BZ34" i="15"/>
  <c r="BZ50" i="15"/>
  <c r="BZ40" i="15"/>
  <c r="BZ46" i="15"/>
  <c r="BZ75" i="15"/>
  <c r="BZ57" i="15"/>
  <c r="BZ93" i="15"/>
  <c r="BZ23" i="15"/>
  <c r="BY44" i="15" l="1"/>
  <c r="BX9" i="15"/>
  <c r="BZ33" i="15"/>
  <c r="BZ22" i="15"/>
  <c r="BZ45" i="15"/>
  <c r="BZ11" i="15"/>
  <c r="BZ78" i="15"/>
  <c r="BZ67" i="15"/>
  <c r="BZ56" i="15"/>
  <c r="BY10" i="15"/>
  <c r="CA8" i="15"/>
  <c r="CA102" i="15"/>
  <c r="CA96" i="15"/>
  <c r="CA107" i="15"/>
  <c r="CA97" i="15"/>
  <c r="CA36" i="15"/>
  <c r="CA60" i="15"/>
  <c r="CA29" i="15"/>
  <c r="CA106" i="15"/>
  <c r="CB76" i="15"/>
  <c r="CA19" i="15"/>
  <c r="CA63" i="15"/>
  <c r="CA28" i="15"/>
  <c r="CA70" i="15"/>
  <c r="CA82" i="15"/>
  <c r="CA30" i="15"/>
  <c r="CA79" i="15"/>
  <c r="CA59" i="15"/>
  <c r="CA69" i="15"/>
  <c r="CA46" i="15"/>
  <c r="CA64" i="15"/>
  <c r="CA109" i="15"/>
  <c r="CA83" i="15"/>
  <c r="CA35" i="15"/>
  <c r="CA98" i="15"/>
  <c r="CA99" i="15"/>
  <c r="CA72" i="15"/>
  <c r="CA92" i="15"/>
  <c r="CA91" i="15"/>
  <c r="CA61" i="15"/>
  <c r="CA15" i="15"/>
  <c r="CA85" i="15"/>
  <c r="CA80" i="15"/>
  <c r="CA52" i="15"/>
  <c r="CA105" i="15"/>
  <c r="CB20" i="15"/>
  <c r="CA51" i="15"/>
  <c r="CA14" i="15"/>
  <c r="CA93" i="15"/>
  <c r="CA71" i="15"/>
  <c r="CA25" i="15"/>
  <c r="CA24" i="15"/>
  <c r="CA62" i="15"/>
  <c r="CA110" i="15"/>
  <c r="CA37" i="15"/>
  <c r="CA48" i="15"/>
  <c r="CA86" i="15"/>
  <c r="CA74" i="15"/>
  <c r="CA27" i="15"/>
  <c r="CA108" i="15"/>
  <c r="CA47" i="15"/>
  <c r="CA12" i="15"/>
  <c r="CA39" i="15"/>
  <c r="CA17" i="15"/>
  <c r="CA34" i="15"/>
  <c r="CA103" i="15"/>
  <c r="CA49" i="15"/>
  <c r="CA13" i="15"/>
  <c r="CA104" i="15"/>
  <c r="CB31" i="15"/>
  <c r="CA95" i="15"/>
  <c r="CA26" i="15"/>
  <c r="CA57" i="15"/>
  <c r="CA16" i="15"/>
  <c r="CB65" i="15"/>
  <c r="CB42" i="15"/>
  <c r="CA73" i="15"/>
  <c r="CA41" i="15"/>
  <c r="CA68" i="15"/>
  <c r="CA53" i="15"/>
  <c r="CA40" i="15"/>
  <c r="CB54" i="15"/>
  <c r="CB87" i="15"/>
  <c r="CA75" i="15"/>
  <c r="CA23" i="15"/>
  <c r="CA81" i="15"/>
  <c r="CA18" i="15"/>
  <c r="CA38" i="15"/>
  <c r="CA84" i="15"/>
  <c r="CA50" i="15"/>
  <c r="CA58" i="15"/>
  <c r="BY9" i="15" l="1"/>
  <c r="CA45" i="15"/>
  <c r="CA33" i="15"/>
  <c r="CA22" i="15"/>
  <c r="CA11" i="15"/>
  <c r="CA56" i="15"/>
  <c r="CA78" i="15"/>
  <c r="CA67" i="15"/>
  <c r="BZ44" i="15"/>
  <c r="BZ10" i="15"/>
  <c r="CB8" i="15"/>
  <c r="CB25" i="15"/>
  <c r="CB98" i="15"/>
  <c r="CC87" i="15"/>
  <c r="CB34" i="15"/>
  <c r="CB69" i="15"/>
  <c r="CB18" i="15"/>
  <c r="CB99" i="15"/>
  <c r="CB38" i="15"/>
  <c r="CB47" i="15"/>
  <c r="CB97" i="15"/>
  <c r="CB92" i="15"/>
  <c r="CB93" i="15"/>
  <c r="CC20" i="15"/>
  <c r="CB72" i="15"/>
  <c r="CC54" i="15"/>
  <c r="CB62" i="15"/>
  <c r="CB39" i="15"/>
  <c r="CB61" i="15"/>
  <c r="CB109" i="15"/>
  <c r="CB41" i="15"/>
  <c r="CB110" i="15"/>
  <c r="CB95" i="15"/>
  <c r="CB85" i="15"/>
  <c r="CC76" i="15"/>
  <c r="CB58" i="15"/>
  <c r="CB103" i="15"/>
  <c r="CB105" i="15"/>
  <c r="CB29" i="15"/>
  <c r="CB46" i="15"/>
  <c r="CB75" i="15"/>
  <c r="CB79" i="15"/>
  <c r="CB17" i="15"/>
  <c r="CB14" i="15"/>
  <c r="CB12" i="15"/>
  <c r="CB91" i="15"/>
  <c r="CB104" i="15"/>
  <c r="CB82" i="15"/>
  <c r="CB57" i="15"/>
  <c r="CB35" i="15"/>
  <c r="CB80" i="15"/>
  <c r="CB64" i="15"/>
  <c r="CB70" i="15"/>
  <c r="CB74" i="15"/>
  <c r="CB23" i="15"/>
  <c r="CB68" i="15"/>
  <c r="CB37" i="15"/>
  <c r="CB24" i="15"/>
  <c r="CB86" i="15"/>
  <c r="CB28" i="15"/>
  <c r="CB26" i="15"/>
  <c r="CB19" i="15"/>
  <c r="CB30" i="15"/>
  <c r="CB73" i="15"/>
  <c r="CB48" i="15"/>
  <c r="CB71" i="15"/>
  <c r="CB83" i="15"/>
  <c r="CB13" i="15"/>
  <c r="CB81" i="15"/>
  <c r="CB108" i="15"/>
  <c r="CC42" i="15"/>
  <c r="CB16" i="15"/>
  <c r="CB63" i="15"/>
  <c r="CB106" i="15"/>
  <c r="CB84" i="15"/>
  <c r="CB96" i="15"/>
  <c r="CB51" i="15"/>
  <c r="CC65" i="15"/>
  <c r="CB53" i="15"/>
  <c r="CB15" i="15"/>
  <c r="CB107" i="15"/>
  <c r="CB102" i="15"/>
  <c r="CB27" i="15"/>
  <c r="CB36" i="15"/>
  <c r="CB60" i="15"/>
  <c r="CB40" i="15"/>
  <c r="CB50" i="15"/>
  <c r="CB49" i="15"/>
  <c r="CB52" i="15"/>
  <c r="CC31" i="15"/>
  <c r="CB59" i="15"/>
  <c r="BZ9" i="15" l="1"/>
  <c r="CA44" i="15"/>
  <c r="CB33" i="15"/>
  <c r="CB22" i="15"/>
  <c r="CB11" i="15"/>
  <c r="CB45" i="15"/>
  <c r="CB78" i="15"/>
  <c r="CB67" i="15"/>
  <c r="CB56" i="15"/>
  <c r="CA10" i="15"/>
  <c r="CC8" i="15"/>
  <c r="CC40" i="15"/>
  <c r="CC74" i="15"/>
  <c r="CC17" i="15"/>
  <c r="CC39" i="15"/>
  <c r="CC41" i="15"/>
  <c r="CC103" i="15"/>
  <c r="CD31" i="15"/>
  <c r="CC47" i="15"/>
  <c r="CC27" i="15"/>
  <c r="CC62" i="15"/>
  <c r="CC58" i="15"/>
  <c r="CD65" i="15"/>
  <c r="CD76" i="15"/>
  <c r="CD54" i="15"/>
  <c r="CC50" i="15"/>
  <c r="CC25" i="15"/>
  <c r="CC93" i="15"/>
  <c r="CC96" i="15"/>
  <c r="CC99" i="15"/>
  <c r="CC109" i="15"/>
  <c r="CC81" i="15"/>
  <c r="CC72" i="15"/>
  <c r="CC26" i="15"/>
  <c r="CC57" i="15"/>
  <c r="CC106" i="15"/>
  <c r="CC75" i="15"/>
  <c r="CC23" i="15"/>
  <c r="CC110" i="15"/>
  <c r="CC35" i="15"/>
  <c r="CC70" i="15"/>
  <c r="CC84" i="15"/>
  <c r="CC51" i="15"/>
  <c r="CC108" i="15"/>
  <c r="CC102" i="15"/>
  <c r="CC98" i="15"/>
  <c r="CC83" i="15"/>
  <c r="CC28" i="15"/>
  <c r="CC36" i="15"/>
  <c r="CC60" i="15"/>
  <c r="CC49" i="15"/>
  <c r="CC52" i="15"/>
  <c r="CC34" i="15"/>
  <c r="CC80" i="15"/>
  <c r="CC12" i="15"/>
  <c r="CC82" i="15"/>
  <c r="CC95" i="15"/>
  <c r="CC19" i="15"/>
  <c r="CC79" i="15"/>
  <c r="CC14" i="15"/>
  <c r="CD42" i="15"/>
  <c r="CC48" i="15"/>
  <c r="CC97" i="15"/>
  <c r="CC37" i="15"/>
  <c r="CC69" i="15"/>
  <c r="CC107" i="15"/>
  <c r="CC61" i="15"/>
  <c r="CC64" i="15"/>
  <c r="CC13" i="15"/>
  <c r="CC68" i="15"/>
  <c r="CC38" i="15"/>
  <c r="CC85" i="15"/>
  <c r="CD20" i="15"/>
  <c r="CC29" i="15"/>
  <c r="CC73" i="15"/>
  <c r="CC18" i="15"/>
  <c r="CC71" i="15"/>
  <c r="CD87" i="15"/>
  <c r="CC30" i="15"/>
  <c r="CC104" i="15"/>
  <c r="CC59" i="15"/>
  <c r="CC15" i="15"/>
  <c r="CC46" i="15"/>
  <c r="CC53" i="15"/>
  <c r="CC16" i="15"/>
  <c r="CC92" i="15"/>
  <c r="CC91" i="15"/>
  <c r="CC86" i="15"/>
  <c r="CC63" i="15"/>
  <c r="CC105" i="15"/>
  <c r="CC24" i="15"/>
  <c r="CA9" i="15" l="1"/>
  <c r="CC56" i="15"/>
  <c r="CC45" i="15"/>
  <c r="CC22" i="15"/>
  <c r="CC11" i="15"/>
  <c r="CC33" i="15"/>
  <c r="CC78" i="15"/>
  <c r="CC67" i="15"/>
  <c r="CB44" i="15"/>
  <c r="CB10" i="15"/>
  <c r="CD8" i="15"/>
  <c r="CD52" i="15"/>
  <c r="CD53" i="15"/>
  <c r="CD63" i="15"/>
  <c r="CD61" i="15"/>
  <c r="CD27" i="15"/>
  <c r="CD59" i="15"/>
  <c r="CD29" i="15"/>
  <c r="CD68" i="15"/>
  <c r="CD107" i="15"/>
  <c r="CD46" i="15"/>
  <c r="CD58" i="15"/>
  <c r="CE87" i="15"/>
  <c r="CD81" i="15"/>
  <c r="CD102" i="15"/>
  <c r="CD98" i="15"/>
  <c r="CD104" i="15"/>
  <c r="CD15" i="15"/>
  <c r="CD28" i="15"/>
  <c r="CD75" i="15"/>
  <c r="CD16" i="15"/>
  <c r="CD34" i="15"/>
  <c r="CD84" i="15"/>
  <c r="CD92" i="15"/>
  <c r="CD23" i="15"/>
  <c r="CD74" i="15"/>
  <c r="CD47" i="15"/>
  <c r="CD13" i="15"/>
  <c r="CD85" i="15"/>
  <c r="CD64" i="15"/>
  <c r="CD73" i="15"/>
  <c r="CD14" i="15"/>
  <c r="CD70" i="15"/>
  <c r="CE31" i="15"/>
  <c r="CD108" i="15"/>
  <c r="CD19" i="15"/>
  <c r="CD79" i="15"/>
  <c r="CD106" i="15"/>
  <c r="CD96" i="15"/>
  <c r="CE54" i="15"/>
  <c r="CD24" i="15"/>
  <c r="CD105" i="15"/>
  <c r="CD91" i="15"/>
  <c r="CD83" i="15"/>
  <c r="CD12" i="15"/>
  <c r="CD103" i="15"/>
  <c r="CE65" i="15"/>
  <c r="CD62" i="15"/>
  <c r="CD37" i="15"/>
  <c r="CD17" i="15"/>
  <c r="CD39" i="15"/>
  <c r="CD48" i="15"/>
  <c r="CD35" i="15"/>
  <c r="CD50" i="15"/>
  <c r="CD51" i="15"/>
  <c r="CD69" i="15"/>
  <c r="CD110" i="15"/>
  <c r="CD86" i="15"/>
  <c r="CD93" i="15"/>
  <c r="CD99" i="15"/>
  <c r="CD26" i="15"/>
  <c r="CD40" i="15"/>
  <c r="CD41" i="15"/>
  <c r="CD71" i="15"/>
  <c r="CD97" i="15"/>
  <c r="CD25" i="15"/>
  <c r="CD30" i="15"/>
  <c r="CE42" i="15"/>
  <c r="CD72" i="15"/>
  <c r="CD57" i="15"/>
  <c r="CD109" i="15"/>
  <c r="CD38" i="15"/>
  <c r="CD95" i="15"/>
  <c r="CE76" i="15"/>
  <c r="CE20" i="15"/>
  <c r="CD49" i="15"/>
  <c r="CD60" i="15"/>
  <c r="CD18" i="15"/>
  <c r="CD80" i="15"/>
  <c r="CD36" i="15"/>
  <c r="CD82" i="15"/>
  <c r="CC10" i="15" l="1"/>
  <c r="CB9" i="15"/>
  <c r="CC44" i="15"/>
  <c r="CD33" i="15"/>
  <c r="CD22" i="15"/>
  <c r="CD11" i="15"/>
  <c r="CD78" i="15"/>
  <c r="CD45" i="15"/>
  <c r="CD67" i="15"/>
  <c r="CD56" i="15"/>
  <c r="CE8" i="15"/>
  <c r="CE96" i="15"/>
  <c r="CE80" i="15"/>
  <c r="CE53" i="15"/>
  <c r="CF76" i="15"/>
  <c r="CE59" i="15"/>
  <c r="CF42" i="15"/>
  <c r="CE63" i="15"/>
  <c r="CE18" i="15"/>
  <c r="CE23" i="15"/>
  <c r="CE24" i="15"/>
  <c r="CE72" i="15"/>
  <c r="CE85" i="15"/>
  <c r="CE61" i="15"/>
  <c r="CE82" i="15"/>
  <c r="CE75" i="15"/>
  <c r="CE46" i="15"/>
  <c r="CE97" i="15"/>
  <c r="CE12" i="15"/>
  <c r="CE36" i="15"/>
  <c r="CF31" i="15"/>
  <c r="CE40" i="15"/>
  <c r="CE99" i="15"/>
  <c r="CE30" i="15"/>
  <c r="CE86" i="15"/>
  <c r="CE14" i="15"/>
  <c r="CE60" i="15"/>
  <c r="CE71" i="15"/>
  <c r="CE48" i="15"/>
  <c r="CE49" i="15"/>
  <c r="CE110" i="15"/>
  <c r="CE73" i="15"/>
  <c r="CE103" i="15"/>
  <c r="CE64" i="15"/>
  <c r="CE98" i="15"/>
  <c r="CE92" i="15"/>
  <c r="CE29" i="15"/>
  <c r="CE62" i="15"/>
  <c r="CE95" i="15"/>
  <c r="CE58" i="15"/>
  <c r="CE25" i="15"/>
  <c r="CE68" i="15"/>
  <c r="CE102" i="15"/>
  <c r="CE81" i="15"/>
  <c r="CE38" i="15"/>
  <c r="CE27" i="15"/>
  <c r="CE17" i="15"/>
  <c r="CE19" i="15"/>
  <c r="CE91" i="15"/>
  <c r="CE51" i="15"/>
  <c r="CE74" i="15"/>
  <c r="CE104" i="15"/>
  <c r="CF87" i="15"/>
  <c r="CE84" i="15"/>
  <c r="CE39" i="15"/>
  <c r="CE70" i="15"/>
  <c r="CE69" i="15"/>
  <c r="CE108" i="15"/>
  <c r="CE41" i="15"/>
  <c r="CE105" i="15"/>
  <c r="CE57" i="15"/>
  <c r="CE107" i="15"/>
  <c r="CE52" i="15"/>
  <c r="CF65" i="15"/>
  <c r="CE50" i="15"/>
  <c r="CE35" i="15"/>
  <c r="CE28" i="15"/>
  <c r="CE109" i="15"/>
  <c r="CE15" i="15"/>
  <c r="CF54" i="15"/>
  <c r="CE34" i="15"/>
  <c r="CE37" i="15"/>
  <c r="CE106" i="15"/>
  <c r="CE16" i="15"/>
  <c r="CE47" i="15"/>
  <c r="CE13" i="15"/>
  <c r="CE83" i="15"/>
  <c r="CF20" i="15"/>
  <c r="CE79" i="15"/>
  <c r="CE93" i="15"/>
  <c r="CE26" i="15"/>
  <c r="CC9" i="15" l="1"/>
  <c r="CE67" i="15"/>
  <c r="CE56" i="15"/>
  <c r="CE33" i="15"/>
  <c r="CE22" i="15"/>
  <c r="CE45" i="15"/>
  <c r="CE11" i="15"/>
  <c r="CE78" i="15"/>
  <c r="CD44" i="15"/>
  <c r="CD10" i="15"/>
  <c r="CF8" i="15"/>
  <c r="CF64" i="15"/>
  <c r="CF99" i="15"/>
  <c r="CF35" i="15"/>
  <c r="CF96" i="15"/>
  <c r="CF60" i="15"/>
  <c r="CF95" i="15"/>
  <c r="CF104" i="15"/>
  <c r="CF12" i="15"/>
  <c r="CF108" i="15"/>
  <c r="CF86" i="15"/>
  <c r="CF73" i="15"/>
  <c r="CF85" i="15"/>
  <c r="CF15" i="15"/>
  <c r="CF37" i="15"/>
  <c r="CF71" i="15"/>
  <c r="CF18" i="15"/>
  <c r="CG76" i="15"/>
  <c r="CF24" i="15"/>
  <c r="CG87" i="15"/>
  <c r="CF40" i="15"/>
  <c r="CF61" i="15"/>
  <c r="CF41" i="15"/>
  <c r="CF92" i="15"/>
  <c r="CF107" i="15"/>
  <c r="CF93" i="15"/>
  <c r="CF17" i="15"/>
  <c r="CF29" i="15"/>
  <c r="CF69" i="15"/>
  <c r="CF14" i="15"/>
  <c r="CF74" i="15"/>
  <c r="CF51" i="15"/>
  <c r="CF70" i="15"/>
  <c r="CF106" i="15"/>
  <c r="CF13" i="15"/>
  <c r="CF38" i="15"/>
  <c r="CF91" i="15"/>
  <c r="CF98" i="15"/>
  <c r="CF72" i="15"/>
  <c r="CF34" i="15"/>
  <c r="CF27" i="15"/>
  <c r="CF28" i="15"/>
  <c r="CF23" i="15"/>
  <c r="CF50" i="15"/>
  <c r="CF39" i="15"/>
  <c r="CF47" i="15"/>
  <c r="CG54" i="15"/>
  <c r="CF36" i="15"/>
  <c r="CF81" i="15"/>
  <c r="CG31" i="15"/>
  <c r="CF63" i="15"/>
  <c r="CF62" i="15"/>
  <c r="CF75" i="15"/>
  <c r="CF59" i="15"/>
  <c r="CF19" i="15"/>
  <c r="CG20" i="15"/>
  <c r="CF57" i="15"/>
  <c r="CG42" i="15"/>
  <c r="CF52" i="15"/>
  <c r="CF84" i="15"/>
  <c r="CF68" i="15"/>
  <c r="CF83" i="15"/>
  <c r="CF46" i="15"/>
  <c r="CF48" i="15"/>
  <c r="CF16" i="15"/>
  <c r="CF82" i="15"/>
  <c r="CF110" i="15"/>
  <c r="CF103" i="15"/>
  <c r="CF80" i="15"/>
  <c r="CF49" i="15"/>
  <c r="CG65" i="15"/>
  <c r="CF79" i="15"/>
  <c r="CF109" i="15"/>
  <c r="CF53" i="15"/>
  <c r="CF26" i="15"/>
  <c r="CF30" i="15"/>
  <c r="CF102" i="15"/>
  <c r="CF58" i="15"/>
  <c r="CF105" i="15"/>
  <c r="CF25" i="15"/>
  <c r="CF97" i="15"/>
  <c r="CD9" i="15" l="1"/>
  <c r="CF33" i="15"/>
  <c r="CF22" i="15"/>
  <c r="CF11" i="15"/>
  <c r="CF45" i="15"/>
  <c r="CF67" i="15"/>
  <c r="CF78" i="15"/>
  <c r="CF56" i="15"/>
  <c r="CE10" i="15"/>
  <c r="CE44" i="15"/>
  <c r="CG8" i="15"/>
  <c r="CG29" i="15"/>
  <c r="CG63" i="15"/>
  <c r="CG48" i="15"/>
  <c r="CG68" i="15"/>
  <c r="CG104" i="15"/>
  <c r="CG47" i="15"/>
  <c r="CG95" i="15"/>
  <c r="CG93" i="15"/>
  <c r="CG15" i="15"/>
  <c r="CG74" i="15"/>
  <c r="CG58" i="15"/>
  <c r="CG13" i="15"/>
  <c r="CH31" i="15"/>
  <c r="CG23" i="15"/>
  <c r="CG62" i="15"/>
  <c r="CG71" i="15"/>
  <c r="CG18" i="15"/>
  <c r="CG25" i="15"/>
  <c r="CG96" i="15"/>
  <c r="CG26" i="15"/>
  <c r="CG37" i="15"/>
  <c r="CG60" i="15"/>
  <c r="CG105" i="15"/>
  <c r="CG59" i="15"/>
  <c r="CG75" i="15"/>
  <c r="CG40" i="15"/>
  <c r="CH42" i="15"/>
  <c r="CG69" i="15"/>
  <c r="CG108" i="15"/>
  <c r="CG35" i="15"/>
  <c r="CG107" i="15"/>
  <c r="CH54" i="15"/>
  <c r="CG64" i="15"/>
  <c r="CG41" i="15"/>
  <c r="CG38" i="15"/>
  <c r="CG46" i="15"/>
  <c r="CG86" i="15"/>
  <c r="CG52" i="15"/>
  <c r="CG16" i="15"/>
  <c r="CG70" i="15"/>
  <c r="CG24" i="15"/>
  <c r="CG79" i="15"/>
  <c r="CG97" i="15"/>
  <c r="CG73" i="15"/>
  <c r="CG82" i="15"/>
  <c r="CG92" i="15"/>
  <c r="CG53" i="15"/>
  <c r="CG36" i="15"/>
  <c r="CG50" i="15"/>
  <c r="CG39" i="15"/>
  <c r="CG72" i="15"/>
  <c r="CG12" i="15"/>
  <c r="CH87" i="15"/>
  <c r="CG83" i="15"/>
  <c r="CG61" i="15"/>
  <c r="CG30" i="15"/>
  <c r="CG57" i="15"/>
  <c r="CG51" i="15"/>
  <c r="CG110" i="15"/>
  <c r="CG98" i="15"/>
  <c r="CG99" i="15"/>
  <c r="CG106" i="15"/>
  <c r="CG14" i="15"/>
  <c r="CG34" i="15"/>
  <c r="CG27" i="15"/>
  <c r="CG85" i="15"/>
  <c r="CG17" i="15"/>
  <c r="CH65" i="15"/>
  <c r="CG80" i="15"/>
  <c r="CG19" i="15"/>
  <c r="CG81" i="15"/>
  <c r="CG103" i="15"/>
  <c r="CG84" i="15"/>
  <c r="CG109" i="15"/>
  <c r="CH76" i="15"/>
  <c r="CG49" i="15"/>
  <c r="CG91" i="15"/>
  <c r="CG28" i="15"/>
  <c r="CG102" i="15"/>
  <c r="CH20" i="15"/>
  <c r="CE9" i="15" l="1"/>
  <c r="CG33" i="15"/>
  <c r="CG22" i="15"/>
  <c r="CG11" i="15"/>
  <c r="CG78" i="15"/>
  <c r="CG45" i="15"/>
  <c r="CG67" i="15"/>
  <c r="CG56" i="15"/>
  <c r="CF44" i="15"/>
  <c r="CF10" i="15"/>
  <c r="CH8" i="15"/>
  <c r="CH71" i="15"/>
  <c r="CH97" i="15"/>
  <c r="CH105" i="15"/>
  <c r="CH18" i="15"/>
  <c r="CH16" i="15"/>
  <c r="CH96" i="15"/>
  <c r="CH30" i="15"/>
  <c r="CH74" i="15"/>
  <c r="CH15" i="15"/>
  <c r="CH106" i="15"/>
  <c r="CH104" i="15"/>
  <c r="CH79" i="15"/>
  <c r="CH98" i="15"/>
  <c r="CH27" i="15"/>
  <c r="CH24" i="15"/>
  <c r="CH99" i="15"/>
  <c r="CH72" i="15"/>
  <c r="CH41" i="15"/>
  <c r="CH85" i="15"/>
  <c r="CH82" i="15"/>
  <c r="CH58" i="15"/>
  <c r="CH61" i="15"/>
  <c r="CH62" i="15"/>
  <c r="CH64" i="15"/>
  <c r="CH23" i="15"/>
  <c r="CH52" i="15"/>
  <c r="CH19" i="15"/>
  <c r="CH69" i="15"/>
  <c r="CI87" i="15"/>
  <c r="CI76" i="15"/>
  <c r="CH29" i="15"/>
  <c r="CH75" i="15"/>
  <c r="CH110" i="15"/>
  <c r="CH60" i="15"/>
  <c r="CH50" i="15"/>
  <c r="CH46" i="15"/>
  <c r="CH26" i="15"/>
  <c r="CH109" i="15"/>
  <c r="CH53" i="15"/>
  <c r="CH34" i="15"/>
  <c r="CH70" i="15"/>
  <c r="CH28" i="15"/>
  <c r="CH91" i="15"/>
  <c r="CH59" i="15"/>
  <c r="CH73" i="15"/>
  <c r="CH48" i="15"/>
  <c r="CH84" i="15"/>
  <c r="CH57" i="15"/>
  <c r="CH49" i="15"/>
  <c r="CH14" i="15"/>
  <c r="CH103" i="15"/>
  <c r="CH38" i="15"/>
  <c r="CH63" i="15"/>
  <c r="CH108" i="15"/>
  <c r="CH107" i="15"/>
  <c r="CH39" i="15"/>
  <c r="CH83" i="15"/>
  <c r="CH86" i="15"/>
  <c r="CI42" i="15"/>
  <c r="CH92" i="15"/>
  <c r="CH37" i="15"/>
  <c r="CI65" i="15"/>
  <c r="CH68" i="15"/>
  <c r="CH93" i="15"/>
  <c r="CH12" i="15"/>
  <c r="CH95" i="15"/>
  <c r="CH80" i="15"/>
  <c r="CH81" i="15"/>
  <c r="CH13" i="15"/>
  <c r="CH102" i="15"/>
  <c r="CH40" i="15"/>
  <c r="CH25" i="15"/>
  <c r="CH17" i="15"/>
  <c r="CH51" i="15"/>
  <c r="CI54" i="15"/>
  <c r="CI20" i="15"/>
  <c r="CH47" i="15"/>
  <c r="CH35" i="15"/>
  <c r="CI31" i="15"/>
  <c r="CH36" i="15"/>
  <c r="CF9" i="15" l="1"/>
  <c r="CH45" i="15"/>
  <c r="CH33" i="15"/>
  <c r="CH22" i="15"/>
  <c r="CH11" i="15"/>
  <c r="CH56" i="15"/>
  <c r="CH78" i="15"/>
  <c r="CH67" i="15"/>
  <c r="CG44" i="15"/>
  <c r="CG10" i="15"/>
  <c r="CI8" i="15"/>
  <c r="CI71" i="15"/>
  <c r="CI57" i="15"/>
  <c r="CI52" i="15"/>
  <c r="CI86" i="15"/>
  <c r="CI72" i="15"/>
  <c r="CI26" i="15"/>
  <c r="CI64" i="15"/>
  <c r="CI50" i="15"/>
  <c r="CI60" i="15"/>
  <c r="CI61" i="15"/>
  <c r="CI104" i="15"/>
  <c r="CI63" i="15"/>
  <c r="CI84" i="15"/>
  <c r="CI109" i="15"/>
  <c r="CI28" i="15"/>
  <c r="CI91" i="15"/>
  <c r="CI15" i="15"/>
  <c r="CI23" i="15"/>
  <c r="CI41" i="15"/>
  <c r="CI106" i="15"/>
  <c r="CI39" i="15"/>
  <c r="CI59" i="15"/>
  <c r="CI37" i="15"/>
  <c r="CI98" i="15"/>
  <c r="CI69" i="15"/>
  <c r="CI34" i="15"/>
  <c r="CI82" i="15"/>
  <c r="CI49" i="15"/>
  <c r="CI38" i="15"/>
  <c r="CI25" i="15"/>
  <c r="CI16" i="15"/>
  <c r="CI108" i="15"/>
  <c r="CJ20" i="15"/>
  <c r="CI73" i="15"/>
  <c r="CI24" i="15"/>
  <c r="CI110" i="15"/>
  <c r="CI17" i="15"/>
  <c r="CI13" i="15"/>
  <c r="CJ76" i="15"/>
  <c r="CI58" i="15"/>
  <c r="CI14" i="15"/>
  <c r="CI83" i="15"/>
  <c r="CI36" i="15"/>
  <c r="CI51" i="15"/>
  <c r="CI99" i="15"/>
  <c r="CI105" i="15"/>
  <c r="CJ31" i="15"/>
  <c r="CI70" i="15"/>
  <c r="CI103" i="15"/>
  <c r="CI40" i="15"/>
  <c r="CI47" i="15"/>
  <c r="CI62" i="15"/>
  <c r="CI96" i="15"/>
  <c r="CI95" i="15"/>
  <c r="CI75" i="15"/>
  <c r="CI80" i="15"/>
  <c r="CJ65" i="15"/>
  <c r="CI29" i="15"/>
  <c r="CI81" i="15"/>
  <c r="CI97" i="15"/>
  <c r="CI79" i="15"/>
  <c r="CI92" i="15"/>
  <c r="CJ54" i="15"/>
  <c r="CJ42" i="15"/>
  <c r="CI74" i="15"/>
  <c r="CI68" i="15"/>
  <c r="CJ87" i="15"/>
  <c r="CI102" i="15"/>
  <c r="CI30" i="15"/>
  <c r="CI19" i="15"/>
  <c r="CI48" i="15"/>
  <c r="CI93" i="15"/>
  <c r="CI107" i="15"/>
  <c r="CI18" i="15"/>
  <c r="CI53" i="15"/>
  <c r="CI46" i="15"/>
  <c r="CI27" i="15"/>
  <c r="CI12" i="15"/>
  <c r="CI35" i="15"/>
  <c r="CI85" i="15"/>
  <c r="CG9" i="15" l="1"/>
  <c r="CI45" i="15"/>
  <c r="CI33" i="15"/>
  <c r="CI22" i="15"/>
  <c r="CI78" i="15"/>
  <c r="CI67" i="15"/>
  <c r="CI11" i="15"/>
  <c r="CI56" i="15"/>
  <c r="CH44" i="15"/>
  <c r="CH10" i="15"/>
  <c r="CJ8" i="15"/>
  <c r="CJ70" i="15"/>
  <c r="CJ84" i="15"/>
  <c r="CJ64" i="15"/>
  <c r="CJ23" i="15"/>
  <c r="CJ103" i="15"/>
  <c r="CJ39" i="15"/>
  <c r="CJ71" i="15"/>
  <c r="CJ73" i="15"/>
  <c r="CJ61" i="15"/>
  <c r="CJ46" i="15"/>
  <c r="CK42" i="15"/>
  <c r="CJ82" i="15"/>
  <c r="CJ109" i="15"/>
  <c r="CJ29" i="15"/>
  <c r="CJ15" i="15"/>
  <c r="CJ12" i="15"/>
  <c r="CJ98" i="15"/>
  <c r="CJ34" i="15"/>
  <c r="CJ48" i="15"/>
  <c r="CJ80" i="15"/>
  <c r="CJ62" i="15"/>
  <c r="CJ86" i="15"/>
  <c r="CJ17" i="15"/>
  <c r="CJ74" i="15"/>
  <c r="CJ37" i="15"/>
  <c r="CJ69" i="15"/>
  <c r="CJ95" i="15"/>
  <c r="CJ97" i="15"/>
  <c r="CJ58" i="15"/>
  <c r="CJ51" i="15"/>
  <c r="CJ52" i="15"/>
  <c r="CK31" i="15"/>
  <c r="CJ81" i="15"/>
  <c r="CK76" i="15"/>
  <c r="CJ72" i="15"/>
  <c r="CJ110" i="15"/>
  <c r="CJ107" i="15"/>
  <c r="CJ93" i="15"/>
  <c r="CJ28" i="15"/>
  <c r="CJ75" i="15"/>
  <c r="CJ105" i="15"/>
  <c r="CJ16" i="15"/>
  <c r="CJ79" i="15"/>
  <c r="CJ57" i="15"/>
  <c r="CJ40" i="15"/>
  <c r="CJ96" i="15"/>
  <c r="CJ83" i="15"/>
  <c r="CJ24" i="15"/>
  <c r="CJ63" i="15"/>
  <c r="CK65" i="15"/>
  <c r="CK20" i="15"/>
  <c r="CJ85" i="15"/>
  <c r="CK54" i="15"/>
  <c r="CJ36" i="15"/>
  <c r="CJ38" i="15"/>
  <c r="CJ91" i="15"/>
  <c r="CJ41" i="15"/>
  <c r="CJ50" i="15"/>
  <c r="CJ68" i="15"/>
  <c r="CJ53" i="15"/>
  <c r="CJ102" i="15"/>
  <c r="CJ26" i="15"/>
  <c r="CJ60" i="15"/>
  <c r="CJ106" i="15"/>
  <c r="CJ92" i="15"/>
  <c r="CJ49" i="15"/>
  <c r="CJ27" i="15"/>
  <c r="CJ14" i="15"/>
  <c r="CJ30" i="15"/>
  <c r="CJ25" i="15"/>
  <c r="CJ19" i="15"/>
  <c r="CJ104" i="15"/>
  <c r="CJ35" i="15"/>
  <c r="CJ108" i="15"/>
  <c r="CJ99" i="15"/>
  <c r="CK87" i="15"/>
  <c r="CJ59" i="15"/>
  <c r="CJ13" i="15"/>
  <c r="CJ18" i="15"/>
  <c r="CJ47" i="15"/>
  <c r="CH9" i="15" l="1"/>
  <c r="CI44" i="15"/>
  <c r="CJ45" i="15"/>
  <c r="CJ33" i="15"/>
  <c r="CJ11" i="15"/>
  <c r="CJ78" i="15"/>
  <c r="CJ67" i="15"/>
  <c r="CJ22" i="15"/>
  <c r="CJ56" i="15"/>
  <c r="CI10" i="15"/>
  <c r="CK8" i="15"/>
  <c r="CK19" i="15"/>
  <c r="CK46" i="15"/>
  <c r="CK30" i="15"/>
  <c r="CK85" i="15"/>
  <c r="CK108" i="15"/>
  <c r="CK104" i="15"/>
  <c r="CK14" i="15"/>
  <c r="CK69" i="15"/>
  <c r="CK106" i="15"/>
  <c r="CK96" i="15"/>
  <c r="CK58" i="15"/>
  <c r="CK50" i="15"/>
  <c r="CL76" i="15"/>
  <c r="CK27" i="15"/>
  <c r="CK38" i="15"/>
  <c r="CK109" i="15"/>
  <c r="CL65" i="15"/>
  <c r="CK26" i="15"/>
  <c r="CK61" i="15"/>
  <c r="CK64" i="15"/>
  <c r="CL54" i="15"/>
  <c r="CK15" i="15"/>
  <c r="CL87" i="15"/>
  <c r="CK23" i="15"/>
  <c r="CK81" i="15"/>
  <c r="CK39" i="15"/>
  <c r="CK98" i="15"/>
  <c r="CK74" i="15"/>
  <c r="CK25" i="15"/>
  <c r="CK93" i="15"/>
  <c r="CK107" i="15"/>
  <c r="CK110" i="15"/>
  <c r="CK103" i="15"/>
  <c r="CK53" i="15"/>
  <c r="CK16" i="15"/>
  <c r="CK79" i="15"/>
  <c r="CK84" i="15"/>
  <c r="CL42" i="15"/>
  <c r="CK49" i="15"/>
  <c r="CL20" i="15"/>
  <c r="CK17" i="15"/>
  <c r="CK63" i="15"/>
  <c r="CK68" i="15"/>
  <c r="CK40" i="15"/>
  <c r="CK48" i="15"/>
  <c r="CK75" i="15"/>
  <c r="CK59" i="15"/>
  <c r="CK28" i="15"/>
  <c r="CK34" i="15"/>
  <c r="CK97" i="15"/>
  <c r="CK86" i="15"/>
  <c r="CK36" i="15"/>
  <c r="CK92" i="15"/>
  <c r="CL31" i="15"/>
  <c r="CK13" i="15"/>
  <c r="CK73" i="15"/>
  <c r="CK24" i="15"/>
  <c r="CK105" i="15"/>
  <c r="CK82" i="15"/>
  <c r="CK80" i="15"/>
  <c r="CK62" i="15"/>
  <c r="CK29" i="15"/>
  <c r="CK60" i="15"/>
  <c r="CK70" i="15"/>
  <c r="CK72" i="15"/>
  <c r="CK99" i="15"/>
  <c r="CK37" i="15"/>
  <c r="CK47" i="15"/>
  <c r="CK91" i="15"/>
  <c r="CK18" i="15"/>
  <c r="CK52" i="15"/>
  <c r="CK83" i="15"/>
  <c r="CK51" i="15"/>
  <c r="CK35" i="15"/>
  <c r="CK102" i="15"/>
  <c r="CK57" i="15"/>
  <c r="CK71" i="15"/>
  <c r="CK12" i="15"/>
  <c r="CK41" i="15"/>
  <c r="CK95" i="15"/>
  <c r="CI9" i="15" l="1"/>
  <c r="CJ44" i="15"/>
  <c r="CK45" i="15"/>
  <c r="CK22" i="15"/>
  <c r="CK33" i="15"/>
  <c r="CK11" i="15"/>
  <c r="CK56" i="15"/>
  <c r="CK78" i="15"/>
  <c r="CK67" i="15"/>
  <c r="CJ10" i="15"/>
  <c r="CL8" i="15"/>
  <c r="CL25" i="15"/>
  <c r="CM76" i="15"/>
  <c r="CL97" i="15"/>
  <c r="CL30" i="15"/>
  <c r="CL83" i="15"/>
  <c r="CL58" i="15"/>
  <c r="CL91" i="15"/>
  <c r="CL80" i="15"/>
  <c r="CL102" i="15"/>
  <c r="CL62" i="15"/>
  <c r="CL24" i="15"/>
  <c r="CL84" i="15"/>
  <c r="CL57" i="15"/>
  <c r="CL19" i="15"/>
  <c r="CL72" i="15"/>
  <c r="CL59" i="15"/>
  <c r="CL109" i="15"/>
  <c r="CL63" i="15"/>
  <c r="CL85" i="15"/>
  <c r="CL35" i="15"/>
  <c r="CL50" i="15"/>
  <c r="CL36" i="15"/>
  <c r="CL41" i="15"/>
  <c r="CL71" i="15"/>
  <c r="CL47" i="15"/>
  <c r="CM31" i="15"/>
  <c r="CL86" i="15"/>
  <c r="CL73" i="15"/>
  <c r="CL12" i="15"/>
  <c r="CL38" i="15"/>
  <c r="CL93" i="15"/>
  <c r="CL13" i="15"/>
  <c r="CM65" i="15"/>
  <c r="CL96" i="15"/>
  <c r="CL64" i="15"/>
  <c r="CL99" i="15"/>
  <c r="CL23" i="15"/>
  <c r="CL103" i="15"/>
  <c r="CL110" i="15"/>
  <c r="CL51" i="15"/>
  <c r="CL92" i="15"/>
  <c r="CL34" i="15"/>
  <c r="CL60" i="15"/>
  <c r="CL82" i="15"/>
  <c r="CL49" i="15"/>
  <c r="CM87" i="15"/>
  <c r="CL39" i="15"/>
  <c r="CL108" i="15"/>
  <c r="CL26" i="15"/>
  <c r="CL74" i="15"/>
  <c r="CL14" i="15"/>
  <c r="CL105" i="15"/>
  <c r="CL81" i="15"/>
  <c r="CL52" i="15"/>
  <c r="CL27" i="15"/>
  <c r="CL107" i="15"/>
  <c r="CM20" i="15"/>
  <c r="CL53" i="15"/>
  <c r="CL75" i="15"/>
  <c r="CL98" i="15"/>
  <c r="CL18" i="15"/>
  <c r="CL95" i="15"/>
  <c r="CL68" i="15"/>
  <c r="CL79" i="15"/>
  <c r="CL106" i="15"/>
  <c r="CM54" i="15"/>
  <c r="CL70" i="15"/>
  <c r="CL48" i="15"/>
  <c r="CL29" i="15"/>
  <c r="CM42" i="15"/>
  <c r="CL28" i="15"/>
  <c r="CL16" i="15"/>
  <c r="CL17" i="15"/>
  <c r="CL69" i="15"/>
  <c r="CL37" i="15"/>
  <c r="CL46" i="15"/>
  <c r="CL40" i="15"/>
  <c r="CL61" i="15"/>
  <c r="CL104" i="15"/>
  <c r="CL15" i="15"/>
  <c r="CJ9" i="15" l="1"/>
  <c r="CK44" i="15"/>
  <c r="CL56" i="15"/>
  <c r="CL45" i="15"/>
  <c r="CL33" i="15"/>
  <c r="CL22" i="15"/>
  <c r="CL11" i="15"/>
  <c r="CL78" i="15"/>
  <c r="CL67" i="15"/>
  <c r="CK10" i="15"/>
  <c r="CM8" i="15"/>
  <c r="CM107" i="15"/>
  <c r="CM30" i="15"/>
  <c r="CN54" i="15"/>
  <c r="CM57" i="15"/>
  <c r="CN31" i="15"/>
  <c r="CM62" i="15"/>
  <c r="CM36" i="15"/>
  <c r="CM70" i="15"/>
  <c r="CM50" i="15"/>
  <c r="CM103" i="15"/>
  <c r="CM23" i="15"/>
  <c r="CM63" i="15"/>
  <c r="CM96" i="15"/>
  <c r="CM34" i="15"/>
  <c r="CN42" i="15"/>
  <c r="CM97" i="15"/>
  <c r="CM18" i="15"/>
  <c r="CM71" i="15"/>
  <c r="CM48" i="15"/>
  <c r="CM28" i="15"/>
  <c r="CM95" i="15"/>
  <c r="CM61" i="15"/>
  <c r="CM47" i="15"/>
  <c r="CM37" i="15"/>
  <c r="CM93" i="15"/>
  <c r="CM35" i="15"/>
  <c r="CM104" i="15"/>
  <c r="CM74" i="15"/>
  <c r="CM91" i="15"/>
  <c r="CM80" i="15"/>
  <c r="CN65" i="15"/>
  <c r="CM25" i="15"/>
  <c r="CM41" i="15"/>
  <c r="CM15" i="15"/>
  <c r="CM27" i="15"/>
  <c r="CM51" i="15"/>
  <c r="CM92" i="15"/>
  <c r="CM110" i="15"/>
  <c r="CM19" i="15"/>
  <c r="CM29" i="15"/>
  <c r="CM79" i="15"/>
  <c r="CM40" i="15"/>
  <c r="CM81" i="15"/>
  <c r="CM83" i="15"/>
  <c r="CM72" i="15"/>
  <c r="CM17" i="15"/>
  <c r="CM14" i="15"/>
  <c r="CM105" i="15"/>
  <c r="CM69" i="15"/>
  <c r="CM16" i="15"/>
  <c r="CM106" i="15"/>
  <c r="CM38" i="15"/>
  <c r="CM73" i="15"/>
  <c r="CM39" i="15"/>
  <c r="CM49" i="15"/>
  <c r="CM58" i="15"/>
  <c r="CM24" i="15"/>
  <c r="CM46" i="15"/>
  <c r="CM68" i="15"/>
  <c r="CM59" i="15"/>
  <c r="CM109" i="15"/>
  <c r="CM85" i="15"/>
  <c r="CM75" i="15"/>
  <c r="CM12" i="15"/>
  <c r="CM84" i="15"/>
  <c r="CM52" i="15"/>
  <c r="CM60" i="15"/>
  <c r="CM108" i="15"/>
  <c r="CN76" i="15"/>
  <c r="CM102" i="15"/>
  <c r="CN20" i="15"/>
  <c r="CM82" i="15"/>
  <c r="CM86" i="15"/>
  <c r="CM64" i="15"/>
  <c r="CM99" i="15"/>
  <c r="CM53" i="15"/>
  <c r="CM13" i="15"/>
  <c r="CM98" i="15"/>
  <c r="CN87" i="15"/>
  <c r="CM26" i="15"/>
  <c r="CK9" i="15" l="1"/>
  <c r="CL44" i="15"/>
  <c r="CM33" i="15"/>
  <c r="CM22" i="15"/>
  <c r="CM45" i="15"/>
  <c r="CM11" i="15"/>
  <c r="CM78" i="15"/>
  <c r="CM67" i="15"/>
  <c r="CM56" i="15"/>
  <c r="CL10" i="15"/>
  <c r="CN8" i="15"/>
  <c r="CN60" i="15"/>
  <c r="CN83" i="15"/>
  <c r="CN109" i="15"/>
  <c r="CN28" i="15"/>
  <c r="CN34" i="15"/>
  <c r="CN95" i="15"/>
  <c r="CN72" i="15"/>
  <c r="CN91" i="15"/>
  <c r="CN102" i="15"/>
  <c r="CN110" i="15"/>
  <c r="CN47" i="15"/>
  <c r="CN74" i="15"/>
  <c r="CN51" i="15"/>
  <c r="CN104" i="15"/>
  <c r="CO20" i="15"/>
  <c r="CN18" i="15"/>
  <c r="CN69" i="15"/>
  <c r="CN92" i="15"/>
  <c r="CN49" i="15"/>
  <c r="CN46" i="15"/>
  <c r="CN80" i="15"/>
  <c r="CN23" i="15"/>
  <c r="CN99" i="15"/>
  <c r="CN13" i="15"/>
  <c r="CN29" i="15"/>
  <c r="CN93" i="15"/>
  <c r="CN79" i="15"/>
  <c r="CN36" i="15"/>
  <c r="CN16" i="15"/>
  <c r="CO42" i="15"/>
  <c r="CO76" i="15"/>
  <c r="CN17" i="15"/>
  <c r="CN58" i="15"/>
  <c r="CN81" i="15"/>
  <c r="CN84" i="15"/>
  <c r="CN57" i="15"/>
  <c r="CN15" i="15"/>
  <c r="CN14" i="15"/>
  <c r="CN63" i="15"/>
  <c r="CN105" i="15"/>
  <c r="CN12" i="15"/>
  <c r="CN52" i="15"/>
  <c r="CN26" i="15"/>
  <c r="CN35" i="15"/>
  <c r="CO31" i="15"/>
  <c r="CN64" i="15"/>
  <c r="CN98" i="15"/>
  <c r="CN39" i="15"/>
  <c r="CN38" i="15"/>
  <c r="CN71" i="15"/>
  <c r="CN24" i="15"/>
  <c r="CN68" i="15"/>
  <c r="CN41" i="15"/>
  <c r="CN62" i="15"/>
  <c r="CN75" i="15"/>
  <c r="CN19" i="15"/>
  <c r="CN50" i="15"/>
  <c r="CN103" i="15"/>
  <c r="CN82" i="15"/>
  <c r="CO54" i="15"/>
  <c r="CO65" i="15"/>
  <c r="CN53" i="15"/>
  <c r="CN27" i="15"/>
  <c r="CN48" i="15"/>
  <c r="CO87" i="15"/>
  <c r="CN61" i="15"/>
  <c r="CN108" i="15"/>
  <c r="CN37" i="15"/>
  <c r="CN30" i="15"/>
  <c r="CN106" i="15"/>
  <c r="CN85" i="15"/>
  <c r="CN70" i="15"/>
  <c r="CN59" i="15"/>
  <c r="CN96" i="15"/>
  <c r="CN97" i="15"/>
  <c r="CN40" i="15"/>
  <c r="CN107" i="15"/>
  <c r="CN86" i="15"/>
  <c r="CN73" i="15"/>
  <c r="CN25" i="15"/>
  <c r="CL9" i="15" l="1"/>
  <c r="CM10" i="15"/>
  <c r="CN45" i="15"/>
  <c r="CN33" i="15"/>
  <c r="CN22" i="15"/>
  <c r="CN11" i="15"/>
  <c r="CN56" i="15"/>
  <c r="CN78" i="15"/>
  <c r="CN67" i="15"/>
  <c r="CM44" i="15"/>
  <c r="CO8" i="15"/>
  <c r="CO39" i="15"/>
  <c r="CO62" i="15"/>
  <c r="CO83" i="15"/>
  <c r="CO26" i="15"/>
  <c r="CO60" i="15"/>
  <c r="CO36" i="15"/>
  <c r="CO104" i="15"/>
  <c r="CO79" i="15"/>
  <c r="CO110" i="15"/>
  <c r="CP31" i="15"/>
  <c r="CP65" i="15"/>
  <c r="CO61" i="15"/>
  <c r="CO108" i="15"/>
  <c r="CO69" i="15"/>
  <c r="CO73" i="15"/>
  <c r="CO95" i="15"/>
  <c r="CO80" i="15"/>
  <c r="CO92" i="15"/>
  <c r="CO48" i="15"/>
  <c r="CO28" i="15"/>
  <c r="CO84" i="15"/>
  <c r="CO68" i="15"/>
  <c r="CO41" i="15"/>
  <c r="CO82" i="15"/>
  <c r="CO16" i="15"/>
  <c r="CO51" i="15"/>
  <c r="CO85" i="15"/>
  <c r="CO30" i="15"/>
  <c r="CP76" i="15"/>
  <c r="CP54" i="15"/>
  <c r="CO17" i="15"/>
  <c r="CO98" i="15"/>
  <c r="CO109" i="15"/>
  <c r="CO53" i="15"/>
  <c r="CO103" i="15"/>
  <c r="CO19" i="15"/>
  <c r="CO35" i="15"/>
  <c r="CO63" i="15"/>
  <c r="CO52" i="15"/>
  <c r="CO46" i="15"/>
  <c r="CO12" i="15"/>
  <c r="CO102" i="15"/>
  <c r="CO59" i="15"/>
  <c r="CO23" i="15"/>
  <c r="CO105" i="15"/>
  <c r="CO70" i="15"/>
  <c r="CO106" i="15"/>
  <c r="CO18" i="15"/>
  <c r="CO47" i="15"/>
  <c r="CO107" i="15"/>
  <c r="CO38" i="15"/>
  <c r="CO50" i="15"/>
  <c r="CO75" i="15"/>
  <c r="CO34" i="15"/>
  <c r="CO15" i="15"/>
  <c r="CP87" i="15"/>
  <c r="CO25" i="15"/>
  <c r="CO74" i="15"/>
  <c r="CP20" i="15"/>
  <c r="CO91" i="15"/>
  <c r="CO72" i="15"/>
  <c r="CO64" i="15"/>
  <c r="CO93" i="15"/>
  <c r="CO86" i="15"/>
  <c r="CO40" i="15"/>
  <c r="CO99" i="15"/>
  <c r="CO24" i="15"/>
  <c r="CO96" i="15"/>
  <c r="CP42" i="15"/>
  <c r="CO49" i="15"/>
  <c r="CO13" i="15"/>
  <c r="CO37" i="15"/>
  <c r="CO58" i="15"/>
  <c r="CO97" i="15"/>
  <c r="CO29" i="15"/>
  <c r="CO27" i="15"/>
  <c r="CO81" i="15"/>
  <c r="CO71" i="15"/>
  <c r="CO57" i="15"/>
  <c r="CO14" i="15"/>
  <c r="CM9" i="15" l="1"/>
  <c r="CN44" i="15"/>
  <c r="CO45" i="15"/>
  <c r="CO33" i="15"/>
  <c r="CO22" i="15"/>
  <c r="CO11" i="15"/>
  <c r="CO56" i="15"/>
  <c r="CO78" i="15"/>
  <c r="CO67" i="15"/>
  <c r="CN10" i="15"/>
  <c r="CP8" i="15"/>
  <c r="CP29" i="15"/>
  <c r="CP25" i="15"/>
  <c r="CP41" i="15"/>
  <c r="CQ65" i="15"/>
  <c r="CP59" i="15"/>
  <c r="CP37" i="15"/>
  <c r="CP64" i="15"/>
  <c r="CP53" i="15"/>
  <c r="CP69" i="15"/>
  <c r="CQ42" i="15"/>
  <c r="CP49" i="15"/>
  <c r="CP50" i="15"/>
  <c r="CP110" i="15"/>
  <c r="CP47" i="15"/>
  <c r="CP38" i="15"/>
  <c r="CP106" i="15"/>
  <c r="CP92" i="15"/>
  <c r="CP13" i="15"/>
  <c r="CP17" i="15"/>
  <c r="CP61" i="15"/>
  <c r="CQ87" i="15"/>
  <c r="CP105" i="15"/>
  <c r="CP30" i="15"/>
  <c r="CP83" i="15"/>
  <c r="CP26" i="15"/>
  <c r="CP81" i="15"/>
  <c r="CP57" i="15"/>
  <c r="CP51" i="15"/>
  <c r="CP93" i="15"/>
  <c r="CP102" i="15"/>
  <c r="CP82" i="15"/>
  <c r="CP40" i="15"/>
  <c r="CP36" i="15"/>
  <c r="CP46" i="15"/>
  <c r="CP72" i="15"/>
  <c r="CQ20" i="15"/>
  <c r="CP27" i="15"/>
  <c r="CQ54" i="15"/>
  <c r="CP80" i="15"/>
  <c r="CP35" i="15"/>
  <c r="CP16" i="15"/>
  <c r="CP60" i="15"/>
  <c r="CP58" i="15"/>
  <c r="CP63" i="15"/>
  <c r="CP24" i="15"/>
  <c r="CP48" i="15"/>
  <c r="CP62" i="15"/>
  <c r="CP15" i="15"/>
  <c r="CP104" i="15"/>
  <c r="CP96" i="15"/>
  <c r="CP95" i="15"/>
  <c r="CQ31" i="15"/>
  <c r="CP14" i="15"/>
  <c r="CP108" i="15"/>
  <c r="CP68" i="15"/>
  <c r="CP52" i="15"/>
  <c r="CP39" i="15"/>
  <c r="CP97" i="15"/>
  <c r="CP18" i="15"/>
  <c r="CP75" i="15"/>
  <c r="CP70" i="15"/>
  <c r="CP98" i="15"/>
  <c r="CP109" i="15"/>
  <c r="CP99" i="15"/>
  <c r="CP23" i="15"/>
  <c r="CP103" i="15"/>
  <c r="CP34" i="15"/>
  <c r="CP107" i="15"/>
  <c r="CP71" i="15"/>
  <c r="CP86" i="15"/>
  <c r="CP85" i="15"/>
  <c r="CP12" i="15"/>
  <c r="CP91" i="15"/>
  <c r="CP73" i="15"/>
  <c r="CP19" i="15"/>
  <c r="CP84" i="15"/>
  <c r="CP79" i="15"/>
  <c r="CP74" i="15"/>
  <c r="CQ76" i="15"/>
  <c r="CP28" i="15"/>
  <c r="CN9" i="15" l="1"/>
  <c r="CO44" i="15"/>
  <c r="CP45" i="15"/>
  <c r="CP33" i="15"/>
  <c r="CP22" i="15"/>
  <c r="CP56" i="15"/>
  <c r="CP11" i="15"/>
  <c r="CP78" i="15"/>
  <c r="CP67" i="15"/>
  <c r="CO10" i="15"/>
  <c r="CQ8" i="15"/>
  <c r="CQ96" i="15"/>
  <c r="CR42" i="15"/>
  <c r="CQ71" i="15"/>
  <c r="CQ105" i="15"/>
  <c r="CQ40" i="15"/>
  <c r="CQ27" i="15"/>
  <c r="CQ91" i="15"/>
  <c r="CQ97" i="15"/>
  <c r="CQ62" i="15"/>
  <c r="CQ80" i="15"/>
  <c r="CQ98" i="15"/>
  <c r="CQ46" i="15"/>
  <c r="CQ84" i="15"/>
  <c r="CQ19" i="15"/>
  <c r="CQ93" i="15"/>
  <c r="CQ104" i="15"/>
  <c r="CQ51" i="15"/>
  <c r="CQ30" i="15"/>
  <c r="CQ36" i="15"/>
  <c r="CQ14" i="15"/>
  <c r="CQ108" i="15"/>
  <c r="CQ109" i="15"/>
  <c r="CQ63" i="15"/>
  <c r="CQ83" i="15"/>
  <c r="CQ81" i="15"/>
  <c r="CQ92" i="15"/>
  <c r="CQ12" i="15"/>
  <c r="CQ48" i="15"/>
  <c r="CQ26" i="15"/>
  <c r="CQ24" i="15"/>
  <c r="CQ41" i="15"/>
  <c r="CR20" i="15"/>
  <c r="CQ110" i="15"/>
  <c r="CQ59" i="15"/>
  <c r="CQ39" i="15"/>
  <c r="CQ95" i="15"/>
  <c r="CQ61" i="15"/>
  <c r="CR87" i="15"/>
  <c r="CQ102" i="15"/>
  <c r="CQ107" i="15"/>
  <c r="CQ82" i="15"/>
  <c r="CR31" i="15"/>
  <c r="CR54" i="15"/>
  <c r="CQ13" i="15"/>
  <c r="CQ106" i="15"/>
  <c r="CQ16" i="15"/>
  <c r="CQ74" i="15"/>
  <c r="CQ75" i="15"/>
  <c r="CQ85" i="15"/>
  <c r="CQ73" i="15"/>
  <c r="CQ53" i="15"/>
  <c r="CQ34" i="15"/>
  <c r="CQ103" i="15"/>
  <c r="CQ29" i="15"/>
  <c r="CQ38" i="15"/>
  <c r="CQ17" i="15"/>
  <c r="CQ60" i="15"/>
  <c r="CQ49" i="15"/>
  <c r="CR76" i="15"/>
  <c r="CQ35" i="15"/>
  <c r="CQ72" i="15"/>
  <c r="CQ58" i="15"/>
  <c r="CQ52" i="15"/>
  <c r="CQ68" i="15"/>
  <c r="CQ86" i="15"/>
  <c r="CQ69" i="15"/>
  <c r="CQ50" i="15"/>
  <c r="CQ57" i="15"/>
  <c r="CQ25" i="15"/>
  <c r="CQ23" i="15"/>
  <c r="CQ64" i="15"/>
  <c r="CQ15" i="15"/>
  <c r="CR65" i="15"/>
  <c r="CQ37" i="15"/>
  <c r="CQ99" i="15"/>
  <c r="CQ18" i="15"/>
  <c r="CQ47" i="15"/>
  <c r="CQ79" i="15"/>
  <c r="CQ70" i="15"/>
  <c r="CQ28" i="15"/>
  <c r="CO9" i="15" l="1"/>
  <c r="CP44" i="15"/>
  <c r="CQ45" i="15"/>
  <c r="CQ33" i="15"/>
  <c r="CQ56" i="15"/>
  <c r="CQ22" i="15"/>
  <c r="CQ11" i="15"/>
  <c r="CQ78" i="15"/>
  <c r="CQ67" i="15"/>
  <c r="CP10" i="15"/>
  <c r="CR8" i="15"/>
  <c r="CR82" i="15"/>
  <c r="CR17" i="15"/>
  <c r="CR58" i="15"/>
  <c r="CR91" i="15"/>
  <c r="CR68" i="15"/>
  <c r="CR104" i="15"/>
  <c r="CR84" i="15"/>
  <c r="CR99" i="15"/>
  <c r="CR98" i="15"/>
  <c r="CR49" i="15"/>
  <c r="CR102" i="15"/>
  <c r="CR46" i="15"/>
  <c r="CR35" i="15"/>
  <c r="CS76" i="15"/>
  <c r="CR80" i="15"/>
  <c r="CR86" i="15"/>
  <c r="CR69" i="15"/>
  <c r="CR14" i="15"/>
  <c r="CR92" i="15"/>
  <c r="CR24" i="15"/>
  <c r="CR109" i="15"/>
  <c r="CR103" i="15"/>
  <c r="CR25" i="15"/>
  <c r="CR107" i="15"/>
  <c r="CR19" i="15"/>
  <c r="CR39" i="15"/>
  <c r="CS42" i="15"/>
  <c r="CR41" i="15"/>
  <c r="CR62" i="15"/>
  <c r="CR93" i="15"/>
  <c r="CR36" i="15"/>
  <c r="CR95" i="15"/>
  <c r="CR34" i="15"/>
  <c r="CR52" i="15"/>
  <c r="CR57" i="15"/>
  <c r="CS54" i="15"/>
  <c r="CR38" i="15"/>
  <c r="CR64" i="15"/>
  <c r="CR110" i="15"/>
  <c r="CR105" i="15"/>
  <c r="CR71" i="15"/>
  <c r="CR51" i="15"/>
  <c r="CR50" i="15"/>
  <c r="CS31" i="15"/>
  <c r="CR79" i="15"/>
  <c r="CR63" i="15"/>
  <c r="CR26" i="15"/>
  <c r="CR48" i="15"/>
  <c r="CR16" i="15"/>
  <c r="CR27" i="15"/>
  <c r="CR18" i="15"/>
  <c r="CR13" i="15"/>
  <c r="CR108" i="15"/>
  <c r="CR72" i="15"/>
  <c r="CR23" i="15"/>
  <c r="CR61" i="15"/>
  <c r="CR47" i="15"/>
  <c r="CR106" i="15"/>
  <c r="CR85" i="15"/>
  <c r="CR59" i="15"/>
  <c r="CR15" i="15"/>
  <c r="CR97" i="15"/>
  <c r="CR81" i="15"/>
  <c r="CR74" i="15"/>
  <c r="CR53" i="15"/>
  <c r="CS65" i="15"/>
  <c r="CR37" i="15"/>
  <c r="CR73" i="15"/>
  <c r="CR28" i="15"/>
  <c r="CR83" i="15"/>
  <c r="CS87" i="15"/>
  <c r="CR96" i="15"/>
  <c r="CR75" i="15"/>
  <c r="CR70" i="15"/>
  <c r="CS20" i="15"/>
  <c r="CR60" i="15"/>
  <c r="CR29" i="15"/>
  <c r="CR40" i="15"/>
  <c r="CR12" i="15"/>
  <c r="CR30" i="15"/>
  <c r="CP9" i="15" l="1"/>
  <c r="CQ44" i="15"/>
  <c r="CR45" i="15"/>
  <c r="CR33" i="15"/>
  <c r="CR22" i="15"/>
  <c r="CR11" i="15"/>
  <c r="CR56" i="15"/>
  <c r="CR78" i="15"/>
  <c r="CR67" i="15"/>
  <c r="CQ10" i="15"/>
  <c r="CS8" i="15"/>
  <c r="CS69" i="15"/>
  <c r="CS110" i="15"/>
  <c r="CS28" i="15"/>
  <c r="CS71" i="15"/>
  <c r="CS105" i="15"/>
  <c r="CS34" i="15"/>
  <c r="CS81" i="15"/>
  <c r="CS52" i="15"/>
  <c r="CS35" i="15"/>
  <c r="CS18" i="15"/>
  <c r="CS83" i="15"/>
  <c r="CS30" i="15"/>
  <c r="CS106" i="15"/>
  <c r="CS27" i="15"/>
  <c r="CS29" i="15"/>
  <c r="CS36" i="15"/>
  <c r="CS25" i="15"/>
  <c r="CS97" i="15"/>
  <c r="CS16" i="15"/>
  <c r="CS73" i="15"/>
  <c r="CT87" i="15"/>
  <c r="CS38" i="15"/>
  <c r="CS23" i="15"/>
  <c r="CS53" i="15"/>
  <c r="CS59" i="15"/>
  <c r="CS47" i="15"/>
  <c r="CS61" i="15"/>
  <c r="CT65" i="15"/>
  <c r="CS48" i="15"/>
  <c r="CS96" i="15"/>
  <c r="CS75" i="15"/>
  <c r="CS41" i="15"/>
  <c r="CS82" i="15"/>
  <c r="CS109" i="15"/>
  <c r="CS37" i="15"/>
  <c r="CS74" i="15"/>
  <c r="CS86" i="15"/>
  <c r="CS108" i="15"/>
  <c r="CS46" i="15"/>
  <c r="CS99" i="15"/>
  <c r="CS63" i="15"/>
  <c r="CS80" i="15"/>
  <c r="CS70" i="15"/>
  <c r="CT20" i="15"/>
  <c r="CS92" i="15"/>
  <c r="CT42" i="15"/>
  <c r="CS60" i="15"/>
  <c r="CS58" i="15"/>
  <c r="CS102" i="15"/>
  <c r="CS57" i="15"/>
  <c r="CS79" i="15"/>
  <c r="CS95" i="15"/>
  <c r="CS91" i="15"/>
  <c r="CS104" i="15"/>
  <c r="CS13" i="15"/>
  <c r="CS64" i="15"/>
  <c r="CS50" i="15"/>
  <c r="CS93" i="15"/>
  <c r="CS26" i="15"/>
  <c r="CT54" i="15"/>
  <c r="CS84" i="15"/>
  <c r="CS39" i="15"/>
  <c r="CS103" i="15"/>
  <c r="CS19" i="15"/>
  <c r="CS49" i="15"/>
  <c r="CS40" i="15"/>
  <c r="CT31" i="15"/>
  <c r="CS85" i="15"/>
  <c r="CS15" i="15"/>
  <c r="CS12" i="15"/>
  <c r="CS107" i="15"/>
  <c r="CS62" i="15"/>
  <c r="CS72" i="15"/>
  <c r="CS14" i="15"/>
  <c r="CS24" i="15"/>
  <c r="CS68" i="15"/>
  <c r="CS51" i="15"/>
  <c r="CS17" i="15"/>
  <c r="CS98" i="15"/>
  <c r="CT76" i="15"/>
  <c r="CQ9" i="15" l="1"/>
  <c r="CR44" i="15"/>
  <c r="CS45" i="15"/>
  <c r="CS33" i="15"/>
  <c r="CS56" i="15"/>
  <c r="CS22" i="15"/>
  <c r="CS11" i="15"/>
  <c r="CS78" i="15"/>
  <c r="CS67" i="15"/>
  <c r="CR10" i="15"/>
  <c r="CT8" i="15"/>
  <c r="CT26" i="15"/>
  <c r="CT58" i="15"/>
  <c r="CT37" i="15"/>
  <c r="CU76" i="15"/>
  <c r="CT95" i="15"/>
  <c r="CT80" i="15"/>
  <c r="CT24" i="15"/>
  <c r="CT73" i="15"/>
  <c r="CT29" i="15"/>
  <c r="CT46" i="15"/>
  <c r="CT106" i="15"/>
  <c r="CT102" i="15"/>
  <c r="CT96" i="15"/>
  <c r="CT63" i="15"/>
  <c r="CT57" i="15"/>
  <c r="CT104" i="15"/>
  <c r="CT83" i="15"/>
  <c r="CT92" i="15"/>
  <c r="CT18" i="15"/>
  <c r="CT61" i="15"/>
  <c r="CT38" i="15"/>
  <c r="CT103" i="15"/>
  <c r="CT27" i="15"/>
  <c r="CT30" i="15"/>
  <c r="CT17" i="15"/>
  <c r="CT68" i="15"/>
  <c r="CT53" i="15"/>
  <c r="CU87" i="15"/>
  <c r="CT74" i="15"/>
  <c r="CT79" i="15"/>
  <c r="CT98" i="15"/>
  <c r="CT62" i="15"/>
  <c r="CT16" i="15"/>
  <c r="CT23" i="15"/>
  <c r="CT49" i="15"/>
  <c r="CT40" i="15"/>
  <c r="CT107" i="15"/>
  <c r="CT97" i="15"/>
  <c r="CT36" i="15"/>
  <c r="CU54" i="15"/>
  <c r="CT72" i="15"/>
  <c r="CT60" i="15"/>
  <c r="CU42" i="15"/>
  <c r="CT105" i="15"/>
  <c r="CT50" i="15"/>
  <c r="CT99" i="15"/>
  <c r="CT108" i="15"/>
  <c r="CT70" i="15"/>
  <c r="CT109" i="15"/>
  <c r="CT48" i="15"/>
  <c r="CT14" i="15"/>
  <c r="CT35" i="15"/>
  <c r="CT69" i="15"/>
  <c r="CT71" i="15"/>
  <c r="CU31" i="15"/>
  <c r="CT12" i="15"/>
  <c r="CT34" i="15"/>
  <c r="CT39" i="15"/>
  <c r="CT84" i="15"/>
  <c r="CU65" i="15"/>
  <c r="CT15" i="15"/>
  <c r="CT64" i="15"/>
  <c r="CT91" i="15"/>
  <c r="CT19" i="15"/>
  <c r="CT110" i="15"/>
  <c r="CT51" i="15"/>
  <c r="CT41" i="15"/>
  <c r="CT28" i="15"/>
  <c r="CT82" i="15"/>
  <c r="CT75" i="15"/>
  <c r="CT86" i="15"/>
  <c r="CT25" i="15"/>
  <c r="CT59" i="15"/>
  <c r="CU20" i="15"/>
  <c r="CT52" i="15"/>
  <c r="CT85" i="15"/>
  <c r="CT13" i="15"/>
  <c r="CT47" i="15"/>
  <c r="CT81" i="15"/>
  <c r="CT93" i="15"/>
  <c r="CR9" i="15" l="1"/>
  <c r="CS44" i="15"/>
  <c r="CT45" i="15"/>
  <c r="CT33" i="15"/>
  <c r="CT22" i="15"/>
  <c r="CT11" i="15"/>
  <c r="CT56" i="15"/>
  <c r="CT78" i="15"/>
  <c r="CT67" i="15"/>
  <c r="CS10" i="15"/>
  <c r="CU8" i="15"/>
  <c r="CU69" i="15"/>
  <c r="CU29" i="15"/>
  <c r="CU59" i="15"/>
  <c r="CU26" i="15"/>
  <c r="CU71" i="15"/>
  <c r="CU41" i="15"/>
  <c r="CV20" i="15"/>
  <c r="CU23" i="15"/>
  <c r="CU25" i="15"/>
  <c r="CU24" i="15"/>
  <c r="CU109" i="15"/>
  <c r="CU14" i="15"/>
  <c r="CU97" i="15"/>
  <c r="CU48" i="15"/>
  <c r="CU95" i="15"/>
  <c r="CU47" i="15"/>
  <c r="CU92" i="15"/>
  <c r="CU53" i="15"/>
  <c r="CV42" i="15"/>
  <c r="CU28" i="15"/>
  <c r="CU12" i="15"/>
  <c r="CU79" i="15"/>
  <c r="CU98" i="15"/>
  <c r="CU80" i="15"/>
  <c r="CU36" i="15"/>
  <c r="CU16" i="15"/>
  <c r="CU73" i="15"/>
  <c r="CU34" i="15"/>
  <c r="CU40" i="15"/>
  <c r="CU104" i="15"/>
  <c r="CU108" i="15"/>
  <c r="CU96" i="15"/>
  <c r="CV31" i="15"/>
  <c r="CU105" i="15"/>
  <c r="CU18" i="15"/>
  <c r="CU86" i="15"/>
  <c r="CU103" i="15"/>
  <c r="CU81" i="15"/>
  <c r="CU72" i="15"/>
  <c r="CU58" i="15"/>
  <c r="CU75" i="15"/>
  <c r="CU83" i="15"/>
  <c r="CU110" i="15"/>
  <c r="CU63" i="15"/>
  <c r="CU68" i="15"/>
  <c r="CV76" i="15"/>
  <c r="CU93" i="15"/>
  <c r="CU102" i="15"/>
  <c r="CU19" i="15"/>
  <c r="CU17" i="15"/>
  <c r="CU50" i="15"/>
  <c r="CU51" i="15"/>
  <c r="CU64" i="15"/>
  <c r="CU39" i="15"/>
  <c r="CU15" i="15"/>
  <c r="CU84" i="15"/>
  <c r="CU49" i="15"/>
  <c r="CU30" i="15"/>
  <c r="CU74" i="15"/>
  <c r="CV54" i="15"/>
  <c r="CU85" i="15"/>
  <c r="CV65" i="15"/>
  <c r="CU38" i="15"/>
  <c r="CU107" i="15"/>
  <c r="CU27" i="15"/>
  <c r="CU82" i="15"/>
  <c r="CU91" i="15"/>
  <c r="CU46" i="15"/>
  <c r="CU62" i="15"/>
  <c r="CU106" i="15"/>
  <c r="CU61" i="15"/>
  <c r="CU60" i="15"/>
  <c r="CU52" i="15"/>
  <c r="CV87" i="15"/>
  <c r="CU70" i="15"/>
  <c r="CU99" i="15"/>
  <c r="CU13" i="15"/>
  <c r="CU57" i="15"/>
  <c r="CU37" i="15"/>
  <c r="CU35" i="15"/>
  <c r="CS9" i="15" l="1"/>
  <c r="CT44" i="15"/>
  <c r="CU56" i="15"/>
  <c r="CU45" i="15"/>
  <c r="CU33" i="15"/>
  <c r="CU22" i="15"/>
  <c r="CU11" i="15"/>
  <c r="CU78" i="15"/>
  <c r="CU67" i="15"/>
  <c r="CT10" i="15"/>
  <c r="CV8" i="15"/>
  <c r="CV51" i="15"/>
  <c r="CW76" i="15"/>
  <c r="CV29" i="15"/>
  <c r="CV57" i="15"/>
  <c r="CV19" i="15"/>
  <c r="CV95" i="15"/>
  <c r="CV60" i="15"/>
  <c r="CV70" i="15"/>
  <c r="CV79" i="15"/>
  <c r="CV73" i="15"/>
  <c r="CV97" i="15"/>
  <c r="CV91" i="15"/>
  <c r="CV23" i="15"/>
  <c r="CV38" i="15"/>
  <c r="CV109" i="15"/>
  <c r="CV71" i="15"/>
  <c r="CW31" i="15"/>
  <c r="CV106" i="15"/>
  <c r="CV30" i="15"/>
  <c r="CV98" i="15"/>
  <c r="CV96" i="15"/>
  <c r="CV18" i="15"/>
  <c r="CV58" i="15"/>
  <c r="CV63" i="15"/>
  <c r="CV50" i="15"/>
  <c r="CV36" i="15"/>
  <c r="CV103" i="15"/>
  <c r="CV72" i="15"/>
  <c r="CV17" i="15"/>
  <c r="CV81" i="15"/>
  <c r="CV93" i="15"/>
  <c r="CV86" i="15"/>
  <c r="CV102" i="15"/>
  <c r="CV41" i="15"/>
  <c r="CV59" i="15"/>
  <c r="CV68" i="15"/>
  <c r="CV24" i="15"/>
  <c r="CV34" i="15"/>
  <c r="CV16" i="15"/>
  <c r="CV53" i="15"/>
  <c r="CV108" i="15"/>
  <c r="CV40" i="15"/>
  <c r="CV37" i="15"/>
  <c r="CV52" i="15"/>
  <c r="CV92" i="15"/>
  <c r="CV104" i="15"/>
  <c r="CV46" i="15"/>
  <c r="CV27" i="15"/>
  <c r="CV28" i="15"/>
  <c r="CV83" i="15"/>
  <c r="CV105" i="15"/>
  <c r="CV64" i="15"/>
  <c r="CV48" i="15"/>
  <c r="CV75" i="15"/>
  <c r="CV12" i="15"/>
  <c r="CV14" i="15"/>
  <c r="CW87" i="15"/>
  <c r="CV62" i="15"/>
  <c r="CW65" i="15"/>
  <c r="CV25" i="15"/>
  <c r="CV80" i="15"/>
  <c r="CV39" i="15"/>
  <c r="CV26" i="15"/>
  <c r="CV82" i="15"/>
  <c r="CV49" i="15"/>
  <c r="CV13" i="15"/>
  <c r="CV15" i="15"/>
  <c r="CW54" i="15"/>
  <c r="CV107" i="15"/>
  <c r="CV47" i="15"/>
  <c r="CV35" i="15"/>
  <c r="CW42" i="15"/>
  <c r="CV74" i="15"/>
  <c r="CV61" i="15"/>
  <c r="CV110" i="15"/>
  <c r="CV85" i="15"/>
  <c r="CV99" i="15"/>
  <c r="CW20" i="15"/>
  <c r="CV69" i="15"/>
  <c r="CV84" i="15"/>
  <c r="CT9" i="15" l="1"/>
  <c r="CU44" i="15"/>
  <c r="CV45" i="15"/>
  <c r="CV33" i="15"/>
  <c r="CV22" i="15"/>
  <c r="CV56" i="15"/>
  <c r="CV11" i="15"/>
  <c r="CV78" i="15"/>
  <c r="CV67" i="15"/>
  <c r="CU10" i="15"/>
  <c r="CW8" i="15"/>
  <c r="CW79" i="15"/>
  <c r="CW24" i="15"/>
  <c r="CW14" i="15"/>
  <c r="CW110" i="15"/>
  <c r="CW63" i="15"/>
  <c r="CW51" i="15"/>
  <c r="CW69" i="15"/>
  <c r="CW81" i="15"/>
  <c r="CW35" i="15"/>
  <c r="CW18" i="15"/>
  <c r="CW49" i="15"/>
  <c r="CW19" i="15"/>
  <c r="CW70" i="15"/>
  <c r="CW53" i="15"/>
  <c r="CW75" i="15"/>
  <c r="CW106" i="15"/>
  <c r="CX54" i="15"/>
  <c r="CW58" i="15"/>
  <c r="CW92" i="15"/>
  <c r="CW26" i="15"/>
  <c r="CW27" i="15"/>
  <c r="CW109" i="15"/>
  <c r="CW15" i="15"/>
  <c r="CW16" i="15"/>
  <c r="CX20" i="15"/>
  <c r="CW30" i="15"/>
  <c r="CW74" i="15"/>
  <c r="CX31" i="15"/>
  <c r="CW98" i="15"/>
  <c r="CW80" i="15"/>
  <c r="CW12" i="15"/>
  <c r="CW108" i="15"/>
  <c r="CW73" i="15"/>
  <c r="CX76" i="15"/>
  <c r="CW84" i="15"/>
  <c r="CW72" i="15"/>
  <c r="CW62" i="15"/>
  <c r="CW41" i="15"/>
  <c r="CW40" i="15"/>
  <c r="CW60" i="15"/>
  <c r="CW93" i="15"/>
  <c r="CW103" i="15"/>
  <c r="CW96" i="15"/>
  <c r="CW95" i="15"/>
  <c r="CW34" i="15"/>
  <c r="CW64" i="15"/>
  <c r="CW25" i="15"/>
  <c r="CW47" i="15"/>
  <c r="CW46" i="15"/>
  <c r="CW86" i="15"/>
  <c r="CW57" i="15"/>
  <c r="CW17" i="15"/>
  <c r="CW59" i="15"/>
  <c r="CW29" i="15"/>
  <c r="CW105" i="15"/>
  <c r="CW107" i="15"/>
  <c r="CW13" i="15"/>
  <c r="CX87" i="15"/>
  <c r="CX42" i="15"/>
  <c r="CW50" i="15"/>
  <c r="CW83" i="15"/>
  <c r="CW97" i="15"/>
  <c r="CW91" i="15"/>
  <c r="CW39" i="15"/>
  <c r="CW71" i="15"/>
  <c r="CW102" i="15"/>
  <c r="CW68" i="15"/>
  <c r="CW61" i="15"/>
  <c r="CW104" i="15"/>
  <c r="CW36" i="15"/>
  <c r="CW48" i="15"/>
  <c r="CX65" i="15"/>
  <c r="CW23" i="15"/>
  <c r="CW99" i="15"/>
  <c r="CW85" i="15"/>
  <c r="CW28" i="15"/>
  <c r="CW52" i="15"/>
  <c r="CW82" i="15"/>
  <c r="CW38" i="15"/>
  <c r="CW37" i="15"/>
  <c r="CU9" i="15" l="1"/>
  <c r="CV44" i="15"/>
  <c r="CW45" i="15"/>
  <c r="CW33" i="15"/>
  <c r="CW22" i="15"/>
  <c r="CW11" i="15"/>
  <c r="CW56" i="15"/>
  <c r="CW78" i="15"/>
  <c r="CW67" i="15"/>
  <c r="CV10" i="15"/>
  <c r="CX8" i="15"/>
  <c r="CX37" i="15"/>
  <c r="CX24" i="15"/>
  <c r="CX71" i="15"/>
  <c r="CX68" i="15"/>
  <c r="CX69" i="15"/>
  <c r="CX84" i="15"/>
  <c r="CY42" i="15"/>
  <c r="CX109" i="15"/>
  <c r="CX48" i="15"/>
  <c r="CX95" i="15"/>
  <c r="CX13" i="15"/>
  <c r="CX23" i="15"/>
  <c r="CX30" i="15"/>
  <c r="CX75" i="15"/>
  <c r="CY76" i="15"/>
  <c r="CX104" i="15"/>
  <c r="CY87" i="15"/>
  <c r="CX41" i="15"/>
  <c r="CX57" i="15"/>
  <c r="CX38" i="15"/>
  <c r="CX62" i="15"/>
  <c r="CX53" i="15"/>
  <c r="CX29" i="15"/>
  <c r="CX63" i="15"/>
  <c r="CX59" i="15"/>
  <c r="CY54" i="15"/>
  <c r="CX58" i="15"/>
  <c r="CX46" i="15"/>
  <c r="CX103" i="15"/>
  <c r="CX74" i="15"/>
  <c r="CY20" i="15"/>
  <c r="CX39" i="15"/>
  <c r="CX26" i="15"/>
  <c r="CX35" i="15"/>
  <c r="CX106" i="15"/>
  <c r="CY65" i="15"/>
  <c r="CX34" i="15"/>
  <c r="CX92" i="15"/>
  <c r="CX105" i="15"/>
  <c r="CX14" i="15"/>
  <c r="CX81" i="15"/>
  <c r="CX40" i="15"/>
  <c r="CX97" i="15"/>
  <c r="CX102" i="15"/>
  <c r="CX61" i="15"/>
  <c r="CX18" i="15"/>
  <c r="CX12" i="15"/>
  <c r="CX25" i="15"/>
  <c r="CX64" i="15"/>
  <c r="CX98" i="15"/>
  <c r="CX83" i="15"/>
  <c r="CX107" i="15"/>
  <c r="CX51" i="15"/>
  <c r="CX96" i="15"/>
  <c r="CX86" i="15"/>
  <c r="CX15" i="15"/>
  <c r="CX28" i="15"/>
  <c r="CY31" i="15"/>
  <c r="CX99" i="15"/>
  <c r="CX36" i="15"/>
  <c r="CX50" i="15"/>
  <c r="CX49" i="15"/>
  <c r="CX80" i="15"/>
  <c r="CX52" i="15"/>
  <c r="CX93" i="15"/>
  <c r="CX70" i="15"/>
  <c r="CX110" i="15"/>
  <c r="CX91" i="15"/>
  <c r="CX60" i="15"/>
  <c r="CX72" i="15"/>
  <c r="CX17" i="15"/>
  <c r="CX85" i="15"/>
  <c r="CX79" i="15"/>
  <c r="CX27" i="15"/>
  <c r="CX19" i="15"/>
  <c r="CX82" i="15"/>
  <c r="CX73" i="15"/>
  <c r="CX16" i="15"/>
  <c r="CX108" i="15"/>
  <c r="CX47" i="15"/>
  <c r="CV9" i="15" l="1"/>
  <c r="CW44" i="15"/>
  <c r="CX56" i="15"/>
  <c r="CX45" i="15"/>
  <c r="CX33" i="15"/>
  <c r="CX22" i="15"/>
  <c r="CX11" i="15"/>
  <c r="CX78" i="15"/>
  <c r="CX67" i="15"/>
  <c r="CW10" i="15"/>
  <c r="CY8" i="15"/>
  <c r="CY72" i="15"/>
  <c r="CY83" i="15"/>
  <c r="CZ87" i="15"/>
  <c r="CY102" i="15"/>
  <c r="CY68" i="15"/>
  <c r="CY97" i="15"/>
  <c r="CY85" i="15"/>
  <c r="CY28" i="15"/>
  <c r="CY74" i="15"/>
  <c r="CZ65" i="15"/>
  <c r="CY58" i="15"/>
  <c r="CY24" i="15"/>
  <c r="CY64" i="15"/>
  <c r="CY79" i="15"/>
  <c r="CY14" i="15"/>
  <c r="CY30" i="15"/>
  <c r="CY75" i="15"/>
  <c r="CZ54" i="15"/>
  <c r="CY48" i="15"/>
  <c r="CY103" i="15"/>
  <c r="CY60" i="15"/>
  <c r="CY91" i="15"/>
  <c r="CY52" i="15"/>
  <c r="CY71" i="15"/>
  <c r="CY69" i="15"/>
  <c r="CY108" i="15"/>
  <c r="CY92" i="15"/>
  <c r="CY105" i="15"/>
  <c r="CZ42" i="15"/>
  <c r="CY27" i="15"/>
  <c r="CY109" i="15"/>
  <c r="CY47" i="15"/>
  <c r="CY16" i="15"/>
  <c r="CY70" i="15"/>
  <c r="CY37" i="15"/>
  <c r="CY80" i="15"/>
  <c r="CY50" i="15"/>
  <c r="CY19" i="15"/>
  <c r="CY23" i="15"/>
  <c r="CY99" i="15"/>
  <c r="CY104" i="15"/>
  <c r="CY34" i="15"/>
  <c r="CZ76" i="15"/>
  <c r="CY40" i="15"/>
  <c r="CY15" i="15"/>
  <c r="CY73" i="15"/>
  <c r="CY51" i="15"/>
  <c r="CY29" i="15"/>
  <c r="CY36" i="15"/>
  <c r="CY81" i="15"/>
  <c r="CY106" i="15"/>
  <c r="CY53" i="15"/>
  <c r="CY107" i="15"/>
  <c r="CY18" i="15"/>
  <c r="CY57" i="15"/>
  <c r="CY86" i="15"/>
  <c r="CY82" i="15"/>
  <c r="CY110" i="15"/>
  <c r="CY35" i="15"/>
  <c r="CZ31" i="15"/>
  <c r="CY62" i="15"/>
  <c r="CY93" i="15"/>
  <c r="CY39" i="15"/>
  <c r="CY95" i="15"/>
  <c r="CY17" i="15"/>
  <c r="CY46" i="15"/>
  <c r="CY49" i="15"/>
  <c r="CY84" i="15"/>
  <c r="CY26" i="15"/>
  <c r="CY38" i="15"/>
  <c r="CY59" i="15"/>
  <c r="CY98" i="15"/>
  <c r="CY25" i="15"/>
  <c r="CY96" i="15"/>
  <c r="CZ20" i="15"/>
  <c r="CY63" i="15"/>
  <c r="CY12" i="15"/>
  <c r="CY61" i="15"/>
  <c r="CY13" i="15"/>
  <c r="CY41" i="15"/>
  <c r="CW9" i="15" l="1"/>
  <c r="CX44" i="15"/>
  <c r="CY56" i="15"/>
  <c r="CY45" i="15"/>
  <c r="CY33" i="15"/>
  <c r="CY22" i="15"/>
  <c r="CY11" i="15"/>
  <c r="CY78" i="15"/>
  <c r="CY67" i="15"/>
  <c r="CX10" i="15"/>
  <c r="CZ8" i="15"/>
  <c r="CZ83" i="15"/>
  <c r="CZ40" i="15"/>
  <c r="CZ82" i="15"/>
  <c r="CZ29" i="15"/>
  <c r="CZ93" i="15"/>
  <c r="CZ39" i="15"/>
  <c r="CZ64" i="15"/>
  <c r="CZ26" i="15"/>
  <c r="CZ98" i="15"/>
  <c r="CZ34" i="15"/>
  <c r="DA31" i="15"/>
  <c r="DA42" i="15"/>
  <c r="CZ107" i="15"/>
  <c r="CZ12" i="15"/>
  <c r="CZ108" i="15"/>
  <c r="CZ58" i="15"/>
  <c r="CZ47" i="15"/>
  <c r="CZ95" i="15"/>
  <c r="CZ23" i="15"/>
  <c r="CZ61" i="15"/>
  <c r="CZ75" i="15"/>
  <c r="CZ84" i="15"/>
  <c r="CZ86" i="15"/>
  <c r="CZ69" i="15"/>
  <c r="CZ35" i="15"/>
  <c r="CZ81" i="15"/>
  <c r="CZ49" i="15"/>
  <c r="CZ59" i="15"/>
  <c r="CZ48" i="15"/>
  <c r="CZ105" i="15"/>
  <c r="CZ53" i="15"/>
  <c r="CZ60" i="15"/>
  <c r="CZ38" i="15"/>
  <c r="CZ97" i="15"/>
  <c r="DA54" i="15"/>
  <c r="CZ57" i="15"/>
  <c r="CZ73" i="15"/>
  <c r="CZ74" i="15"/>
  <c r="DA87" i="15"/>
  <c r="CZ102" i="15"/>
  <c r="CZ50" i="15"/>
  <c r="CZ25" i="15"/>
  <c r="CZ71" i="15"/>
  <c r="CZ19" i="15"/>
  <c r="CZ68" i="15"/>
  <c r="CZ41" i="15"/>
  <c r="CZ80" i="15"/>
  <c r="CZ36" i="15"/>
  <c r="CZ110" i="15"/>
  <c r="CZ24" i="15"/>
  <c r="CZ30" i="15"/>
  <c r="CZ109" i="15"/>
  <c r="CZ15" i="15"/>
  <c r="CZ63" i="15"/>
  <c r="CZ16" i="15"/>
  <c r="CZ99" i="15"/>
  <c r="DA65" i="15"/>
  <c r="CZ106" i="15"/>
  <c r="CZ85" i="15"/>
  <c r="CZ72" i="15"/>
  <c r="CZ28" i="15"/>
  <c r="CZ14" i="15"/>
  <c r="CZ91" i="15"/>
  <c r="CZ51" i="15"/>
  <c r="CZ103" i="15"/>
  <c r="DA20" i="15"/>
  <c r="CZ27" i="15"/>
  <c r="CZ62" i="15"/>
  <c r="CZ18" i="15"/>
  <c r="CZ70" i="15"/>
  <c r="DA76" i="15"/>
  <c r="CZ96" i="15"/>
  <c r="CZ37" i="15"/>
  <c r="CZ13" i="15"/>
  <c r="CZ92" i="15"/>
  <c r="CZ79" i="15"/>
  <c r="CZ46" i="15"/>
  <c r="CZ17" i="15"/>
  <c r="CZ52" i="15"/>
  <c r="CZ104" i="15"/>
  <c r="CX9" i="15" l="1"/>
  <c r="CY44" i="15"/>
  <c r="CZ45" i="15"/>
  <c r="CZ33" i="15"/>
  <c r="CZ22" i="15"/>
  <c r="CZ56" i="15"/>
  <c r="CZ11" i="15"/>
  <c r="CZ78" i="15"/>
  <c r="CZ67" i="15"/>
  <c r="CY10" i="15"/>
  <c r="DA8" i="15"/>
  <c r="DA47" i="15"/>
  <c r="DA30" i="15"/>
  <c r="DA84" i="15"/>
  <c r="DA62" i="15"/>
  <c r="DA29" i="15"/>
  <c r="DA39" i="15"/>
  <c r="DA23" i="15"/>
  <c r="DB54" i="15"/>
  <c r="DA17" i="15"/>
  <c r="DA93" i="15"/>
  <c r="DA69" i="15"/>
  <c r="DA18" i="15"/>
  <c r="DA106" i="15"/>
  <c r="DA72" i="15"/>
  <c r="DA37" i="15"/>
  <c r="DA26" i="15"/>
  <c r="DA68" i="15"/>
  <c r="DB76" i="15"/>
  <c r="DA108" i="15"/>
  <c r="DA35" i="15"/>
  <c r="DA49" i="15"/>
  <c r="DB20" i="15"/>
  <c r="DA104" i="15"/>
  <c r="DA83" i="15"/>
  <c r="DA103" i="15"/>
  <c r="DA109" i="15"/>
  <c r="DB87" i="15"/>
  <c r="DA59" i="15"/>
  <c r="DA12" i="15"/>
  <c r="DA46" i="15"/>
  <c r="DA81" i="15"/>
  <c r="DA53" i="15"/>
  <c r="DA99" i="15"/>
  <c r="DA51" i="15"/>
  <c r="DA34" i="15"/>
  <c r="DA25" i="15"/>
  <c r="DA60" i="15"/>
  <c r="DB31" i="15"/>
  <c r="DA98" i="15"/>
  <c r="DA73" i="15"/>
  <c r="DA52" i="15"/>
  <c r="DA38" i="15"/>
  <c r="DA105" i="15"/>
  <c r="DA64" i="15"/>
  <c r="DA91" i="15"/>
  <c r="DA15" i="15"/>
  <c r="DA70" i="15"/>
  <c r="DA63" i="15"/>
  <c r="DA82" i="15"/>
  <c r="DA19" i="15"/>
  <c r="DA28" i="15"/>
  <c r="DA40" i="15"/>
  <c r="DA36" i="15"/>
  <c r="DA79" i="15"/>
  <c r="DB65" i="15"/>
  <c r="DA14" i="15"/>
  <c r="DA102" i="15"/>
  <c r="DA48" i="15"/>
  <c r="DA97" i="15"/>
  <c r="DA61" i="15"/>
  <c r="DA57" i="15"/>
  <c r="DA85" i="15"/>
  <c r="DA86" i="15"/>
  <c r="DA16" i="15"/>
  <c r="DA58" i="15"/>
  <c r="DA24" i="15"/>
  <c r="DB42" i="15"/>
  <c r="DA74" i="15"/>
  <c r="DA96" i="15"/>
  <c r="DA27" i="15"/>
  <c r="DA71" i="15"/>
  <c r="DA50" i="15"/>
  <c r="DA107" i="15"/>
  <c r="DA95" i="15"/>
  <c r="DA75" i="15"/>
  <c r="DA80" i="15"/>
  <c r="DA92" i="15"/>
  <c r="DA41" i="15"/>
  <c r="DA13" i="15"/>
  <c r="DA110" i="15"/>
  <c r="CY9" i="15" l="1"/>
  <c r="CZ44" i="15"/>
  <c r="DA45" i="15"/>
  <c r="DA33" i="15"/>
  <c r="DA22" i="15"/>
  <c r="DA11" i="15"/>
  <c r="DA78" i="15"/>
  <c r="DA56" i="15"/>
  <c r="DA67" i="15"/>
  <c r="CZ10" i="15"/>
  <c r="DB8" i="15"/>
  <c r="DB73" i="15"/>
  <c r="DB102" i="15"/>
  <c r="DB103" i="15"/>
  <c r="DB106" i="15"/>
  <c r="DB91" i="15"/>
  <c r="DB29" i="15"/>
  <c r="DB40" i="15"/>
  <c r="DB104" i="15"/>
  <c r="DB13" i="15"/>
  <c r="DB51" i="15"/>
  <c r="DB19" i="15"/>
  <c r="DB17" i="15"/>
  <c r="DB84" i="15"/>
  <c r="DB83" i="15"/>
  <c r="DB72" i="15"/>
  <c r="DB110" i="15"/>
  <c r="DC31" i="15"/>
  <c r="DB109" i="15"/>
  <c r="DB85" i="15"/>
  <c r="DC54" i="15"/>
  <c r="DB16" i="15"/>
  <c r="DB27" i="15"/>
  <c r="DB36" i="15"/>
  <c r="DC42" i="15"/>
  <c r="DB35" i="15"/>
  <c r="DB41" i="15"/>
  <c r="DB28" i="15"/>
  <c r="DB57" i="15"/>
  <c r="DB14" i="15"/>
  <c r="DB37" i="15"/>
  <c r="DB26" i="15"/>
  <c r="DB61" i="15"/>
  <c r="DC65" i="15"/>
  <c r="DB92" i="15"/>
  <c r="DB97" i="15"/>
  <c r="DB50" i="15"/>
  <c r="DB93" i="15"/>
  <c r="DC20" i="15"/>
  <c r="DB80" i="15"/>
  <c r="DB39" i="15"/>
  <c r="DB24" i="15"/>
  <c r="DB30" i="15"/>
  <c r="DB59" i="15"/>
  <c r="DB75" i="15"/>
  <c r="DB58" i="15"/>
  <c r="DB52" i="15"/>
  <c r="DB99" i="15"/>
  <c r="DB95" i="15"/>
  <c r="DB79" i="15"/>
  <c r="DB98" i="15"/>
  <c r="DB46" i="15"/>
  <c r="DB47" i="15"/>
  <c r="DB68" i="15"/>
  <c r="DB62" i="15"/>
  <c r="DB34" i="15"/>
  <c r="DB108" i="15"/>
  <c r="DB60" i="15"/>
  <c r="DB107" i="15"/>
  <c r="DB74" i="15"/>
  <c r="DB49" i="15"/>
  <c r="DB15" i="15"/>
  <c r="DB82" i="15"/>
  <c r="DC76" i="15"/>
  <c r="DB18" i="15"/>
  <c r="DB48" i="15"/>
  <c r="DB86" i="15"/>
  <c r="DB69" i="15"/>
  <c r="DB12" i="15"/>
  <c r="DB23" i="15"/>
  <c r="DB25" i="15"/>
  <c r="DB105" i="15"/>
  <c r="DB81" i="15"/>
  <c r="DB96" i="15"/>
  <c r="DB38" i="15"/>
  <c r="DB63" i="15"/>
  <c r="DC87" i="15"/>
  <c r="DB71" i="15"/>
  <c r="DB53" i="15"/>
  <c r="DB64" i="15"/>
  <c r="DB70" i="15"/>
  <c r="CZ9" i="15" l="1"/>
  <c r="DA44" i="15"/>
  <c r="DB45" i="15"/>
  <c r="DB33" i="15"/>
  <c r="DB22" i="15"/>
  <c r="DB11" i="15"/>
  <c r="DB56" i="15"/>
  <c r="DB78" i="15"/>
  <c r="DB67" i="15"/>
  <c r="DA10" i="15"/>
  <c r="DC8" i="15"/>
  <c r="G10" i="15"/>
  <c r="G11" i="15"/>
  <c r="G12" i="15"/>
  <c r="G13" i="15"/>
  <c r="G14" i="15"/>
  <c r="G15" i="15"/>
  <c r="G16" i="15"/>
  <c r="G17" i="15"/>
  <c r="G18" i="15"/>
  <c r="G19" i="15"/>
  <c r="G20" i="15"/>
  <c r="DC93" i="15"/>
  <c r="DC40" i="15"/>
  <c r="DC86" i="15"/>
  <c r="DC83" i="15"/>
  <c r="DC29" i="15"/>
  <c r="DC71" i="15"/>
  <c r="DC41" i="15"/>
  <c r="DC82" i="15"/>
  <c r="DC18" i="15"/>
  <c r="DC13" i="15"/>
  <c r="Q21" i="15"/>
  <c r="DC52" i="15"/>
  <c r="DC51" i="15"/>
  <c r="DC57" i="15"/>
  <c r="DC97" i="15"/>
  <c r="DC60" i="15"/>
  <c r="J21" i="15"/>
  <c r="DC102" i="15"/>
  <c r="DC106" i="15"/>
  <c r="DC70" i="15"/>
  <c r="H21" i="15"/>
  <c r="K21" i="15"/>
  <c r="O21" i="15"/>
  <c r="DC58" i="15"/>
  <c r="DC38" i="15"/>
  <c r="DC49" i="15"/>
  <c r="DC16" i="15"/>
  <c r="DC108" i="15"/>
  <c r="DC19" i="15"/>
  <c r="DC47" i="15"/>
  <c r="DC96" i="15"/>
  <c r="L21" i="15"/>
  <c r="Z21" i="15"/>
  <c r="DC37" i="15"/>
  <c r="DC39" i="15"/>
  <c r="DC68" i="15"/>
  <c r="T21" i="15"/>
  <c r="I21" i="15"/>
  <c r="DC62" i="15"/>
  <c r="DC110" i="15"/>
  <c r="R21" i="15"/>
  <c r="DC75" i="15"/>
  <c r="DC26" i="15"/>
  <c r="DC109" i="15"/>
  <c r="DC91" i="15"/>
  <c r="DC50" i="15"/>
  <c r="DC73" i="15"/>
  <c r="DC48" i="15"/>
  <c r="DC46" i="15"/>
  <c r="DC105" i="15"/>
  <c r="DC35" i="15"/>
  <c r="DC95" i="15"/>
  <c r="DC12" i="15"/>
  <c r="DC98" i="15"/>
  <c r="DC17" i="15"/>
  <c r="DC34" i="15"/>
  <c r="DC28" i="15"/>
  <c r="DC81" i="15"/>
  <c r="Y21" i="15"/>
  <c r="DC99" i="15"/>
  <c r="AB21" i="15"/>
  <c r="DC84" i="15"/>
  <c r="DC24" i="15"/>
  <c r="U21" i="15"/>
  <c r="DC15" i="15"/>
  <c r="DC85" i="15"/>
  <c r="X21" i="15"/>
  <c r="DC69" i="15"/>
  <c r="DC103" i="15"/>
  <c r="M21" i="15"/>
  <c r="AA21" i="15"/>
  <c r="DC23" i="15"/>
  <c r="DC30" i="15"/>
  <c r="V21" i="15"/>
  <c r="DC59" i="15"/>
  <c r="DC64" i="15"/>
  <c r="DC72" i="15"/>
  <c r="DC79" i="15"/>
  <c r="N21" i="15"/>
  <c r="DC25" i="15"/>
  <c r="DC104" i="15"/>
  <c r="DC53" i="15"/>
  <c r="W21" i="15"/>
  <c r="DC27" i="15"/>
  <c r="DC14" i="15"/>
  <c r="P21" i="15"/>
  <c r="S21" i="15"/>
  <c r="DC63" i="15"/>
  <c r="DC80" i="15"/>
  <c r="DC107" i="15"/>
  <c r="DC92" i="15"/>
  <c r="DC61" i="15"/>
  <c r="DC36" i="15"/>
  <c r="DC74" i="15"/>
  <c r="DA9" i="15" l="1"/>
  <c r="DB44" i="15"/>
  <c r="DC56" i="15"/>
  <c r="DC45" i="15"/>
  <c r="DC33" i="15"/>
  <c r="DC22" i="15"/>
  <c r="DC11" i="15"/>
  <c r="DC78" i="15"/>
  <c r="DC67" i="15"/>
  <c r="DB10" i="15"/>
  <c r="F21" i="15"/>
  <c r="G21" i="15"/>
  <c r="G22" i="15"/>
  <c r="G23" i="15"/>
  <c r="G24" i="15"/>
  <c r="G25" i="15"/>
  <c r="G26" i="15"/>
  <c r="G27" i="15"/>
  <c r="G28" i="15"/>
  <c r="G29" i="15"/>
  <c r="G30" i="15"/>
  <c r="G31" i="15"/>
  <c r="G33" i="15"/>
  <c r="G34" i="15"/>
  <c r="G35" i="15"/>
  <c r="G36" i="15"/>
  <c r="G37" i="15"/>
  <c r="G38" i="15"/>
  <c r="G39" i="15"/>
  <c r="G40" i="15"/>
  <c r="G41" i="15"/>
  <c r="G42" i="15"/>
  <c r="G49" i="15"/>
  <c r="G50" i="15"/>
  <c r="G51" i="15"/>
  <c r="G52" i="15"/>
  <c r="G53" i="15"/>
  <c r="G58" i="15"/>
  <c r="G59" i="15"/>
  <c r="G60" i="15"/>
  <c r="G61" i="15"/>
  <c r="G62" i="15"/>
  <c r="G63" i="15"/>
  <c r="G64" i="15"/>
  <c r="G65" i="15"/>
  <c r="G70" i="15"/>
  <c r="G72" i="15"/>
  <c r="G73" i="15"/>
  <c r="G74" i="15"/>
  <c r="G75" i="15"/>
  <c r="G76" i="15"/>
  <c r="G78" i="15"/>
  <c r="G79" i="15"/>
  <c r="G80" i="15"/>
  <c r="G81" i="15"/>
  <c r="G82" i="15"/>
  <c r="G83" i="15"/>
  <c r="G84" i="15"/>
  <c r="G85" i="15"/>
  <c r="G86" i="15"/>
  <c r="G87" i="15"/>
  <c r="G96" i="15"/>
  <c r="G97" i="15"/>
  <c r="G98" i="15"/>
  <c r="G99" i="15"/>
  <c r="G103" i="15"/>
  <c r="G104" i="15"/>
  <c r="G105" i="15"/>
  <c r="G106" i="15"/>
  <c r="G107" i="15"/>
  <c r="G108" i="15"/>
  <c r="G109" i="15"/>
  <c r="G110" i="15"/>
  <c r="BE66" i="15"/>
  <c r="BX66" i="15"/>
  <c r="CG43" i="15"/>
  <c r="X111" i="15"/>
  <c r="DC32" i="15"/>
  <c r="R111" i="15"/>
  <c r="BT66" i="15"/>
  <c r="BA32" i="15"/>
  <c r="BA66" i="15"/>
  <c r="R43" i="15"/>
  <c r="BN21" i="15"/>
  <c r="CR77" i="15"/>
  <c r="AY77" i="15"/>
  <c r="CD55" i="15"/>
  <c r="CE21" i="15"/>
  <c r="AC32" i="15"/>
  <c r="AS77" i="15"/>
  <c r="CQ55" i="15"/>
  <c r="R66" i="15"/>
  <c r="CZ43" i="15"/>
  <c r="H32" i="15"/>
  <c r="V77" i="15"/>
  <c r="AI77" i="15"/>
  <c r="BW77" i="15"/>
  <c r="AD77" i="15"/>
  <c r="CC32" i="15"/>
  <c r="CS66" i="15"/>
  <c r="AS88" i="15"/>
  <c r="CB32" i="15"/>
  <c r="BW88" i="15"/>
  <c r="AR55" i="15"/>
  <c r="AF88" i="15"/>
  <c r="CP88" i="15"/>
  <c r="AE55" i="15"/>
  <c r="BV43" i="15"/>
  <c r="CA66" i="15"/>
  <c r="BS43" i="15"/>
  <c r="AS66" i="15"/>
  <c r="W111" i="15"/>
  <c r="BT43" i="15"/>
  <c r="AH55" i="15"/>
  <c r="CV32" i="15"/>
  <c r="AX43" i="15"/>
  <c r="BC32" i="15"/>
  <c r="CW32" i="15"/>
  <c r="CA21" i="15"/>
  <c r="CU77" i="15"/>
  <c r="AA77" i="15"/>
  <c r="K55" i="15"/>
  <c r="X32" i="15"/>
  <c r="BL21" i="15"/>
  <c r="CO55" i="15"/>
  <c r="CU43" i="15"/>
  <c r="BN77" i="15"/>
  <c r="T66" i="15"/>
  <c r="CG77" i="15"/>
  <c r="CP32" i="15"/>
  <c r="X43" i="15"/>
  <c r="U43" i="15"/>
  <c r="DB88" i="15"/>
  <c r="CH66" i="15"/>
  <c r="Y77" i="15"/>
  <c r="K32" i="15"/>
  <c r="BK55" i="15"/>
  <c r="BH77" i="15"/>
  <c r="CZ21" i="15"/>
  <c r="AA111" i="15"/>
  <c r="BN66" i="15"/>
  <c r="DA32" i="15"/>
  <c r="BC55" i="15"/>
  <c r="I66" i="15"/>
  <c r="AA32" i="15"/>
  <c r="CC77" i="15"/>
  <c r="J32" i="15"/>
  <c r="W43" i="15"/>
  <c r="Q111" i="15"/>
  <c r="BU88" i="15"/>
  <c r="BR66" i="15"/>
  <c r="CX88" i="15"/>
  <c r="BP88" i="15"/>
  <c r="J55" i="15"/>
  <c r="AT88" i="15"/>
  <c r="AR66" i="15"/>
  <c r="CZ32" i="15"/>
  <c r="AZ66" i="15"/>
  <c r="CI77" i="15"/>
  <c r="S55" i="15"/>
  <c r="AW66" i="15"/>
  <c r="BL66" i="15"/>
  <c r="AP55" i="15"/>
  <c r="CD77" i="15"/>
  <c r="AL32" i="15"/>
  <c r="AD66" i="15"/>
  <c r="BM55" i="15"/>
  <c r="AW55" i="15"/>
  <c r="AU55" i="15"/>
  <c r="CL88" i="15"/>
  <c r="AL55" i="15"/>
  <c r="BS66" i="15"/>
  <c r="AR32" i="15"/>
  <c r="K43" i="15"/>
  <c r="CO32" i="15"/>
  <c r="AZ88" i="15"/>
  <c r="AM43" i="15"/>
  <c r="CY21" i="15"/>
  <c r="DB21" i="15"/>
  <c r="AA88" i="15"/>
  <c r="BY21" i="15"/>
  <c r="BX43" i="15"/>
  <c r="N88" i="15"/>
  <c r="BP43" i="15"/>
  <c r="CH55" i="15"/>
  <c r="CC21" i="15"/>
  <c r="CW55" i="15"/>
  <c r="CP66" i="15"/>
  <c r="CN43" i="15"/>
  <c r="BB66" i="15"/>
  <c r="BR43" i="15"/>
  <c r="N32" i="15"/>
  <c r="AC77" i="15"/>
  <c r="AG43" i="15"/>
  <c r="X55" i="15"/>
  <c r="AW88" i="15"/>
  <c r="DA66" i="15"/>
  <c r="CI32" i="15"/>
  <c r="H88" i="15"/>
  <c r="BX55" i="15"/>
  <c r="BZ66" i="15"/>
  <c r="BX21" i="15"/>
  <c r="AL43" i="15"/>
  <c r="AC43" i="15"/>
  <c r="CD43" i="15"/>
  <c r="CB21" i="15"/>
  <c r="BO32" i="15"/>
  <c r="BD77" i="15"/>
  <c r="Z66" i="15"/>
  <c r="AF77" i="15"/>
  <c r="BA21" i="15"/>
  <c r="BO88" i="15"/>
  <c r="Z111" i="15"/>
  <c r="DA21" i="15"/>
  <c r="BM88" i="15"/>
  <c r="CD66" i="15"/>
  <c r="AF43" i="15"/>
  <c r="BK32" i="15"/>
  <c r="J111" i="15"/>
  <c r="CQ88" i="15"/>
  <c r="CY55" i="15"/>
  <c r="CQ21" i="15"/>
  <c r="AY21" i="15"/>
  <c r="CK66" i="15"/>
  <c r="AR43" i="15"/>
  <c r="BM43" i="15"/>
  <c r="AJ55" i="15"/>
  <c r="L77" i="15"/>
  <c r="O111" i="15"/>
  <c r="AF32" i="15"/>
  <c r="CV88" i="15"/>
  <c r="CZ55" i="15"/>
  <c r="I32" i="15"/>
  <c r="BL88" i="15"/>
  <c r="AO43" i="15"/>
  <c r="BI32" i="15"/>
  <c r="CH43" i="15"/>
  <c r="AG21" i="15"/>
  <c r="CM77" i="15"/>
  <c r="AN66" i="15"/>
  <c r="Z77" i="15"/>
  <c r="CO43" i="15"/>
  <c r="CS55" i="15"/>
  <c r="W88" i="15"/>
  <c r="CG88" i="15"/>
  <c r="CY66" i="15"/>
  <c r="AH43" i="15"/>
  <c r="AU77" i="15"/>
  <c r="BM32" i="15"/>
  <c r="Y66" i="15"/>
  <c r="CB43" i="15"/>
  <c r="CD88" i="15"/>
  <c r="AE77" i="15"/>
  <c r="BW43" i="15"/>
  <c r="CL77" i="15"/>
  <c r="O88" i="15"/>
  <c r="CM66" i="15"/>
  <c r="AM88" i="15"/>
  <c r="AA55" i="15"/>
  <c r="BQ55" i="15"/>
  <c r="BF88" i="15"/>
  <c r="N111" i="15"/>
  <c r="AX21" i="15"/>
  <c r="AT43" i="15"/>
  <c r="BJ77" i="15"/>
  <c r="BG43" i="15"/>
  <c r="CC66" i="15"/>
  <c r="BB21" i="15"/>
  <c r="BP32" i="15"/>
  <c r="CN21" i="15"/>
  <c r="AT21" i="15"/>
  <c r="CP55" i="15"/>
  <c r="BC88" i="15"/>
  <c r="AH21" i="15"/>
  <c r="N43" i="15"/>
  <c r="AQ43" i="15"/>
  <c r="CV21" i="15"/>
  <c r="CT32" i="15"/>
  <c r="CG55" i="15"/>
  <c r="AJ21" i="15"/>
  <c r="AP66" i="15"/>
  <c r="BF66" i="15"/>
  <c r="AB111" i="15"/>
  <c r="T43" i="15"/>
  <c r="DB77" i="15"/>
  <c r="CS88" i="15"/>
  <c r="U55" i="15"/>
  <c r="W55" i="15"/>
  <c r="CR21" i="15"/>
  <c r="AY88" i="15"/>
  <c r="S66" i="15"/>
  <c r="J43" i="15"/>
  <c r="O32" i="15"/>
  <c r="CQ77" i="15"/>
  <c r="BD43" i="15"/>
  <c r="CZ77" i="15"/>
  <c r="CQ43" i="15"/>
  <c r="CZ88" i="15"/>
  <c r="CI66" i="15"/>
  <c r="AM55" i="15"/>
  <c r="X66" i="15"/>
  <c r="BR32" i="15"/>
  <c r="BC21" i="15"/>
  <c r="AB32" i="15"/>
  <c r="I43" i="15"/>
  <c r="CR88" i="15"/>
  <c r="AK43" i="15"/>
  <c r="AF55" i="15"/>
  <c r="AN77" i="15"/>
  <c r="L66" i="15"/>
  <c r="CO21" i="15"/>
  <c r="AU66" i="15"/>
  <c r="BD88" i="15"/>
  <c r="CL66" i="15"/>
  <c r="CU21" i="15"/>
  <c r="U77" i="15"/>
  <c r="CG66" i="15"/>
  <c r="BQ32" i="15"/>
  <c r="BN43" i="15"/>
  <c r="BQ43" i="15"/>
  <c r="AI55" i="15"/>
  <c r="AO88" i="15"/>
  <c r="CJ32" i="15"/>
  <c r="AT77" i="15"/>
  <c r="V32" i="15"/>
  <c r="BP55" i="15"/>
  <c r="R32" i="15"/>
  <c r="AX32" i="15"/>
  <c r="CS32" i="15"/>
  <c r="AE32" i="15"/>
  <c r="AP77" i="15"/>
  <c r="BT32" i="15"/>
  <c r="CF77" i="15"/>
  <c r="J77" i="15"/>
  <c r="BG77" i="15"/>
  <c r="AG32" i="15"/>
  <c r="CF43" i="15"/>
  <c r="BZ55" i="15"/>
  <c r="CM55" i="15"/>
  <c r="AY55" i="15"/>
  <c r="AG88" i="15"/>
  <c r="AR88" i="15"/>
  <c r="M43" i="15"/>
  <c r="AP88" i="15"/>
  <c r="R55" i="15"/>
  <c r="Z88" i="15"/>
  <c r="BL55" i="15"/>
  <c r="M88" i="15"/>
  <c r="AU21" i="15"/>
  <c r="CR32" i="15"/>
  <c r="CT77" i="15"/>
  <c r="CJ21" i="15"/>
  <c r="BS21" i="15"/>
  <c r="AG55" i="15"/>
  <c r="BR55" i="15"/>
  <c r="CM43" i="15"/>
  <c r="AV43" i="15"/>
  <c r="CC55" i="15"/>
  <c r="BY43" i="15"/>
  <c r="BX77" i="15"/>
  <c r="AD55" i="15"/>
  <c r="BB43" i="15"/>
  <c r="CE88" i="15"/>
  <c r="P32" i="15"/>
  <c r="BB88" i="15"/>
  <c r="DB55" i="15"/>
  <c r="AD88" i="15"/>
  <c r="BU32" i="15"/>
  <c r="AT66" i="15"/>
  <c r="CK32" i="15"/>
  <c r="V88" i="15"/>
  <c r="BZ32" i="15"/>
  <c r="S111" i="15"/>
  <c r="CW88" i="15"/>
  <c r="CL55" i="15"/>
  <c r="AA66" i="15"/>
  <c r="AQ32" i="15"/>
  <c r="BI88" i="15"/>
  <c r="BS77" i="15"/>
  <c r="AZ21" i="15"/>
  <c r="BU21" i="15"/>
  <c r="BV88" i="15"/>
  <c r="R77" i="15"/>
  <c r="AW43" i="15"/>
  <c r="J88" i="15"/>
  <c r="BD66" i="15"/>
  <c r="CG21" i="15"/>
  <c r="CL32" i="15"/>
  <c r="K77" i="15"/>
  <c r="J66" i="15"/>
  <c r="DA77" i="15"/>
  <c r="CA77" i="15"/>
  <c r="BY66" i="15"/>
  <c r="AN21" i="15"/>
  <c r="BY77" i="15"/>
  <c r="CR66" i="15"/>
  <c r="I55" i="15"/>
  <c r="CK21" i="15"/>
  <c r="N55" i="15"/>
  <c r="BS88" i="15"/>
  <c r="BP77" i="15"/>
  <c r="M77" i="15"/>
  <c r="CK77" i="15"/>
  <c r="BA88" i="15"/>
  <c r="AI32" i="15"/>
  <c r="M111" i="15"/>
  <c r="S77" i="15"/>
  <c r="AJ88" i="15"/>
  <c r="CB66" i="15"/>
  <c r="BZ43" i="15"/>
  <c r="CB55" i="15"/>
  <c r="BX88" i="15"/>
  <c r="CI21" i="15"/>
  <c r="BP21" i="15"/>
  <c r="BQ66" i="15"/>
  <c r="AZ55" i="15"/>
  <c r="CD32" i="15"/>
  <c r="AI43" i="15"/>
  <c r="BK43" i="15"/>
  <c r="Q88" i="15"/>
  <c r="AH32" i="15"/>
  <c r="L111" i="15"/>
  <c r="AB55" i="15"/>
  <c r="AK66" i="15"/>
  <c r="CY43" i="15"/>
  <c r="AV21" i="15"/>
  <c r="CF66" i="15"/>
  <c r="AK21" i="15"/>
  <c r="BO43" i="15"/>
  <c r="Y43" i="15"/>
  <c r="BF55" i="15"/>
  <c r="BT88" i="15"/>
  <c r="BF21" i="15"/>
  <c r="CJ66" i="15"/>
  <c r="DA55" i="15"/>
  <c r="CE66" i="15"/>
  <c r="BC77" i="15"/>
  <c r="AS21" i="15"/>
  <c r="AL21" i="15"/>
  <c r="CR43" i="15"/>
  <c r="CT88" i="15"/>
  <c r="S32" i="15"/>
  <c r="H43" i="15"/>
  <c r="AB88" i="15"/>
  <c r="L43" i="15"/>
  <c r="H77" i="15"/>
  <c r="BA77" i="15"/>
  <c r="Z43" i="15"/>
  <c r="O55" i="15"/>
  <c r="R88" i="15"/>
  <c r="U32" i="15"/>
  <c r="CK43" i="15"/>
  <c r="BM77" i="15"/>
  <c r="AY32" i="15"/>
  <c r="AL88" i="15"/>
  <c r="BS32" i="15"/>
  <c r="AD21" i="15"/>
  <c r="AI66" i="15"/>
  <c r="BH88" i="15"/>
  <c r="AV32" i="15"/>
  <c r="BU66" i="15"/>
  <c r="AO21" i="15"/>
  <c r="Y111" i="15"/>
  <c r="DB32" i="15"/>
  <c r="O77" i="15"/>
  <c r="BV32" i="15"/>
  <c r="BI55" i="15"/>
  <c r="CT55" i="15"/>
  <c r="AL66" i="15"/>
  <c r="CU32" i="15"/>
  <c r="BZ21" i="15"/>
  <c r="AQ55" i="15"/>
  <c r="CX66" i="15"/>
  <c r="BR88" i="15"/>
  <c r="AM66" i="15"/>
  <c r="AT55" i="15"/>
  <c r="CE77" i="15"/>
  <c r="AS55" i="15"/>
  <c r="H111" i="15"/>
  <c r="CJ88" i="15"/>
  <c r="CX43" i="15"/>
  <c r="U66" i="15"/>
  <c r="CB88" i="15"/>
  <c r="CF21" i="15"/>
  <c r="AP43" i="15"/>
  <c r="CV43" i="15"/>
  <c r="AD32" i="15"/>
  <c r="CV66" i="15"/>
  <c r="CS77" i="15"/>
  <c r="BW66" i="15"/>
  <c r="BH32" i="15"/>
  <c r="BJ88" i="15"/>
  <c r="CA32" i="15"/>
  <c r="AE88" i="15"/>
  <c r="AH77" i="15"/>
  <c r="CO88" i="15"/>
  <c r="CX32" i="15"/>
  <c r="CQ66" i="15"/>
  <c r="T55" i="15"/>
  <c r="BC43" i="15"/>
  <c r="Q32" i="15"/>
  <c r="BP66" i="15"/>
  <c r="BT21" i="15"/>
  <c r="BI43" i="15"/>
  <c r="Q43" i="15"/>
  <c r="BJ43" i="15"/>
  <c r="CW66" i="15"/>
  <c r="AW32" i="15"/>
  <c r="T32" i="15"/>
  <c r="BW32" i="15"/>
  <c r="BV77" i="15"/>
  <c r="BH43" i="15"/>
  <c r="AO55" i="15"/>
  <c r="AK77" i="15"/>
  <c r="L32" i="15"/>
  <c r="AN88" i="15"/>
  <c r="BB32" i="15"/>
  <c r="AQ66" i="15"/>
  <c r="Z32" i="15"/>
  <c r="BG32" i="15"/>
  <c r="DC55" i="15"/>
  <c r="AC55" i="15"/>
  <c r="DA43" i="15"/>
  <c r="BX32" i="15"/>
  <c r="BD21" i="15"/>
  <c r="CR55" i="15"/>
  <c r="U88" i="15"/>
  <c r="CN88" i="15"/>
  <c r="AK88" i="15"/>
  <c r="CM32" i="15"/>
  <c r="L55" i="15"/>
  <c r="BK77" i="15"/>
  <c r="CI55" i="15"/>
  <c r="CA55" i="15"/>
  <c r="AB77" i="15"/>
  <c r="AE21" i="15"/>
  <c r="BL43" i="15"/>
  <c r="BO21" i="15"/>
  <c r="BT77" i="15"/>
  <c r="CC43" i="15"/>
  <c r="I88" i="15"/>
  <c r="CJ43" i="15"/>
  <c r="T77" i="15"/>
  <c r="AQ77" i="15"/>
  <c r="CW43" i="15"/>
  <c r="BH21" i="15"/>
  <c r="BQ88" i="15"/>
  <c r="AV55" i="15"/>
  <c r="U111" i="15"/>
  <c r="K111" i="15"/>
  <c r="BK88" i="15"/>
  <c r="S88" i="15"/>
  <c r="M32" i="15"/>
  <c r="CW21" i="15"/>
  <c r="AO66" i="15"/>
  <c r="AX88" i="15"/>
  <c r="AX77" i="15"/>
  <c r="BY88" i="15"/>
  <c r="CU55" i="15"/>
  <c r="BB77" i="15"/>
  <c r="CX55" i="15"/>
  <c r="CP21" i="15"/>
  <c r="BS55" i="15"/>
  <c r="CQ32" i="15"/>
  <c r="AK32" i="15"/>
  <c r="CG32" i="15"/>
  <c r="CZ66" i="15"/>
  <c r="AM21" i="15"/>
  <c r="BB55" i="15"/>
  <c r="CS21" i="15"/>
  <c r="CA88" i="15"/>
  <c r="BW21" i="15"/>
  <c r="BA55" i="15"/>
  <c r="P88" i="15"/>
  <c r="BQ21" i="15"/>
  <c r="CJ55" i="15"/>
  <c r="AL77" i="15"/>
  <c r="BV55" i="15"/>
  <c r="O43" i="15"/>
  <c r="CI88" i="15"/>
  <c r="BR77" i="15"/>
  <c r="O66" i="15"/>
  <c r="BH55" i="15"/>
  <c r="BE88" i="15"/>
  <c r="P66" i="15"/>
  <c r="AY43" i="15"/>
  <c r="CD21" i="15"/>
  <c r="DB43" i="15"/>
  <c r="V43" i="15"/>
  <c r="DA88" i="15"/>
  <c r="CU88" i="15"/>
  <c r="BK21" i="15"/>
  <c r="BF32" i="15"/>
  <c r="BY32" i="15"/>
  <c r="AM32" i="15"/>
  <c r="BC66" i="15"/>
  <c r="BH66" i="15"/>
  <c r="V111" i="15"/>
  <c r="BI66" i="15"/>
  <c r="AT32" i="15"/>
  <c r="AQ21" i="15"/>
  <c r="N66" i="15"/>
  <c r="AX55" i="15"/>
  <c r="CN32" i="15"/>
  <c r="BQ77" i="15"/>
  <c r="BE32" i="15"/>
  <c r="CS43" i="15"/>
  <c r="BZ88" i="15"/>
  <c r="H66" i="15"/>
  <c r="DC21" i="15"/>
  <c r="CV55" i="15"/>
  <c r="BN88" i="15"/>
  <c r="T88" i="15"/>
  <c r="BJ55" i="15"/>
  <c r="AW77" i="15"/>
  <c r="CF88" i="15"/>
  <c r="AS32" i="15"/>
  <c r="CF32" i="15"/>
  <c r="AR77" i="15"/>
  <c r="CT66" i="15"/>
  <c r="AJ66" i="15"/>
  <c r="AF21" i="15"/>
  <c r="CE43" i="15"/>
  <c r="BE77" i="15"/>
  <c r="W32" i="15"/>
  <c r="CJ77" i="15"/>
  <c r="BV66" i="15"/>
  <c r="BM21" i="15"/>
  <c r="P55" i="15"/>
  <c r="BZ77" i="15"/>
  <c r="CI43" i="15"/>
  <c r="CE32" i="15"/>
  <c r="AH88" i="15"/>
  <c r="BN55" i="15"/>
  <c r="CB77" i="15"/>
  <c r="CF55" i="15"/>
  <c r="AV88" i="15"/>
  <c r="BG21" i="15"/>
  <c r="AC21" i="15"/>
  <c r="CH77" i="15"/>
  <c r="CH88" i="15"/>
  <c r="X77" i="15"/>
  <c r="BM66" i="15"/>
  <c r="BU43" i="15"/>
  <c r="CN77" i="15"/>
  <c r="BD32" i="15"/>
  <c r="Q66" i="15"/>
  <c r="AE43" i="15"/>
  <c r="CT21" i="15"/>
  <c r="CH21" i="15"/>
  <c r="Y55" i="15"/>
  <c r="AO32" i="15"/>
  <c r="BG88" i="15"/>
  <c r="BW55" i="15"/>
  <c r="CY77" i="15"/>
  <c r="BI21" i="15"/>
  <c r="CM21" i="15"/>
  <c r="CT43" i="15"/>
  <c r="CX21" i="15"/>
  <c r="AU88" i="15"/>
  <c r="AG66" i="15"/>
  <c r="CH32" i="15"/>
  <c r="AJ43" i="15"/>
  <c r="H55" i="15"/>
  <c r="S43" i="15"/>
  <c r="BI77" i="15"/>
  <c r="BK66" i="15"/>
  <c r="CX77" i="15"/>
  <c r="P77" i="15"/>
  <c r="BV21" i="15"/>
  <c r="AG77" i="15"/>
  <c r="Q55" i="15"/>
  <c r="AV77" i="15"/>
  <c r="CW77" i="15"/>
  <c r="DC66" i="15"/>
  <c r="CC88" i="15"/>
  <c r="BL32" i="15"/>
  <c r="CN55" i="15"/>
  <c r="P43" i="15"/>
  <c r="AW21" i="15"/>
  <c r="L88" i="15"/>
  <c r="AH66" i="15"/>
  <c r="AV66" i="15"/>
  <c r="BJ32" i="15"/>
  <c r="CK55" i="15"/>
  <c r="AR21" i="15"/>
  <c r="V66" i="15"/>
  <c r="BN32" i="15"/>
  <c r="BE55" i="15"/>
  <c r="BO66" i="15"/>
  <c r="DC77" i="15"/>
  <c r="AN43" i="15"/>
  <c r="BO55" i="15"/>
  <c r="AM77" i="15"/>
  <c r="CE55" i="15"/>
  <c r="AA43" i="15"/>
  <c r="X88" i="15"/>
  <c r="T111" i="15"/>
  <c r="V55" i="15"/>
  <c r="AN32" i="15"/>
  <c r="BE21" i="15"/>
  <c r="AD43" i="15"/>
  <c r="DB66" i="15"/>
  <c r="AJ77" i="15"/>
  <c r="BA43" i="15"/>
  <c r="BD55" i="15"/>
  <c r="BG66" i="15"/>
  <c r="K88" i="15"/>
  <c r="AY66" i="15"/>
  <c r="DC88" i="15"/>
  <c r="AI88" i="15"/>
  <c r="CP43" i="15"/>
  <c r="AU32" i="15"/>
  <c r="CA43" i="15"/>
  <c r="AX66" i="15"/>
  <c r="AC88" i="15"/>
  <c r="CP77" i="15"/>
  <c r="AB43" i="15"/>
  <c r="BY55" i="15"/>
  <c r="AZ32" i="15"/>
  <c r="CV77" i="15"/>
  <c r="CY88" i="15"/>
  <c r="AJ32" i="15"/>
  <c r="AU43" i="15"/>
  <c r="CO66" i="15"/>
  <c r="BL77" i="15"/>
  <c r="M55" i="15"/>
  <c r="AK55" i="15"/>
  <c r="I77" i="15"/>
  <c r="CL21" i="15"/>
  <c r="AO77" i="15"/>
  <c r="BT55" i="15"/>
  <c r="BJ66" i="15"/>
  <c r="Y32" i="15"/>
  <c r="Q77" i="15"/>
  <c r="AS43" i="15"/>
  <c r="AC66" i="15"/>
  <c r="BR21" i="15"/>
  <c r="AZ77" i="15"/>
  <c r="DC43" i="15"/>
  <c r="I111" i="15"/>
  <c r="CU66" i="15"/>
  <c r="BO77" i="15"/>
  <c r="K66" i="15"/>
  <c r="Y88" i="15"/>
  <c r="CM88" i="15"/>
  <c r="BF77" i="15"/>
  <c r="Z55" i="15"/>
  <c r="CO77" i="15"/>
  <c r="CN66" i="15"/>
  <c r="BF43" i="15"/>
  <c r="BU77" i="15"/>
  <c r="AI21" i="15"/>
  <c r="AQ88" i="15"/>
  <c r="M66" i="15"/>
  <c r="P111" i="15"/>
  <c r="N77" i="15"/>
  <c r="AZ43" i="15"/>
  <c r="CY32" i="15"/>
  <c r="BE43" i="15"/>
  <c r="W77" i="15"/>
  <c r="BJ21" i="15"/>
  <c r="AN55" i="15"/>
  <c r="BG55" i="15"/>
  <c r="AE66" i="15"/>
  <c r="AB66" i="15"/>
  <c r="AP21" i="15"/>
  <c r="W66" i="15"/>
  <c r="AP32" i="15"/>
  <c r="BU55" i="15"/>
  <c r="CK88" i="15"/>
  <c r="AF66" i="15"/>
  <c r="CL43" i="15"/>
  <c r="DB9" i="15" l="1"/>
  <c r="DC44" i="15"/>
  <c r="F43" i="15"/>
  <c r="G43" i="15"/>
  <c r="F32" i="15"/>
  <c r="G32" i="15"/>
  <c r="F66" i="15"/>
  <c r="G66" i="15"/>
  <c r="F55" i="15"/>
  <c r="G55" i="15"/>
  <c r="F88" i="15"/>
  <c r="G88" i="15"/>
  <c r="F77" i="15"/>
  <c r="G77" i="15"/>
  <c r="DC10" i="15"/>
  <c r="F111" i="15"/>
  <c r="G111" i="15"/>
  <c r="H132" i="15"/>
  <c r="I132" i="15"/>
  <c r="J132" i="15"/>
  <c r="K132" i="15"/>
  <c r="L132" i="15"/>
  <c r="M132" i="15"/>
  <c r="N132" i="15"/>
  <c r="O132" i="15"/>
  <c r="O133" i="15" s="1"/>
  <c r="P132" i="15"/>
  <c r="P133" i="15" s="1"/>
  <c r="Q132" i="15"/>
  <c r="Q133" i="15" s="1"/>
  <c r="R132" i="15"/>
  <c r="S132" i="15"/>
  <c r="T132" i="15"/>
  <c r="U132" i="15"/>
  <c r="V132" i="15"/>
  <c r="V133" i="15" s="1"/>
  <c r="W132" i="15"/>
  <c r="X132" i="15"/>
  <c r="X133" i="15" s="1"/>
  <c r="Y132" i="15"/>
  <c r="Y133" i="15" s="1"/>
  <c r="Z132" i="15"/>
  <c r="Z133" i="15" s="1"/>
  <c r="AA132" i="15"/>
  <c r="AA133" i="15" s="1"/>
  <c r="AB132" i="15"/>
  <c r="AB133" i="15" s="1"/>
  <c r="AC132" i="15"/>
  <c r="AC133" i="15" s="1"/>
  <c r="AD132" i="15"/>
  <c r="AD133" i="15" s="1"/>
  <c r="AE132" i="15"/>
  <c r="AE133" i="15" s="1"/>
  <c r="AF132" i="15"/>
  <c r="AF133" i="15" s="1"/>
  <c r="AG132" i="15"/>
  <c r="AG133" i="15" s="1"/>
  <c r="AH132" i="15"/>
  <c r="AH133" i="15" s="1"/>
  <c r="AI132" i="15"/>
  <c r="AI133" i="15" s="1"/>
  <c r="AJ132" i="15"/>
  <c r="AJ133" i="15" s="1"/>
  <c r="AK132" i="15"/>
  <c r="AK133" i="15" s="1"/>
  <c r="AL132" i="15"/>
  <c r="AL133" i="15" s="1"/>
  <c r="AM132" i="15"/>
  <c r="AM133" i="15" s="1"/>
  <c r="AN132" i="15"/>
  <c r="AN133" i="15" s="1"/>
  <c r="AO132" i="15"/>
  <c r="AO133" i="15" s="1"/>
  <c r="AP132" i="15"/>
  <c r="AP133" i="15" s="1"/>
  <c r="AQ132" i="15"/>
  <c r="AQ133" i="15" s="1"/>
  <c r="AR132" i="15"/>
  <c r="AR133" i="15" s="1"/>
  <c r="AS132" i="15"/>
  <c r="AS133" i="15" s="1"/>
  <c r="AT132" i="15"/>
  <c r="AT133" i="15" s="1"/>
  <c r="AU132" i="15"/>
  <c r="AU133" i="15" s="1"/>
  <c r="AV132" i="15"/>
  <c r="AV133" i="15" s="1"/>
  <c r="AW132" i="15"/>
  <c r="AW133" i="15" s="1"/>
  <c r="AX132" i="15"/>
  <c r="AX133" i="15" s="1"/>
  <c r="AY132" i="15"/>
  <c r="AY133" i="15" s="1"/>
  <c r="AZ132" i="15"/>
  <c r="AZ133" i="15" s="1"/>
  <c r="BA132" i="15"/>
  <c r="BA133" i="15" s="1"/>
  <c r="BB132" i="15"/>
  <c r="BB133" i="15" s="1"/>
  <c r="BC132" i="15"/>
  <c r="BC133" i="15" s="1"/>
  <c r="BD132" i="15"/>
  <c r="BD133" i="15" s="1"/>
  <c r="BE132" i="15"/>
  <c r="BE133" i="15" s="1"/>
  <c r="BF132" i="15"/>
  <c r="BF133" i="15" s="1"/>
  <c r="BG132" i="15"/>
  <c r="BG133" i="15" s="1"/>
  <c r="BH132" i="15"/>
  <c r="BH133" i="15" s="1"/>
  <c r="BI132" i="15"/>
  <c r="BI133" i="15" s="1"/>
  <c r="BJ132" i="15"/>
  <c r="BJ133" i="15" s="1"/>
  <c r="BK132" i="15"/>
  <c r="BK133" i="15" s="1"/>
  <c r="BL132" i="15"/>
  <c r="BL133" i="15" s="1"/>
  <c r="BM132" i="15"/>
  <c r="BM133" i="15" s="1"/>
  <c r="BN132" i="15"/>
  <c r="BN133" i="15" s="1"/>
  <c r="BO132" i="15"/>
  <c r="BO133" i="15" s="1"/>
  <c r="BP132" i="15"/>
  <c r="BP133" i="15" s="1"/>
  <c r="BQ132" i="15"/>
  <c r="BQ133" i="15" s="1"/>
  <c r="BR132" i="15"/>
  <c r="BR133" i="15" s="1"/>
  <c r="BS132" i="15"/>
  <c r="BS133" i="15" s="1"/>
  <c r="BT132" i="15"/>
  <c r="BT133" i="15" s="1"/>
  <c r="BU132" i="15"/>
  <c r="BU133" i="15" s="1"/>
  <c r="BV132" i="15"/>
  <c r="BV133" i="15" s="1"/>
  <c r="BW132" i="15"/>
  <c r="BW133" i="15" s="1"/>
  <c r="BX132" i="15"/>
  <c r="BX133" i="15" s="1"/>
  <c r="BY132" i="15"/>
  <c r="BY133" i="15" s="1"/>
  <c r="BZ132" i="15"/>
  <c r="BZ133" i="15" s="1"/>
  <c r="CA132" i="15"/>
  <c r="CA133" i="15" s="1"/>
  <c r="CB132" i="15"/>
  <c r="CB133" i="15" s="1"/>
  <c r="CC132" i="15"/>
  <c r="CC133" i="15" s="1"/>
  <c r="CD132" i="15"/>
  <c r="CD133" i="15" s="1"/>
  <c r="CE132" i="15"/>
  <c r="CE133" i="15" s="1"/>
  <c r="CF132" i="15"/>
  <c r="CF133" i="15" s="1"/>
  <c r="CG132" i="15"/>
  <c r="CG133" i="15" s="1"/>
  <c r="CH132" i="15"/>
  <c r="CH133" i="15" s="1"/>
  <c r="CI132" i="15"/>
  <c r="CI133" i="15" s="1"/>
  <c r="CJ132" i="15"/>
  <c r="CJ133" i="15" s="1"/>
  <c r="CK132" i="15"/>
  <c r="CK133" i="15" s="1"/>
  <c r="CL132" i="15"/>
  <c r="CL133" i="15" s="1"/>
  <c r="CM132" i="15"/>
  <c r="CM133" i="15" s="1"/>
  <c r="CN132" i="15"/>
  <c r="CN133" i="15" s="1"/>
  <c r="CO132" i="15"/>
  <c r="CO133" i="15" s="1"/>
  <c r="CP132" i="15"/>
  <c r="CP133" i="15" s="1"/>
  <c r="CQ132" i="15"/>
  <c r="CQ133" i="15" s="1"/>
  <c r="CR132" i="15"/>
  <c r="CR133" i="15" s="1"/>
  <c r="CS132" i="15"/>
  <c r="CS133" i="15" s="1"/>
  <c r="CT132" i="15"/>
  <c r="CT133" i="15" s="1"/>
  <c r="CU132" i="15"/>
  <c r="CU133" i="15" s="1"/>
  <c r="CV132" i="15"/>
  <c r="CV133" i="15" s="1"/>
  <c r="CW132" i="15"/>
  <c r="CW133" i="15" s="1"/>
  <c r="CX132" i="15"/>
  <c r="CX133" i="15" s="1"/>
  <c r="CY132" i="15"/>
  <c r="CY133" i="15" s="1"/>
  <c r="CZ132" i="15"/>
  <c r="CZ133" i="15" s="1"/>
  <c r="DA132" i="15"/>
  <c r="DA133" i="15" s="1"/>
  <c r="DB132" i="15"/>
  <c r="DB133" i="15" s="1"/>
  <c r="DC132" i="15"/>
  <c r="F143" i="15"/>
  <c r="G147" i="15"/>
  <c r="AG31" i="9"/>
  <c r="DC133" i="15" l="1"/>
  <c r="DC9" i="15"/>
  <c r="F132" i="15"/>
  <c r="G132" i="15"/>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I94" i="6"/>
  <c r="J94" i="5"/>
  <c r="K94" i="5"/>
  <c r="L94" i="5"/>
  <c r="M94" i="5"/>
  <c r="N94" i="5"/>
  <c r="O94" i="5"/>
  <c r="P94" i="5"/>
  <c r="Q94" i="5"/>
  <c r="R94" i="5"/>
  <c r="S94" i="5"/>
  <c r="T94" i="5"/>
  <c r="U94" i="5"/>
  <c r="V94" i="5"/>
  <c r="W94" i="5"/>
  <c r="X94" i="5"/>
  <c r="Y94" i="5"/>
  <c r="Z94" i="5"/>
  <c r="AA94" i="5"/>
  <c r="AB94" i="5"/>
  <c r="I94" i="5"/>
  <c r="J94" i="4"/>
  <c r="K94" i="4"/>
  <c r="L94" i="4"/>
  <c r="M94" i="4"/>
  <c r="N94" i="4"/>
  <c r="O94" i="4"/>
  <c r="P94" i="4"/>
  <c r="Q94" i="4"/>
  <c r="R94" i="4"/>
  <c r="S94" i="4"/>
  <c r="T94" i="4"/>
  <c r="U94" i="4"/>
  <c r="V94" i="4"/>
  <c r="W94" i="4"/>
  <c r="X94" i="4"/>
  <c r="Y94" i="4"/>
  <c r="Z94" i="4"/>
  <c r="AA94" i="4"/>
  <c r="AB94" i="4"/>
  <c r="I94" i="4"/>
  <c r="U94" i="15"/>
  <c r="J94" i="15"/>
  <c r="L94" i="15"/>
  <c r="Q94" i="15"/>
  <c r="K94" i="15"/>
  <c r="N94" i="15"/>
  <c r="S94" i="15"/>
  <c r="Z94" i="15"/>
  <c r="W94" i="15"/>
  <c r="O94" i="15"/>
  <c r="X94" i="15"/>
  <c r="I94" i="15"/>
  <c r="M94" i="15"/>
  <c r="T94" i="15"/>
  <c r="R94" i="15"/>
  <c r="P94" i="15"/>
  <c r="Y94" i="15"/>
  <c r="AB94" i="15"/>
  <c r="AA94" i="15"/>
  <c r="V94" i="15"/>
  <c r="F94" i="15" l="1"/>
  <c r="G94" i="15"/>
  <c r="I119" i="6"/>
  <c r="I119" i="5" l="1"/>
  <c r="I119" i="4"/>
  <c r="U54" i="6"/>
  <c r="T54" i="6"/>
  <c r="S54" i="6"/>
  <c r="R54" i="6"/>
  <c r="U54" i="5"/>
  <c r="T54" i="5"/>
  <c r="S54" i="5"/>
  <c r="R54" i="5"/>
  <c r="U54" i="4"/>
  <c r="T54" i="4"/>
  <c r="S54" i="4"/>
  <c r="R54" i="4"/>
  <c r="Z26" i="9" l="1"/>
  <c r="AA26" i="9"/>
  <c r="Z29" i="9"/>
  <c r="AA29" i="9"/>
  <c r="AC36" i="9" l="1"/>
  <c r="AC37" i="9"/>
  <c r="AC38" i="9"/>
  <c r="AC39" i="9"/>
  <c r="Y38" i="9"/>
  <c r="Y39" i="9"/>
  <c r="Y37" i="9"/>
  <c r="Y36" i="9"/>
  <c r="Y25" i="9"/>
  <c r="Y24" i="9"/>
  <c r="Y28" i="9"/>
  <c r="Y27" i="9"/>
  <c r="Y26" i="9" l="1"/>
  <c r="Y29" i="9"/>
  <c r="AE26" i="9"/>
  <c r="AJ150" i="9" l="1"/>
  <c r="AJ155" i="9" s="1"/>
  <c r="AJ134" i="9"/>
  <c r="AJ139" i="9" s="1"/>
  <c r="AJ118" i="9"/>
  <c r="AJ123" i="9" s="1"/>
  <c r="AJ102" i="9"/>
  <c r="AJ107" i="9" s="1"/>
  <c r="AJ85" i="9"/>
  <c r="AJ90" i="9" s="1"/>
  <c r="J47" i="6" s="1"/>
  <c r="AJ68" i="9"/>
  <c r="AJ73" i="9" s="1"/>
  <c r="AJ51" i="9"/>
  <c r="AJ56" i="9" s="1"/>
  <c r="K47" i="6" l="1"/>
  <c r="AB151" i="9"/>
  <c r="AB152" i="9"/>
  <c r="AB153" i="9"/>
  <c r="AA151" i="9"/>
  <c r="AA152" i="9"/>
  <c r="AA153" i="9"/>
  <c r="AA154" i="9"/>
  <c r="AA155" i="9"/>
  <c r="AA156" i="9"/>
  <c r="AA150" i="9"/>
  <c r="AE150" i="9"/>
  <c r="AB150" i="9"/>
  <c r="CK127" i="15"/>
  <c r="CR111" i="15"/>
  <c r="DA124" i="15"/>
  <c r="AW124" i="15"/>
  <c r="AB129" i="15"/>
  <c r="AH122" i="15"/>
  <c r="AM123" i="15"/>
  <c r="AH125" i="15"/>
  <c r="CU129" i="15"/>
  <c r="K121" i="15"/>
  <c r="BG128" i="15"/>
  <c r="AD121" i="15"/>
  <c r="CD123" i="15"/>
  <c r="AR124" i="15"/>
  <c r="CZ128" i="15"/>
  <c r="CU124" i="15"/>
  <c r="BA125" i="15"/>
  <c r="BQ129" i="15"/>
  <c r="CK123" i="15"/>
  <c r="I129" i="15"/>
  <c r="CM125" i="15"/>
  <c r="BP123" i="15"/>
  <c r="P129" i="15"/>
  <c r="BD128" i="15"/>
  <c r="DC116" i="15"/>
  <c r="AQ127" i="15"/>
  <c r="CS125" i="15"/>
  <c r="CY111" i="15"/>
  <c r="BX116" i="15"/>
  <c r="CT111" i="15"/>
  <c r="AR129" i="15"/>
  <c r="CP124" i="15"/>
  <c r="H120" i="15"/>
  <c r="AA121" i="15"/>
  <c r="DA128" i="15"/>
  <c r="CZ124" i="15"/>
  <c r="BJ121" i="15"/>
  <c r="V124" i="15"/>
  <c r="CQ120" i="15"/>
  <c r="CY121" i="15"/>
  <c r="DA129" i="15"/>
  <c r="CM128" i="15"/>
  <c r="DA122" i="15"/>
  <c r="CV123" i="15"/>
  <c r="BT122" i="15"/>
  <c r="N122" i="15"/>
  <c r="CH129" i="15"/>
  <c r="R121" i="15"/>
  <c r="AK125" i="15"/>
  <c r="BF122" i="15"/>
  <c r="AT121" i="15"/>
  <c r="CC128" i="15"/>
  <c r="CC111" i="15"/>
  <c r="AZ123" i="15"/>
  <c r="BB116" i="15"/>
  <c r="AF127" i="15"/>
  <c r="P121" i="15"/>
  <c r="AR120" i="15"/>
  <c r="BL111" i="15"/>
  <c r="O127" i="15"/>
  <c r="AS120" i="15"/>
  <c r="CA111" i="15"/>
  <c r="AS123" i="15"/>
  <c r="R125" i="15"/>
  <c r="AI116" i="15"/>
  <c r="CZ121" i="15"/>
  <c r="CW123" i="15"/>
  <c r="AX129" i="15"/>
  <c r="CP122" i="15"/>
  <c r="BR116" i="15"/>
  <c r="CV124" i="15"/>
  <c r="AX111" i="15"/>
  <c r="AG125" i="15"/>
  <c r="BH125" i="15"/>
  <c r="J116" i="15"/>
  <c r="CF120" i="15"/>
  <c r="BO129" i="15"/>
  <c r="AX123" i="15"/>
  <c r="AL122" i="15"/>
  <c r="X129" i="15"/>
  <c r="CG128" i="15"/>
  <c r="CQ111" i="15"/>
  <c r="AH111" i="15"/>
  <c r="S116" i="15"/>
  <c r="Q123" i="15"/>
  <c r="BC120" i="15"/>
  <c r="CQ128" i="15"/>
  <c r="BA128" i="15"/>
  <c r="BE128" i="15"/>
  <c r="CG123" i="15"/>
  <c r="AF124" i="15"/>
  <c r="BP127" i="15"/>
  <c r="CZ122" i="15"/>
  <c r="BE122" i="15"/>
  <c r="CX116" i="15"/>
  <c r="CH127" i="15"/>
  <c r="BZ128" i="15"/>
  <c r="J125" i="15"/>
  <c r="W129" i="15"/>
  <c r="CT123" i="15"/>
  <c r="AP124" i="15"/>
  <c r="BN124" i="15"/>
  <c r="AH116" i="15"/>
  <c r="BM128" i="15"/>
  <c r="CY125" i="15"/>
  <c r="CY124" i="15"/>
  <c r="CS129" i="15"/>
  <c r="BT121" i="15"/>
  <c r="AM121" i="15"/>
  <c r="CC124" i="15"/>
  <c r="AA128" i="15"/>
  <c r="AW125" i="15"/>
  <c r="AZ116" i="15"/>
  <c r="AP128" i="15"/>
  <c r="CZ111" i="15"/>
  <c r="BC116" i="15"/>
  <c r="CI116" i="15"/>
  <c r="O129" i="15"/>
  <c r="CN116" i="15"/>
  <c r="AI125" i="15"/>
  <c r="CZ129" i="15"/>
  <c r="CQ122" i="15"/>
  <c r="DB120" i="15"/>
  <c r="BX111" i="15"/>
  <c r="H121" i="15"/>
  <c r="DC125" i="15"/>
  <c r="CB111" i="15"/>
  <c r="BX127" i="15"/>
  <c r="DB124" i="15"/>
  <c r="AO123" i="15"/>
  <c r="BM127" i="15"/>
  <c r="N127" i="15"/>
  <c r="Z123" i="15"/>
  <c r="CL122" i="15"/>
  <c r="H124" i="15"/>
  <c r="BA121" i="15"/>
  <c r="BD121" i="15"/>
  <c r="S54" i="15"/>
  <c r="O123" i="15"/>
  <c r="BV129" i="15"/>
  <c r="X124" i="15"/>
  <c r="BJ116" i="15"/>
  <c r="AE129" i="15"/>
  <c r="BZ116" i="15"/>
  <c r="AL120" i="15"/>
  <c r="BQ128" i="15"/>
  <c r="AG128" i="15"/>
  <c r="BB120" i="15"/>
  <c r="CI128" i="15"/>
  <c r="S128" i="15"/>
  <c r="AW123" i="15"/>
  <c r="CB122" i="15"/>
  <c r="AN121" i="15"/>
  <c r="AB127" i="15"/>
  <c r="H128" i="15"/>
  <c r="BA120" i="15"/>
  <c r="CW124" i="15"/>
  <c r="CY120" i="15"/>
  <c r="CW125" i="15"/>
  <c r="CZ125" i="15"/>
  <c r="CF127" i="15"/>
  <c r="BL122" i="15"/>
  <c r="DB116" i="15"/>
  <c r="Z129" i="15"/>
  <c r="P124" i="15"/>
  <c r="AS121" i="15"/>
  <c r="BI116" i="15"/>
  <c r="CB127" i="15"/>
  <c r="AG121" i="15"/>
  <c r="BC127" i="15"/>
  <c r="I121" i="15"/>
  <c r="X116" i="15"/>
  <c r="AO124" i="15"/>
  <c r="AF129" i="15"/>
  <c r="AV125" i="15"/>
  <c r="AT124" i="15"/>
  <c r="AL124" i="15"/>
  <c r="BW123" i="15"/>
  <c r="BU124" i="15"/>
  <c r="W116" i="15"/>
  <c r="CG121" i="15"/>
  <c r="Z121" i="15"/>
  <c r="BE129" i="15"/>
  <c r="AZ121" i="15"/>
  <c r="M128" i="15"/>
  <c r="N124" i="15"/>
  <c r="AZ129" i="15"/>
  <c r="BM123" i="15"/>
  <c r="M116" i="15"/>
  <c r="S127" i="15"/>
  <c r="CM124" i="15"/>
  <c r="W121" i="15"/>
  <c r="BT124" i="15"/>
  <c r="N125" i="15"/>
  <c r="BY122" i="15"/>
  <c r="BH123" i="15"/>
  <c r="AP121" i="15"/>
  <c r="AS127" i="15"/>
  <c r="X121" i="15"/>
  <c r="M121" i="15"/>
  <c r="BQ122" i="15"/>
  <c r="BB129" i="15"/>
  <c r="CS127" i="15"/>
  <c r="AM127" i="15"/>
  <c r="CS123" i="15"/>
  <c r="CA125" i="15"/>
  <c r="AE128" i="15"/>
  <c r="AX125" i="15"/>
  <c r="CJ122" i="15"/>
  <c r="BH116" i="15"/>
  <c r="CU127" i="15"/>
  <c r="AP116" i="15"/>
  <c r="CR125" i="15"/>
  <c r="CD121" i="15"/>
  <c r="AZ122" i="15"/>
  <c r="CA129" i="15"/>
  <c r="X128" i="15"/>
  <c r="AQ116" i="15"/>
  <c r="CI111" i="15"/>
  <c r="AA124" i="15"/>
  <c r="BQ121" i="15"/>
  <c r="CV120" i="15"/>
  <c r="BQ120" i="15"/>
  <c r="CL123" i="15"/>
  <c r="BS123" i="15"/>
  <c r="AQ120" i="15"/>
  <c r="BR125" i="15"/>
  <c r="CD122" i="15"/>
  <c r="BB111" i="15"/>
  <c r="DB123" i="15"/>
  <c r="BQ116" i="15"/>
  <c r="J128" i="15"/>
  <c r="AR125" i="15"/>
  <c r="AV121" i="15"/>
  <c r="T54" i="15"/>
  <c r="CR124" i="15"/>
  <c r="CB124" i="15"/>
  <c r="AJ120" i="15"/>
  <c r="AA116" i="15"/>
  <c r="BQ123" i="15"/>
  <c r="CH120" i="15"/>
  <c r="BO120" i="15"/>
  <c r="AS128" i="15"/>
  <c r="CQ116" i="15"/>
  <c r="CE127" i="15"/>
  <c r="AH124" i="15"/>
  <c r="BE125" i="15"/>
  <c r="BG121" i="15"/>
  <c r="AJ116" i="15"/>
  <c r="BG116" i="15"/>
  <c r="K123" i="15"/>
  <c r="DA125" i="15"/>
  <c r="BO127" i="15"/>
  <c r="BI111" i="15"/>
  <c r="AA122" i="15"/>
  <c r="V121" i="15"/>
  <c r="CI123" i="15"/>
  <c r="CJ120" i="15"/>
  <c r="AI120" i="15"/>
  <c r="BL127" i="15"/>
  <c r="CZ116" i="15"/>
  <c r="BS128" i="15"/>
  <c r="AS125" i="15"/>
  <c r="L124" i="15"/>
  <c r="AN124" i="15"/>
  <c r="AT128" i="15"/>
  <c r="BS124" i="15"/>
  <c r="K129" i="15"/>
  <c r="CP128" i="15"/>
  <c r="BW122" i="15"/>
  <c r="CG111" i="15"/>
  <c r="Q116" i="15"/>
  <c r="BB123" i="15"/>
  <c r="CC116" i="15"/>
  <c r="R129" i="15"/>
  <c r="CN122" i="15"/>
  <c r="L122" i="15"/>
  <c r="AN123" i="15"/>
  <c r="CK125" i="15"/>
  <c r="AI129" i="15"/>
  <c r="BA122" i="15"/>
  <c r="X127" i="15"/>
  <c r="S121" i="15"/>
  <c r="T122" i="15"/>
  <c r="AW129" i="15"/>
  <c r="AC128" i="15"/>
  <c r="BN122" i="15"/>
  <c r="AS129" i="15"/>
  <c r="BZ121" i="15"/>
  <c r="BN111" i="15"/>
  <c r="BA116" i="15"/>
  <c r="Z127" i="15"/>
  <c r="CQ123" i="15"/>
  <c r="CG129" i="15"/>
  <c r="AP129" i="15"/>
  <c r="J123" i="15"/>
  <c r="BP124" i="15"/>
  <c r="BU123" i="15"/>
  <c r="CR121" i="15"/>
  <c r="BY129" i="15"/>
  <c r="CO111" i="15"/>
  <c r="BU127" i="15"/>
  <c r="CU123" i="15"/>
  <c r="CU122" i="15"/>
  <c r="CR120" i="15"/>
  <c r="BF120" i="15"/>
  <c r="CV121" i="15"/>
  <c r="BV116" i="15"/>
  <c r="CC122" i="15"/>
  <c r="AI127" i="15"/>
  <c r="CU116" i="15"/>
  <c r="K124" i="15"/>
  <c r="CW111" i="15"/>
  <c r="AN125" i="15"/>
  <c r="CS121" i="15"/>
  <c r="BM111" i="15"/>
  <c r="CB120" i="15"/>
  <c r="AZ120" i="15"/>
  <c r="AW127" i="15"/>
  <c r="AK129" i="15"/>
  <c r="CA128" i="15"/>
  <c r="CK121" i="15"/>
  <c r="CN120" i="15"/>
  <c r="CE120" i="15"/>
  <c r="U122" i="15"/>
  <c r="AN128" i="15"/>
  <c r="CM116" i="15"/>
  <c r="X125" i="15"/>
  <c r="BR111" i="15"/>
  <c r="BH127" i="15"/>
  <c r="L128" i="15"/>
  <c r="CH111" i="15"/>
  <c r="DA121" i="15"/>
  <c r="BD127" i="15"/>
  <c r="AP111" i="15"/>
  <c r="AZ111" i="15"/>
  <c r="BO128" i="15"/>
  <c r="T124" i="15"/>
  <c r="CP129" i="15"/>
  <c r="BP128" i="15"/>
  <c r="CG127" i="15"/>
  <c r="CI125" i="15"/>
  <c r="AF123" i="15"/>
  <c r="AV128" i="15"/>
  <c r="AF125" i="15"/>
  <c r="BI125" i="15"/>
  <c r="BI121" i="15"/>
  <c r="BF111" i="15"/>
  <c r="AO120" i="15"/>
  <c r="BR122" i="15"/>
  <c r="AN120" i="15"/>
  <c r="BD124" i="15"/>
  <c r="CU111" i="15"/>
  <c r="BP120" i="15"/>
  <c r="AL127" i="15"/>
  <c r="CE121" i="15"/>
  <c r="CE125" i="15"/>
  <c r="CQ129" i="15"/>
  <c r="BE127" i="15"/>
  <c r="CB116" i="15"/>
  <c r="CA123" i="15"/>
  <c r="S124" i="15"/>
  <c r="CD127" i="15"/>
  <c r="P116" i="15"/>
  <c r="CJ124" i="15"/>
  <c r="W127" i="15"/>
  <c r="H119" i="15"/>
  <c r="BG111" i="15"/>
  <c r="BD116" i="15"/>
  <c r="AU123" i="15"/>
  <c r="Q129" i="15"/>
  <c r="AR111" i="15"/>
  <c r="CK124" i="15"/>
  <c r="BS122" i="15"/>
  <c r="CX129" i="15"/>
  <c r="BB128" i="15"/>
  <c r="AV111" i="15"/>
  <c r="BB121" i="15"/>
  <c r="CV129" i="15"/>
  <c r="CX122" i="15"/>
  <c r="V128" i="15"/>
  <c r="AS124" i="15"/>
  <c r="T116" i="15"/>
  <c r="AL116" i="15"/>
  <c r="BK129" i="15"/>
  <c r="BM121" i="15"/>
  <c r="CO120" i="15"/>
  <c r="CD124" i="15"/>
  <c r="L127" i="15"/>
  <c r="CO121" i="15"/>
  <c r="S122" i="15"/>
  <c r="U54" i="15"/>
  <c r="Q128" i="15"/>
  <c r="BX129" i="15"/>
  <c r="H129" i="15"/>
  <c r="CX123" i="15"/>
  <c r="BW129" i="15"/>
  <c r="CT125" i="15"/>
  <c r="BH121" i="15"/>
  <c r="BC123" i="15"/>
  <c r="AO129" i="15"/>
  <c r="CE116" i="15"/>
  <c r="V116" i="15"/>
  <c r="H122" i="15"/>
  <c r="BP129" i="15"/>
  <c r="CX124" i="15"/>
  <c r="CE128" i="15"/>
  <c r="CM123" i="15"/>
  <c r="BS127" i="15"/>
  <c r="AT125" i="15"/>
  <c r="CJ123" i="15"/>
  <c r="BU116" i="15"/>
  <c r="Z125" i="15"/>
  <c r="DA127" i="15"/>
  <c r="BL123" i="15"/>
  <c r="BH129" i="15"/>
  <c r="BM125" i="15"/>
  <c r="CP111" i="15"/>
  <c r="AO127" i="15"/>
  <c r="AP122" i="15"/>
  <c r="Y116" i="15"/>
  <c r="CT127" i="15"/>
  <c r="AW111" i="15"/>
  <c r="Q121" i="15"/>
  <c r="CQ125" i="15"/>
  <c r="BH122" i="15"/>
  <c r="AY121" i="15"/>
  <c r="T127" i="15"/>
  <c r="AN111" i="15"/>
  <c r="AM116" i="15"/>
  <c r="BW125" i="15"/>
  <c r="CR127" i="15"/>
  <c r="T121" i="15"/>
  <c r="AN116" i="15"/>
  <c r="AB125" i="15"/>
  <c r="CJ111" i="15"/>
  <c r="AU120" i="15"/>
  <c r="CG120" i="15"/>
  <c r="CC120" i="15"/>
  <c r="AT116" i="15"/>
  <c r="CX121" i="15"/>
  <c r="AH120" i="15"/>
  <c r="AV124" i="15"/>
  <c r="AI128" i="15"/>
  <c r="BX125" i="15"/>
  <c r="CO127" i="15"/>
  <c r="BM124" i="15"/>
  <c r="BV111" i="15"/>
  <c r="J124" i="15"/>
  <c r="CV116" i="15"/>
  <c r="AB124" i="15"/>
  <c r="BI124" i="15"/>
  <c r="CW127" i="15"/>
  <c r="CI120" i="15"/>
  <c r="U125" i="15"/>
  <c r="W122" i="15"/>
  <c r="AR122" i="15"/>
  <c r="BV123" i="15"/>
  <c r="CH123" i="15"/>
  <c r="DC124" i="15"/>
  <c r="BV128" i="15"/>
  <c r="CR116" i="15"/>
  <c r="AU111" i="15"/>
  <c r="BX124" i="15"/>
  <c r="BF121" i="15"/>
  <c r="BI123" i="15"/>
  <c r="AV129" i="15"/>
  <c r="BJ125" i="15"/>
  <c r="CF116" i="15"/>
  <c r="CN121" i="15"/>
  <c r="DA111" i="15"/>
  <c r="AY122" i="15"/>
  <c r="AR123" i="15"/>
  <c r="CY129" i="15"/>
  <c r="AB123" i="15"/>
  <c r="DB125" i="15"/>
  <c r="O128" i="15"/>
  <c r="AX128" i="15"/>
  <c r="CS111" i="15"/>
  <c r="K122" i="15"/>
  <c r="R124" i="15"/>
  <c r="BR128" i="15"/>
  <c r="BS120" i="15"/>
  <c r="BS121" i="15"/>
  <c r="X122" i="15"/>
  <c r="CN111" i="15"/>
  <c r="CK120" i="15"/>
  <c r="N129" i="15"/>
  <c r="CE122" i="15"/>
  <c r="CQ124" i="15"/>
  <c r="AE111" i="15"/>
  <c r="BA127" i="15"/>
  <c r="AQ128" i="15"/>
  <c r="O122" i="15"/>
  <c r="CR128" i="15"/>
  <c r="AG120" i="15"/>
  <c r="DB122" i="15"/>
  <c r="CF129" i="15"/>
  <c r="BK123" i="15"/>
  <c r="AT123" i="15"/>
  <c r="AX122" i="15"/>
  <c r="N128" i="15"/>
  <c r="CW121" i="15"/>
  <c r="CT120" i="15"/>
  <c r="CS116" i="15"/>
  <c r="AH128" i="15"/>
  <c r="BK125" i="15"/>
  <c r="CL129" i="15"/>
  <c r="AU125" i="15"/>
  <c r="U129" i="15"/>
  <c r="AD127" i="15"/>
  <c r="BY125" i="15"/>
  <c r="BL128" i="15"/>
  <c r="AK116" i="15"/>
  <c r="CG124" i="15"/>
  <c r="CQ121" i="15"/>
  <c r="DC122" i="15"/>
  <c r="BK127" i="15"/>
  <c r="BY123" i="15"/>
  <c r="Q125" i="15"/>
  <c r="CS120" i="15"/>
  <c r="AB122" i="15"/>
  <c r="BP122" i="15"/>
  <c r="H125" i="15"/>
  <c r="BY120" i="15"/>
  <c r="CT129" i="15"/>
  <c r="S129" i="15"/>
  <c r="CR122" i="15"/>
  <c r="BG125" i="15"/>
  <c r="AN127" i="15"/>
  <c r="AW116" i="15"/>
  <c r="CK116" i="15"/>
  <c r="R127" i="15"/>
  <c r="CG116" i="15"/>
  <c r="BZ122" i="15"/>
  <c r="AF122" i="15"/>
  <c r="CP123" i="15"/>
  <c r="Y129" i="15"/>
  <c r="AZ124" i="15"/>
  <c r="CI121" i="15"/>
  <c r="K128" i="15"/>
  <c r="CN129" i="15"/>
  <c r="CC129" i="15"/>
  <c r="DB121" i="15"/>
  <c r="BD123" i="15"/>
  <c r="CI122" i="15"/>
  <c r="BY116" i="15"/>
  <c r="N121" i="15"/>
  <c r="BN129" i="15"/>
  <c r="BB122" i="15"/>
  <c r="BO124" i="15"/>
  <c r="AH129" i="15"/>
  <c r="DA123" i="15"/>
  <c r="AP123" i="15"/>
  <c r="Z116" i="15"/>
  <c r="BI129" i="15"/>
  <c r="AX124" i="15"/>
  <c r="CE111" i="15"/>
  <c r="BA129" i="15"/>
  <c r="CI127" i="15"/>
  <c r="BR123" i="15"/>
  <c r="X123" i="15"/>
  <c r="V129" i="15"/>
  <c r="BK120" i="15"/>
  <c r="BG120" i="15"/>
  <c r="AR116" i="15"/>
  <c r="U128" i="15"/>
  <c r="BC129" i="15"/>
  <c r="AX127" i="15"/>
  <c r="BL121" i="15"/>
  <c r="BG123" i="15"/>
  <c r="BF124" i="15"/>
  <c r="BV121" i="15"/>
  <c r="CW116" i="15"/>
  <c r="AQ123" i="15"/>
  <c r="AG123" i="15"/>
  <c r="L121" i="15"/>
  <c r="BV122" i="15"/>
  <c r="BJ123" i="15"/>
  <c r="AP125" i="15"/>
  <c r="AG127" i="15"/>
  <c r="BU120" i="15"/>
  <c r="CF125" i="15"/>
  <c r="AC127" i="15"/>
  <c r="BX122" i="15"/>
  <c r="AL121" i="15"/>
  <c r="AC125" i="15"/>
  <c r="BB124" i="15"/>
  <c r="BY124" i="15"/>
  <c r="AK128" i="15"/>
  <c r="CI124" i="15"/>
  <c r="DC111" i="15"/>
  <c r="BF125" i="15"/>
  <c r="M129" i="15"/>
  <c r="AG116" i="15"/>
  <c r="DC129" i="15"/>
  <c r="BM129" i="15"/>
  <c r="BD111" i="15"/>
  <c r="CL111" i="15"/>
  <c r="T129" i="15"/>
  <c r="BU122" i="15"/>
  <c r="M125" i="15"/>
  <c r="CB129" i="15"/>
  <c r="BL125" i="15"/>
  <c r="M124" i="15"/>
  <c r="BF129" i="15"/>
  <c r="DB128" i="15"/>
  <c r="CL121" i="15"/>
  <c r="AA123" i="15"/>
  <c r="AJ123" i="15"/>
  <c r="BO116" i="15"/>
  <c r="BM120" i="15"/>
  <c r="BC124" i="15"/>
  <c r="U121" i="15"/>
  <c r="DC120" i="15"/>
  <c r="CL120" i="15"/>
  <c r="BM122" i="15"/>
  <c r="BK122" i="15"/>
  <c r="CO125" i="15"/>
  <c r="I119" i="15"/>
  <c r="CN123" i="15"/>
  <c r="BG127" i="15"/>
  <c r="W128" i="15"/>
  <c r="BZ124" i="15"/>
  <c r="BN127" i="15"/>
  <c r="CM111" i="15"/>
  <c r="BW121" i="15"/>
  <c r="BT111" i="15"/>
  <c r="CB125" i="15"/>
  <c r="CG122" i="15"/>
  <c r="CA120" i="15"/>
  <c r="AE127" i="15"/>
  <c r="AO122" i="15"/>
  <c r="AU128" i="15"/>
  <c r="H116" i="15"/>
  <c r="U123" i="15"/>
  <c r="AE125" i="15"/>
  <c r="BY128" i="15"/>
  <c r="AG122" i="15"/>
  <c r="AE116" i="15"/>
  <c r="CR123" i="15"/>
  <c r="CF128" i="15"/>
  <c r="J127" i="15"/>
  <c r="I127" i="15"/>
  <c r="BI127" i="15"/>
  <c r="CD111" i="15"/>
  <c r="BL124" i="15"/>
  <c r="CD116" i="15"/>
  <c r="R123" i="15"/>
  <c r="CE123" i="15"/>
  <c r="P127" i="15"/>
  <c r="AY129" i="15"/>
  <c r="CV128" i="15"/>
  <c r="L129" i="15"/>
  <c r="AZ125" i="15"/>
  <c r="BE116" i="15"/>
  <c r="AJ128" i="15"/>
  <c r="U127" i="15"/>
  <c r="BJ124" i="15"/>
  <c r="AP127" i="15"/>
  <c r="CD125" i="15"/>
  <c r="AO128" i="15"/>
  <c r="AR128" i="15"/>
  <c r="DB129" i="15"/>
  <c r="CA124" i="15"/>
  <c r="AD120" i="15"/>
  <c r="BM116" i="15"/>
  <c r="CI129" i="15"/>
  <c r="BV124" i="15"/>
  <c r="CD128" i="15"/>
  <c r="AE123" i="15"/>
  <c r="AT111" i="15"/>
  <c r="R122" i="15"/>
  <c r="R54" i="15"/>
  <c r="AB116" i="15"/>
  <c r="CV111" i="15"/>
  <c r="L116" i="15"/>
  <c r="AL129" i="15"/>
  <c r="BC121" i="15"/>
  <c r="BW120" i="15"/>
  <c r="AA129" i="15"/>
  <c r="BD125" i="15"/>
  <c r="AV116" i="15"/>
  <c r="AD123" i="15"/>
  <c r="CS124" i="15"/>
  <c r="AC123" i="15"/>
  <c r="CL127" i="15"/>
  <c r="BV120" i="15"/>
  <c r="AI124" i="15"/>
  <c r="CY127" i="15"/>
  <c r="CO124" i="15"/>
  <c r="CQ127" i="15"/>
  <c r="I128" i="15"/>
  <c r="AM128" i="15"/>
  <c r="AD125" i="15"/>
  <c r="CA116" i="15"/>
  <c r="BB125" i="15"/>
  <c r="BK111" i="15"/>
  <c r="CL128" i="15"/>
  <c r="BO111" i="15"/>
  <c r="I123" i="15"/>
  <c r="BR127" i="15"/>
  <c r="Y122" i="15"/>
  <c r="AI121" i="15"/>
  <c r="AE122" i="15"/>
  <c r="AM120" i="15"/>
  <c r="CE124" i="15"/>
  <c r="CJ116" i="15"/>
  <c r="BW116" i="15"/>
  <c r="AI122" i="15"/>
  <c r="BX120" i="15"/>
  <c r="CO128" i="15"/>
  <c r="CF121" i="15"/>
  <c r="N116" i="15"/>
  <c r="AV120" i="15"/>
  <c r="O125" i="15"/>
  <c r="J121" i="15"/>
  <c r="AS116" i="15"/>
  <c r="BE123" i="15"/>
  <c r="BE111" i="15"/>
  <c r="BT125" i="15"/>
  <c r="AQ129" i="15"/>
  <c r="AN122" i="15"/>
  <c r="BT123" i="15"/>
  <c r="AQ125" i="15"/>
  <c r="BJ111" i="15"/>
  <c r="AK124" i="15"/>
  <c r="BV127" i="15"/>
  <c r="AS111" i="15"/>
  <c r="CY116" i="15"/>
  <c r="O121" i="15"/>
  <c r="CS122" i="15"/>
  <c r="BI122" i="15"/>
  <c r="CW128" i="15"/>
  <c r="AD116" i="15"/>
  <c r="CT122" i="15"/>
  <c r="CA127" i="15"/>
  <c r="BD120" i="15"/>
  <c r="CK122" i="15"/>
  <c r="P123" i="15"/>
  <c r="BV125" i="15"/>
  <c r="CB121" i="15"/>
  <c r="BT128" i="15"/>
  <c r="AJ111" i="15"/>
  <c r="R116" i="15"/>
  <c r="BY127" i="15"/>
  <c r="AB128" i="15"/>
  <c r="AT127" i="15"/>
  <c r="AA127" i="15"/>
  <c r="CK128" i="15"/>
  <c r="AK123" i="15"/>
  <c r="AD124" i="15"/>
  <c r="Y127" i="15"/>
  <c r="Z124" i="15"/>
  <c r="CX120" i="15"/>
  <c r="BQ124" i="15"/>
  <c r="CU128" i="15"/>
  <c r="BR120" i="15"/>
  <c r="AL111" i="15"/>
  <c r="AT129" i="15"/>
  <c r="N123" i="15"/>
  <c r="CT121" i="15"/>
  <c r="CO116" i="15"/>
  <c r="BX123" i="15"/>
  <c r="V123" i="15"/>
  <c r="AJ121" i="15"/>
  <c r="CH125" i="15"/>
  <c r="AX116" i="15"/>
  <c r="BT116" i="15"/>
  <c r="CF123" i="15"/>
  <c r="AO121" i="15"/>
  <c r="CA121" i="15"/>
  <c r="I125" i="15"/>
  <c r="AC121" i="15"/>
  <c r="AI111" i="15"/>
  <c r="AW120" i="15"/>
  <c r="BJ129" i="15"/>
  <c r="CX128" i="15"/>
  <c r="BZ111" i="15"/>
  <c r="AC124" i="15"/>
  <c r="CH116" i="15"/>
  <c r="AD128" i="15"/>
  <c r="CK129" i="15"/>
  <c r="T128" i="15"/>
  <c r="BF127" i="15"/>
  <c r="CM120" i="15"/>
  <c r="CV125" i="15"/>
  <c r="DA120" i="15"/>
  <c r="CK111" i="15"/>
  <c r="BP125" i="15"/>
  <c r="BQ127" i="15"/>
  <c r="BE121" i="15"/>
  <c r="BA111" i="15"/>
  <c r="BO122" i="15"/>
  <c r="CW129" i="15"/>
  <c r="AK122" i="15"/>
  <c r="AO111" i="15"/>
  <c r="BK116" i="15"/>
  <c r="CC123" i="15"/>
  <c r="BY121" i="15"/>
  <c r="CF124" i="15"/>
  <c r="AC120" i="15"/>
  <c r="BK128" i="15"/>
  <c r="BL120" i="15"/>
  <c r="S125" i="15"/>
  <c r="BW124" i="15"/>
  <c r="BC122" i="15"/>
  <c r="DC128" i="15"/>
  <c r="BH124" i="15"/>
  <c r="AR121" i="15"/>
  <c r="BZ125" i="15"/>
  <c r="AF121" i="15"/>
  <c r="BO121" i="15"/>
  <c r="AU129" i="15"/>
  <c r="CC127" i="15"/>
  <c r="I116" i="15"/>
  <c r="BU125" i="15"/>
  <c r="CX125" i="15"/>
  <c r="BC128" i="15"/>
  <c r="W124" i="15"/>
  <c r="AK127" i="15"/>
  <c r="AI123" i="15"/>
  <c r="CB128" i="15"/>
  <c r="AU122" i="15"/>
  <c r="Q124" i="15"/>
  <c r="AT120" i="15"/>
  <c r="BE120" i="15"/>
  <c r="M123" i="15"/>
  <c r="CD120" i="15"/>
  <c r="AQ124" i="15"/>
  <c r="AU127" i="15"/>
  <c r="CO123" i="15"/>
  <c r="BI128" i="15"/>
  <c r="CT128" i="15"/>
  <c r="AC122" i="15"/>
  <c r="DB127" i="15"/>
  <c r="AH123" i="15"/>
  <c r="AK120" i="15"/>
  <c r="BS129" i="15"/>
  <c r="BK124" i="15"/>
  <c r="P122" i="15"/>
  <c r="BZ129" i="15"/>
  <c r="AY127" i="15"/>
  <c r="CO129" i="15"/>
  <c r="CT124" i="15"/>
  <c r="AE121" i="15"/>
  <c r="CJ128" i="15"/>
  <c r="BN121" i="15"/>
  <c r="V125" i="15"/>
  <c r="AY123" i="15"/>
  <c r="AJ124" i="15"/>
  <c r="AH127" i="15"/>
  <c r="BZ120" i="15"/>
  <c r="AH121" i="15"/>
  <c r="CZ120" i="15"/>
  <c r="Y123" i="15"/>
  <c r="CD129" i="15"/>
  <c r="CH122" i="15"/>
  <c r="AM129" i="15"/>
  <c r="BD129" i="15"/>
  <c r="V122" i="15"/>
  <c r="BW127" i="15"/>
  <c r="P128" i="15"/>
  <c r="AY125" i="15"/>
  <c r="AR127" i="15"/>
  <c r="CY128" i="15"/>
  <c r="AY111" i="15"/>
  <c r="CJ127" i="15"/>
  <c r="AO116" i="15"/>
  <c r="BS125" i="15"/>
  <c r="BX128" i="15"/>
  <c r="J122" i="15"/>
  <c r="DC121" i="15"/>
  <c r="DC123" i="15"/>
  <c r="CG125" i="15"/>
  <c r="CZ123" i="15"/>
  <c r="CC121" i="15"/>
  <c r="AS122" i="15"/>
  <c r="U124" i="15"/>
  <c r="S123" i="15"/>
  <c r="CR129" i="15"/>
  <c r="BA124" i="15"/>
  <c r="CE129" i="15"/>
  <c r="BG122" i="15"/>
  <c r="AP120" i="15"/>
  <c r="AW122" i="15"/>
  <c r="BA123" i="15"/>
  <c r="BI120" i="15"/>
  <c r="CL125" i="15"/>
  <c r="AF116" i="15"/>
  <c r="BO125" i="15"/>
  <c r="BS116" i="15"/>
  <c r="AV123" i="15"/>
  <c r="AM111" i="15"/>
  <c r="CU125" i="15"/>
  <c r="CS128" i="15"/>
  <c r="AN129" i="15"/>
  <c r="BH120" i="15"/>
  <c r="BP111" i="15"/>
  <c r="AZ127" i="15"/>
  <c r="AU124" i="15"/>
  <c r="AO125" i="15"/>
  <c r="CN127" i="15"/>
  <c r="W125" i="15"/>
  <c r="AT122" i="15"/>
  <c r="AB121" i="15"/>
  <c r="AW121" i="15"/>
  <c r="CF122" i="15"/>
  <c r="CZ127" i="15"/>
  <c r="CV127" i="15"/>
  <c r="AU121" i="15"/>
  <c r="BN128" i="15"/>
  <c r="AG124" i="15"/>
  <c r="CN125" i="15"/>
  <c r="Q127" i="15"/>
  <c r="AL123" i="15"/>
  <c r="CH124" i="15"/>
  <c r="L123" i="15"/>
  <c r="T125" i="15"/>
  <c r="AY120" i="15"/>
  <c r="DB111" i="15"/>
  <c r="AK121" i="15"/>
  <c r="DA116" i="15"/>
  <c r="K127" i="15"/>
  <c r="AD111" i="15"/>
  <c r="CY123" i="15"/>
  <c r="CH128" i="15"/>
  <c r="CP116" i="15"/>
  <c r="AJ122" i="15"/>
  <c r="CA122" i="15"/>
  <c r="W123" i="15"/>
  <c r="BN120" i="15"/>
  <c r="BU128" i="15"/>
  <c r="BN116" i="15"/>
  <c r="AG129" i="15"/>
  <c r="AE120" i="15"/>
  <c r="BD122" i="15"/>
  <c r="H123" i="15"/>
  <c r="DC127" i="15"/>
  <c r="AF128" i="15"/>
  <c r="O124" i="15"/>
  <c r="T123" i="15"/>
  <c r="BF128" i="15"/>
  <c r="AZ128" i="15"/>
  <c r="CM129" i="15"/>
  <c r="BP116" i="15"/>
  <c r="CJ129" i="15"/>
  <c r="AJ129" i="15"/>
  <c r="AA125" i="15"/>
  <c r="CU121" i="15"/>
  <c r="CX111" i="15"/>
  <c r="AD122" i="15"/>
  <c r="CJ121" i="15"/>
  <c r="BF123" i="15"/>
  <c r="AC111" i="15"/>
  <c r="AJ127" i="15"/>
  <c r="AF111" i="15"/>
  <c r="BQ111" i="15"/>
  <c r="BC111" i="15"/>
  <c r="CH121" i="15"/>
  <c r="K116" i="15"/>
  <c r="AM122" i="15"/>
  <c r="BJ127" i="15"/>
  <c r="BR121" i="15"/>
  <c r="I124" i="15"/>
  <c r="AM124" i="15"/>
  <c r="AV122" i="15"/>
  <c r="BR129" i="15"/>
  <c r="H127" i="15"/>
  <c r="BZ123" i="15"/>
  <c r="CN124" i="15"/>
  <c r="AQ121" i="15"/>
  <c r="AU116" i="15"/>
  <c r="M122" i="15"/>
  <c r="BY111" i="15"/>
  <c r="J129" i="15"/>
  <c r="CY122" i="15"/>
  <c r="BU121" i="15"/>
  <c r="CU120" i="15"/>
  <c r="CB123" i="15"/>
  <c r="BP121" i="15"/>
  <c r="CP125" i="15"/>
  <c r="BJ120" i="15"/>
  <c r="BG124" i="15"/>
  <c r="BL129" i="15"/>
  <c r="BG129" i="15"/>
  <c r="Y124" i="15"/>
  <c r="BR124" i="15"/>
  <c r="AW128" i="15"/>
  <c r="K125" i="15"/>
  <c r="L125" i="15"/>
  <c r="AM125" i="15"/>
  <c r="CP121" i="15"/>
  <c r="BS111" i="15"/>
  <c r="BW128" i="15"/>
  <c r="AE124" i="15"/>
  <c r="BU129" i="15"/>
  <c r="CW120" i="15"/>
  <c r="AV127" i="15"/>
  <c r="BT120" i="15"/>
  <c r="BH128" i="15"/>
  <c r="AY124" i="15"/>
  <c r="BN125" i="15"/>
  <c r="AL125" i="15"/>
  <c r="CM121" i="15"/>
  <c r="AY116" i="15"/>
  <c r="BJ122" i="15"/>
  <c r="AX120" i="15"/>
  <c r="Z122" i="15"/>
  <c r="R128" i="15"/>
  <c r="AQ122" i="15"/>
  <c r="CM122" i="15"/>
  <c r="M127" i="15"/>
  <c r="CJ125" i="15"/>
  <c r="CP127" i="15"/>
  <c r="AD129" i="15"/>
  <c r="BT129" i="15"/>
  <c r="Y125" i="15"/>
  <c r="CL116" i="15"/>
  <c r="BW111" i="15"/>
  <c r="AX121" i="15"/>
  <c r="BF116" i="15"/>
  <c r="O116" i="15"/>
  <c r="CW122" i="15"/>
  <c r="AY128" i="15"/>
  <c r="Z128" i="15"/>
  <c r="Y121" i="15"/>
  <c r="AC116" i="15"/>
  <c r="V127" i="15"/>
  <c r="BE124" i="15"/>
  <c r="P125" i="15"/>
  <c r="U116" i="15"/>
  <c r="CM127" i="15"/>
  <c r="BJ128" i="15"/>
  <c r="BK121" i="15"/>
  <c r="BT127" i="15"/>
  <c r="BZ127" i="15"/>
  <c r="AG111" i="15"/>
  <c r="I122" i="15"/>
  <c r="Q122" i="15"/>
  <c r="BC125" i="15"/>
  <c r="CC125" i="15"/>
  <c r="BL116" i="15"/>
  <c r="CT116" i="15"/>
  <c r="CO122" i="15"/>
  <c r="BB127" i="15"/>
  <c r="BQ125" i="15"/>
  <c r="AC129" i="15"/>
  <c r="Y128" i="15"/>
  <c r="CL124" i="15"/>
  <c r="AK111" i="15"/>
  <c r="CN128" i="15"/>
  <c r="AQ111" i="15"/>
  <c r="AJ125" i="15"/>
  <c r="CF111" i="15"/>
  <c r="BN123" i="15"/>
  <c r="BX121" i="15"/>
  <c r="AL128" i="15"/>
  <c r="CP120" i="15"/>
  <c r="CV122" i="15"/>
  <c r="BU111" i="15"/>
  <c r="CX127" i="15"/>
  <c r="BO123" i="15"/>
  <c r="BH111" i="15"/>
  <c r="AF120" i="15"/>
  <c r="AX126" i="15" l="1"/>
  <c r="U45" i="15"/>
  <c r="U44" i="15" s="1"/>
  <c r="U133" i="15" s="1"/>
  <c r="U8" i="15"/>
  <c r="DC126" i="15"/>
  <c r="CU126" i="15"/>
  <c r="CP126" i="15"/>
  <c r="CC126" i="15"/>
  <c r="CY126" i="15"/>
  <c r="AR126" i="15"/>
  <c r="AN126" i="15"/>
  <c r="CE126" i="15"/>
  <c r="AK126" i="15"/>
  <c r="AT126" i="15"/>
  <c r="N126" i="15"/>
  <c r="O126" i="15"/>
  <c r="W126" i="15"/>
  <c r="BY126" i="15"/>
  <c r="BJ126" i="15"/>
  <c r="BO126" i="15"/>
  <c r="BB126" i="15"/>
  <c r="AW126" i="15"/>
  <c r="AF126" i="15"/>
  <c r="AQ126" i="15"/>
  <c r="BT126" i="15"/>
  <c r="BP126" i="15"/>
  <c r="BX126" i="15"/>
  <c r="BG126" i="15"/>
  <c r="T8" i="15"/>
  <c r="T45" i="15"/>
  <c r="T44" i="15" s="1"/>
  <c r="T133" i="15" s="1"/>
  <c r="K126" i="15"/>
  <c r="AE126" i="15"/>
  <c r="CI126" i="15"/>
  <c r="AC126" i="15"/>
  <c r="BV126" i="15"/>
  <c r="AP126" i="15"/>
  <c r="BZ126" i="15"/>
  <c r="CQ126" i="15"/>
  <c r="AD126" i="15"/>
  <c r="DB126" i="15"/>
  <c r="U126" i="15"/>
  <c r="L126" i="15"/>
  <c r="I126" i="15"/>
  <c r="CG126" i="15"/>
  <c r="CV126" i="15"/>
  <c r="M126" i="15"/>
  <c r="Q126" i="15"/>
  <c r="G54" i="15"/>
  <c r="F54" i="15"/>
  <c r="R8" i="15"/>
  <c r="R45" i="15"/>
  <c r="R44" i="15" s="1"/>
  <c r="R133" i="15" s="1"/>
  <c r="CN126" i="15"/>
  <c r="F127" i="15"/>
  <c r="H126" i="15"/>
  <c r="G127" i="15"/>
  <c r="P126" i="15"/>
  <c r="AY126" i="15"/>
  <c r="BL126" i="15"/>
  <c r="AG126" i="15"/>
  <c r="Z126" i="15"/>
  <c r="CJ126" i="15"/>
  <c r="BU126" i="15"/>
  <c r="F129" i="15"/>
  <c r="G129" i="15"/>
  <c r="R126" i="15"/>
  <c r="CM126" i="15"/>
  <c r="CZ126" i="15"/>
  <c r="CH126" i="15"/>
  <c r="S126" i="15"/>
  <c r="G124" i="15"/>
  <c r="F124" i="15"/>
  <c r="AM126" i="15"/>
  <c r="BS126" i="15"/>
  <c r="AZ126" i="15"/>
  <c r="BQ126" i="15"/>
  <c r="H118" i="15"/>
  <c r="CW126" i="15"/>
  <c r="AH126" i="15"/>
  <c r="CF126" i="15"/>
  <c r="BD126" i="15"/>
  <c r="BM126" i="15"/>
  <c r="X126" i="15"/>
  <c r="BF126" i="15"/>
  <c r="CD126" i="15"/>
  <c r="BE126" i="15"/>
  <c r="CB126" i="15"/>
  <c r="F116" i="15"/>
  <c r="G116" i="15"/>
  <c r="Y126" i="15"/>
  <c r="AI126" i="15"/>
  <c r="V126" i="15"/>
  <c r="AL126" i="15"/>
  <c r="F125" i="15"/>
  <c r="G125" i="15"/>
  <c r="BR126" i="15"/>
  <c r="G128" i="15"/>
  <c r="F128" i="15"/>
  <c r="G122" i="15"/>
  <c r="F122" i="15"/>
  <c r="CA126" i="15"/>
  <c r="AA126" i="15"/>
  <c r="AU126" i="15"/>
  <c r="CK126" i="15"/>
  <c r="BI126" i="15"/>
  <c r="CR126" i="15"/>
  <c r="AS126" i="15"/>
  <c r="AJ126" i="15"/>
  <c r="CL126" i="15"/>
  <c r="AO126" i="15"/>
  <c r="T126" i="15"/>
  <c r="J126" i="15"/>
  <c r="F121" i="15"/>
  <c r="G121" i="15"/>
  <c r="CX126" i="15"/>
  <c r="CS126" i="15"/>
  <c r="BN126" i="15"/>
  <c r="AB126" i="15"/>
  <c r="BK126" i="15"/>
  <c r="DA126" i="15"/>
  <c r="BA126" i="15"/>
  <c r="BC126" i="15"/>
  <c r="CO126" i="15"/>
  <c r="S45" i="15"/>
  <c r="S44" i="15" s="1"/>
  <c r="S133" i="15" s="1"/>
  <c r="S8" i="15"/>
  <c r="AV126" i="15"/>
  <c r="BW126" i="15"/>
  <c r="BH126" i="15"/>
  <c r="CT126" i="15"/>
  <c r="F123" i="15"/>
  <c r="G123" i="15"/>
  <c r="AE134" i="9"/>
  <c r="AB135" i="9"/>
  <c r="AB136" i="9"/>
  <c r="AB137" i="9"/>
  <c r="AB134" i="9"/>
  <c r="AA135" i="9"/>
  <c r="AA136" i="9"/>
  <c r="AA137" i="9"/>
  <c r="AA138" i="9"/>
  <c r="AA139" i="9"/>
  <c r="AA140" i="9"/>
  <c r="AA134" i="9"/>
  <c r="G8" i="15" l="1"/>
  <c r="U9" i="15"/>
  <c r="H117" i="15"/>
  <c r="F126" i="15"/>
  <c r="T9" i="15"/>
  <c r="S9" i="15"/>
  <c r="G126" i="15"/>
  <c r="R9" i="15"/>
  <c r="AB119" i="9"/>
  <c r="AB120" i="9"/>
  <c r="AB118" i="9"/>
  <c r="AA119" i="9"/>
  <c r="AA120" i="9"/>
  <c r="AA121" i="9"/>
  <c r="AA122" i="9"/>
  <c r="AA123" i="9"/>
  <c r="AA124" i="9"/>
  <c r="AA118" i="9"/>
  <c r="AE102" i="9"/>
  <c r="AB103" i="9"/>
  <c r="AB104" i="9"/>
  <c r="AB105" i="9"/>
  <c r="AB102" i="9"/>
  <c r="AA103" i="9"/>
  <c r="AA104" i="9"/>
  <c r="AA105" i="9"/>
  <c r="AA106" i="9"/>
  <c r="AA107" i="9"/>
  <c r="AA102" i="9"/>
  <c r="G103" i="9"/>
  <c r="G104" i="9"/>
  <c r="G102" i="9"/>
  <c r="AE85" i="9"/>
  <c r="AE68" i="9" l="1"/>
  <c r="AE52" i="9" l="1"/>
  <c r="AE53" i="9"/>
  <c r="AE54" i="9"/>
  <c r="AE51" i="9"/>
  <c r="R51" i="9"/>
  <c r="X36" i="9" l="1"/>
  <c r="X37" i="9"/>
  <c r="X38" i="9"/>
  <c r="X39" i="9"/>
  <c r="X28" i="9"/>
  <c r="X27" i="9"/>
  <c r="X25" i="9"/>
  <c r="X24" i="9"/>
  <c r="X26" i="9" l="1"/>
  <c r="X29" i="9"/>
  <c r="AC120" i="6" l="1"/>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K95" i="6"/>
  <c r="I95" i="6"/>
  <c r="J95"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O93" i="6"/>
  <c r="M93" i="6"/>
  <c r="N93" i="6"/>
  <c r="L93" i="6"/>
  <c r="K92" i="6"/>
  <c r="L92" i="6"/>
  <c r="M92" i="6"/>
  <c r="N92" i="6"/>
  <c r="O92" i="6"/>
  <c r="P92" i="6"/>
  <c r="Q92" i="6"/>
  <c r="R92" i="6"/>
  <c r="S92" i="6"/>
  <c r="T92" i="6"/>
  <c r="U92" i="6"/>
  <c r="V92" i="6"/>
  <c r="W92" i="6"/>
  <c r="X92" i="6"/>
  <c r="Y92" i="6"/>
  <c r="Z92" i="6"/>
  <c r="AA92" i="6"/>
  <c r="AB92" i="6"/>
  <c r="J92" i="6"/>
  <c r="K102" i="6"/>
  <c r="J102" i="6"/>
  <c r="I102"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H101" i="6"/>
  <c r="K71" i="6"/>
  <c r="L57" i="6"/>
  <c r="M57" i="6"/>
  <c r="K57" i="6"/>
  <c r="J48" i="6"/>
  <c r="K48" i="6"/>
  <c r="I48" i="6"/>
  <c r="F143" i="16"/>
  <c r="G147" i="16"/>
  <c r="P93" i="5" l="1"/>
  <c r="Q93" i="5"/>
  <c r="R93" i="5"/>
  <c r="S93" i="5"/>
  <c r="T93" i="5"/>
  <c r="U93" i="5"/>
  <c r="V93" i="5"/>
  <c r="W93" i="5"/>
  <c r="X93" i="5"/>
  <c r="Y93" i="5"/>
  <c r="Z93" i="5"/>
  <c r="AA93" i="5"/>
  <c r="AB93" i="5"/>
  <c r="O93" i="5"/>
  <c r="M93" i="5"/>
  <c r="N93" i="5"/>
  <c r="L93" i="5"/>
  <c r="K92" i="5"/>
  <c r="L92" i="5"/>
  <c r="M92" i="5"/>
  <c r="N92" i="5"/>
  <c r="O92" i="5"/>
  <c r="P92" i="5"/>
  <c r="Q92" i="5"/>
  <c r="R92" i="5"/>
  <c r="S92" i="5"/>
  <c r="T92" i="5"/>
  <c r="U92" i="5"/>
  <c r="V92" i="5"/>
  <c r="W92" i="5"/>
  <c r="X92" i="5"/>
  <c r="Y92" i="5"/>
  <c r="Z92" i="5"/>
  <c r="AA92" i="5"/>
  <c r="AB92" i="5"/>
  <c r="J92" i="5"/>
  <c r="K102" i="5"/>
  <c r="J102" i="5"/>
  <c r="I102" i="5"/>
  <c r="I101" i="5"/>
  <c r="J101" i="5"/>
  <c r="K101" i="5"/>
  <c r="L101" i="5"/>
  <c r="M101" i="5"/>
  <c r="N101" i="5"/>
  <c r="O101" i="5"/>
  <c r="P101" i="5"/>
  <c r="Q101" i="5"/>
  <c r="R101" i="5"/>
  <c r="S101" i="5"/>
  <c r="T101" i="5"/>
  <c r="U101" i="5"/>
  <c r="V101" i="5"/>
  <c r="W101" i="5"/>
  <c r="X101" i="5"/>
  <c r="Y101" i="5"/>
  <c r="Z101" i="5"/>
  <c r="AA101" i="5"/>
  <c r="AB101" i="5"/>
  <c r="H101" i="5"/>
  <c r="N71" i="5"/>
  <c r="K71" i="5"/>
  <c r="L68" i="5"/>
  <c r="L57" i="5"/>
  <c r="M57" i="5"/>
  <c r="K57" i="5"/>
  <c r="J48" i="5"/>
  <c r="K48" i="5"/>
  <c r="I48" i="5"/>
  <c r="L57" i="4"/>
  <c r="M57" i="4"/>
  <c r="K57" i="4"/>
  <c r="P93" i="4"/>
  <c r="Q93" i="4"/>
  <c r="R93" i="4"/>
  <c r="S93" i="4"/>
  <c r="T93" i="4"/>
  <c r="U93" i="4"/>
  <c r="V93" i="4"/>
  <c r="W93" i="4"/>
  <c r="X93" i="4"/>
  <c r="Y93" i="4"/>
  <c r="Z93" i="4"/>
  <c r="AA93" i="4"/>
  <c r="AB93" i="4"/>
  <c r="O93" i="4"/>
  <c r="M93" i="4"/>
  <c r="N93" i="4"/>
  <c r="L93" i="4"/>
  <c r="K92" i="4"/>
  <c r="L92" i="4"/>
  <c r="M92" i="4"/>
  <c r="N92" i="4"/>
  <c r="O92" i="4"/>
  <c r="P92" i="4"/>
  <c r="Q92" i="4"/>
  <c r="R92" i="4"/>
  <c r="S92" i="4"/>
  <c r="T92" i="4"/>
  <c r="U92" i="4"/>
  <c r="V92" i="4"/>
  <c r="W92" i="4"/>
  <c r="X92" i="4"/>
  <c r="Y92" i="4"/>
  <c r="Z92" i="4"/>
  <c r="AA92" i="4"/>
  <c r="AB92" i="4"/>
  <c r="J92" i="4"/>
  <c r="N71" i="4"/>
  <c r="K71" i="4"/>
  <c r="J48" i="4"/>
  <c r="K48" i="4"/>
  <c r="I48" i="4"/>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AC119" i="4"/>
  <c r="AD119" i="4"/>
  <c r="AE119" i="4"/>
  <c r="AF119" i="4"/>
  <c r="AG119" i="4"/>
  <c r="AH119" i="4"/>
  <c r="AI119" i="4"/>
  <c r="AJ119" i="4"/>
  <c r="AK119" i="4"/>
  <c r="AL119" i="4"/>
  <c r="AM119" i="4"/>
  <c r="AN119" i="4"/>
  <c r="AO119" i="4"/>
  <c r="AP119" i="4"/>
  <c r="AQ119" i="4"/>
  <c r="AR119" i="4"/>
  <c r="AS119" i="4"/>
  <c r="AT119" i="4"/>
  <c r="AU119" i="4"/>
  <c r="AV119" i="4"/>
  <c r="AW119" i="4"/>
  <c r="AX119" i="4"/>
  <c r="AY119" i="4"/>
  <c r="AZ119" i="4"/>
  <c r="BA119" i="4"/>
  <c r="BB119" i="4"/>
  <c r="BC119" i="4"/>
  <c r="BD119" i="4"/>
  <c r="BE119" i="4"/>
  <c r="BF119" i="4"/>
  <c r="BG119" i="4"/>
  <c r="BH119" i="4"/>
  <c r="BI119" i="4"/>
  <c r="BJ119" i="4"/>
  <c r="BK119" i="4"/>
  <c r="BL119" i="4"/>
  <c r="BM119" i="4"/>
  <c r="BN119" i="4"/>
  <c r="BO119" i="4"/>
  <c r="BP119" i="4"/>
  <c r="BQ119" i="4"/>
  <c r="BR119" i="4"/>
  <c r="BS119" i="4"/>
  <c r="BT119" i="4"/>
  <c r="BU119" i="4"/>
  <c r="BV119" i="4"/>
  <c r="BW119" i="4"/>
  <c r="BX119" i="4"/>
  <c r="BY119" i="4"/>
  <c r="BZ119" i="4"/>
  <c r="CA119" i="4"/>
  <c r="CB119" i="4"/>
  <c r="CC119" i="4"/>
  <c r="CD119" i="4"/>
  <c r="CE119" i="4"/>
  <c r="CF119" i="4"/>
  <c r="CG119" i="4"/>
  <c r="CH119" i="4"/>
  <c r="CI119" i="4"/>
  <c r="CJ119" i="4"/>
  <c r="CK119" i="4"/>
  <c r="CL119" i="4"/>
  <c r="CM119" i="4"/>
  <c r="CN119" i="4"/>
  <c r="CO119" i="4"/>
  <c r="CP119" i="4"/>
  <c r="CQ119" i="4"/>
  <c r="CR119" i="4"/>
  <c r="CS119" i="4"/>
  <c r="CT119" i="4"/>
  <c r="CU119" i="4"/>
  <c r="CV119" i="4"/>
  <c r="CW119" i="4"/>
  <c r="CX119" i="4"/>
  <c r="CY119" i="4"/>
  <c r="CZ119" i="4"/>
  <c r="DA119" i="4"/>
  <c r="DB119" i="4"/>
  <c r="DC119" i="4"/>
  <c r="M95" i="5"/>
  <c r="N95" i="5"/>
  <c r="O95" i="5"/>
  <c r="P95" i="5"/>
  <c r="Q95" i="5"/>
  <c r="R95" i="5"/>
  <c r="S95" i="5"/>
  <c r="T95" i="5"/>
  <c r="U95" i="5"/>
  <c r="V95" i="5"/>
  <c r="W95" i="5"/>
  <c r="X95" i="5"/>
  <c r="Y95" i="5"/>
  <c r="Z95" i="5"/>
  <c r="AA95" i="5"/>
  <c r="AB95" i="5"/>
  <c r="L95" i="5"/>
  <c r="K95" i="5"/>
  <c r="J95"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I392" i="9"/>
  <c r="J392" i="9" s="1"/>
  <c r="K392" i="9" s="1"/>
  <c r="L392" i="9" s="1"/>
  <c r="M392" i="9" s="1"/>
  <c r="N392" i="9" s="1"/>
  <c r="O392" i="9" s="1"/>
  <c r="P392" i="9" s="1"/>
  <c r="Q392" i="9" s="1"/>
  <c r="R392" i="9" s="1"/>
  <c r="S392" i="9" s="1"/>
  <c r="T392" i="9" s="1"/>
  <c r="U392" i="9" s="1"/>
  <c r="V392" i="9" s="1"/>
  <c r="W392" i="9" s="1"/>
  <c r="X392" i="9" s="1"/>
  <c r="Y392" i="9" s="1"/>
  <c r="Z392" i="9" s="1"/>
  <c r="I380" i="9"/>
  <c r="J380" i="9" s="1"/>
  <c r="K380" i="9" s="1"/>
  <c r="L380" i="9" s="1"/>
  <c r="M380" i="9" s="1"/>
  <c r="N380" i="9" s="1"/>
  <c r="O380" i="9" s="1"/>
  <c r="P380" i="9" s="1"/>
  <c r="Q380" i="9" s="1"/>
  <c r="R380" i="9" s="1"/>
  <c r="S380" i="9" s="1"/>
  <c r="T380" i="9" s="1"/>
  <c r="U380" i="9" s="1"/>
  <c r="V380" i="9" s="1"/>
  <c r="W380" i="9" s="1"/>
  <c r="X380" i="9" s="1"/>
  <c r="Y380" i="9" s="1"/>
  <c r="Z380" i="9" s="1"/>
  <c r="I377" i="9"/>
  <c r="J377" i="9" s="1"/>
  <c r="K377" i="9" s="1"/>
  <c r="L377" i="9" s="1"/>
  <c r="M377" i="9" s="1"/>
  <c r="N377" i="9" s="1"/>
  <c r="O377" i="9" s="1"/>
  <c r="P377" i="9" s="1"/>
  <c r="Q377" i="9" s="1"/>
  <c r="R377" i="9" s="1"/>
  <c r="S377" i="9" s="1"/>
  <c r="T377" i="9" s="1"/>
  <c r="U377" i="9" s="1"/>
  <c r="V377" i="9" s="1"/>
  <c r="W377" i="9" s="1"/>
  <c r="X377" i="9" s="1"/>
  <c r="Y377" i="9" s="1"/>
  <c r="Z377" i="9" s="1"/>
  <c r="H366" i="9"/>
  <c r="I366" i="9" s="1"/>
  <c r="J366" i="9" s="1"/>
  <c r="K366" i="9" s="1"/>
  <c r="L366" i="9" s="1"/>
  <c r="M366" i="9" s="1"/>
  <c r="N366" i="9" s="1"/>
  <c r="O366" i="9" s="1"/>
  <c r="P366" i="9" s="1"/>
  <c r="Q366" i="9" s="1"/>
  <c r="R366" i="9" s="1"/>
  <c r="S366" i="9" s="1"/>
  <c r="T366" i="9" s="1"/>
  <c r="U366" i="9" s="1"/>
  <c r="V366" i="9" s="1"/>
  <c r="W366" i="9" s="1"/>
  <c r="X366" i="9" s="1"/>
  <c r="Y366" i="9" s="1"/>
  <c r="Z366" i="9" s="1"/>
  <c r="G338" i="9"/>
  <c r="H338" i="9" s="1"/>
  <c r="I338" i="9" s="1"/>
  <c r="J338" i="9" s="1"/>
  <c r="K338" i="9" s="1"/>
  <c r="L338" i="9" s="1"/>
  <c r="M338" i="9" s="1"/>
  <c r="N338" i="9" s="1"/>
  <c r="O338" i="9" s="1"/>
  <c r="P338" i="9" s="1"/>
  <c r="Q338" i="9" s="1"/>
  <c r="R338" i="9" s="1"/>
  <c r="S338" i="9" s="1"/>
  <c r="T338" i="9" s="1"/>
  <c r="U338" i="9" s="1"/>
  <c r="V338" i="9" s="1"/>
  <c r="W338" i="9" s="1"/>
  <c r="X338" i="9" s="1"/>
  <c r="Y338" i="9" s="1"/>
  <c r="Z338" i="9" s="1"/>
  <c r="G324" i="9"/>
  <c r="G325" i="9" s="1"/>
  <c r="G326" i="9" s="1"/>
  <c r="G321" i="9"/>
  <c r="H321" i="9" s="1"/>
  <c r="I321" i="9" s="1"/>
  <c r="AE119" i="15"/>
  <c r="CJ119" i="15"/>
  <c r="AZ119" i="15"/>
  <c r="AO119" i="15"/>
  <c r="BX119" i="15"/>
  <c r="CE119" i="15"/>
  <c r="BA119" i="15"/>
  <c r="AL119" i="15"/>
  <c r="AR119" i="15"/>
  <c r="CX119" i="15"/>
  <c r="AP119" i="15"/>
  <c r="CD119" i="15"/>
  <c r="BY119" i="15"/>
  <c r="BL119" i="15"/>
  <c r="BR119" i="15"/>
  <c r="AV119" i="15"/>
  <c r="BO119" i="15"/>
  <c r="AK119" i="15"/>
  <c r="BU119" i="15"/>
  <c r="Y93" i="15"/>
  <c r="DC119" i="15"/>
  <c r="Z92" i="15"/>
  <c r="CY119" i="15"/>
  <c r="L57" i="15"/>
  <c r="N93" i="15"/>
  <c r="T92" i="15"/>
  <c r="P93" i="15"/>
  <c r="AU119" i="15"/>
  <c r="X93" i="15"/>
  <c r="AF119" i="15"/>
  <c r="R93" i="15"/>
  <c r="Q93" i="15"/>
  <c r="BZ119" i="15"/>
  <c r="CQ119" i="15"/>
  <c r="CM119" i="15"/>
  <c r="AH119" i="15"/>
  <c r="S93" i="15"/>
  <c r="AX119" i="15"/>
  <c r="Y92" i="15"/>
  <c r="AC119" i="15"/>
  <c r="N71" i="15"/>
  <c r="K71" i="15"/>
  <c r="CP119" i="15"/>
  <c r="DB119" i="15"/>
  <c r="O93" i="15"/>
  <c r="AG119" i="15"/>
  <c r="BE119" i="15"/>
  <c r="BV119" i="15"/>
  <c r="CZ119" i="15"/>
  <c r="BW119" i="15"/>
  <c r="I48" i="15"/>
  <c r="BG119" i="15"/>
  <c r="W93" i="15"/>
  <c r="V93" i="15"/>
  <c r="CB119" i="15"/>
  <c r="CU119" i="15"/>
  <c r="BD119" i="15"/>
  <c r="AW119" i="15"/>
  <c r="BH119" i="15"/>
  <c r="CT119" i="15"/>
  <c r="BQ119" i="15"/>
  <c r="J48" i="15"/>
  <c r="K92" i="15"/>
  <c r="M93" i="15"/>
  <c r="BI119" i="15"/>
  <c r="BK119" i="15"/>
  <c r="O92" i="15"/>
  <c r="AS119" i="15"/>
  <c r="J92" i="15"/>
  <c r="CV119" i="15"/>
  <c r="CH119" i="15"/>
  <c r="K48" i="15"/>
  <c r="Q92" i="15"/>
  <c r="CF119" i="15"/>
  <c r="T93" i="15"/>
  <c r="AI119" i="15"/>
  <c r="W92" i="15"/>
  <c r="R92" i="15"/>
  <c r="AB92" i="15"/>
  <c r="M57" i="15"/>
  <c r="N92" i="15"/>
  <c r="BS119" i="15"/>
  <c r="AA93" i="15"/>
  <c r="K57" i="15"/>
  <c r="BM119" i="15"/>
  <c r="X92" i="15"/>
  <c r="BJ119" i="15"/>
  <c r="CO119" i="15"/>
  <c r="DA119" i="15"/>
  <c r="BP119" i="15"/>
  <c r="CN119" i="15"/>
  <c r="V92" i="15"/>
  <c r="CS119" i="15"/>
  <c r="CG119" i="15"/>
  <c r="BC119" i="15"/>
  <c r="U93" i="15"/>
  <c r="AB93" i="15"/>
  <c r="AN119" i="15"/>
  <c r="BT119" i="15"/>
  <c r="CL119" i="15"/>
  <c r="AA92" i="15"/>
  <c r="S92" i="15"/>
  <c r="Z93" i="15"/>
  <c r="CK119" i="15"/>
  <c r="CI119" i="15"/>
  <c r="M92" i="15"/>
  <c r="CR119" i="15"/>
  <c r="CC119" i="15"/>
  <c r="U92" i="15"/>
  <c r="AJ119" i="15"/>
  <c r="AT119" i="15"/>
  <c r="AQ119" i="15"/>
  <c r="AD119" i="15"/>
  <c r="BF119" i="15"/>
  <c r="L93" i="15"/>
  <c r="L92" i="15"/>
  <c r="AM119" i="15"/>
  <c r="P92" i="15"/>
  <c r="BN119" i="15"/>
  <c r="CW119" i="15"/>
  <c r="CA119" i="15"/>
  <c r="AY119" i="15"/>
  <c r="BB119" i="15"/>
  <c r="AZ118" i="15" l="1"/>
  <c r="AZ117" i="15" s="1"/>
  <c r="DC118" i="15"/>
  <c r="DC117" i="15" s="1"/>
  <c r="CU118" i="15"/>
  <c r="CU117" i="15" s="1"/>
  <c r="CM118" i="15"/>
  <c r="CM117" i="15" s="1"/>
  <c r="CE118" i="15"/>
  <c r="CE117" i="15" s="1"/>
  <c r="BW118" i="15"/>
  <c r="BW117" i="15" s="1"/>
  <c r="BO118" i="15"/>
  <c r="BO117" i="15" s="1"/>
  <c r="BG118" i="15"/>
  <c r="BG117" i="15" s="1"/>
  <c r="AY118" i="15"/>
  <c r="AY117" i="15" s="1"/>
  <c r="AQ118" i="15"/>
  <c r="AQ117" i="15" s="1"/>
  <c r="AI118" i="15"/>
  <c r="AI117" i="15" s="1"/>
  <c r="M56" i="15"/>
  <c r="M44" i="15" s="1"/>
  <c r="BX118" i="15"/>
  <c r="BX117" i="15" s="1"/>
  <c r="DB118" i="15"/>
  <c r="DB117" i="15" s="1"/>
  <c r="CT118" i="15"/>
  <c r="CT117" i="15" s="1"/>
  <c r="CL118" i="15"/>
  <c r="CL117" i="15" s="1"/>
  <c r="CD118" i="15"/>
  <c r="CD117" i="15" s="1"/>
  <c r="BV118" i="15"/>
  <c r="BV117" i="15" s="1"/>
  <c r="BN118" i="15"/>
  <c r="BN117" i="15" s="1"/>
  <c r="BF118" i="15"/>
  <c r="BF117" i="15" s="1"/>
  <c r="AX118" i="15"/>
  <c r="AX117" i="15" s="1"/>
  <c r="AP118" i="15"/>
  <c r="AP117" i="15" s="1"/>
  <c r="AH118" i="15"/>
  <c r="AH117" i="15" s="1"/>
  <c r="F71" i="15"/>
  <c r="G71" i="15"/>
  <c r="L56" i="15"/>
  <c r="CF118" i="15"/>
  <c r="CF117" i="15" s="1"/>
  <c r="DA118" i="15"/>
  <c r="DA117" i="15" s="1"/>
  <c r="CS118" i="15"/>
  <c r="CS117" i="15" s="1"/>
  <c r="CK118" i="15"/>
  <c r="CK117" i="15" s="1"/>
  <c r="CC118" i="15"/>
  <c r="CC117" i="15" s="1"/>
  <c r="BU118" i="15"/>
  <c r="BU117" i="15" s="1"/>
  <c r="BM118" i="15"/>
  <c r="BM117" i="15" s="1"/>
  <c r="BE118" i="15"/>
  <c r="BE117" i="15" s="1"/>
  <c r="AW118" i="15"/>
  <c r="AW117" i="15" s="1"/>
  <c r="AO118" i="15"/>
  <c r="AO117" i="15" s="1"/>
  <c r="AG118" i="15"/>
  <c r="AG117" i="15" s="1"/>
  <c r="N67" i="15"/>
  <c r="N44" i="15" s="1"/>
  <c r="BP118" i="15"/>
  <c r="BP117" i="15" s="1"/>
  <c r="CZ118" i="15"/>
  <c r="CZ117" i="15" s="1"/>
  <c r="CR118" i="15"/>
  <c r="CR117" i="15" s="1"/>
  <c r="CJ118" i="15"/>
  <c r="CJ117" i="15" s="1"/>
  <c r="CB118" i="15"/>
  <c r="CB117" i="15" s="1"/>
  <c r="BT118" i="15"/>
  <c r="BT117" i="15" s="1"/>
  <c r="BL118" i="15"/>
  <c r="BL117" i="15" s="1"/>
  <c r="BD118" i="15"/>
  <c r="BD117" i="15" s="1"/>
  <c r="AV118" i="15"/>
  <c r="AV117" i="15" s="1"/>
  <c r="AN118" i="15"/>
  <c r="AN117" i="15" s="1"/>
  <c r="AF118" i="15"/>
  <c r="AF117" i="15" s="1"/>
  <c r="F92" i="15"/>
  <c r="G92" i="15"/>
  <c r="BH118" i="15"/>
  <c r="BH117" i="15" s="1"/>
  <c r="CY118" i="15"/>
  <c r="CY117" i="15" s="1"/>
  <c r="CQ118" i="15"/>
  <c r="CQ117" i="15" s="1"/>
  <c r="CI118" i="15"/>
  <c r="CI117" i="15" s="1"/>
  <c r="CA118" i="15"/>
  <c r="CA117" i="15" s="1"/>
  <c r="BS118" i="15"/>
  <c r="BS117" i="15" s="1"/>
  <c r="BK118" i="15"/>
  <c r="BK117" i="15" s="1"/>
  <c r="BC118" i="15"/>
  <c r="BC117" i="15" s="1"/>
  <c r="AU118" i="15"/>
  <c r="AU117" i="15" s="1"/>
  <c r="AM118" i="15"/>
  <c r="AM117" i="15" s="1"/>
  <c r="AE118" i="15"/>
  <c r="AE117" i="15" s="1"/>
  <c r="CN118" i="15"/>
  <c r="CN117" i="15" s="1"/>
  <c r="AR118" i="15"/>
  <c r="AR117" i="15" s="1"/>
  <c r="F57" i="15"/>
  <c r="F56" i="15" s="1"/>
  <c r="K56" i="15"/>
  <c r="G57" i="15"/>
  <c r="CX118" i="15"/>
  <c r="CX117" i="15" s="1"/>
  <c r="CP118" i="15"/>
  <c r="CP117" i="15" s="1"/>
  <c r="CH118" i="15"/>
  <c r="CH117" i="15" s="1"/>
  <c r="BZ118" i="15"/>
  <c r="BZ117" i="15" s="1"/>
  <c r="BR118" i="15"/>
  <c r="BR117" i="15" s="1"/>
  <c r="BJ118" i="15"/>
  <c r="BJ117" i="15" s="1"/>
  <c r="BB118" i="15"/>
  <c r="BB117" i="15" s="1"/>
  <c r="AT118" i="15"/>
  <c r="AT117" i="15" s="1"/>
  <c r="AL118" i="15"/>
  <c r="AL117" i="15" s="1"/>
  <c r="AD118" i="15"/>
  <c r="AD117" i="15" s="1"/>
  <c r="CV118" i="15"/>
  <c r="CV117" i="15" s="1"/>
  <c r="AJ118" i="15"/>
  <c r="AJ117" i="15" s="1"/>
  <c r="CW118" i="15"/>
  <c r="CW117" i="15" s="1"/>
  <c r="CO118" i="15"/>
  <c r="CO117" i="15" s="1"/>
  <c r="CG118" i="15"/>
  <c r="CG117" i="15" s="1"/>
  <c r="BY118" i="15"/>
  <c r="BY117" i="15" s="1"/>
  <c r="BQ118" i="15"/>
  <c r="BQ117" i="15" s="1"/>
  <c r="BI118" i="15"/>
  <c r="BI117" i="15" s="1"/>
  <c r="BA118" i="15"/>
  <c r="BA117" i="15" s="1"/>
  <c r="AS118" i="15"/>
  <c r="AS117" i="15" s="1"/>
  <c r="AK118" i="15"/>
  <c r="AK117" i="15" s="1"/>
  <c r="AC118" i="15"/>
  <c r="AC117" i="15" s="1"/>
  <c r="F48" i="15"/>
  <c r="G48" i="15"/>
  <c r="F93" i="15"/>
  <c r="G93" i="15"/>
  <c r="H324" i="9"/>
  <c r="H325" i="9" s="1"/>
  <c r="H326" i="9" s="1"/>
  <c r="I322" i="9"/>
  <c r="I323" i="9" s="1"/>
  <c r="J321" i="9"/>
  <c r="K321" i="9" s="1"/>
  <c r="K322" i="9" s="1"/>
  <c r="K323" i="9" s="1"/>
  <c r="G56" i="15" l="1"/>
  <c r="N9" i="15"/>
  <c r="N133" i="15"/>
  <c r="M9" i="15"/>
  <c r="M133" i="15"/>
  <c r="J322" i="9"/>
  <c r="J323" i="9" s="1"/>
  <c r="L321" i="9"/>
  <c r="M321" i="9" s="1"/>
  <c r="I324" i="9"/>
  <c r="I325" i="9" s="1"/>
  <c r="I326" i="9" s="1"/>
  <c r="I328" i="9" s="1"/>
  <c r="L322" i="9" l="1"/>
  <c r="L323" i="9" s="1"/>
  <c r="J324" i="9"/>
  <c r="J325" i="9" s="1"/>
  <c r="J326" i="9" s="1"/>
  <c r="J328" i="9" s="1"/>
  <c r="N321" i="9"/>
  <c r="M322" i="9"/>
  <c r="M323" i="9" s="1"/>
  <c r="K324" i="9" l="1"/>
  <c r="L324" i="9" s="1"/>
  <c r="N322" i="9"/>
  <c r="N323" i="9" s="1"/>
  <c r="O321" i="9"/>
  <c r="K325" i="9" l="1"/>
  <c r="K326" i="9" s="1"/>
  <c r="K328" i="9" s="1"/>
  <c r="M324" i="9"/>
  <c r="L325" i="9"/>
  <c r="L326" i="9" s="1"/>
  <c r="L328" i="9" s="1"/>
  <c r="O322" i="9"/>
  <c r="O323" i="9" s="1"/>
  <c r="P321" i="9"/>
  <c r="N324" i="9" l="1"/>
  <c r="M325" i="9"/>
  <c r="M326" i="9" s="1"/>
  <c r="M328" i="9" s="1"/>
  <c r="Q321" i="9"/>
  <c r="P322" i="9"/>
  <c r="P323" i="9" s="1"/>
  <c r="O324" i="9" l="1"/>
  <c r="N325" i="9"/>
  <c r="N326" i="9" s="1"/>
  <c r="N328" i="9" s="1"/>
  <c r="R321" i="9"/>
  <c r="Q322" i="9"/>
  <c r="Q323" i="9" s="1"/>
  <c r="P324" i="9" l="1"/>
  <c r="O325" i="9"/>
  <c r="O326" i="9" s="1"/>
  <c r="O328" i="9" s="1"/>
  <c r="S321" i="9"/>
  <c r="R322" i="9"/>
  <c r="R323" i="9" s="1"/>
  <c r="Q324" i="9" l="1"/>
  <c r="P325" i="9"/>
  <c r="P326" i="9" s="1"/>
  <c r="P328" i="9" s="1"/>
  <c r="T321" i="9"/>
  <c r="S322" i="9"/>
  <c r="S323" i="9" s="1"/>
  <c r="R324" i="9" l="1"/>
  <c r="Q325" i="9"/>
  <c r="Q326" i="9" s="1"/>
  <c r="Q328" i="9" s="1"/>
  <c r="U321" i="9"/>
  <c r="T322" i="9"/>
  <c r="T323" i="9" s="1"/>
  <c r="S324" i="9" l="1"/>
  <c r="R325" i="9"/>
  <c r="R326" i="9" s="1"/>
  <c r="R328" i="9" s="1"/>
  <c r="V321" i="9"/>
  <c r="U322" i="9"/>
  <c r="U323" i="9" s="1"/>
  <c r="T324" i="9" l="1"/>
  <c r="S325" i="9"/>
  <c r="S326" i="9" s="1"/>
  <c r="S328" i="9" s="1"/>
  <c r="V322" i="9"/>
  <c r="V323" i="9" s="1"/>
  <c r="W321" i="9"/>
  <c r="U324" i="9" l="1"/>
  <c r="T325" i="9"/>
  <c r="T326" i="9" s="1"/>
  <c r="T328" i="9" s="1"/>
  <c r="W322" i="9"/>
  <c r="W323" i="9" s="1"/>
  <c r="X321" i="9"/>
  <c r="V324" i="9" l="1"/>
  <c r="U325" i="9"/>
  <c r="U326" i="9" s="1"/>
  <c r="U328" i="9" s="1"/>
  <c r="Y321" i="9"/>
  <c r="X322" i="9"/>
  <c r="X323" i="9" s="1"/>
  <c r="W324" i="9" l="1"/>
  <c r="V325" i="9"/>
  <c r="V326" i="9" s="1"/>
  <c r="V328" i="9" s="1"/>
  <c r="Z321" i="9"/>
  <c r="Z322" i="9" s="1"/>
  <c r="Z323" i="9" s="1"/>
  <c r="Y322" i="9"/>
  <c r="Y323" i="9" s="1"/>
  <c r="X324" i="9" l="1"/>
  <c r="W325" i="9"/>
  <c r="W326" i="9" s="1"/>
  <c r="W328" i="9" s="1"/>
  <c r="Y324" i="9" l="1"/>
  <c r="X325" i="9"/>
  <c r="X326" i="9" s="1"/>
  <c r="X328" i="9" s="1"/>
  <c r="BG88" i="16"/>
  <c r="BW88" i="16"/>
  <c r="J88" i="16"/>
  <c r="AA88" i="16"/>
  <c r="CN88" i="16"/>
  <c r="CC88" i="16"/>
  <c r="R88" i="16"/>
  <c r="CS88" i="16"/>
  <c r="AE88" i="16"/>
  <c r="DB88" i="16"/>
  <c r="AF88" i="16"/>
  <c r="CQ88" i="16"/>
  <c r="DA88" i="16"/>
  <c r="L88" i="16"/>
  <c r="BS88" i="16"/>
  <c r="AN88" i="16"/>
  <c r="BC88" i="16"/>
  <c r="CT88" i="16"/>
  <c r="BU88" i="16"/>
  <c r="BM88" i="16"/>
  <c r="CD88" i="16"/>
  <c r="AW88" i="16"/>
  <c r="BA88" i="16"/>
  <c r="BJ88" i="16"/>
  <c r="BZ88" i="16"/>
  <c r="CM88" i="16"/>
  <c r="CZ88" i="16"/>
  <c r="BE88" i="16"/>
  <c r="U88" i="16"/>
  <c r="BT88" i="16"/>
  <c r="BX88" i="16"/>
  <c r="CY88" i="16"/>
  <c r="BP88" i="16"/>
  <c r="BQ88" i="16"/>
  <c r="CL88" i="16"/>
  <c r="BL88" i="16"/>
  <c r="AO88" i="16"/>
  <c r="Q88" i="16"/>
  <c r="AK88" i="16"/>
  <c r="BO88" i="16"/>
  <c r="AD88" i="16"/>
  <c r="BH88" i="16"/>
  <c r="CV88" i="16"/>
  <c r="CJ88" i="16"/>
  <c r="CX88" i="16"/>
  <c r="AB88" i="16"/>
  <c r="Y88" i="16"/>
  <c r="CB88" i="16"/>
  <c r="K88" i="16"/>
  <c r="N88" i="16"/>
  <c r="AY88" i="16"/>
  <c r="AC88" i="16"/>
  <c r="O88" i="16"/>
  <c r="H88" i="16"/>
  <c r="W88" i="16"/>
  <c r="BR88" i="16"/>
  <c r="CG88" i="16"/>
  <c r="CW88" i="16"/>
  <c r="X88" i="16"/>
  <c r="AS88" i="16"/>
  <c r="AG88" i="16"/>
  <c r="AX88" i="16"/>
  <c r="BF88" i="16"/>
  <c r="CP88" i="16"/>
  <c r="CU88" i="16"/>
  <c r="BN88" i="16"/>
  <c r="CI88" i="16"/>
  <c r="BI88" i="16"/>
  <c r="AT88" i="16"/>
  <c r="M88" i="16"/>
  <c r="BY88" i="16"/>
  <c r="DC88" i="16"/>
  <c r="CA88" i="16"/>
  <c r="BV88" i="16"/>
  <c r="CF88" i="16"/>
  <c r="AM88" i="16"/>
  <c r="I88" i="16"/>
  <c r="T88" i="16"/>
  <c r="CE88" i="16"/>
  <c r="V88" i="16"/>
  <c r="BD88" i="16"/>
  <c r="AU88" i="16"/>
  <c r="AI88" i="16"/>
  <c r="AP88" i="16"/>
  <c r="AH88" i="16"/>
  <c r="CK88" i="16"/>
  <c r="S88" i="16"/>
  <c r="Z88" i="16"/>
  <c r="BB88" i="16"/>
  <c r="BK88" i="16"/>
  <c r="P88" i="16"/>
  <c r="CR88" i="16"/>
  <c r="CH88" i="16"/>
  <c r="CO88" i="16"/>
  <c r="AL88" i="16"/>
  <c r="AQ88" i="16"/>
  <c r="AZ88" i="16"/>
  <c r="AR88" i="16"/>
  <c r="AV88" i="16"/>
  <c r="AJ88" i="16"/>
  <c r="G88" i="16" l="1"/>
  <c r="F88" i="16"/>
  <c r="Z324" i="9"/>
  <c r="Z325" i="9" s="1"/>
  <c r="Z326" i="9" s="1"/>
  <c r="Z328" i="9" s="1"/>
  <c r="Y325" i="9"/>
  <c r="Y326" i="9" s="1"/>
  <c r="Y328" i="9" s="1"/>
  <c r="G305" i="9" l="1"/>
  <c r="H305" i="9" s="1"/>
  <c r="I305" i="9" s="1"/>
  <c r="I306" i="9" s="1"/>
  <c r="I307" i="9" s="1"/>
  <c r="G290" i="9"/>
  <c r="H290" i="9" s="1"/>
  <c r="I290" i="9" s="1"/>
  <c r="J290" i="9" s="1"/>
  <c r="K290" i="9" s="1"/>
  <c r="L290" i="9" s="1"/>
  <c r="M290" i="9" s="1"/>
  <c r="N290" i="9" s="1"/>
  <c r="O290" i="9" s="1"/>
  <c r="P290" i="9" s="1"/>
  <c r="Q290" i="9" s="1"/>
  <c r="R290" i="9" s="1"/>
  <c r="S290" i="9" s="1"/>
  <c r="T290" i="9" s="1"/>
  <c r="U290" i="9" s="1"/>
  <c r="V290" i="9" s="1"/>
  <c r="W290" i="9" s="1"/>
  <c r="X290" i="9" s="1"/>
  <c r="Y290" i="9" s="1"/>
  <c r="Z290" i="9" s="1"/>
  <c r="G287" i="9"/>
  <c r="H287" i="9" s="1"/>
  <c r="I287" i="9" s="1"/>
  <c r="G269" i="9"/>
  <c r="G270" i="9" s="1"/>
  <c r="G271" i="9" s="1"/>
  <c r="G266" i="9"/>
  <c r="H266" i="9" s="1"/>
  <c r="I266" i="9" s="1"/>
  <c r="J266" i="9" s="1"/>
  <c r="K266" i="9" s="1"/>
  <c r="L266" i="9" s="1"/>
  <c r="M266" i="9" s="1"/>
  <c r="N266" i="9" s="1"/>
  <c r="O266" i="9" s="1"/>
  <c r="P266" i="9" s="1"/>
  <c r="Q266" i="9" s="1"/>
  <c r="R266" i="9" s="1"/>
  <c r="S266" i="9" s="1"/>
  <c r="T266" i="9" s="1"/>
  <c r="U266" i="9" s="1"/>
  <c r="V266" i="9" s="1"/>
  <c r="W266" i="9" s="1"/>
  <c r="X266" i="9" s="1"/>
  <c r="Y266" i="9" s="1"/>
  <c r="Z266" i="9" s="1"/>
  <c r="G263" i="9"/>
  <c r="G264" i="9" s="1"/>
  <c r="G265" i="9" s="1"/>
  <c r="I393" i="9"/>
  <c r="I394" i="9" s="1"/>
  <c r="I389" i="9"/>
  <c r="J389" i="9" s="1"/>
  <c r="K389" i="9" s="1"/>
  <c r="L389" i="9" s="1"/>
  <c r="M389" i="9" s="1"/>
  <c r="N389" i="9" s="1"/>
  <c r="O389" i="9" s="1"/>
  <c r="P389" i="9" s="1"/>
  <c r="Q389" i="9" s="1"/>
  <c r="R389" i="9" s="1"/>
  <c r="S389" i="9" s="1"/>
  <c r="T389" i="9" s="1"/>
  <c r="U389" i="9" s="1"/>
  <c r="V389" i="9" s="1"/>
  <c r="W389" i="9" s="1"/>
  <c r="X389" i="9" s="1"/>
  <c r="Y389" i="9" s="1"/>
  <c r="Z389" i="9" s="1"/>
  <c r="I381" i="9"/>
  <c r="I382" i="9" s="1"/>
  <c r="H372" i="9"/>
  <c r="I372" i="9" s="1"/>
  <c r="J372" i="9" s="1"/>
  <c r="K372" i="9" s="1"/>
  <c r="L372" i="9" s="1"/>
  <c r="M372" i="9" s="1"/>
  <c r="N372" i="9" s="1"/>
  <c r="O372" i="9" s="1"/>
  <c r="P372" i="9" s="1"/>
  <c r="Q372" i="9" s="1"/>
  <c r="R372" i="9" s="1"/>
  <c r="S372" i="9" s="1"/>
  <c r="T372" i="9" s="1"/>
  <c r="U372" i="9" s="1"/>
  <c r="V372" i="9" s="1"/>
  <c r="W372" i="9" s="1"/>
  <c r="X372" i="9" s="1"/>
  <c r="Y372" i="9" s="1"/>
  <c r="Z372" i="9" s="1"/>
  <c r="H369" i="9"/>
  <c r="C366" i="9"/>
  <c r="E344" i="9"/>
  <c r="D344" i="9"/>
  <c r="C344" i="9"/>
  <c r="G339" i="9"/>
  <c r="G340" i="9" s="1"/>
  <c r="G335" i="9"/>
  <c r="H335" i="9" s="1"/>
  <c r="I335" i="9" s="1"/>
  <c r="J335" i="9" s="1"/>
  <c r="K335" i="9" s="1"/>
  <c r="L335" i="9" s="1"/>
  <c r="M335" i="9" s="1"/>
  <c r="N335" i="9" s="1"/>
  <c r="O335" i="9" s="1"/>
  <c r="P335" i="9" s="1"/>
  <c r="Q335" i="9" s="1"/>
  <c r="R335" i="9" s="1"/>
  <c r="S335" i="9" s="1"/>
  <c r="T335" i="9" s="1"/>
  <c r="U335" i="9" s="1"/>
  <c r="V335" i="9" s="1"/>
  <c r="W335" i="9" s="1"/>
  <c r="X335" i="9" s="1"/>
  <c r="Y335" i="9" s="1"/>
  <c r="Z335" i="9" s="1"/>
  <c r="G332" i="9"/>
  <c r="H332" i="9" s="1"/>
  <c r="I332" i="9" s="1"/>
  <c r="J332" i="9" s="1"/>
  <c r="K332" i="9" s="1"/>
  <c r="L332" i="9" s="1"/>
  <c r="M332" i="9" s="1"/>
  <c r="N332" i="9" s="1"/>
  <c r="O332" i="9" s="1"/>
  <c r="P332" i="9" s="1"/>
  <c r="Q332" i="9" s="1"/>
  <c r="R332" i="9" s="1"/>
  <c r="S332" i="9" s="1"/>
  <c r="T332" i="9" s="1"/>
  <c r="U332" i="9" s="1"/>
  <c r="V332" i="9" s="1"/>
  <c r="W332" i="9" s="1"/>
  <c r="X332" i="9" s="1"/>
  <c r="Y332" i="9" s="1"/>
  <c r="Z332" i="9" s="1"/>
  <c r="C332" i="9"/>
  <c r="G322" i="9"/>
  <c r="G323" i="9" s="1"/>
  <c r="G328" i="9" s="1"/>
  <c r="G314" i="9"/>
  <c r="H314" i="9" s="1"/>
  <c r="I314" i="9" s="1"/>
  <c r="E311" i="9"/>
  <c r="D311" i="9"/>
  <c r="G302" i="9"/>
  <c r="H302" i="9" s="1"/>
  <c r="I302" i="9" s="1"/>
  <c r="J302" i="9" s="1"/>
  <c r="K302" i="9" s="1"/>
  <c r="L302" i="9" s="1"/>
  <c r="M302" i="9" s="1"/>
  <c r="N302" i="9" s="1"/>
  <c r="O302" i="9" s="1"/>
  <c r="P302" i="9" s="1"/>
  <c r="Q302" i="9" s="1"/>
  <c r="R302" i="9" s="1"/>
  <c r="S302" i="9" s="1"/>
  <c r="T302" i="9" s="1"/>
  <c r="U302" i="9" s="1"/>
  <c r="V302" i="9" s="1"/>
  <c r="W302" i="9" s="1"/>
  <c r="X302" i="9" s="1"/>
  <c r="Y302" i="9" s="1"/>
  <c r="Z302" i="9" s="1"/>
  <c r="E299" i="9"/>
  <c r="G299" i="9" s="1"/>
  <c r="H299" i="9" s="1"/>
  <c r="I299" i="9" s="1"/>
  <c r="J299" i="9" s="1"/>
  <c r="K299" i="9" s="1"/>
  <c r="L299" i="9" s="1"/>
  <c r="M299" i="9" s="1"/>
  <c r="N299" i="9" s="1"/>
  <c r="O299" i="9" s="1"/>
  <c r="P299" i="9" s="1"/>
  <c r="Q299" i="9" s="1"/>
  <c r="R299" i="9" s="1"/>
  <c r="S299" i="9" s="1"/>
  <c r="T299" i="9" s="1"/>
  <c r="U299" i="9" s="1"/>
  <c r="V299" i="9" s="1"/>
  <c r="W299" i="9" s="1"/>
  <c r="X299" i="9" s="1"/>
  <c r="Y299" i="9" s="1"/>
  <c r="Z299" i="9" s="1"/>
  <c r="G293" i="9"/>
  <c r="H293" i="9" s="1"/>
  <c r="I293" i="9" s="1"/>
  <c r="J293" i="9" s="1"/>
  <c r="K293" i="9" s="1"/>
  <c r="L293" i="9" s="1"/>
  <c r="M293" i="9" s="1"/>
  <c r="N293" i="9" s="1"/>
  <c r="O293" i="9" s="1"/>
  <c r="P293" i="9" s="1"/>
  <c r="Q293" i="9" s="1"/>
  <c r="R293" i="9" s="1"/>
  <c r="S293" i="9" s="1"/>
  <c r="T293" i="9" s="1"/>
  <c r="U293" i="9" s="1"/>
  <c r="V293" i="9" s="1"/>
  <c r="W293" i="9" s="1"/>
  <c r="X293" i="9" s="1"/>
  <c r="Y293" i="9" s="1"/>
  <c r="Z293" i="9" s="1"/>
  <c r="G281" i="9"/>
  <c r="G278" i="9"/>
  <c r="G279" i="9" s="1"/>
  <c r="G280" i="9" s="1"/>
  <c r="I386" i="9" l="1"/>
  <c r="J386" i="9" s="1"/>
  <c r="K386" i="9" s="1"/>
  <c r="L386" i="9" s="1"/>
  <c r="M386" i="9" s="1"/>
  <c r="N386" i="9" s="1"/>
  <c r="O386" i="9" s="1"/>
  <c r="P386" i="9" s="1"/>
  <c r="Q386" i="9" s="1"/>
  <c r="R386" i="9" s="1"/>
  <c r="S386" i="9" s="1"/>
  <c r="T386" i="9" s="1"/>
  <c r="U386" i="9" s="1"/>
  <c r="V386" i="9" s="1"/>
  <c r="W386" i="9" s="1"/>
  <c r="X386" i="9" s="1"/>
  <c r="Y386" i="9" s="1"/>
  <c r="Z386" i="9" s="1"/>
  <c r="H370" i="9"/>
  <c r="H371" i="9" s="1"/>
  <c r="I369" i="9"/>
  <c r="J369" i="9" s="1"/>
  <c r="K369" i="9" s="1"/>
  <c r="L369" i="9" s="1"/>
  <c r="M369" i="9" s="1"/>
  <c r="N369" i="9" s="1"/>
  <c r="O369" i="9" s="1"/>
  <c r="P369" i="9" s="1"/>
  <c r="Q369" i="9" s="1"/>
  <c r="R369" i="9" s="1"/>
  <c r="S369" i="9" s="1"/>
  <c r="T369" i="9" s="1"/>
  <c r="U369" i="9" s="1"/>
  <c r="V369" i="9" s="1"/>
  <c r="W369" i="9" s="1"/>
  <c r="X369" i="9" s="1"/>
  <c r="Y369" i="9" s="1"/>
  <c r="Z369" i="9" s="1"/>
  <c r="J314" i="9"/>
  <c r="I315" i="9"/>
  <c r="I316" i="9" s="1"/>
  <c r="G311" i="9"/>
  <c r="H311" i="9" s="1"/>
  <c r="I311" i="9" s="1"/>
  <c r="G345" i="9"/>
  <c r="H345" i="9" s="1"/>
  <c r="I345" i="9" s="1"/>
  <c r="J345" i="9" s="1"/>
  <c r="K345" i="9" s="1"/>
  <c r="L345" i="9" s="1"/>
  <c r="M345" i="9" s="1"/>
  <c r="N345" i="9" s="1"/>
  <c r="O345" i="9" s="1"/>
  <c r="P345" i="9" s="1"/>
  <c r="Q345" i="9" s="1"/>
  <c r="R345" i="9" s="1"/>
  <c r="S345" i="9" s="1"/>
  <c r="T345" i="9" s="1"/>
  <c r="U345" i="9" s="1"/>
  <c r="V345" i="9" s="1"/>
  <c r="W345" i="9" s="1"/>
  <c r="X345" i="9" s="1"/>
  <c r="Y345" i="9" s="1"/>
  <c r="Z345" i="9" s="1"/>
  <c r="J305" i="9"/>
  <c r="I288" i="9"/>
  <c r="I289" i="9" s="1"/>
  <c r="J287" i="9"/>
  <c r="K287" i="9" s="1"/>
  <c r="L287" i="9" s="1"/>
  <c r="M287" i="9" s="1"/>
  <c r="N287" i="9" s="1"/>
  <c r="O287" i="9" s="1"/>
  <c r="P287" i="9" s="1"/>
  <c r="Q287" i="9" s="1"/>
  <c r="R287" i="9" s="1"/>
  <c r="S287" i="9" s="1"/>
  <c r="T287" i="9" s="1"/>
  <c r="U287" i="9" s="1"/>
  <c r="V287" i="9" s="1"/>
  <c r="W287" i="9" s="1"/>
  <c r="X287" i="9" s="1"/>
  <c r="Y287" i="9" s="1"/>
  <c r="Z287" i="9" s="1"/>
  <c r="Z288" i="9" s="1"/>
  <c r="Z289" i="9" s="1"/>
  <c r="G303" i="9"/>
  <c r="G304" i="9" s="1"/>
  <c r="H294" i="9"/>
  <c r="H295" i="9" s="1"/>
  <c r="G282" i="9"/>
  <c r="G283" i="9" s="1"/>
  <c r="H281" i="9"/>
  <c r="I281" i="9" s="1"/>
  <c r="J281" i="9" s="1"/>
  <c r="K281" i="9" s="1"/>
  <c r="L281" i="9" s="1"/>
  <c r="M281" i="9" s="1"/>
  <c r="N281" i="9" s="1"/>
  <c r="O281" i="9" s="1"/>
  <c r="P281" i="9" s="1"/>
  <c r="Q281" i="9" s="1"/>
  <c r="R281" i="9" s="1"/>
  <c r="S281" i="9" s="1"/>
  <c r="T281" i="9" s="1"/>
  <c r="U281" i="9" s="1"/>
  <c r="V281" i="9" s="1"/>
  <c r="W281" i="9" s="1"/>
  <c r="X281" i="9" s="1"/>
  <c r="Y281" i="9" s="1"/>
  <c r="Z281" i="9" s="1"/>
  <c r="H278" i="9"/>
  <c r="I278" i="9" s="1"/>
  <c r="J278" i="9" s="1"/>
  <c r="K278" i="9" s="1"/>
  <c r="L278" i="9" s="1"/>
  <c r="M278" i="9" s="1"/>
  <c r="N278" i="9" s="1"/>
  <c r="O278" i="9" s="1"/>
  <c r="P278" i="9" s="1"/>
  <c r="Q278" i="9" s="1"/>
  <c r="R278" i="9" s="1"/>
  <c r="S278" i="9" s="1"/>
  <c r="T278" i="9" s="1"/>
  <c r="U278" i="9" s="1"/>
  <c r="V278" i="9" s="1"/>
  <c r="W278" i="9" s="1"/>
  <c r="X278" i="9" s="1"/>
  <c r="Y278" i="9" s="1"/>
  <c r="Z278" i="9" s="1"/>
  <c r="G300" i="9"/>
  <c r="G301" i="9" s="1"/>
  <c r="H373" i="9"/>
  <c r="H374" i="9" s="1"/>
  <c r="H339" i="9"/>
  <c r="H340" i="9" s="1"/>
  <c r="H269" i="9"/>
  <c r="I269" i="9" s="1"/>
  <c r="J269" i="9" s="1"/>
  <c r="K269" i="9" s="1"/>
  <c r="L269" i="9" s="1"/>
  <c r="M269" i="9" s="1"/>
  <c r="N269" i="9" s="1"/>
  <c r="O269" i="9" s="1"/>
  <c r="P269" i="9" s="1"/>
  <c r="Q269" i="9" s="1"/>
  <c r="R269" i="9" s="1"/>
  <c r="S269" i="9" s="1"/>
  <c r="T269" i="9" s="1"/>
  <c r="U269" i="9" s="1"/>
  <c r="V269" i="9" s="1"/>
  <c r="W269" i="9" s="1"/>
  <c r="X269" i="9" s="1"/>
  <c r="Y269" i="9" s="1"/>
  <c r="Z269" i="9" s="1"/>
  <c r="H315" i="9"/>
  <c r="H316" i="9" s="1"/>
  <c r="I378" i="9"/>
  <c r="I379" i="9" s="1"/>
  <c r="I384" i="9" s="1"/>
  <c r="H322" i="9"/>
  <c r="H323" i="9" s="1"/>
  <c r="H328" i="9" s="1"/>
  <c r="H263" i="9"/>
  <c r="G267" i="9"/>
  <c r="G268" i="9" s="1"/>
  <c r="G272" i="9" s="1"/>
  <c r="G288" i="9"/>
  <c r="G289" i="9" s="1"/>
  <c r="G291" i="9"/>
  <c r="G292" i="9" s="1"/>
  <c r="G336" i="9"/>
  <c r="G337" i="9" s="1"/>
  <c r="G306" i="9"/>
  <c r="G307" i="9" s="1"/>
  <c r="G333" i="9"/>
  <c r="G334" i="9" s="1"/>
  <c r="H367" i="9"/>
  <c r="H368" i="9" s="1"/>
  <c r="I390" i="9"/>
  <c r="I391" i="9" s="1"/>
  <c r="G294" i="9"/>
  <c r="G295" i="9" s="1"/>
  <c r="H306" i="9"/>
  <c r="H307" i="9" s="1"/>
  <c r="G315" i="9"/>
  <c r="G316" i="9" s="1"/>
  <c r="J378" i="9"/>
  <c r="J379" i="9" s="1"/>
  <c r="H312" i="9" l="1"/>
  <c r="H313" i="9" s="1"/>
  <c r="H318" i="9" s="1"/>
  <c r="L288" i="9"/>
  <c r="L289" i="9" s="1"/>
  <c r="J288" i="9"/>
  <c r="J289" i="9" s="1"/>
  <c r="H375" i="9"/>
  <c r="H396" i="9" s="1"/>
  <c r="G355" i="9"/>
  <c r="I120" i="6" s="1"/>
  <c r="G353" i="9"/>
  <c r="I120" i="4" s="1"/>
  <c r="G354" i="9"/>
  <c r="I120" i="5" s="1"/>
  <c r="P288" i="9"/>
  <c r="P289" i="9" s="1"/>
  <c r="G312" i="9"/>
  <c r="G313" i="9" s="1"/>
  <c r="G318" i="9" s="1"/>
  <c r="I387" i="9"/>
  <c r="I388" i="9" s="1"/>
  <c r="I395" i="9" s="1"/>
  <c r="J387" i="9"/>
  <c r="J388" i="9" s="1"/>
  <c r="H346" i="9"/>
  <c r="H347" i="9" s="1"/>
  <c r="H349" i="9" s="1"/>
  <c r="G341" i="9"/>
  <c r="M288" i="9"/>
  <c r="M289" i="9" s="1"/>
  <c r="G346" i="9"/>
  <c r="G347" i="9" s="1"/>
  <c r="G349" i="9" s="1"/>
  <c r="U288" i="9"/>
  <c r="U289" i="9" s="1"/>
  <c r="T288" i="9"/>
  <c r="T289" i="9" s="1"/>
  <c r="X288" i="9"/>
  <c r="X289" i="9" s="1"/>
  <c r="N288" i="9"/>
  <c r="N289" i="9" s="1"/>
  <c r="I312" i="9"/>
  <c r="I313" i="9" s="1"/>
  <c r="I318" i="9" s="1"/>
  <c r="J311" i="9"/>
  <c r="G308" i="9"/>
  <c r="K288" i="9"/>
  <c r="K289" i="9" s="1"/>
  <c r="Q288" i="9"/>
  <c r="Q289" i="9" s="1"/>
  <c r="S288" i="9"/>
  <c r="S289" i="9" s="1"/>
  <c r="Y288" i="9"/>
  <c r="Y289" i="9" s="1"/>
  <c r="K314" i="9"/>
  <c r="J315" i="9"/>
  <c r="J316" i="9" s="1"/>
  <c r="I373" i="9"/>
  <c r="I374" i="9" s="1"/>
  <c r="J306" i="9"/>
  <c r="J307" i="9" s="1"/>
  <c r="K305" i="9"/>
  <c r="O288" i="9"/>
  <c r="O289" i="9" s="1"/>
  <c r="W288" i="9"/>
  <c r="W289" i="9" s="1"/>
  <c r="V288" i="9"/>
  <c r="V289" i="9" s="1"/>
  <c r="R288" i="9"/>
  <c r="R289" i="9" s="1"/>
  <c r="I300" i="9"/>
  <c r="I301" i="9" s="1"/>
  <c r="G296" i="9"/>
  <c r="H270" i="9"/>
  <c r="H271" i="9" s="1"/>
  <c r="J381" i="9"/>
  <c r="J382" i="9" s="1"/>
  <c r="J384" i="9" s="1"/>
  <c r="I294" i="9"/>
  <c r="I295" i="9" s="1"/>
  <c r="J279" i="9"/>
  <c r="J280" i="9" s="1"/>
  <c r="H279" i="9"/>
  <c r="H280" i="9" s="1"/>
  <c r="I279" i="9"/>
  <c r="I280" i="9" s="1"/>
  <c r="H303" i="9"/>
  <c r="H304" i="9" s="1"/>
  <c r="H300" i="9"/>
  <c r="H301" i="9" s="1"/>
  <c r="J393" i="9"/>
  <c r="J394" i="9" s="1"/>
  <c r="J270" i="9"/>
  <c r="J271" i="9" s="1"/>
  <c r="I263" i="9"/>
  <c r="J263" i="9" s="1"/>
  <c r="K263" i="9" s="1"/>
  <c r="L263" i="9" s="1"/>
  <c r="M263" i="9" s="1"/>
  <c r="N263" i="9" s="1"/>
  <c r="O263" i="9" s="1"/>
  <c r="P263" i="9" s="1"/>
  <c r="Q263" i="9" s="1"/>
  <c r="R263" i="9" s="1"/>
  <c r="S263" i="9" s="1"/>
  <c r="T263" i="9" s="1"/>
  <c r="U263" i="9" s="1"/>
  <c r="V263" i="9" s="1"/>
  <c r="W263" i="9" s="1"/>
  <c r="X263" i="9" s="1"/>
  <c r="Y263" i="9" s="1"/>
  <c r="Z263" i="9" s="1"/>
  <c r="H264" i="9"/>
  <c r="H265" i="9" s="1"/>
  <c r="I270" i="9"/>
  <c r="I271" i="9" s="1"/>
  <c r="I339" i="9"/>
  <c r="I340" i="9" s="1"/>
  <c r="K381" i="9"/>
  <c r="K382" i="9" s="1"/>
  <c r="H288" i="9"/>
  <c r="H289" i="9" s="1"/>
  <c r="I370" i="9"/>
  <c r="I371" i="9" s="1"/>
  <c r="I346" i="9"/>
  <c r="I347" i="9" s="1"/>
  <c r="I349" i="9" s="1"/>
  <c r="I367" i="9"/>
  <c r="I368" i="9" s="1"/>
  <c r="H336" i="9"/>
  <c r="H337" i="9" s="1"/>
  <c r="I303" i="9"/>
  <c r="I304" i="9" s="1"/>
  <c r="H267" i="9"/>
  <c r="H268" i="9" s="1"/>
  <c r="K279" i="9"/>
  <c r="K280" i="9" s="1"/>
  <c r="H291" i="9"/>
  <c r="H292" i="9" s="1"/>
  <c r="J373" i="9"/>
  <c r="J374" i="9" s="1"/>
  <c r="J300" i="9"/>
  <c r="J301" i="9" s="1"/>
  <c r="H282" i="9"/>
  <c r="H283" i="9" s="1"/>
  <c r="J390" i="9"/>
  <c r="J391" i="9" s="1"/>
  <c r="K387" i="9"/>
  <c r="K388" i="9" s="1"/>
  <c r="K378" i="9"/>
  <c r="K379" i="9" s="1"/>
  <c r="H333" i="9"/>
  <c r="H334" i="9" s="1"/>
  <c r="J294" i="9"/>
  <c r="J295" i="9" s="1"/>
  <c r="K270" i="9"/>
  <c r="K271" i="9" s="1"/>
  <c r="I120" i="15"/>
  <c r="J119" i="4" l="1"/>
  <c r="J119" i="6"/>
  <c r="J119" i="5"/>
  <c r="I118" i="15"/>
  <c r="J395" i="9"/>
  <c r="K384" i="9"/>
  <c r="I375" i="9"/>
  <c r="I396" i="9" s="1"/>
  <c r="L314" i="9"/>
  <c r="K315" i="9"/>
  <c r="K316" i="9" s="1"/>
  <c r="K311" i="9"/>
  <c r="J312" i="9"/>
  <c r="J313" i="9" s="1"/>
  <c r="J318" i="9" s="1"/>
  <c r="H341" i="9"/>
  <c r="H308" i="9"/>
  <c r="I308" i="9"/>
  <c r="L305" i="9"/>
  <c r="K306" i="9"/>
  <c r="K307" i="9" s="1"/>
  <c r="H296" i="9"/>
  <c r="H272" i="9"/>
  <c r="K393" i="9"/>
  <c r="K394" i="9" s="1"/>
  <c r="I264" i="9"/>
  <c r="I265" i="9" s="1"/>
  <c r="J339" i="9"/>
  <c r="J340" i="9" s="1"/>
  <c r="L270" i="9"/>
  <c r="L271" i="9" s="1"/>
  <c r="K373" i="9"/>
  <c r="K374" i="9" s="1"/>
  <c r="K294" i="9"/>
  <c r="K295" i="9" s="1"/>
  <c r="J264" i="9"/>
  <c r="J265" i="9" s="1"/>
  <c r="L387" i="9"/>
  <c r="L388" i="9" s="1"/>
  <c r="K390" i="9"/>
  <c r="K391" i="9" s="1"/>
  <c r="I291" i="9"/>
  <c r="I292" i="9" s="1"/>
  <c r="I296" i="9" s="1"/>
  <c r="J303" i="9"/>
  <c r="J304" i="9" s="1"/>
  <c r="J308" i="9" s="1"/>
  <c r="J370" i="9"/>
  <c r="J371" i="9" s="1"/>
  <c r="J367" i="9"/>
  <c r="J368" i="9" s="1"/>
  <c r="K300" i="9"/>
  <c r="K301" i="9" s="1"/>
  <c r="I333" i="9"/>
  <c r="I334" i="9" s="1"/>
  <c r="L279" i="9"/>
  <c r="L280" i="9" s="1"/>
  <c r="I267" i="9"/>
  <c r="I268" i="9" s="1"/>
  <c r="I336" i="9"/>
  <c r="I337" i="9" s="1"/>
  <c r="J346" i="9"/>
  <c r="J347" i="9" s="1"/>
  <c r="J349" i="9" s="1"/>
  <c r="L381" i="9"/>
  <c r="L382" i="9" s="1"/>
  <c r="L378" i="9"/>
  <c r="L379" i="9" s="1"/>
  <c r="I282" i="9"/>
  <c r="I283" i="9" s="1"/>
  <c r="J119" i="15"/>
  <c r="K119" i="4" l="1"/>
  <c r="K119" i="6"/>
  <c r="K119" i="5"/>
  <c r="I117" i="15"/>
  <c r="K395" i="9"/>
  <c r="J375" i="9"/>
  <c r="J396" i="9" s="1"/>
  <c r="L384" i="9"/>
  <c r="K312" i="9"/>
  <c r="K313" i="9" s="1"/>
  <c r="K318" i="9" s="1"/>
  <c r="L311" i="9"/>
  <c r="I272" i="9"/>
  <c r="L315" i="9"/>
  <c r="L316" i="9" s="1"/>
  <c r="M314" i="9"/>
  <c r="I341" i="9"/>
  <c r="M305" i="9"/>
  <c r="L306" i="9"/>
  <c r="L307" i="9" s="1"/>
  <c r="L393" i="9"/>
  <c r="L394" i="9" s="1"/>
  <c r="K339" i="9"/>
  <c r="K340" i="9" s="1"/>
  <c r="K346" i="9"/>
  <c r="K347" i="9" s="1"/>
  <c r="K349" i="9" s="1"/>
  <c r="L294" i="9"/>
  <c r="L295" i="9" s="1"/>
  <c r="J333" i="9"/>
  <c r="J334" i="9" s="1"/>
  <c r="L390" i="9"/>
  <c r="L391" i="9" s="1"/>
  <c r="M270" i="9"/>
  <c r="M271" i="9" s="1"/>
  <c r="M378" i="9"/>
  <c r="M379" i="9" s="1"/>
  <c r="K303" i="9"/>
  <c r="K304" i="9" s="1"/>
  <c r="K308" i="9" s="1"/>
  <c r="K367" i="9"/>
  <c r="K368" i="9" s="1"/>
  <c r="J336" i="9"/>
  <c r="J337" i="9" s="1"/>
  <c r="L373" i="9"/>
  <c r="L374" i="9" s="1"/>
  <c r="K264" i="9"/>
  <c r="K265" i="9" s="1"/>
  <c r="M381" i="9"/>
  <c r="M382" i="9" s="1"/>
  <c r="L300" i="9"/>
  <c r="L301" i="9" s="1"/>
  <c r="K370" i="9"/>
  <c r="K371" i="9" s="1"/>
  <c r="M279" i="9"/>
  <c r="M280" i="9" s="1"/>
  <c r="J282" i="9"/>
  <c r="J283" i="9" s="1"/>
  <c r="J267" i="9"/>
  <c r="J268" i="9" s="1"/>
  <c r="J272" i="9" s="1"/>
  <c r="J291" i="9"/>
  <c r="J292" i="9" s="1"/>
  <c r="J296" i="9" s="1"/>
  <c r="M387" i="9"/>
  <c r="M388" i="9" s="1"/>
  <c r="K119" i="15"/>
  <c r="L119" i="6" l="1"/>
  <c r="L119" i="5"/>
  <c r="L119" i="4"/>
  <c r="L395" i="9"/>
  <c r="M384" i="9"/>
  <c r="K375" i="9"/>
  <c r="K396" i="9" s="1"/>
  <c r="J341" i="9"/>
  <c r="L312" i="9"/>
  <c r="L313" i="9" s="1"/>
  <c r="L318" i="9" s="1"/>
  <c r="M311" i="9"/>
  <c r="N314" i="9"/>
  <c r="M315" i="9"/>
  <c r="M316" i="9" s="1"/>
  <c r="N305" i="9"/>
  <c r="M306" i="9"/>
  <c r="M307" i="9" s="1"/>
  <c r="M393" i="9"/>
  <c r="M394" i="9" s="1"/>
  <c r="L339" i="9"/>
  <c r="L340" i="9" s="1"/>
  <c r="L370" i="9"/>
  <c r="L371" i="9" s="1"/>
  <c r="L346" i="9"/>
  <c r="L347" i="9" s="1"/>
  <c r="L349" i="9" s="1"/>
  <c r="N279" i="9"/>
  <c r="N280" i="9" s="1"/>
  <c r="M300" i="9"/>
  <c r="M301" i="9" s="1"/>
  <c r="K333" i="9"/>
  <c r="K334" i="9" s="1"/>
  <c r="N270" i="9"/>
  <c r="N271" i="9" s="1"/>
  <c r="K336" i="9"/>
  <c r="K337" i="9" s="1"/>
  <c r="L264" i="9"/>
  <c r="L265" i="9" s="1"/>
  <c r="K267" i="9"/>
  <c r="K268" i="9" s="1"/>
  <c r="K272" i="9" s="1"/>
  <c r="N381" i="9"/>
  <c r="N382" i="9" s="1"/>
  <c r="N387" i="9"/>
  <c r="N388" i="9" s="1"/>
  <c r="K291" i="9"/>
  <c r="K292" i="9" s="1"/>
  <c r="K296" i="9" s="1"/>
  <c r="L367" i="9"/>
  <c r="L368" i="9" s="1"/>
  <c r="K282" i="9"/>
  <c r="K283" i="9" s="1"/>
  <c r="N378" i="9"/>
  <c r="N379" i="9" s="1"/>
  <c r="M390" i="9"/>
  <c r="M391" i="9" s="1"/>
  <c r="L303" i="9"/>
  <c r="L304" i="9" s="1"/>
  <c r="L308" i="9" s="1"/>
  <c r="M373" i="9"/>
  <c r="M374" i="9" s="1"/>
  <c r="M294" i="9"/>
  <c r="M295" i="9" s="1"/>
  <c r="L119" i="15"/>
  <c r="M119" i="4" l="1"/>
  <c r="M119" i="5"/>
  <c r="M119" i="6"/>
  <c r="M395" i="9"/>
  <c r="N384" i="9"/>
  <c r="L375" i="9"/>
  <c r="L396" i="9" s="1"/>
  <c r="O314" i="9"/>
  <c r="N315" i="9"/>
  <c r="N316" i="9" s="1"/>
  <c r="M312" i="9"/>
  <c r="M313" i="9" s="1"/>
  <c r="M318" i="9" s="1"/>
  <c r="N311" i="9"/>
  <c r="K341" i="9"/>
  <c r="O305" i="9"/>
  <c r="N306" i="9"/>
  <c r="N307" i="9" s="1"/>
  <c r="N393" i="9"/>
  <c r="N394" i="9" s="1"/>
  <c r="M339" i="9"/>
  <c r="M340" i="9" s="1"/>
  <c r="L267" i="9"/>
  <c r="L268" i="9" s="1"/>
  <c r="L272" i="9" s="1"/>
  <c r="L291" i="9"/>
  <c r="L292" i="9" s="1"/>
  <c r="L296" i="9" s="1"/>
  <c r="N390" i="9"/>
  <c r="N391" i="9" s="1"/>
  <c r="L282" i="9"/>
  <c r="L283" i="9" s="1"/>
  <c r="N373" i="9"/>
  <c r="N374" i="9" s="1"/>
  <c r="O378" i="9"/>
  <c r="O379" i="9" s="1"/>
  <c r="O387" i="9"/>
  <c r="O388" i="9" s="1"/>
  <c r="N300" i="9"/>
  <c r="N301" i="9" s="1"/>
  <c r="M367" i="9"/>
  <c r="M368" i="9" s="1"/>
  <c r="M264" i="9"/>
  <c r="M265" i="9" s="1"/>
  <c r="M346" i="9"/>
  <c r="M347" i="9" s="1"/>
  <c r="M349" i="9" s="1"/>
  <c r="O270" i="9"/>
  <c r="O271" i="9" s="1"/>
  <c r="L336" i="9"/>
  <c r="L337" i="9" s="1"/>
  <c r="M370" i="9"/>
  <c r="M371" i="9" s="1"/>
  <c r="N294" i="9"/>
  <c r="N295" i="9" s="1"/>
  <c r="M303" i="9"/>
  <c r="M304" i="9" s="1"/>
  <c r="M308" i="9" s="1"/>
  <c r="O381" i="9"/>
  <c r="O382" i="9" s="1"/>
  <c r="L333" i="9"/>
  <c r="L334" i="9" s="1"/>
  <c r="O279" i="9"/>
  <c r="O280" i="9" s="1"/>
  <c r="M119" i="15"/>
  <c r="N119" i="4" l="1"/>
  <c r="N119" i="6"/>
  <c r="N119" i="5"/>
  <c r="M375" i="9"/>
  <c r="M396" i="9" s="1"/>
  <c r="N395" i="9"/>
  <c r="O384" i="9"/>
  <c r="N312" i="9"/>
  <c r="N313" i="9" s="1"/>
  <c r="N318" i="9" s="1"/>
  <c r="O311" i="9"/>
  <c r="P314" i="9"/>
  <c r="O315" i="9"/>
  <c r="O316" i="9" s="1"/>
  <c r="L341" i="9"/>
  <c r="P305" i="9"/>
  <c r="O306" i="9"/>
  <c r="O307" i="9" s="1"/>
  <c r="O393" i="9"/>
  <c r="O394" i="9" s="1"/>
  <c r="N339" i="9"/>
  <c r="N340" i="9" s="1"/>
  <c r="O300" i="9"/>
  <c r="O301" i="9" s="1"/>
  <c r="M282" i="9"/>
  <c r="M283" i="9" s="1"/>
  <c r="N264" i="9"/>
  <c r="N265" i="9" s="1"/>
  <c r="P387" i="9"/>
  <c r="P388" i="9" s="1"/>
  <c r="M267" i="9"/>
  <c r="M268" i="9" s="1"/>
  <c r="M272" i="9" s="1"/>
  <c r="P270" i="9"/>
  <c r="P271" i="9" s="1"/>
  <c r="O390" i="9"/>
  <c r="O391" i="9" s="1"/>
  <c r="M336" i="9"/>
  <c r="M337" i="9" s="1"/>
  <c r="O294" i="9"/>
  <c r="O295" i="9" s="1"/>
  <c r="N346" i="9"/>
  <c r="N347" i="9" s="1"/>
  <c r="N349" i="9" s="1"/>
  <c r="N367" i="9"/>
  <c r="N368" i="9" s="1"/>
  <c r="P378" i="9"/>
  <c r="P379" i="9" s="1"/>
  <c r="P381" i="9"/>
  <c r="P382" i="9" s="1"/>
  <c r="O373" i="9"/>
  <c r="O374" i="9" s="1"/>
  <c r="M333" i="9"/>
  <c r="M334" i="9" s="1"/>
  <c r="N303" i="9"/>
  <c r="N304" i="9" s="1"/>
  <c r="N308" i="9" s="1"/>
  <c r="P279" i="9"/>
  <c r="P280" i="9" s="1"/>
  <c r="N370" i="9"/>
  <c r="N371" i="9" s="1"/>
  <c r="M291" i="9"/>
  <c r="M292" i="9" s="1"/>
  <c r="M296" i="9" s="1"/>
  <c r="N119" i="15"/>
  <c r="O119" i="5" l="1"/>
  <c r="O119" i="4"/>
  <c r="O119" i="6"/>
  <c r="O395" i="9"/>
  <c r="P384" i="9"/>
  <c r="N375" i="9"/>
  <c r="N396" i="9" s="1"/>
  <c r="Q314" i="9"/>
  <c r="P315" i="9"/>
  <c r="P316" i="9" s="1"/>
  <c r="P311" i="9"/>
  <c r="O312" i="9"/>
  <c r="O313" i="9" s="1"/>
  <c r="O318" i="9" s="1"/>
  <c r="M341" i="9"/>
  <c r="Q305" i="9"/>
  <c r="P306" i="9"/>
  <c r="P307" i="9" s="1"/>
  <c r="P393" i="9"/>
  <c r="P394" i="9" s="1"/>
  <c r="O339" i="9"/>
  <c r="O340" i="9" s="1"/>
  <c r="N291" i="9"/>
  <c r="N292" i="9" s="1"/>
  <c r="N296" i="9" s="1"/>
  <c r="N336" i="9"/>
  <c r="N337" i="9" s="1"/>
  <c r="Q387" i="9"/>
  <c r="Q388" i="9" s="1"/>
  <c r="N282" i="9"/>
  <c r="N283" i="9" s="1"/>
  <c r="Q378" i="9"/>
  <c r="Q379" i="9" s="1"/>
  <c r="Q279" i="9"/>
  <c r="Q280" i="9" s="1"/>
  <c r="O367" i="9"/>
  <c r="O368" i="9" s="1"/>
  <c r="P373" i="9"/>
  <c r="P374" i="9" s="1"/>
  <c r="O264" i="9"/>
  <c r="O265" i="9" s="1"/>
  <c r="O346" i="9"/>
  <c r="O347" i="9" s="1"/>
  <c r="O349" i="9" s="1"/>
  <c r="Q270" i="9"/>
  <c r="Q271" i="9" s="1"/>
  <c r="N267" i="9"/>
  <c r="N268" i="9" s="1"/>
  <c r="N272" i="9" s="1"/>
  <c r="O303" i="9"/>
  <c r="O304" i="9" s="1"/>
  <c r="O308" i="9" s="1"/>
  <c r="O370" i="9"/>
  <c r="O371" i="9" s="1"/>
  <c r="N333" i="9"/>
  <c r="N334" i="9" s="1"/>
  <c r="Q381" i="9"/>
  <c r="Q382" i="9" s="1"/>
  <c r="P294" i="9"/>
  <c r="P295" i="9" s="1"/>
  <c r="P390" i="9"/>
  <c r="P391" i="9" s="1"/>
  <c r="P300" i="9"/>
  <c r="P301" i="9" s="1"/>
  <c r="O119" i="15"/>
  <c r="P119" i="5" l="1"/>
  <c r="P119" i="4"/>
  <c r="P119" i="6"/>
  <c r="P395" i="9"/>
  <c r="Q384" i="9"/>
  <c r="O375" i="9"/>
  <c r="O396" i="9" s="1"/>
  <c r="P312" i="9"/>
  <c r="P313" i="9" s="1"/>
  <c r="P318" i="9" s="1"/>
  <c r="Q311" i="9"/>
  <c r="N341" i="9"/>
  <c r="Q315" i="9"/>
  <c r="Q316" i="9" s="1"/>
  <c r="R314" i="9"/>
  <c r="R305" i="9"/>
  <c r="Q306" i="9"/>
  <c r="Q307" i="9" s="1"/>
  <c r="Q393" i="9"/>
  <c r="Q394" i="9" s="1"/>
  <c r="P339" i="9"/>
  <c r="P340" i="9" s="1"/>
  <c r="Q390" i="9"/>
  <c r="Q391" i="9" s="1"/>
  <c r="P370" i="9"/>
  <c r="P371" i="9" s="1"/>
  <c r="R387" i="9"/>
  <c r="R388" i="9" s="1"/>
  <c r="Q294" i="9"/>
  <c r="Q295" i="9" s="1"/>
  <c r="O267" i="9"/>
  <c r="O268" i="9" s="1"/>
  <c r="O272" i="9" s="1"/>
  <c r="Q373" i="9"/>
  <c r="Q374" i="9" s="1"/>
  <c r="R279" i="9"/>
  <c r="R280" i="9" s="1"/>
  <c r="P303" i="9"/>
  <c r="P304" i="9" s="1"/>
  <c r="P308" i="9" s="1"/>
  <c r="P264" i="9"/>
  <c r="P265" i="9" s="1"/>
  <c r="R378" i="9"/>
  <c r="R379" i="9" s="1"/>
  <c r="O336" i="9"/>
  <c r="O337" i="9" s="1"/>
  <c r="O291" i="9"/>
  <c r="O292" i="9" s="1"/>
  <c r="O296" i="9" s="1"/>
  <c r="R381" i="9"/>
  <c r="R382" i="9" s="1"/>
  <c r="R270" i="9"/>
  <c r="R271" i="9" s="1"/>
  <c r="O333" i="9"/>
  <c r="O334" i="9" s="1"/>
  <c r="P367" i="9"/>
  <c r="P368" i="9" s="1"/>
  <c r="O282" i="9"/>
  <c r="O283" i="9" s="1"/>
  <c r="Q300" i="9"/>
  <c r="Q301" i="9" s="1"/>
  <c r="P346" i="9"/>
  <c r="P347" i="9" s="1"/>
  <c r="P349" i="9" s="1"/>
  <c r="P119" i="15"/>
  <c r="Q119" i="5" l="1"/>
  <c r="Q119" i="4"/>
  <c r="Q119" i="6"/>
  <c r="P375" i="9"/>
  <c r="P396" i="9" s="1"/>
  <c r="Q395" i="9"/>
  <c r="R384" i="9"/>
  <c r="R315" i="9"/>
  <c r="R316" i="9" s="1"/>
  <c r="S314" i="9"/>
  <c r="R311" i="9"/>
  <c r="Q312" i="9"/>
  <c r="Q313" i="9" s="1"/>
  <c r="Q318" i="9" s="1"/>
  <c r="O341" i="9"/>
  <c r="S305" i="9"/>
  <c r="R306" i="9"/>
  <c r="R307" i="9" s="1"/>
  <c r="R393" i="9"/>
  <c r="R394" i="9" s="1"/>
  <c r="Q339" i="9"/>
  <c r="Q340" i="9" s="1"/>
  <c r="Q346" i="9"/>
  <c r="Q347" i="9" s="1"/>
  <c r="Q349" i="9" s="1"/>
  <c r="P282" i="9"/>
  <c r="P283" i="9" s="1"/>
  <c r="S270" i="9"/>
  <c r="S271" i="9" s="1"/>
  <c r="P267" i="9"/>
  <c r="P268" i="9" s="1"/>
  <c r="P272" i="9" s="1"/>
  <c r="P333" i="9"/>
  <c r="P334" i="9" s="1"/>
  <c r="P336" i="9"/>
  <c r="P337" i="9" s="1"/>
  <c r="S387" i="9"/>
  <c r="S388" i="9" s="1"/>
  <c r="Q370" i="9"/>
  <c r="Q371" i="9" s="1"/>
  <c r="R373" i="9"/>
  <c r="R374" i="9" s="1"/>
  <c r="P291" i="9"/>
  <c r="P292" i="9" s="1"/>
  <c r="P296" i="9" s="1"/>
  <c r="Q367" i="9"/>
  <c r="Q368" i="9" s="1"/>
  <c r="S279" i="9"/>
  <c r="S280" i="9" s="1"/>
  <c r="R390" i="9"/>
  <c r="R391" i="9" s="1"/>
  <c r="S378" i="9"/>
  <c r="S379" i="9" s="1"/>
  <c r="R300" i="9"/>
  <c r="R301" i="9" s="1"/>
  <c r="Q264" i="9"/>
  <c r="Q265" i="9" s="1"/>
  <c r="S381" i="9"/>
  <c r="S382" i="9" s="1"/>
  <c r="Q303" i="9"/>
  <c r="Q304" i="9" s="1"/>
  <c r="Q308" i="9" s="1"/>
  <c r="R294" i="9"/>
  <c r="R295" i="9" s="1"/>
  <c r="Q119" i="15"/>
  <c r="R119" i="6" l="1"/>
  <c r="R119" i="5"/>
  <c r="R119" i="4"/>
  <c r="R395" i="9"/>
  <c r="Q375" i="9"/>
  <c r="Q396" i="9" s="1"/>
  <c r="S384" i="9"/>
  <c r="R312" i="9"/>
  <c r="R313" i="9" s="1"/>
  <c r="R318" i="9" s="1"/>
  <c r="S311" i="9"/>
  <c r="S315" i="9"/>
  <c r="S316" i="9" s="1"/>
  <c r="T314" i="9"/>
  <c r="P341" i="9"/>
  <c r="S306" i="9"/>
  <c r="S307" i="9" s="1"/>
  <c r="T305" i="9"/>
  <c r="S393" i="9"/>
  <c r="S394" i="9" s="1"/>
  <c r="R339" i="9"/>
  <c r="R340" i="9" s="1"/>
  <c r="S300" i="9"/>
  <c r="S301" i="9" s="1"/>
  <c r="Q336" i="9"/>
  <c r="Q337" i="9" s="1"/>
  <c r="Q291" i="9"/>
  <c r="Q292" i="9" s="1"/>
  <c r="Q296" i="9" s="1"/>
  <c r="S294" i="9"/>
  <c r="S295" i="9" s="1"/>
  <c r="R303" i="9"/>
  <c r="R304" i="9" s="1"/>
  <c r="R308" i="9" s="1"/>
  <c r="T378" i="9"/>
  <c r="T379" i="9" s="1"/>
  <c r="S373" i="9"/>
  <c r="S374" i="9" s="1"/>
  <c r="T279" i="9"/>
  <c r="T280" i="9" s="1"/>
  <c r="Q333" i="9"/>
  <c r="Q334" i="9" s="1"/>
  <c r="T270" i="9"/>
  <c r="T271" i="9" s="1"/>
  <c r="R346" i="9"/>
  <c r="R347" i="9" s="1"/>
  <c r="R349" i="9" s="1"/>
  <c r="R370" i="9"/>
  <c r="R371" i="9" s="1"/>
  <c r="T381" i="9"/>
  <c r="T382" i="9" s="1"/>
  <c r="R264" i="9"/>
  <c r="R265" i="9" s="1"/>
  <c r="S390" i="9"/>
  <c r="S391" i="9" s="1"/>
  <c r="R367" i="9"/>
  <c r="R368" i="9" s="1"/>
  <c r="T387" i="9"/>
  <c r="T388" i="9" s="1"/>
  <c r="Q267" i="9"/>
  <c r="Q268" i="9" s="1"/>
  <c r="Q272" i="9" s="1"/>
  <c r="Q282" i="9"/>
  <c r="Q283" i="9" s="1"/>
  <c r="R119" i="15"/>
  <c r="S119" i="6" l="1"/>
  <c r="S119" i="4"/>
  <c r="S119" i="5"/>
  <c r="S395" i="9"/>
  <c r="T384" i="9"/>
  <c r="R375" i="9"/>
  <c r="R396" i="9" s="1"/>
  <c r="U314" i="9"/>
  <c r="T315" i="9"/>
  <c r="T316" i="9" s="1"/>
  <c r="S312" i="9"/>
  <c r="S313" i="9" s="1"/>
  <c r="S318" i="9" s="1"/>
  <c r="T311" i="9"/>
  <c r="Q341" i="9"/>
  <c r="U305" i="9"/>
  <c r="T306" i="9"/>
  <c r="T307" i="9" s="1"/>
  <c r="T393" i="9"/>
  <c r="T394" i="9" s="1"/>
  <c r="S339" i="9"/>
  <c r="S340" i="9" s="1"/>
  <c r="R282" i="9"/>
  <c r="R283" i="9" s="1"/>
  <c r="T373" i="9"/>
  <c r="T374" i="9" s="1"/>
  <c r="U381" i="9"/>
  <c r="U382" i="9" s="1"/>
  <c r="U279" i="9"/>
  <c r="U280" i="9" s="1"/>
  <c r="U378" i="9"/>
  <c r="U379" i="9" s="1"/>
  <c r="R291" i="9"/>
  <c r="R292" i="9" s="1"/>
  <c r="R296" i="9" s="1"/>
  <c r="T300" i="9"/>
  <c r="T301" i="9" s="1"/>
  <c r="S346" i="9"/>
  <c r="S347" i="9" s="1"/>
  <c r="S349" i="9" s="1"/>
  <c r="S303" i="9"/>
  <c r="S304" i="9" s="1"/>
  <c r="S308" i="9" s="1"/>
  <c r="R333" i="9"/>
  <c r="R334" i="9" s="1"/>
  <c r="U387" i="9"/>
  <c r="U388" i="9" s="1"/>
  <c r="S264" i="9"/>
  <c r="S265" i="9" s="1"/>
  <c r="S367" i="9"/>
  <c r="S368" i="9" s="1"/>
  <c r="T390" i="9"/>
  <c r="T391" i="9" s="1"/>
  <c r="S370" i="9"/>
  <c r="S371" i="9" s="1"/>
  <c r="U270" i="9"/>
  <c r="U271" i="9" s="1"/>
  <c r="T294" i="9"/>
  <c r="T295" i="9" s="1"/>
  <c r="R267" i="9"/>
  <c r="R268" i="9" s="1"/>
  <c r="R272" i="9" s="1"/>
  <c r="R336" i="9"/>
  <c r="R337" i="9" s="1"/>
  <c r="S119" i="15"/>
  <c r="T119" i="6" l="1"/>
  <c r="T119" i="4"/>
  <c r="T119" i="5"/>
  <c r="U384" i="9"/>
  <c r="T395" i="9"/>
  <c r="S375" i="9"/>
  <c r="S396" i="9" s="1"/>
  <c r="T312" i="9"/>
  <c r="T313" i="9" s="1"/>
  <c r="T318" i="9" s="1"/>
  <c r="U311" i="9"/>
  <c r="V314" i="9"/>
  <c r="U315" i="9"/>
  <c r="U316" i="9" s="1"/>
  <c r="R341" i="9"/>
  <c r="V305" i="9"/>
  <c r="U306" i="9"/>
  <c r="U307" i="9" s="1"/>
  <c r="U393" i="9"/>
  <c r="U394" i="9" s="1"/>
  <c r="T339" i="9"/>
  <c r="T340" i="9" s="1"/>
  <c r="T370" i="9"/>
  <c r="T371" i="9" s="1"/>
  <c r="V378" i="9"/>
  <c r="V379" i="9" s="1"/>
  <c r="T367" i="9"/>
  <c r="T368" i="9" s="1"/>
  <c r="S291" i="9"/>
  <c r="S292" i="9" s="1"/>
  <c r="S296" i="9" s="1"/>
  <c r="V279" i="9"/>
  <c r="V280" i="9" s="1"/>
  <c r="V387" i="9"/>
  <c r="V388" i="9" s="1"/>
  <c r="T303" i="9"/>
  <c r="T304" i="9" s="1"/>
  <c r="T308" i="9" s="1"/>
  <c r="S336" i="9"/>
  <c r="S337" i="9" s="1"/>
  <c r="U373" i="9"/>
  <c r="U374" i="9" s="1"/>
  <c r="S333" i="9"/>
  <c r="S334" i="9" s="1"/>
  <c r="T346" i="9"/>
  <c r="T347" i="9" s="1"/>
  <c r="T349" i="9" s="1"/>
  <c r="S267" i="9"/>
  <c r="S268" i="9" s="1"/>
  <c r="S272" i="9" s="1"/>
  <c r="S282" i="9"/>
  <c r="S283" i="9" s="1"/>
  <c r="T264" i="9"/>
  <c r="T265" i="9" s="1"/>
  <c r="U390" i="9"/>
  <c r="U391" i="9" s="1"/>
  <c r="U300" i="9"/>
  <c r="U301" i="9" s="1"/>
  <c r="V381" i="9"/>
  <c r="V382" i="9" s="1"/>
  <c r="U294" i="9"/>
  <c r="U295" i="9" s="1"/>
  <c r="V270" i="9"/>
  <c r="V271" i="9" s="1"/>
  <c r="T119" i="15"/>
  <c r="U119" i="4" l="1"/>
  <c r="U119" i="6"/>
  <c r="U119" i="5"/>
  <c r="U395" i="9"/>
  <c r="V384" i="9"/>
  <c r="T375" i="9"/>
  <c r="T396" i="9" s="1"/>
  <c r="S341" i="9"/>
  <c r="V315" i="9"/>
  <c r="V316" i="9" s="1"/>
  <c r="W314" i="9"/>
  <c r="U312" i="9"/>
  <c r="U313" i="9" s="1"/>
  <c r="U318" i="9" s="1"/>
  <c r="V311" i="9"/>
  <c r="V306" i="9"/>
  <c r="V307" i="9" s="1"/>
  <c r="W305" i="9"/>
  <c r="V393" i="9"/>
  <c r="V394" i="9" s="1"/>
  <c r="U339" i="9"/>
  <c r="U340" i="9" s="1"/>
  <c r="V390" i="9"/>
  <c r="V391" i="9" s="1"/>
  <c r="T282" i="9"/>
  <c r="T283" i="9" s="1"/>
  <c r="T267" i="9"/>
  <c r="T268" i="9" s="1"/>
  <c r="T272" i="9" s="1"/>
  <c r="T333" i="9"/>
  <c r="T334" i="9" s="1"/>
  <c r="U367" i="9"/>
  <c r="U368" i="9" s="1"/>
  <c r="W378" i="9"/>
  <c r="W379" i="9" s="1"/>
  <c r="U303" i="9"/>
  <c r="U304" i="9" s="1"/>
  <c r="U308" i="9" s="1"/>
  <c r="W279" i="9"/>
  <c r="W280" i="9" s="1"/>
  <c r="W381" i="9"/>
  <c r="W382" i="9" s="1"/>
  <c r="V294" i="9"/>
  <c r="V295" i="9" s="1"/>
  <c r="V300" i="9"/>
  <c r="V301" i="9" s="1"/>
  <c r="V373" i="9"/>
  <c r="V374" i="9" s="1"/>
  <c r="W387" i="9"/>
  <c r="W388" i="9" s="1"/>
  <c r="W270" i="9"/>
  <c r="W271" i="9" s="1"/>
  <c r="T291" i="9"/>
  <c r="T292" i="9" s="1"/>
  <c r="T296" i="9" s="1"/>
  <c r="T336" i="9"/>
  <c r="T337" i="9" s="1"/>
  <c r="U370" i="9"/>
  <c r="U371" i="9" s="1"/>
  <c r="U264" i="9"/>
  <c r="U265" i="9" s="1"/>
  <c r="U346" i="9"/>
  <c r="U347" i="9" s="1"/>
  <c r="U349" i="9" s="1"/>
  <c r="U119" i="15"/>
  <c r="V119" i="4" l="1"/>
  <c r="V119" i="5"/>
  <c r="V119" i="6"/>
  <c r="W384" i="9"/>
  <c r="V395" i="9"/>
  <c r="U375" i="9"/>
  <c r="U396" i="9" s="1"/>
  <c r="X314" i="9"/>
  <c r="W315" i="9"/>
  <c r="W316" i="9" s="1"/>
  <c r="V312" i="9"/>
  <c r="V313" i="9" s="1"/>
  <c r="V318" i="9" s="1"/>
  <c r="W311" i="9"/>
  <c r="T341" i="9"/>
  <c r="W306" i="9"/>
  <c r="W307" i="9" s="1"/>
  <c r="X305" i="9"/>
  <c r="W393" i="9"/>
  <c r="W394" i="9" s="1"/>
  <c r="V339" i="9"/>
  <c r="V340" i="9" s="1"/>
  <c r="V346" i="9"/>
  <c r="V347" i="9" s="1"/>
  <c r="V349" i="9" s="1"/>
  <c r="U291" i="9"/>
  <c r="U292" i="9" s="1"/>
  <c r="U296" i="9" s="1"/>
  <c r="W294" i="9"/>
  <c r="W295" i="9" s="1"/>
  <c r="U333" i="9"/>
  <c r="U334" i="9" s="1"/>
  <c r="U267" i="9"/>
  <c r="U268" i="9" s="1"/>
  <c r="U272" i="9" s="1"/>
  <c r="V264" i="9"/>
  <c r="V265" i="9" s="1"/>
  <c r="X381" i="9"/>
  <c r="X382" i="9" s="1"/>
  <c r="V367" i="9"/>
  <c r="V368" i="9" s="1"/>
  <c r="W373" i="9"/>
  <c r="W374" i="9" s="1"/>
  <c r="X270" i="9"/>
  <c r="X271" i="9" s="1"/>
  <c r="X279" i="9"/>
  <c r="X280" i="9" s="1"/>
  <c r="U282" i="9"/>
  <c r="U283" i="9" s="1"/>
  <c r="U336" i="9"/>
  <c r="U337" i="9" s="1"/>
  <c r="X387" i="9"/>
  <c r="X388" i="9" s="1"/>
  <c r="W300" i="9"/>
  <c r="W301" i="9" s="1"/>
  <c r="X378" i="9"/>
  <c r="X379" i="9" s="1"/>
  <c r="V370" i="9"/>
  <c r="V371" i="9" s="1"/>
  <c r="V303" i="9"/>
  <c r="V304" i="9" s="1"/>
  <c r="V308" i="9" s="1"/>
  <c r="W390" i="9"/>
  <c r="W391" i="9" s="1"/>
  <c r="V119" i="15"/>
  <c r="W119" i="5" l="1"/>
  <c r="W119" i="4"/>
  <c r="W119" i="6"/>
  <c r="W395" i="9"/>
  <c r="X384" i="9"/>
  <c r="V375" i="9"/>
  <c r="V396" i="9" s="1"/>
  <c r="U341" i="9"/>
  <c r="X311" i="9"/>
  <c r="W312" i="9"/>
  <c r="W313" i="9" s="1"/>
  <c r="W318" i="9" s="1"/>
  <c r="X315" i="9"/>
  <c r="X316" i="9" s="1"/>
  <c r="Y314" i="9"/>
  <c r="X306" i="9"/>
  <c r="X307" i="9" s="1"/>
  <c r="Y305" i="9"/>
  <c r="X393" i="9"/>
  <c r="X394" i="9" s="1"/>
  <c r="W339" i="9"/>
  <c r="W340" i="9" s="1"/>
  <c r="Y387" i="9"/>
  <c r="Y388" i="9" s="1"/>
  <c r="Y270" i="9"/>
  <c r="Y271" i="9" s="1"/>
  <c r="X294" i="9"/>
  <c r="X295" i="9" s="1"/>
  <c r="W264" i="9"/>
  <c r="W265" i="9" s="1"/>
  <c r="V291" i="9"/>
  <c r="V292" i="9" s="1"/>
  <c r="V296" i="9" s="1"/>
  <c r="W303" i="9"/>
  <c r="W304" i="9" s="1"/>
  <c r="W308" i="9" s="1"/>
  <c r="W370" i="9"/>
  <c r="W371" i="9" s="1"/>
  <c r="Y279" i="9"/>
  <c r="Y280" i="9" s="1"/>
  <c r="Y378" i="9"/>
  <c r="Y379" i="9" s="1"/>
  <c r="W367" i="9"/>
  <c r="W368" i="9" s="1"/>
  <c r="V333" i="9"/>
  <c r="V334" i="9" s="1"/>
  <c r="W346" i="9"/>
  <c r="W347" i="9" s="1"/>
  <c r="W349" i="9" s="1"/>
  <c r="X373" i="9"/>
  <c r="X374" i="9" s="1"/>
  <c r="V336" i="9"/>
  <c r="V337" i="9" s="1"/>
  <c r="V282" i="9"/>
  <c r="V283" i="9" s="1"/>
  <c r="V267" i="9"/>
  <c r="V268" i="9" s="1"/>
  <c r="V272" i="9" s="1"/>
  <c r="X390" i="9"/>
  <c r="X391" i="9" s="1"/>
  <c r="X300" i="9"/>
  <c r="X301" i="9" s="1"/>
  <c r="Y381" i="9"/>
  <c r="Y382" i="9" s="1"/>
  <c r="W119" i="15"/>
  <c r="X119" i="5" l="1"/>
  <c r="X119" i="4"/>
  <c r="X119" i="6"/>
  <c r="Y384" i="9"/>
  <c r="X395" i="9"/>
  <c r="W375" i="9"/>
  <c r="W396" i="9" s="1"/>
  <c r="Z314" i="9"/>
  <c r="Z315" i="9" s="1"/>
  <c r="Z316" i="9" s="1"/>
  <c r="Y315" i="9"/>
  <c r="Y316" i="9" s="1"/>
  <c r="X312" i="9"/>
  <c r="X313" i="9" s="1"/>
  <c r="X318" i="9" s="1"/>
  <c r="Y311" i="9"/>
  <c r="V341" i="9"/>
  <c r="Y306" i="9"/>
  <c r="Y307" i="9" s="1"/>
  <c r="Z305" i="9"/>
  <c r="Z306" i="9" s="1"/>
  <c r="Z307" i="9" s="1"/>
  <c r="Y393" i="9"/>
  <c r="Y394" i="9" s="1"/>
  <c r="X339" i="9"/>
  <c r="X340" i="9" s="1"/>
  <c r="Y390" i="9"/>
  <c r="Y391" i="9" s="1"/>
  <c r="Z279" i="9"/>
  <c r="Z280" i="9" s="1"/>
  <c r="X264" i="9"/>
  <c r="X265" i="9" s="1"/>
  <c r="Z270" i="9"/>
  <c r="Z271" i="9" s="1"/>
  <c r="Z381" i="9"/>
  <c r="Z382" i="9" s="1"/>
  <c r="X346" i="9"/>
  <c r="X347" i="9" s="1"/>
  <c r="X349" i="9" s="1"/>
  <c r="X367" i="9"/>
  <c r="X368" i="9" s="1"/>
  <c r="W267" i="9"/>
  <c r="W268" i="9" s="1"/>
  <c r="W272" i="9" s="1"/>
  <c r="W336" i="9"/>
  <c r="W337" i="9" s="1"/>
  <c r="X303" i="9"/>
  <c r="X304" i="9" s="1"/>
  <c r="X308" i="9" s="1"/>
  <c r="Y300" i="9"/>
  <c r="Y301" i="9" s="1"/>
  <c r="W333" i="9"/>
  <c r="W334" i="9" s="1"/>
  <c r="Z378" i="9"/>
  <c r="Z379" i="9" s="1"/>
  <c r="X370" i="9"/>
  <c r="X371" i="9" s="1"/>
  <c r="Y294" i="9"/>
  <c r="Y295" i="9" s="1"/>
  <c r="W291" i="9"/>
  <c r="W292" i="9" s="1"/>
  <c r="W296" i="9" s="1"/>
  <c r="Z387" i="9"/>
  <c r="Z388" i="9" s="1"/>
  <c r="W282" i="9"/>
  <c r="W283" i="9" s="1"/>
  <c r="Y373" i="9"/>
  <c r="Y374" i="9" s="1"/>
  <c r="X119" i="15"/>
  <c r="Y119" i="5" l="1"/>
  <c r="Y119" i="4"/>
  <c r="Y119" i="6"/>
  <c r="Y395" i="9"/>
  <c r="Z384" i="9"/>
  <c r="X375" i="9"/>
  <c r="X396" i="9" s="1"/>
  <c r="W341" i="9"/>
  <c r="Y312" i="9"/>
  <c r="Y313" i="9" s="1"/>
  <c r="Y318" i="9" s="1"/>
  <c r="Z311" i="9"/>
  <c r="Z312" i="9" s="1"/>
  <c r="Z313" i="9" s="1"/>
  <c r="Z318" i="9" s="1"/>
  <c r="Z393" i="9"/>
  <c r="Z394" i="9" s="1"/>
  <c r="Y339" i="9"/>
  <c r="Y340" i="9" s="1"/>
  <c r="Z294" i="9"/>
  <c r="Z295" i="9" s="1"/>
  <c r="Z300" i="9"/>
  <c r="Z301" i="9" s="1"/>
  <c r="X336" i="9"/>
  <c r="X337" i="9" s="1"/>
  <c r="X267" i="9"/>
  <c r="X268" i="9" s="1"/>
  <c r="X272" i="9" s="1"/>
  <c r="Y346" i="9"/>
  <c r="Y347" i="9" s="1"/>
  <c r="Y349" i="9" s="1"/>
  <c r="Y264" i="9"/>
  <c r="Y265" i="9" s="1"/>
  <c r="X333" i="9"/>
  <c r="X334" i="9" s="1"/>
  <c r="Z373" i="9"/>
  <c r="Z374" i="9" s="1"/>
  <c r="Y370" i="9"/>
  <c r="Y371" i="9" s="1"/>
  <c r="X282" i="9"/>
  <c r="X283" i="9" s="1"/>
  <c r="X291" i="9"/>
  <c r="X292" i="9" s="1"/>
  <c r="X296" i="9" s="1"/>
  <c r="Y367" i="9"/>
  <c r="Y368" i="9" s="1"/>
  <c r="Y303" i="9"/>
  <c r="Y304" i="9" s="1"/>
  <c r="Y308" i="9" s="1"/>
  <c r="Z390" i="9"/>
  <c r="Z391" i="9" s="1"/>
  <c r="Y119" i="15"/>
  <c r="Z119" i="6" l="1"/>
  <c r="Z119" i="5"/>
  <c r="Z119" i="4"/>
  <c r="Z395" i="9"/>
  <c r="Y375" i="9"/>
  <c r="Y396" i="9" s="1"/>
  <c r="X341" i="9"/>
  <c r="Z339" i="9"/>
  <c r="Z340" i="9" s="1"/>
  <c r="Y291" i="9"/>
  <c r="Y292" i="9" s="1"/>
  <c r="Y296" i="9" s="1"/>
  <c r="Z370" i="9"/>
  <c r="Z371" i="9" s="1"/>
  <c r="Z264" i="9"/>
  <c r="Z265" i="9" s="1"/>
  <c r="Y336" i="9"/>
  <c r="Y337" i="9" s="1"/>
  <c r="Z303" i="9"/>
  <c r="Z304" i="9" s="1"/>
  <c r="Z308" i="9" s="1"/>
  <c r="Z346" i="9"/>
  <c r="Z347" i="9" s="1"/>
  <c r="Z349" i="9" s="1"/>
  <c r="Y282" i="9"/>
  <c r="Y283" i="9" s="1"/>
  <c r="Z367" i="9"/>
  <c r="Z368" i="9" s="1"/>
  <c r="Y333" i="9"/>
  <c r="Y334" i="9" s="1"/>
  <c r="Y267" i="9"/>
  <c r="Y268" i="9" s="1"/>
  <c r="Y272" i="9" s="1"/>
  <c r="Z119" i="15"/>
  <c r="AA119" i="6" l="1"/>
  <c r="AA119" i="5"/>
  <c r="AA119" i="4"/>
  <c r="Z375" i="9"/>
  <c r="Z396" i="9" s="1"/>
  <c r="Y341" i="9"/>
  <c r="Z333" i="9"/>
  <c r="Z334" i="9" s="1"/>
  <c r="Z267" i="9"/>
  <c r="Z268" i="9" s="1"/>
  <c r="Z272" i="9" s="1"/>
  <c r="Z282" i="9"/>
  <c r="Z283" i="9" s="1"/>
  <c r="Z336" i="9"/>
  <c r="Z337" i="9" s="1"/>
  <c r="Z291" i="9"/>
  <c r="Z292" i="9" s="1"/>
  <c r="Z296" i="9" s="1"/>
  <c r="AA119" i="15"/>
  <c r="AB119" i="6" l="1"/>
  <c r="AB119" i="5"/>
  <c r="AB119" i="4"/>
  <c r="Z341" i="9"/>
  <c r="I102" i="4"/>
  <c r="I101" i="4"/>
  <c r="J101" i="4"/>
  <c r="K101" i="4"/>
  <c r="L101" i="4"/>
  <c r="M101" i="4"/>
  <c r="N101" i="4"/>
  <c r="O101" i="4"/>
  <c r="P101" i="4"/>
  <c r="Q101" i="4"/>
  <c r="R101" i="4"/>
  <c r="S101" i="4"/>
  <c r="T101" i="4"/>
  <c r="U101" i="4"/>
  <c r="V101" i="4"/>
  <c r="W101" i="4"/>
  <c r="X101" i="4"/>
  <c r="Y101" i="4"/>
  <c r="Z101" i="4"/>
  <c r="AA101" i="4"/>
  <c r="AB101" i="4"/>
  <c r="AC101" i="4"/>
  <c r="AD101" i="4"/>
  <c r="AE101" i="4"/>
  <c r="AF101" i="4"/>
  <c r="AG101" i="4"/>
  <c r="AH101" i="4"/>
  <c r="AI101" i="4"/>
  <c r="AJ101" i="4"/>
  <c r="AK101" i="4"/>
  <c r="AL101" i="4"/>
  <c r="AM101" i="4"/>
  <c r="AN101" i="4"/>
  <c r="AO101" i="4"/>
  <c r="AP101" i="4"/>
  <c r="AQ101" i="4"/>
  <c r="AR101" i="4"/>
  <c r="AS101" i="4"/>
  <c r="AT101" i="4"/>
  <c r="AU101" i="4"/>
  <c r="AV101" i="4"/>
  <c r="AW101" i="4"/>
  <c r="AX101" i="4"/>
  <c r="AY101" i="4"/>
  <c r="AZ101" i="4"/>
  <c r="BA101" i="4"/>
  <c r="BB101" i="4"/>
  <c r="BC101" i="4"/>
  <c r="BD101" i="4"/>
  <c r="BE101" i="4"/>
  <c r="BF101" i="4"/>
  <c r="BG101" i="4"/>
  <c r="BH101" i="4"/>
  <c r="BI101" i="4"/>
  <c r="BJ101" i="4"/>
  <c r="BK101" i="4"/>
  <c r="BL101" i="4"/>
  <c r="BM101" i="4"/>
  <c r="BN101" i="4"/>
  <c r="BO101" i="4"/>
  <c r="BP101" i="4"/>
  <c r="BQ101" i="4"/>
  <c r="BR101" i="4"/>
  <c r="BS101" i="4"/>
  <c r="BT101" i="4"/>
  <c r="BU101" i="4"/>
  <c r="BV101" i="4"/>
  <c r="BW101" i="4"/>
  <c r="BX101" i="4"/>
  <c r="BY101" i="4"/>
  <c r="BZ101" i="4"/>
  <c r="CA101" i="4"/>
  <c r="CB101" i="4"/>
  <c r="CC101" i="4"/>
  <c r="CD101" i="4"/>
  <c r="CE101" i="4"/>
  <c r="CF101" i="4"/>
  <c r="CG101" i="4"/>
  <c r="CH101" i="4"/>
  <c r="CI101" i="4"/>
  <c r="CJ101" i="4"/>
  <c r="CK101" i="4"/>
  <c r="CL101" i="4"/>
  <c r="CM101" i="4"/>
  <c r="CN101" i="4"/>
  <c r="CO101" i="4"/>
  <c r="CP101" i="4"/>
  <c r="CQ101" i="4"/>
  <c r="CR101" i="4"/>
  <c r="CS101" i="4"/>
  <c r="CT101" i="4"/>
  <c r="CU101" i="4"/>
  <c r="CV101" i="4"/>
  <c r="CW101" i="4"/>
  <c r="CX101" i="4"/>
  <c r="CY101" i="4"/>
  <c r="CZ101" i="4"/>
  <c r="DA101" i="4"/>
  <c r="DB101" i="4"/>
  <c r="DC101" i="4"/>
  <c r="H101" i="4"/>
  <c r="J95" i="4"/>
  <c r="AC94" i="4"/>
  <c r="AD94" i="4"/>
  <c r="AE94" i="4"/>
  <c r="AF94" i="4"/>
  <c r="AG94" i="4"/>
  <c r="AH94" i="4"/>
  <c r="AI94" i="4"/>
  <c r="AJ94" i="4"/>
  <c r="AK94" i="4"/>
  <c r="AL94" i="4"/>
  <c r="AM94" i="4"/>
  <c r="AN94" i="4"/>
  <c r="AO94" i="4"/>
  <c r="AP94" i="4"/>
  <c r="AQ94" i="4"/>
  <c r="AR94" i="4"/>
  <c r="AS94" i="4"/>
  <c r="AT94" i="4"/>
  <c r="AU94" i="4"/>
  <c r="AV94" i="4"/>
  <c r="AW94" i="4"/>
  <c r="AX94" i="4"/>
  <c r="AY94" i="4"/>
  <c r="AZ94" i="4"/>
  <c r="BA94" i="4"/>
  <c r="BB94" i="4"/>
  <c r="BC94" i="4"/>
  <c r="BD94" i="4"/>
  <c r="BE94" i="4"/>
  <c r="BF94" i="4"/>
  <c r="BG94" i="4"/>
  <c r="BH94" i="4"/>
  <c r="BI94" i="4"/>
  <c r="BJ94" i="4"/>
  <c r="BK94" i="4"/>
  <c r="BL94" i="4"/>
  <c r="BM94" i="4"/>
  <c r="BN94" i="4"/>
  <c r="BO94" i="4"/>
  <c r="BP94" i="4"/>
  <c r="BQ94" i="4"/>
  <c r="BR94" i="4"/>
  <c r="BS94" i="4"/>
  <c r="BT94" i="4"/>
  <c r="BU94" i="4"/>
  <c r="BV94" i="4"/>
  <c r="BW94" i="4"/>
  <c r="BX94" i="4"/>
  <c r="BY94" i="4"/>
  <c r="BZ94" i="4"/>
  <c r="CA94" i="4"/>
  <c r="CB94" i="4"/>
  <c r="CC94" i="4"/>
  <c r="CD94" i="4"/>
  <c r="CE94" i="4"/>
  <c r="CF94" i="4"/>
  <c r="CG94" i="4"/>
  <c r="CH94" i="4"/>
  <c r="CI94" i="4"/>
  <c r="CJ94" i="4"/>
  <c r="CK94" i="4"/>
  <c r="CL94" i="4"/>
  <c r="CM94" i="4"/>
  <c r="CN94" i="4"/>
  <c r="CO94" i="4"/>
  <c r="CP94" i="4"/>
  <c r="CQ94" i="4"/>
  <c r="CR94" i="4"/>
  <c r="CS94" i="4"/>
  <c r="CT94" i="4"/>
  <c r="CU94" i="4"/>
  <c r="CV94" i="4"/>
  <c r="CW94" i="4"/>
  <c r="CX94" i="4"/>
  <c r="CY94" i="4"/>
  <c r="CZ94" i="4"/>
  <c r="DA94" i="4"/>
  <c r="DB94" i="4"/>
  <c r="DC94" i="4"/>
  <c r="AJ171" i="9"/>
  <c r="AE94" i="15"/>
  <c r="CO94" i="15"/>
  <c r="BO101" i="15"/>
  <c r="CF94" i="15"/>
  <c r="CH101" i="15"/>
  <c r="CL101" i="15"/>
  <c r="CY94" i="15"/>
  <c r="K101" i="15"/>
  <c r="AT101" i="15"/>
  <c r="BZ101" i="15"/>
  <c r="CR94" i="15"/>
  <c r="AS101" i="15"/>
  <c r="AX101" i="15"/>
  <c r="CS94" i="15"/>
  <c r="AN94" i="15"/>
  <c r="BH101" i="15"/>
  <c r="CE101" i="15"/>
  <c r="BY101" i="15"/>
  <c r="AM94" i="15"/>
  <c r="AY94" i="15"/>
  <c r="CP94" i="15"/>
  <c r="CA101" i="15"/>
  <c r="DA101" i="15"/>
  <c r="CJ101" i="15"/>
  <c r="J95" i="15"/>
  <c r="T101" i="15"/>
  <c r="AO94" i="15"/>
  <c r="AM101" i="15"/>
  <c r="BV101" i="15"/>
  <c r="CX94" i="15"/>
  <c r="CD101" i="15"/>
  <c r="CR101" i="15"/>
  <c r="BK101" i="15"/>
  <c r="AQ101" i="15"/>
  <c r="AX94" i="15"/>
  <c r="AG101" i="15"/>
  <c r="AL101" i="15"/>
  <c r="AR101" i="15"/>
  <c r="AZ94" i="15"/>
  <c r="DB101" i="15"/>
  <c r="BO94" i="15"/>
  <c r="CG94" i="15"/>
  <c r="I102" i="15"/>
  <c r="BB101" i="15"/>
  <c r="BM94" i="15"/>
  <c r="CI101" i="15"/>
  <c r="DC94" i="15"/>
  <c r="BD94" i="15"/>
  <c r="DA94" i="15"/>
  <c r="BJ94" i="15"/>
  <c r="BN101" i="15"/>
  <c r="AA101" i="15"/>
  <c r="AC101" i="15"/>
  <c r="CW101" i="15"/>
  <c r="BI94" i="15"/>
  <c r="CV94" i="15"/>
  <c r="BA101" i="15"/>
  <c r="AB119" i="15"/>
  <c r="CB101" i="15"/>
  <c r="S101" i="15"/>
  <c r="BA94" i="15"/>
  <c r="AN101" i="15"/>
  <c r="BE94" i="15"/>
  <c r="BR101" i="15"/>
  <c r="U101" i="15"/>
  <c r="AO101" i="15"/>
  <c r="AV94" i="15"/>
  <c r="BW94" i="15"/>
  <c r="BV94" i="15"/>
  <c r="CN101" i="15"/>
  <c r="AT94" i="15"/>
  <c r="BK94" i="15"/>
  <c r="N101" i="15"/>
  <c r="AQ94" i="15"/>
  <c r="CU94" i="15"/>
  <c r="AV101" i="15"/>
  <c r="BJ101" i="15"/>
  <c r="CF101" i="15"/>
  <c r="AF101" i="15"/>
  <c r="CM94" i="15"/>
  <c r="BR94" i="15"/>
  <c r="DB94" i="15"/>
  <c r="BE101" i="15"/>
  <c r="BF101" i="15"/>
  <c r="BW101" i="15"/>
  <c r="AF94" i="15"/>
  <c r="CV101" i="15"/>
  <c r="AD94" i="15"/>
  <c r="BS101" i="15"/>
  <c r="AY101" i="15"/>
  <c r="CC94" i="15"/>
  <c r="AH101" i="15"/>
  <c r="CC101" i="15"/>
  <c r="CH94" i="15"/>
  <c r="AP94" i="15"/>
  <c r="BH94" i="15"/>
  <c r="BI101" i="15"/>
  <c r="R101" i="15"/>
  <c r="AR94" i="15"/>
  <c r="W101" i="15"/>
  <c r="BM101" i="15"/>
  <c r="CE94" i="15"/>
  <c r="CN94" i="15"/>
  <c r="AG94" i="15"/>
  <c r="Q101" i="15"/>
  <c r="CX101" i="15"/>
  <c r="AP101" i="15"/>
  <c r="BT94" i="15"/>
  <c r="BX101" i="15"/>
  <c r="CB94" i="15"/>
  <c r="AU94" i="15"/>
  <c r="CP101" i="15"/>
  <c r="I101" i="15"/>
  <c r="BG101" i="15"/>
  <c r="BP101" i="15"/>
  <c r="AK94" i="15"/>
  <c r="BL94" i="15"/>
  <c r="CK101" i="15"/>
  <c r="BF94" i="15"/>
  <c r="H101" i="15"/>
  <c r="AB101" i="15"/>
  <c r="CM101" i="15"/>
  <c r="CK94" i="15"/>
  <c r="BQ101" i="15"/>
  <c r="M101" i="15"/>
  <c r="CG101" i="15"/>
  <c r="BS94" i="15"/>
  <c r="AD101" i="15"/>
  <c r="CZ101" i="15"/>
  <c r="BX94" i="15"/>
  <c r="AE101" i="15"/>
  <c r="CO101" i="15"/>
  <c r="CT94" i="15"/>
  <c r="CJ94" i="15"/>
  <c r="Y101" i="15"/>
  <c r="CQ94" i="15"/>
  <c r="AS94" i="15"/>
  <c r="BG94" i="15"/>
  <c r="AJ94" i="15"/>
  <c r="CL94" i="15"/>
  <c r="AZ101" i="15"/>
  <c r="O101" i="15"/>
  <c r="AC94" i="15"/>
  <c r="CU101" i="15"/>
  <c r="BZ94" i="15"/>
  <c r="BC101" i="15"/>
  <c r="CW94" i="15"/>
  <c r="BC94" i="15"/>
  <c r="CI94" i="15"/>
  <c r="CT101" i="15"/>
  <c r="AW101" i="15"/>
  <c r="AW94" i="15"/>
  <c r="BN94" i="15"/>
  <c r="J101" i="15"/>
  <c r="BD101" i="15"/>
  <c r="AJ101" i="15"/>
  <c r="P101" i="15"/>
  <c r="BP94" i="15"/>
  <c r="BB94" i="15"/>
  <c r="DC101" i="15"/>
  <c r="AI101" i="15"/>
  <c r="AK101" i="15"/>
  <c r="BU101" i="15"/>
  <c r="BU94" i="15"/>
  <c r="CA94" i="15"/>
  <c r="V101" i="15"/>
  <c r="X101" i="15"/>
  <c r="CD94" i="15"/>
  <c r="AH94" i="15"/>
  <c r="BL101" i="15"/>
  <c r="AL94" i="15"/>
  <c r="L101" i="15"/>
  <c r="CQ101" i="15"/>
  <c r="CY101" i="15"/>
  <c r="AI94" i="15"/>
  <c r="CZ94" i="15"/>
  <c r="BY94" i="15"/>
  <c r="CS101" i="15"/>
  <c r="Z101" i="15"/>
  <c r="BQ94" i="15"/>
  <c r="AU101" i="15"/>
  <c r="BT101" i="15"/>
  <c r="CY100" i="15" l="1"/>
  <c r="CQ100" i="15"/>
  <c r="CI100" i="15"/>
  <c r="CA100" i="15"/>
  <c r="BS100" i="15"/>
  <c r="BK100" i="15"/>
  <c r="BC100" i="15"/>
  <c r="AU100" i="15"/>
  <c r="AM100" i="15"/>
  <c r="AE100" i="15"/>
  <c r="CX100" i="15"/>
  <c r="CP100" i="15"/>
  <c r="CH100" i="15"/>
  <c r="BZ100" i="15"/>
  <c r="BR100" i="15"/>
  <c r="BJ100" i="15"/>
  <c r="BB100" i="15"/>
  <c r="AT100" i="15"/>
  <c r="AL100" i="15"/>
  <c r="AD100" i="15"/>
  <c r="CW100" i="15"/>
  <c r="CO100" i="15"/>
  <c r="CG100" i="15"/>
  <c r="BY100" i="15"/>
  <c r="BQ100" i="15"/>
  <c r="BI100" i="15"/>
  <c r="BA100" i="15"/>
  <c r="AS100" i="15"/>
  <c r="AK100" i="15"/>
  <c r="AC100" i="15"/>
  <c r="F101" i="15"/>
  <c r="H100" i="15"/>
  <c r="G101" i="15"/>
  <c r="CV100" i="15"/>
  <c r="CN100" i="15"/>
  <c r="CF100" i="15"/>
  <c r="BX100" i="15"/>
  <c r="BP100" i="15"/>
  <c r="BH100" i="15"/>
  <c r="AZ100" i="15"/>
  <c r="AR100" i="15"/>
  <c r="AJ100" i="15"/>
  <c r="DC100" i="15"/>
  <c r="CU100" i="15"/>
  <c r="CM100" i="15"/>
  <c r="CE100" i="15"/>
  <c r="BW100" i="15"/>
  <c r="BO100" i="15"/>
  <c r="BG100" i="15"/>
  <c r="AY100" i="15"/>
  <c r="AQ100" i="15"/>
  <c r="AI100" i="15"/>
  <c r="DB100" i="15"/>
  <c r="CT100" i="15"/>
  <c r="CL100" i="15"/>
  <c r="CD100" i="15"/>
  <c r="BV100" i="15"/>
  <c r="BN100" i="15"/>
  <c r="BF100" i="15"/>
  <c r="AX100" i="15"/>
  <c r="AP100" i="15"/>
  <c r="AH100" i="15"/>
  <c r="F119" i="15"/>
  <c r="G119" i="15"/>
  <c r="DA100" i="15"/>
  <c r="CS100" i="15"/>
  <c r="CK100" i="15"/>
  <c r="CC100" i="15"/>
  <c r="BU100" i="15"/>
  <c r="BM100" i="15"/>
  <c r="BE100" i="15"/>
  <c r="AW100" i="15"/>
  <c r="AO100" i="15"/>
  <c r="AG100" i="15"/>
  <c r="I100" i="15"/>
  <c r="CZ100" i="15"/>
  <c r="CR100" i="15"/>
  <c r="CJ100" i="15"/>
  <c r="CB100" i="15"/>
  <c r="BT100" i="15"/>
  <c r="BL100" i="15"/>
  <c r="BD100" i="15"/>
  <c r="AV100" i="15"/>
  <c r="AN100" i="15"/>
  <c r="AF100" i="15"/>
  <c r="H46" i="4"/>
  <c r="H46" i="5"/>
  <c r="H46" i="6"/>
  <c r="K95" i="4"/>
  <c r="J102" i="4"/>
  <c r="H46" i="15"/>
  <c r="K95" i="15"/>
  <c r="J102" i="15"/>
  <c r="F46" i="15" l="1"/>
  <c r="H45" i="15"/>
  <c r="G46" i="15"/>
  <c r="J100" i="15"/>
  <c r="L95" i="4"/>
  <c r="K102" i="4"/>
  <c r="L95" i="15"/>
  <c r="K102" i="15"/>
  <c r="K100" i="15" l="1"/>
  <c r="L102" i="6"/>
  <c r="M102" i="6" s="1"/>
  <c r="N102" i="6" s="1"/>
  <c r="O102" i="6" s="1"/>
  <c r="P102" i="6" s="1"/>
  <c r="Q102" i="6" s="1"/>
  <c r="R102" i="6" s="1"/>
  <c r="S102" i="6" s="1"/>
  <c r="T102" i="6" s="1"/>
  <c r="U102" i="6" s="1"/>
  <c r="V102" i="6" s="1"/>
  <c r="W102" i="6" s="1"/>
  <c r="X102" i="6" s="1"/>
  <c r="Y102" i="6" s="1"/>
  <c r="Z102" i="6" s="1"/>
  <c r="AA102" i="6" s="1"/>
  <c r="AB102" i="6" s="1"/>
  <c r="L95" i="6"/>
  <c r="M95" i="6" s="1"/>
  <c r="N95" i="6" s="1"/>
  <c r="O95" i="6" s="1"/>
  <c r="P95" i="6" s="1"/>
  <c r="Q95" i="6" s="1"/>
  <c r="R95" i="6" s="1"/>
  <c r="S95" i="6" s="1"/>
  <c r="T95" i="6" s="1"/>
  <c r="U95" i="6" s="1"/>
  <c r="V95" i="6" s="1"/>
  <c r="W95" i="6" s="1"/>
  <c r="X95" i="6" s="1"/>
  <c r="Y95" i="6" s="1"/>
  <c r="Z95" i="6" s="1"/>
  <c r="AA95" i="6" s="1"/>
  <c r="AB95" i="6" s="1"/>
  <c r="AC95" i="6" s="1"/>
  <c r="AD95" i="6" s="1"/>
  <c r="AE95" i="6" s="1"/>
  <c r="AF95" i="6" s="1"/>
  <c r="AG95" i="6" s="1"/>
  <c r="AH95" i="6" s="1"/>
  <c r="AI95" i="6" s="1"/>
  <c r="AJ95" i="6" s="1"/>
  <c r="AK95" i="6" s="1"/>
  <c r="AL95" i="6" s="1"/>
  <c r="AM95" i="6" s="1"/>
  <c r="AN95" i="6" s="1"/>
  <c r="AO95" i="6" s="1"/>
  <c r="AP95" i="6" s="1"/>
  <c r="AQ95" i="6" s="1"/>
  <c r="AR95" i="6" s="1"/>
  <c r="AS95" i="6" s="1"/>
  <c r="AT95" i="6" s="1"/>
  <c r="AU95" i="6" s="1"/>
  <c r="AV95" i="6" s="1"/>
  <c r="AW95" i="6" s="1"/>
  <c r="AX95" i="6" s="1"/>
  <c r="AY95" i="6" s="1"/>
  <c r="AZ95" i="6" s="1"/>
  <c r="BA95" i="6" s="1"/>
  <c r="BB95" i="6" s="1"/>
  <c r="BC95" i="6" s="1"/>
  <c r="BD95" i="6" s="1"/>
  <c r="BE95" i="6" s="1"/>
  <c r="BF95" i="6" s="1"/>
  <c r="BG95" i="6" s="1"/>
  <c r="BH95" i="6" s="1"/>
  <c r="BI95" i="6" s="1"/>
  <c r="BJ95" i="6" s="1"/>
  <c r="BK95" i="6" s="1"/>
  <c r="BL95" i="6" s="1"/>
  <c r="BM95" i="6" s="1"/>
  <c r="BN95" i="6" s="1"/>
  <c r="BO95" i="6" s="1"/>
  <c r="BP95" i="6" s="1"/>
  <c r="BQ95" i="6" s="1"/>
  <c r="BR95" i="6" s="1"/>
  <c r="BS95" i="6" s="1"/>
  <c r="BT95" i="6" s="1"/>
  <c r="BU95" i="6" s="1"/>
  <c r="BV95" i="6" s="1"/>
  <c r="BW95" i="6" s="1"/>
  <c r="BX95" i="6" s="1"/>
  <c r="BY95" i="6" s="1"/>
  <c r="BZ95" i="6" s="1"/>
  <c r="CA95" i="6" s="1"/>
  <c r="CB95" i="6" s="1"/>
  <c r="CC95" i="6" s="1"/>
  <c r="CD95" i="6" s="1"/>
  <c r="CE95" i="6" s="1"/>
  <c r="CF95" i="6" s="1"/>
  <c r="CG95" i="6" s="1"/>
  <c r="CH95" i="6" s="1"/>
  <c r="CI95" i="6" s="1"/>
  <c r="CJ95" i="6" s="1"/>
  <c r="CK95" i="6" s="1"/>
  <c r="CL95" i="6" s="1"/>
  <c r="CM95" i="6" s="1"/>
  <c r="CN95" i="6" s="1"/>
  <c r="CO95" i="6" s="1"/>
  <c r="CP95" i="6" s="1"/>
  <c r="CQ95" i="6" s="1"/>
  <c r="CR95" i="6" s="1"/>
  <c r="CS95" i="6" s="1"/>
  <c r="CT95" i="6" s="1"/>
  <c r="CU95" i="6" s="1"/>
  <c r="CV95" i="6" s="1"/>
  <c r="CW95" i="6" s="1"/>
  <c r="CX95" i="6" s="1"/>
  <c r="CY95" i="6" s="1"/>
  <c r="CZ95" i="6" s="1"/>
  <c r="DA95" i="6" s="1"/>
  <c r="DB95" i="6" s="1"/>
  <c r="DC95" i="6" s="1"/>
  <c r="L102" i="5"/>
  <c r="M102" i="5" s="1"/>
  <c r="N102" i="5" s="1"/>
  <c r="O102" i="5" s="1"/>
  <c r="P102" i="5" s="1"/>
  <c r="Q102" i="5" s="1"/>
  <c r="R102" i="5" s="1"/>
  <c r="S102" i="5" s="1"/>
  <c r="T102" i="5" s="1"/>
  <c r="U102" i="5" s="1"/>
  <c r="V102" i="5" s="1"/>
  <c r="W102" i="5" s="1"/>
  <c r="X102" i="5" s="1"/>
  <c r="Y102" i="5" s="1"/>
  <c r="Z102" i="5" s="1"/>
  <c r="AA102" i="5" s="1"/>
  <c r="AB102" i="5" s="1"/>
  <c r="AC102" i="5" s="1"/>
  <c r="AD102" i="5" s="1"/>
  <c r="AE102" i="5" s="1"/>
  <c r="AF102" i="5" s="1"/>
  <c r="AG102" i="5" s="1"/>
  <c r="AH102" i="5" s="1"/>
  <c r="AI102" i="5" s="1"/>
  <c r="AJ102" i="5" s="1"/>
  <c r="AK102" i="5" s="1"/>
  <c r="AL102" i="5" s="1"/>
  <c r="AM102" i="5" s="1"/>
  <c r="AN102" i="5" s="1"/>
  <c r="AO102" i="5" s="1"/>
  <c r="AP102" i="5" s="1"/>
  <c r="AQ102" i="5" s="1"/>
  <c r="AR102" i="5" s="1"/>
  <c r="AS102" i="5" s="1"/>
  <c r="AT102" i="5" s="1"/>
  <c r="AU102" i="5" s="1"/>
  <c r="AV102" i="5" s="1"/>
  <c r="AW102" i="5" s="1"/>
  <c r="AX102" i="5" s="1"/>
  <c r="AY102" i="5" s="1"/>
  <c r="AZ102" i="5" s="1"/>
  <c r="BA102" i="5" s="1"/>
  <c r="BB102" i="5" s="1"/>
  <c r="BC102" i="5" s="1"/>
  <c r="BD102" i="5" s="1"/>
  <c r="BE102" i="5" s="1"/>
  <c r="BF102" i="5" s="1"/>
  <c r="BG102" i="5" s="1"/>
  <c r="BH102" i="5" s="1"/>
  <c r="BI102" i="5" s="1"/>
  <c r="BJ102" i="5" s="1"/>
  <c r="BK102" i="5" s="1"/>
  <c r="BL102" i="5" s="1"/>
  <c r="BM102" i="5" s="1"/>
  <c r="BN102" i="5" s="1"/>
  <c r="BO102" i="5" s="1"/>
  <c r="BP102" i="5" s="1"/>
  <c r="BQ102" i="5" s="1"/>
  <c r="BR102" i="5" s="1"/>
  <c r="BS102" i="5" s="1"/>
  <c r="BT102" i="5" s="1"/>
  <c r="BU102" i="5" s="1"/>
  <c r="BV102" i="5" s="1"/>
  <c r="BW102" i="5" s="1"/>
  <c r="BX102" i="5" s="1"/>
  <c r="BY102" i="5" s="1"/>
  <c r="BZ102" i="5" s="1"/>
  <c r="CA102" i="5" s="1"/>
  <c r="CB102" i="5" s="1"/>
  <c r="CC102" i="5" s="1"/>
  <c r="CD102" i="5" s="1"/>
  <c r="CE102" i="5" s="1"/>
  <c r="CF102" i="5" s="1"/>
  <c r="CG102" i="5" s="1"/>
  <c r="CH102" i="5" s="1"/>
  <c r="CI102" i="5" s="1"/>
  <c r="CJ102" i="5" s="1"/>
  <c r="CK102" i="5" s="1"/>
  <c r="CL102" i="5" s="1"/>
  <c r="CM102" i="5" s="1"/>
  <c r="CN102" i="5" s="1"/>
  <c r="CO102" i="5" s="1"/>
  <c r="CP102" i="5" s="1"/>
  <c r="CQ102" i="5" s="1"/>
  <c r="CR102" i="5" s="1"/>
  <c r="CS102" i="5" s="1"/>
  <c r="CT102" i="5" s="1"/>
  <c r="CU102" i="5" s="1"/>
  <c r="CV102" i="5" s="1"/>
  <c r="CW102" i="5" s="1"/>
  <c r="CX102" i="5" s="1"/>
  <c r="CY102" i="5" s="1"/>
  <c r="CZ102" i="5" s="1"/>
  <c r="DA102" i="5" s="1"/>
  <c r="DB102" i="5" s="1"/>
  <c r="DC102" i="5" s="1"/>
  <c r="L102" i="4"/>
  <c r="M95" i="4"/>
  <c r="M189" i="9"/>
  <c r="L189" i="9"/>
  <c r="M187" i="9"/>
  <c r="L187" i="9"/>
  <c r="M186" i="9"/>
  <c r="M188" i="9" s="1"/>
  <c r="L186" i="9"/>
  <c r="L188" i="9" s="1"/>
  <c r="H199" i="9"/>
  <c r="D54" i="12" s="1"/>
  <c r="H198" i="9"/>
  <c r="D53" i="12" s="1"/>
  <c r="H197" i="9"/>
  <c r="D52" i="12" s="1"/>
  <c r="H196" i="9"/>
  <c r="D51" i="12" s="1"/>
  <c r="H195" i="9"/>
  <c r="D50" i="12" s="1"/>
  <c r="G199" i="9"/>
  <c r="D41" i="12" s="1"/>
  <c r="G198" i="9"/>
  <c r="D40" i="12" s="1"/>
  <c r="G197" i="9"/>
  <c r="D39" i="12" s="1"/>
  <c r="G196" i="9"/>
  <c r="D38" i="12" s="1"/>
  <c r="G195" i="9"/>
  <c r="D37" i="12" s="1"/>
  <c r="F199" i="9"/>
  <c r="D28" i="12" s="1"/>
  <c r="F198" i="9"/>
  <c r="D27" i="12" s="1"/>
  <c r="F197" i="9"/>
  <c r="D26" i="12" s="1"/>
  <c r="F196" i="9"/>
  <c r="D25" i="12" s="1"/>
  <c r="F195" i="9"/>
  <c r="D24" i="12" s="1"/>
  <c r="L102" i="15"/>
  <c r="M95" i="15"/>
  <c r="L100" i="15" l="1"/>
  <c r="M102" i="4"/>
  <c r="N95" i="4"/>
  <c r="R154" i="9"/>
  <c r="U154" i="9" s="1"/>
  <c r="R153" i="9"/>
  <c r="U153" i="9" s="1"/>
  <c r="R152" i="9"/>
  <c r="U152" i="9" s="1"/>
  <c r="R151" i="9"/>
  <c r="S151" i="9" s="1"/>
  <c r="R150" i="9"/>
  <c r="G152" i="9"/>
  <c r="G151" i="9"/>
  <c r="G150" i="9"/>
  <c r="E156" i="9"/>
  <c r="J156" i="9" s="1"/>
  <c r="E155" i="9"/>
  <c r="J155" i="9" s="1"/>
  <c r="E154" i="9"/>
  <c r="J154" i="9" s="1"/>
  <c r="E153" i="9"/>
  <c r="E152" i="9"/>
  <c r="E151" i="9"/>
  <c r="E150" i="9"/>
  <c r="AD159" i="9"/>
  <c r="AD158" i="9" s="1"/>
  <c r="Z156" i="9"/>
  <c r="X156" i="9"/>
  <c r="Y156" i="9" s="1"/>
  <c r="V156" i="9" s="1"/>
  <c r="R156" i="9"/>
  <c r="U156" i="9" s="1"/>
  <c r="Z155" i="9"/>
  <c r="X155" i="9"/>
  <c r="Y155" i="9" s="1"/>
  <c r="V155" i="9" s="1"/>
  <c r="R155" i="9"/>
  <c r="U155" i="9" s="1"/>
  <c r="Z154" i="9"/>
  <c r="X154" i="9"/>
  <c r="Y154" i="9" s="1"/>
  <c r="V154" i="9" s="1"/>
  <c r="Z153" i="9"/>
  <c r="X153" i="9"/>
  <c r="Y153" i="9" s="1"/>
  <c r="V153" i="9" s="1"/>
  <c r="Z152" i="9"/>
  <c r="X152" i="9"/>
  <c r="Y152" i="9" s="1"/>
  <c r="V152" i="9" s="1"/>
  <c r="Z151" i="9"/>
  <c r="X151" i="9"/>
  <c r="Y151" i="9" s="1"/>
  <c r="V151" i="9" s="1"/>
  <c r="Z150" i="9"/>
  <c r="R140" i="9"/>
  <c r="S140" i="9" s="1"/>
  <c r="R139" i="9"/>
  <c r="U139" i="9" s="1"/>
  <c r="R138" i="9"/>
  <c r="U138" i="9" s="1"/>
  <c r="R137" i="9"/>
  <c r="S137" i="9" s="1"/>
  <c r="R136" i="9"/>
  <c r="U136" i="9" s="1"/>
  <c r="R135" i="9"/>
  <c r="T135" i="9" s="1"/>
  <c r="R134" i="9"/>
  <c r="U134" i="9" s="1"/>
  <c r="G136" i="9"/>
  <c r="G135" i="9"/>
  <c r="G134" i="9"/>
  <c r="E140" i="9"/>
  <c r="J140" i="9" s="1"/>
  <c r="E139" i="9"/>
  <c r="J139" i="9" s="1"/>
  <c r="E138" i="9"/>
  <c r="J138" i="9" s="1"/>
  <c r="E137" i="9"/>
  <c r="E136" i="9"/>
  <c r="E135" i="9"/>
  <c r="E134" i="9"/>
  <c r="I134" i="9" s="1"/>
  <c r="AD143" i="9"/>
  <c r="AD142" i="9" s="1"/>
  <c r="Z140" i="9"/>
  <c r="X140" i="9"/>
  <c r="Y140" i="9" s="1"/>
  <c r="V140" i="9" s="1"/>
  <c r="Z139" i="9"/>
  <c r="X139" i="9"/>
  <c r="Y139" i="9" s="1"/>
  <c r="V139" i="9" s="1"/>
  <c r="Z138" i="9"/>
  <c r="X138" i="9"/>
  <c r="Y138" i="9" s="1"/>
  <c r="V138" i="9" s="1"/>
  <c r="Z137" i="9"/>
  <c r="X137" i="9"/>
  <c r="AE137" i="9" s="1"/>
  <c r="Z136" i="9"/>
  <c r="X136" i="9"/>
  <c r="AE136" i="9" s="1"/>
  <c r="Z135" i="9"/>
  <c r="X135" i="9"/>
  <c r="AE135" i="9" s="1"/>
  <c r="Z134" i="9"/>
  <c r="G119" i="9"/>
  <c r="G118" i="9"/>
  <c r="R121" i="9"/>
  <c r="T121" i="9" s="1"/>
  <c r="R120" i="9"/>
  <c r="R119" i="9"/>
  <c r="S119" i="9" s="1"/>
  <c r="R118" i="9"/>
  <c r="E124" i="9"/>
  <c r="J124" i="9" s="1"/>
  <c r="E123" i="9"/>
  <c r="J123" i="9" s="1"/>
  <c r="E122" i="9"/>
  <c r="J122" i="9" s="1"/>
  <c r="E121" i="9"/>
  <c r="J121" i="9" s="1"/>
  <c r="E120" i="9"/>
  <c r="E119" i="9"/>
  <c r="E118" i="9"/>
  <c r="I118" i="9" s="1"/>
  <c r="AD127" i="9"/>
  <c r="AD125" i="9" s="1"/>
  <c r="Z124" i="9"/>
  <c r="X124" i="9"/>
  <c r="Y124" i="9" s="1"/>
  <c r="V124" i="9" s="1"/>
  <c r="R124" i="9"/>
  <c r="S124" i="9" s="1"/>
  <c r="Z123" i="9"/>
  <c r="X123" i="9"/>
  <c r="Y123" i="9" s="1"/>
  <c r="V123" i="9" s="1"/>
  <c r="R123" i="9"/>
  <c r="U123" i="9" s="1"/>
  <c r="Z122" i="9"/>
  <c r="X122" i="9"/>
  <c r="Y122" i="9" s="1"/>
  <c r="V122" i="9" s="1"/>
  <c r="R122" i="9"/>
  <c r="U122" i="9" s="1"/>
  <c r="Z121" i="9"/>
  <c r="X121" i="9"/>
  <c r="Y121" i="9" s="1"/>
  <c r="V121" i="9" s="1"/>
  <c r="Z120" i="9"/>
  <c r="X120" i="9"/>
  <c r="Y120" i="9" s="1"/>
  <c r="V120" i="9" s="1"/>
  <c r="Z119" i="9"/>
  <c r="X119" i="9"/>
  <c r="Y119" i="9" s="1"/>
  <c r="V119" i="9" s="1"/>
  <c r="Z118" i="9"/>
  <c r="X118" i="9"/>
  <c r="Y118" i="9" s="1"/>
  <c r="V118" i="9" s="1"/>
  <c r="R105" i="9"/>
  <c r="U105" i="9" s="1"/>
  <c r="R104" i="9"/>
  <c r="T104" i="9" s="1"/>
  <c r="R103" i="9"/>
  <c r="U103" i="9" s="1"/>
  <c r="R102" i="9"/>
  <c r="S102" i="9" s="1"/>
  <c r="E107" i="9"/>
  <c r="J107" i="9" s="1"/>
  <c r="K107" i="9" s="1"/>
  <c r="E106" i="9"/>
  <c r="J106" i="9" s="1"/>
  <c r="E105" i="9"/>
  <c r="E104" i="9"/>
  <c r="E103" i="9"/>
  <c r="I103" i="9" s="1"/>
  <c r="E102" i="9"/>
  <c r="AD110" i="9"/>
  <c r="AD108" i="9" s="1"/>
  <c r="Z107" i="9"/>
  <c r="Y107" i="9"/>
  <c r="V107" i="9" s="1"/>
  <c r="U107" i="9"/>
  <c r="Q107" i="9" s="1"/>
  <c r="Z106" i="9"/>
  <c r="Y106" i="9"/>
  <c r="V106" i="9" s="1"/>
  <c r="U106" i="9"/>
  <c r="Q106" i="9" s="1"/>
  <c r="Z105" i="9"/>
  <c r="X105" i="9"/>
  <c r="Y105" i="9" s="1"/>
  <c r="V105" i="9" s="1"/>
  <c r="Z104" i="9"/>
  <c r="X104" i="9"/>
  <c r="AE104" i="9" s="1"/>
  <c r="Z103" i="9"/>
  <c r="X103" i="9"/>
  <c r="AE103" i="9" s="1"/>
  <c r="Z102" i="9"/>
  <c r="J47" i="4"/>
  <c r="G86" i="9"/>
  <c r="G87" i="9"/>
  <c r="G85" i="9"/>
  <c r="R91" i="9"/>
  <c r="U91" i="9" s="1"/>
  <c r="R90" i="9"/>
  <c r="T90" i="9" s="1"/>
  <c r="Q89" i="9"/>
  <c r="R88" i="9"/>
  <c r="T88" i="9" s="1"/>
  <c r="R87" i="9"/>
  <c r="U87" i="9" s="1"/>
  <c r="R86" i="9"/>
  <c r="U86" i="9" s="1"/>
  <c r="R85" i="9"/>
  <c r="E91" i="9"/>
  <c r="J91" i="9" s="1"/>
  <c r="E90" i="9"/>
  <c r="J90" i="9" s="1"/>
  <c r="E89" i="9"/>
  <c r="J89" i="9" s="1"/>
  <c r="E88" i="9"/>
  <c r="I88" i="9" s="1"/>
  <c r="J88" i="9" s="1"/>
  <c r="L88" i="9" s="1"/>
  <c r="E87" i="9"/>
  <c r="I87" i="9" s="1"/>
  <c r="E86" i="9"/>
  <c r="E85" i="9"/>
  <c r="I85" i="9" s="1"/>
  <c r="AD94" i="9"/>
  <c r="AD93" i="9" s="1"/>
  <c r="Z91" i="9"/>
  <c r="X91" i="9"/>
  <c r="Y91" i="9" s="1"/>
  <c r="W91" i="9"/>
  <c r="Z90" i="9"/>
  <c r="X90" i="9"/>
  <c r="Y90" i="9" s="1"/>
  <c r="W90" i="9"/>
  <c r="Z89" i="9"/>
  <c r="W89" i="9"/>
  <c r="V89" i="9" s="1"/>
  <c r="Z88" i="9"/>
  <c r="X88" i="9"/>
  <c r="Y88" i="9" s="1"/>
  <c r="V88" i="9" s="1"/>
  <c r="Z87" i="9"/>
  <c r="X87" i="9"/>
  <c r="AE87" i="9" s="1"/>
  <c r="Z86" i="9"/>
  <c r="X86" i="9"/>
  <c r="Y86" i="9" s="1"/>
  <c r="V86" i="9" s="1"/>
  <c r="Z85" i="9"/>
  <c r="G70" i="9"/>
  <c r="G69" i="9"/>
  <c r="G68" i="9"/>
  <c r="E74" i="9"/>
  <c r="J74" i="9" s="1"/>
  <c r="E73" i="9"/>
  <c r="J73" i="9" s="1"/>
  <c r="R71" i="9"/>
  <c r="T71" i="9" s="1"/>
  <c r="R70" i="9"/>
  <c r="S70" i="9" s="1"/>
  <c r="R69" i="9"/>
  <c r="R68" i="9"/>
  <c r="T68" i="9" s="1"/>
  <c r="E68" i="9"/>
  <c r="I68" i="9" s="1"/>
  <c r="E69" i="9"/>
  <c r="E70" i="9"/>
  <c r="E71" i="9"/>
  <c r="I71" i="9" s="1"/>
  <c r="J71" i="9" s="1"/>
  <c r="L71" i="9" s="1"/>
  <c r="E72" i="9"/>
  <c r="J72" i="9" s="1"/>
  <c r="AD77" i="9"/>
  <c r="AD75" i="9" s="1"/>
  <c r="Z74" i="9"/>
  <c r="X74" i="9"/>
  <c r="Y74" i="9" s="1"/>
  <c r="W74" i="9"/>
  <c r="R74" i="9"/>
  <c r="T74" i="9" s="1"/>
  <c r="Z73" i="9"/>
  <c r="X73" i="9"/>
  <c r="Y73" i="9" s="1"/>
  <c r="W73" i="9"/>
  <c r="R73" i="9"/>
  <c r="S73" i="9" s="1"/>
  <c r="Z72" i="9"/>
  <c r="W72" i="9"/>
  <c r="V72" i="9" s="1"/>
  <c r="Q72" i="9"/>
  <c r="X71" i="9"/>
  <c r="AE71" i="9" s="1"/>
  <c r="X70" i="9"/>
  <c r="Y70" i="9" s="1"/>
  <c r="V70" i="9" s="1"/>
  <c r="X69" i="9"/>
  <c r="Y69" i="9" s="1"/>
  <c r="V69" i="9" s="1"/>
  <c r="E56" i="9"/>
  <c r="J56" i="9" s="1"/>
  <c r="E57" i="9"/>
  <c r="J57" i="9" s="1"/>
  <c r="E55" i="9"/>
  <c r="J55" i="9" s="1"/>
  <c r="R52" i="9"/>
  <c r="U52" i="9" s="1"/>
  <c r="R53" i="9"/>
  <c r="U53" i="9" s="1"/>
  <c r="R54" i="9"/>
  <c r="U54" i="9" s="1"/>
  <c r="R55" i="9"/>
  <c r="S55" i="9" s="1"/>
  <c r="R56" i="9"/>
  <c r="T56" i="9" s="1"/>
  <c r="R57" i="9"/>
  <c r="U57" i="9" s="1"/>
  <c r="T51" i="9"/>
  <c r="G52" i="9"/>
  <c r="G53" i="9"/>
  <c r="G51" i="9"/>
  <c r="E52" i="9"/>
  <c r="E53" i="9"/>
  <c r="E54" i="9"/>
  <c r="E51" i="9"/>
  <c r="AD60" i="9"/>
  <c r="AD59" i="9" s="1"/>
  <c r="Z57" i="9"/>
  <c r="X57" i="9"/>
  <c r="Y57" i="9" s="1"/>
  <c r="W57" i="9"/>
  <c r="Z56" i="9"/>
  <c r="X56" i="9"/>
  <c r="Y56" i="9" s="1"/>
  <c r="W56" i="9"/>
  <c r="Z55" i="9"/>
  <c r="X55" i="9"/>
  <c r="Y55" i="9" s="1"/>
  <c r="W55" i="9"/>
  <c r="Z54" i="9"/>
  <c r="X54" i="9"/>
  <c r="Y54" i="9" s="1"/>
  <c r="V54" i="9" s="1"/>
  <c r="Z53" i="9"/>
  <c r="X53" i="9"/>
  <c r="Y53" i="9" s="1"/>
  <c r="V53" i="9" s="1"/>
  <c r="Z52" i="9"/>
  <c r="X52" i="9"/>
  <c r="Y52" i="9" s="1"/>
  <c r="V52" i="9" s="1"/>
  <c r="Z51" i="9"/>
  <c r="M102" i="15"/>
  <c r="J47" i="15"/>
  <c r="N95" i="15"/>
  <c r="V127" i="9" l="1"/>
  <c r="M100" i="15"/>
  <c r="J45" i="15"/>
  <c r="I47" i="6"/>
  <c r="I47" i="5"/>
  <c r="K47" i="4"/>
  <c r="K47" i="5"/>
  <c r="J47" i="5"/>
  <c r="O95" i="4"/>
  <c r="N102" i="4"/>
  <c r="V57" i="9"/>
  <c r="U70" i="9"/>
  <c r="Z69" i="9"/>
  <c r="V74" i="9"/>
  <c r="I151" i="9"/>
  <c r="J151" i="9" s="1"/>
  <c r="Z70" i="9"/>
  <c r="V55" i="9"/>
  <c r="U73" i="9"/>
  <c r="Z71" i="9"/>
  <c r="Z68" i="9"/>
  <c r="AD126" i="9"/>
  <c r="J134" i="9"/>
  <c r="K186" i="9"/>
  <c r="K188" i="9" s="1"/>
  <c r="I47" i="4"/>
  <c r="AD76" i="9"/>
  <c r="Z143" i="9"/>
  <c r="Z142" i="9" s="1"/>
  <c r="I53" i="9"/>
  <c r="J53" i="9" s="1"/>
  <c r="AE143" i="9"/>
  <c r="I86" i="9"/>
  <c r="J86" i="9" s="1"/>
  <c r="AE151" i="9"/>
  <c r="AE88" i="9"/>
  <c r="AE86" i="9"/>
  <c r="AE105" i="9"/>
  <c r="AE110" i="9" s="1"/>
  <c r="V73" i="9"/>
  <c r="Z60" i="9"/>
  <c r="Z59" i="9" s="1"/>
  <c r="AE69" i="9"/>
  <c r="V56" i="9"/>
  <c r="U102" i="9"/>
  <c r="V51" i="9"/>
  <c r="V91" i="9"/>
  <c r="K187" i="9"/>
  <c r="AD58" i="9"/>
  <c r="U74" i="9"/>
  <c r="Z94" i="9"/>
  <c r="Z93" i="9" s="1"/>
  <c r="U56" i="9"/>
  <c r="T73" i="9"/>
  <c r="Z159" i="9"/>
  <c r="Z158" i="9" s="1"/>
  <c r="K189" i="9"/>
  <c r="S156" i="9"/>
  <c r="I150" i="9"/>
  <c r="J150" i="9" s="1"/>
  <c r="AE152" i="9"/>
  <c r="AE153" i="9"/>
  <c r="T156" i="9"/>
  <c r="T150" i="9"/>
  <c r="T151" i="9"/>
  <c r="S152" i="9"/>
  <c r="S153" i="9"/>
  <c r="S154" i="9"/>
  <c r="U150" i="9"/>
  <c r="U151" i="9"/>
  <c r="T152" i="9"/>
  <c r="T153" i="9"/>
  <c r="T154" i="9"/>
  <c r="AD157" i="9"/>
  <c r="S150" i="9"/>
  <c r="K155" i="9"/>
  <c r="K154" i="9"/>
  <c r="V159" i="9"/>
  <c r="K156" i="9"/>
  <c r="I153" i="9"/>
  <c r="J153" i="9" s="1"/>
  <c r="L153" i="9" s="1"/>
  <c r="V150" i="9"/>
  <c r="T155" i="9"/>
  <c r="I152" i="9"/>
  <c r="J152" i="9" s="1"/>
  <c r="L152" i="9" s="1"/>
  <c r="S155" i="9"/>
  <c r="T137" i="9"/>
  <c r="U137" i="9"/>
  <c r="S136" i="9"/>
  <c r="T136" i="9"/>
  <c r="U135" i="9"/>
  <c r="V134" i="9"/>
  <c r="T140" i="9"/>
  <c r="U140" i="9"/>
  <c r="Y136" i="9"/>
  <c r="V136" i="9" s="1"/>
  <c r="S139" i="9"/>
  <c r="I136" i="9"/>
  <c r="J136" i="9" s="1"/>
  <c r="L136" i="9" s="1"/>
  <c r="AD141" i="9"/>
  <c r="I135" i="9"/>
  <c r="J135" i="9" s="1"/>
  <c r="K139" i="9"/>
  <c r="K138" i="9"/>
  <c r="K140" i="9"/>
  <c r="I137" i="9"/>
  <c r="J137" i="9" s="1"/>
  <c r="L137" i="9" s="1"/>
  <c r="Y135" i="9"/>
  <c r="V135" i="9" s="1"/>
  <c r="T139" i="9"/>
  <c r="Y137" i="9"/>
  <c r="V137" i="9" s="1"/>
  <c r="S134" i="9"/>
  <c r="S138" i="9"/>
  <c r="T134" i="9"/>
  <c r="S135" i="9"/>
  <c r="T138" i="9"/>
  <c r="K121" i="9"/>
  <c r="U119" i="9"/>
  <c r="S120" i="9"/>
  <c r="S122" i="9"/>
  <c r="Z127" i="9"/>
  <c r="Z126" i="9" s="1"/>
  <c r="T120" i="9"/>
  <c r="S121" i="9"/>
  <c r="T122" i="9"/>
  <c r="S123" i="9"/>
  <c r="U120" i="9"/>
  <c r="U121" i="9"/>
  <c r="T123" i="9"/>
  <c r="T119" i="9"/>
  <c r="J118" i="9"/>
  <c r="I120" i="9"/>
  <c r="J120" i="9" s="1"/>
  <c r="K123" i="9"/>
  <c r="K124" i="9"/>
  <c r="K122" i="9"/>
  <c r="T124" i="9"/>
  <c r="S118" i="9"/>
  <c r="AE119" i="9"/>
  <c r="AE120" i="9"/>
  <c r="U124" i="9"/>
  <c r="T118" i="9"/>
  <c r="U118" i="9"/>
  <c r="AE118" i="9"/>
  <c r="I119" i="9"/>
  <c r="J119" i="9" s="1"/>
  <c r="L119" i="9" s="1"/>
  <c r="Y104" i="9"/>
  <c r="V104" i="9" s="1"/>
  <c r="Y103" i="9"/>
  <c r="V103" i="9" s="1"/>
  <c r="Z110" i="9"/>
  <c r="Z108" i="9" s="1"/>
  <c r="V102" i="9"/>
  <c r="AF107" i="9"/>
  <c r="K106" i="9"/>
  <c r="AF106" i="9" s="1"/>
  <c r="S103" i="9"/>
  <c r="S105" i="9"/>
  <c r="T105" i="9"/>
  <c r="AD109" i="9"/>
  <c r="S104" i="9"/>
  <c r="J103" i="9"/>
  <c r="L103" i="9" s="1"/>
  <c r="I104" i="9"/>
  <c r="J104" i="9" s="1"/>
  <c r="L104" i="9" s="1"/>
  <c r="U104" i="9"/>
  <c r="I105" i="9"/>
  <c r="J105" i="9" s="1"/>
  <c r="L105" i="9" s="1"/>
  <c r="T102" i="9"/>
  <c r="I102" i="9"/>
  <c r="J102" i="9" s="1"/>
  <c r="L102" i="9" s="1"/>
  <c r="T103" i="9"/>
  <c r="J85" i="9"/>
  <c r="J87" i="9"/>
  <c r="S90" i="9"/>
  <c r="U90" i="9"/>
  <c r="V85" i="9"/>
  <c r="T86" i="9"/>
  <c r="S88" i="9"/>
  <c r="V90" i="9"/>
  <c r="U88" i="9"/>
  <c r="AD92" i="9"/>
  <c r="K89" i="9"/>
  <c r="AF89" i="9" s="1"/>
  <c r="K88" i="9"/>
  <c r="K90" i="9"/>
  <c r="K91" i="9"/>
  <c r="S85" i="9"/>
  <c r="T85" i="9"/>
  <c r="Y87" i="9"/>
  <c r="V87" i="9" s="1"/>
  <c r="U85" i="9"/>
  <c r="S86" i="9"/>
  <c r="S87" i="9"/>
  <c r="S91" i="9"/>
  <c r="T87" i="9"/>
  <c r="T91" i="9"/>
  <c r="U68" i="9"/>
  <c r="T70" i="9"/>
  <c r="U71" i="9"/>
  <c r="J68" i="9"/>
  <c r="K72" i="9"/>
  <c r="AF72" i="9" s="1"/>
  <c r="K71" i="9"/>
  <c r="K73" i="9"/>
  <c r="K74" i="9"/>
  <c r="S69" i="9"/>
  <c r="V68" i="9"/>
  <c r="I69" i="9"/>
  <c r="J69" i="9" s="1"/>
  <c r="L69" i="9" s="1"/>
  <c r="U69" i="9"/>
  <c r="Y71" i="9"/>
  <c r="V71" i="9" s="1"/>
  <c r="AE70" i="9"/>
  <c r="S68" i="9"/>
  <c r="I70" i="9"/>
  <c r="J70" i="9" s="1"/>
  <c r="L70" i="9" s="1"/>
  <c r="S71" i="9"/>
  <c r="S74" i="9"/>
  <c r="T69" i="9"/>
  <c r="T57" i="9"/>
  <c r="S56" i="9"/>
  <c r="K55" i="9"/>
  <c r="K57" i="9"/>
  <c r="K56" i="9"/>
  <c r="T55" i="9"/>
  <c r="S51" i="9"/>
  <c r="I51" i="9"/>
  <c r="J51" i="9" s="1"/>
  <c r="L51" i="9" s="1"/>
  <c r="U51" i="9"/>
  <c r="T52" i="9"/>
  <c r="S53" i="9"/>
  <c r="S54" i="9"/>
  <c r="U55" i="9"/>
  <c r="T53" i="9"/>
  <c r="S52" i="9"/>
  <c r="I52" i="9"/>
  <c r="J52" i="9" s="1"/>
  <c r="L52" i="9" s="1"/>
  <c r="T54" i="9"/>
  <c r="I54" i="9"/>
  <c r="J54" i="9" s="1"/>
  <c r="L54" i="9" s="1"/>
  <c r="S57" i="9"/>
  <c r="N102" i="15"/>
  <c r="I47" i="15"/>
  <c r="K47" i="15"/>
  <c r="O95" i="15"/>
  <c r="N100" i="15" l="1"/>
  <c r="K45" i="15"/>
  <c r="F47" i="15"/>
  <c r="F45" i="15" s="1"/>
  <c r="I45" i="15"/>
  <c r="G47" i="15"/>
  <c r="V77" i="9"/>
  <c r="V75" i="9" s="1"/>
  <c r="V60" i="9"/>
  <c r="V58" i="9" s="1"/>
  <c r="K150" i="9"/>
  <c r="L150" i="9"/>
  <c r="K135" i="9"/>
  <c r="L135" i="9"/>
  <c r="K151" i="9"/>
  <c r="L151" i="9"/>
  <c r="K134" i="9"/>
  <c r="L134" i="9"/>
  <c r="Q51" i="9"/>
  <c r="K87" i="9"/>
  <c r="L87" i="9"/>
  <c r="K85" i="9"/>
  <c r="L85" i="9"/>
  <c r="K120" i="9"/>
  <c r="L120" i="9"/>
  <c r="K118" i="9"/>
  <c r="L118" i="9"/>
  <c r="K86" i="9"/>
  <c r="L86" i="9"/>
  <c r="K53" i="9"/>
  <c r="L53" i="9"/>
  <c r="L58" i="9" s="1"/>
  <c r="K68" i="9"/>
  <c r="L68" i="9"/>
  <c r="L75" i="9" s="1"/>
  <c r="L76" i="9" s="1"/>
  <c r="P95" i="4"/>
  <c r="O102" i="4"/>
  <c r="Q70" i="9"/>
  <c r="Z77" i="9"/>
  <c r="Q71" i="9"/>
  <c r="AF71" i="9" s="1"/>
  <c r="Z109" i="9"/>
  <c r="Z141" i="9"/>
  <c r="Q74" i="9"/>
  <c r="AF74" i="9" s="1"/>
  <c r="Z92" i="9"/>
  <c r="Q73" i="9"/>
  <c r="AF73" i="9" s="1"/>
  <c r="Q124" i="9"/>
  <c r="AF124" i="9" s="1"/>
  <c r="Q122" i="9"/>
  <c r="AF122" i="9" s="1"/>
  <c r="AE60" i="9"/>
  <c r="AE159" i="9"/>
  <c r="Q102" i="9"/>
  <c r="Q136" i="9"/>
  <c r="Q56" i="9"/>
  <c r="AF56" i="9" s="1"/>
  <c r="Q137" i="9"/>
  <c r="Q150" i="9"/>
  <c r="AE94" i="9"/>
  <c r="Q118" i="9"/>
  <c r="Q119" i="9"/>
  <c r="Q88" i="9"/>
  <c r="AF88" i="9" s="1"/>
  <c r="Q55" i="9"/>
  <c r="AF55" i="9" s="1"/>
  <c r="AE77" i="9"/>
  <c r="Z58" i="9"/>
  <c r="Q57" i="9"/>
  <c r="AF57" i="9" s="1"/>
  <c r="Q86" i="9"/>
  <c r="Q135" i="9"/>
  <c r="Q140" i="9"/>
  <c r="AF140" i="9" s="1"/>
  <c r="Q87" i="9"/>
  <c r="Z125" i="9"/>
  <c r="Z157" i="9"/>
  <c r="Q68" i="9"/>
  <c r="V110" i="9"/>
  <c r="Q154" i="9"/>
  <c r="AF154" i="9" s="1"/>
  <c r="Q151" i="9"/>
  <c r="Q153" i="9"/>
  <c r="Q155" i="9"/>
  <c r="AF155" i="9" s="1"/>
  <c r="Q152" i="9"/>
  <c r="Q156" i="9"/>
  <c r="AF156" i="9" s="1"/>
  <c r="K153" i="9"/>
  <c r="K152" i="9"/>
  <c r="J157" i="9"/>
  <c r="V158" i="9"/>
  <c r="V157" i="9"/>
  <c r="K136" i="9"/>
  <c r="Q139" i="9"/>
  <c r="AF139" i="9" s="1"/>
  <c r="J141" i="9"/>
  <c r="J143" i="9" s="1"/>
  <c r="Q138" i="9"/>
  <c r="AF138" i="9" s="1"/>
  <c r="Q134" i="9"/>
  <c r="V143" i="9"/>
  <c r="K137" i="9"/>
  <c r="Q120" i="9"/>
  <c r="Q123" i="9"/>
  <c r="AF123" i="9" s="1"/>
  <c r="Q121" i="9"/>
  <c r="AF121" i="9" s="1"/>
  <c r="K119" i="9"/>
  <c r="V126" i="9"/>
  <c r="V125" i="9"/>
  <c r="AE127" i="9"/>
  <c r="J125" i="9"/>
  <c r="Q103" i="9"/>
  <c r="L108" i="9"/>
  <c r="L110" i="9" s="1"/>
  <c r="K104" i="9"/>
  <c r="K103" i="9"/>
  <c r="Q105" i="9"/>
  <c r="Q104" i="9"/>
  <c r="K105" i="9"/>
  <c r="J108" i="9"/>
  <c r="K102" i="9"/>
  <c r="Q90" i="9"/>
  <c r="AF90" i="9" s="1"/>
  <c r="V94" i="9"/>
  <c r="V93" i="9" s="1"/>
  <c r="J92" i="9"/>
  <c r="J94" i="9" s="1"/>
  <c r="Q91" i="9"/>
  <c r="AF91" i="9" s="1"/>
  <c r="Q85" i="9"/>
  <c r="Q69" i="9"/>
  <c r="K70" i="9"/>
  <c r="J75" i="9"/>
  <c r="K69" i="9"/>
  <c r="Z76" i="9"/>
  <c r="Z75" i="9"/>
  <c r="Q53" i="9"/>
  <c r="K52" i="9"/>
  <c r="J58" i="9"/>
  <c r="K51" i="9"/>
  <c r="K54" i="9"/>
  <c r="Q52" i="9"/>
  <c r="Q54" i="9"/>
  <c r="P95" i="15"/>
  <c r="O102" i="15"/>
  <c r="K125" i="9" l="1"/>
  <c r="K126" i="9" s="1"/>
  <c r="K92" i="9"/>
  <c r="K94" i="9" s="1"/>
  <c r="O100" i="15"/>
  <c r="G45" i="15"/>
  <c r="AF150" i="9"/>
  <c r="L92" i="9"/>
  <c r="L93" i="9" s="1"/>
  <c r="AF87" i="9"/>
  <c r="AF135" i="9"/>
  <c r="AF86" i="9"/>
  <c r="AF53" i="9"/>
  <c r="AF68" i="9"/>
  <c r="AF151" i="9"/>
  <c r="AF120" i="9"/>
  <c r="L141" i="9"/>
  <c r="L157" i="9"/>
  <c r="L60" i="9"/>
  <c r="L59" i="9"/>
  <c r="AF118" i="9"/>
  <c r="L125" i="9"/>
  <c r="Q95" i="4"/>
  <c r="P102" i="4"/>
  <c r="AF70" i="9"/>
  <c r="L77" i="9"/>
  <c r="AF102" i="9"/>
  <c r="AF136" i="9"/>
  <c r="AF137" i="9"/>
  <c r="V59" i="9"/>
  <c r="AF119" i="9"/>
  <c r="K141" i="9"/>
  <c r="K143" i="9" s="1"/>
  <c r="AF103" i="9"/>
  <c r="AF153" i="9"/>
  <c r="Q75" i="9"/>
  <c r="Q77" i="9" s="1"/>
  <c r="Q141" i="9"/>
  <c r="Q143" i="9" s="1"/>
  <c r="AF69" i="9"/>
  <c r="V109" i="9"/>
  <c r="V108" i="9"/>
  <c r="AF51" i="9"/>
  <c r="Q157" i="9"/>
  <c r="Q159" i="9" s="1"/>
  <c r="L109" i="9"/>
  <c r="V76" i="9"/>
  <c r="AF54" i="9"/>
  <c r="AF152" i="9"/>
  <c r="J159" i="9"/>
  <c r="J158" i="9"/>
  <c r="K157" i="9"/>
  <c r="AF134" i="9"/>
  <c r="J142" i="9"/>
  <c r="V142" i="9"/>
  <c r="V141" i="9"/>
  <c r="Q125" i="9"/>
  <c r="J127" i="9"/>
  <c r="J126" i="9"/>
  <c r="Q108" i="9"/>
  <c r="Q110" i="9" s="1"/>
  <c r="AF104" i="9"/>
  <c r="K108" i="9"/>
  <c r="J110" i="9"/>
  <c r="J109" i="9"/>
  <c r="AF105" i="9"/>
  <c r="Q92" i="9"/>
  <c r="Q94" i="9" s="1"/>
  <c r="J93" i="9"/>
  <c r="V92" i="9"/>
  <c r="AF85" i="9"/>
  <c r="K75" i="9"/>
  <c r="J76" i="9"/>
  <c r="J77" i="9"/>
  <c r="Q58" i="9"/>
  <c r="Q60" i="9" s="1"/>
  <c r="AF52" i="9"/>
  <c r="K58" i="9"/>
  <c r="J60" i="9"/>
  <c r="J59" i="9"/>
  <c r="Q95" i="15"/>
  <c r="P102" i="15"/>
  <c r="K93" i="9" l="1"/>
  <c r="L94" i="9"/>
  <c r="K127" i="9"/>
  <c r="P100" i="15"/>
  <c r="AF127" i="9"/>
  <c r="AF159" i="9"/>
  <c r="AF77" i="9"/>
  <c r="L143" i="9"/>
  <c r="L142" i="9"/>
  <c r="AF110" i="9"/>
  <c r="AF143" i="9"/>
  <c r="AF142" i="9" s="1"/>
  <c r="L159" i="9"/>
  <c r="L158" i="9"/>
  <c r="AF60" i="9"/>
  <c r="L126" i="9"/>
  <c r="L127" i="9"/>
  <c r="Q102" i="4"/>
  <c r="R95" i="4"/>
  <c r="K142" i="9"/>
  <c r="Q76" i="9"/>
  <c r="Q93" i="9"/>
  <c r="Q142" i="9"/>
  <c r="Q158" i="9"/>
  <c r="Q59" i="9"/>
  <c r="K159" i="9"/>
  <c r="K158" i="9"/>
  <c r="Q127" i="9"/>
  <c r="Q126" i="9"/>
  <c r="Q109" i="9"/>
  <c r="K110" i="9"/>
  <c r="K109" i="9"/>
  <c r="AF94" i="9"/>
  <c r="AF93" i="9" s="1"/>
  <c r="K77" i="9"/>
  <c r="K76" i="9"/>
  <c r="K60" i="9"/>
  <c r="K59" i="9"/>
  <c r="Q102" i="15"/>
  <c r="R95" i="15"/>
  <c r="Q100" i="15" l="1"/>
  <c r="S95" i="4"/>
  <c r="R102" i="4"/>
  <c r="AF158" i="9"/>
  <c r="AF157" i="9"/>
  <c r="AF141" i="9"/>
  <c r="AF126" i="9"/>
  <c r="AF125" i="9"/>
  <c r="AF109" i="9"/>
  <c r="AF108" i="9"/>
  <c r="AF92" i="9"/>
  <c r="AF76" i="9"/>
  <c r="AF75" i="9"/>
  <c r="AF59" i="9"/>
  <c r="AF58" i="9"/>
  <c r="R102" i="15"/>
  <c r="S95" i="15"/>
  <c r="R100" i="15" l="1"/>
  <c r="S102" i="4"/>
  <c r="T95" i="4"/>
  <c r="U39" i="9"/>
  <c r="U36" i="9"/>
  <c r="T37" i="9"/>
  <c r="T38" i="9"/>
  <c r="U25" i="9"/>
  <c r="K36" i="9"/>
  <c r="K38" i="9"/>
  <c r="AE29" i="9"/>
  <c r="AD28" i="9"/>
  <c r="AC28" i="9"/>
  <c r="K28" i="9"/>
  <c r="AD27" i="9"/>
  <c r="AC27" i="9"/>
  <c r="K27" i="9"/>
  <c r="AD25" i="9"/>
  <c r="AD26" i="9" s="1"/>
  <c r="AC25" i="9"/>
  <c r="K25" i="9"/>
  <c r="AC24" i="9"/>
  <c r="K24" i="9"/>
  <c r="T95" i="15"/>
  <c r="S102" i="15"/>
  <c r="S100" i="15" l="1"/>
  <c r="AC26" i="9"/>
  <c r="U95" i="4"/>
  <c r="T102" i="4"/>
  <c r="L24" i="9"/>
  <c r="L27" i="9"/>
  <c r="K37" i="9"/>
  <c r="L37" i="9" s="1"/>
  <c r="AC29" i="9"/>
  <c r="U38" i="9"/>
  <c r="V38" i="9" s="1"/>
  <c r="W38" i="9" s="1"/>
  <c r="L36" i="9"/>
  <c r="U37" i="9"/>
  <c r="V37" i="9" s="1"/>
  <c r="W37" i="9" s="1"/>
  <c r="L38" i="9"/>
  <c r="T36" i="9"/>
  <c r="V36" i="9" s="1"/>
  <c r="W36" i="9" s="1"/>
  <c r="T39" i="9"/>
  <c r="V39" i="9" s="1"/>
  <c r="W39" i="9" s="1"/>
  <c r="AD29" i="9"/>
  <c r="K39" i="9"/>
  <c r="L39" i="9" s="1"/>
  <c r="L28" i="9"/>
  <c r="L25" i="9"/>
  <c r="U28" i="9"/>
  <c r="T24" i="9"/>
  <c r="U24" i="9"/>
  <c r="T25" i="9"/>
  <c r="V25" i="9" s="1"/>
  <c r="W25" i="9" s="1"/>
  <c r="U27" i="9"/>
  <c r="T28" i="9"/>
  <c r="T27" i="9"/>
  <c r="T102" i="15"/>
  <c r="U95" i="15"/>
  <c r="T100" i="15" l="1"/>
  <c r="M38" i="9"/>
  <c r="N38" i="9"/>
  <c r="M36" i="9"/>
  <c r="N36" i="9"/>
  <c r="M37" i="9"/>
  <c r="N37" i="9"/>
  <c r="O37" i="9" s="1"/>
  <c r="AB37" i="9" s="1"/>
  <c r="AH37" i="9" s="1"/>
  <c r="N39" i="9"/>
  <c r="M27" i="9"/>
  <c r="N27" i="9"/>
  <c r="M24" i="9"/>
  <c r="N24" i="9"/>
  <c r="M25" i="9"/>
  <c r="N25" i="9"/>
  <c r="M28" i="9"/>
  <c r="N28" i="9"/>
  <c r="U102" i="4"/>
  <c r="V95" i="4"/>
  <c r="V28" i="9"/>
  <c r="W28" i="9" s="1"/>
  <c r="M39" i="9"/>
  <c r="V24" i="9"/>
  <c r="V26" i="9" s="1"/>
  <c r="V27" i="9"/>
  <c r="V95" i="15"/>
  <c r="U102" i="15"/>
  <c r="O27" i="9" l="1"/>
  <c r="O38" i="9"/>
  <c r="AB38" i="9" s="1"/>
  <c r="AI38" i="9" s="1"/>
  <c r="O36" i="9"/>
  <c r="AB36" i="9" s="1"/>
  <c r="AH36" i="9" s="1"/>
  <c r="U100" i="15"/>
  <c r="V29" i="9"/>
  <c r="O39" i="9"/>
  <c r="AB39" i="9" s="1"/>
  <c r="O24" i="9"/>
  <c r="O25" i="9"/>
  <c r="AB25" i="9" s="1"/>
  <c r="AH25" i="9" s="1"/>
  <c r="O28" i="9"/>
  <c r="O29" i="9" s="1"/>
  <c r="V102" i="4"/>
  <c r="W95" i="4"/>
  <c r="AI37" i="9"/>
  <c r="AF41" i="9"/>
  <c r="AG42" i="9"/>
  <c r="W24" i="9"/>
  <c r="W26" i="9" s="1"/>
  <c r="W27" i="9"/>
  <c r="W29" i="9" s="1"/>
  <c r="V102" i="15"/>
  <c r="W95" i="15"/>
  <c r="AI36" i="9" l="1"/>
  <c r="AH38" i="9"/>
  <c r="L69" i="5"/>
  <c r="AI39" i="9"/>
  <c r="AH39" i="9"/>
  <c r="AI42" i="9"/>
  <c r="K91" i="4" s="1"/>
  <c r="AJ42" i="9"/>
  <c r="V100" i="15"/>
  <c r="L69" i="6"/>
  <c r="O26" i="9"/>
  <c r="AB28" i="9"/>
  <c r="AI28" i="9" s="1"/>
  <c r="AB40" i="9"/>
  <c r="AG25" i="9"/>
  <c r="L69" i="4"/>
  <c r="H69" i="4"/>
  <c r="H69" i="5"/>
  <c r="H69" i="6"/>
  <c r="I91" i="4"/>
  <c r="I91" i="6"/>
  <c r="I91" i="5"/>
  <c r="J91" i="4"/>
  <c r="J91" i="6"/>
  <c r="J91" i="5"/>
  <c r="X95" i="4"/>
  <c r="W102" i="4"/>
  <c r="AG41" i="9"/>
  <c r="AB24" i="9"/>
  <c r="AB26" i="9" s="1"/>
  <c r="AB27" i="9"/>
  <c r="X95" i="15"/>
  <c r="W102" i="15"/>
  <c r="L69" i="15"/>
  <c r="I91" i="15"/>
  <c r="H69" i="15"/>
  <c r="J91" i="15"/>
  <c r="K91" i="15"/>
  <c r="Z91" i="5" l="1"/>
  <c r="BF91" i="5"/>
  <c r="BV91" i="5"/>
  <c r="CL91" i="5"/>
  <c r="DB91" i="5"/>
  <c r="Z91" i="4"/>
  <c r="S91" i="6"/>
  <c r="AA91" i="6"/>
  <c r="R91" i="5"/>
  <c r="AH91" i="5"/>
  <c r="AP91" i="5"/>
  <c r="AX91" i="5"/>
  <c r="BN91" i="5"/>
  <c r="CD91" i="5"/>
  <c r="CT91" i="5"/>
  <c r="R91" i="4"/>
  <c r="T91" i="6"/>
  <c r="AB91" i="6"/>
  <c r="S91" i="5"/>
  <c r="AA91" i="5"/>
  <c r="AI91" i="5"/>
  <c r="AQ91" i="5"/>
  <c r="AY91" i="5"/>
  <c r="BG91" i="5"/>
  <c r="BO91" i="5"/>
  <c r="BW91" i="5"/>
  <c r="CE91" i="5"/>
  <c r="CM91" i="5"/>
  <c r="CU91" i="5"/>
  <c r="DC91" i="5"/>
  <c r="S91" i="4"/>
  <c r="AA91" i="4"/>
  <c r="M91" i="6"/>
  <c r="U91" i="6"/>
  <c r="L91" i="6"/>
  <c r="T91" i="5"/>
  <c r="AB91" i="5"/>
  <c r="AJ91" i="5"/>
  <c r="AR91" i="5"/>
  <c r="AZ91" i="5"/>
  <c r="BH91" i="5"/>
  <c r="BP91" i="5"/>
  <c r="BX91" i="5"/>
  <c r="CF91" i="5"/>
  <c r="CN91" i="5"/>
  <c r="CV91" i="5"/>
  <c r="L91" i="5"/>
  <c r="T91" i="4"/>
  <c r="AB91" i="4"/>
  <c r="N91" i="6"/>
  <c r="V91" i="6"/>
  <c r="M91" i="5"/>
  <c r="U91" i="5"/>
  <c r="AC91" i="5"/>
  <c r="AK91" i="5"/>
  <c r="AS91" i="5"/>
  <c r="BA91" i="5"/>
  <c r="BI91" i="5"/>
  <c r="BQ91" i="5"/>
  <c r="BY91" i="5"/>
  <c r="CG91" i="5"/>
  <c r="CO91" i="5"/>
  <c r="CW91" i="5"/>
  <c r="M91" i="4"/>
  <c r="U91" i="4"/>
  <c r="L91" i="4"/>
  <c r="O91" i="6"/>
  <c r="W91" i="6"/>
  <c r="N91" i="5"/>
  <c r="V91" i="5"/>
  <c r="AD91" i="5"/>
  <c r="AL91" i="5"/>
  <c r="AT91" i="5"/>
  <c r="BB91" i="5"/>
  <c r="BJ91" i="5"/>
  <c r="BR91" i="5"/>
  <c r="BZ91" i="5"/>
  <c r="CH91" i="5"/>
  <c r="CP91" i="5"/>
  <c r="CX91" i="5"/>
  <c r="N91" i="4"/>
  <c r="V91" i="4"/>
  <c r="P91" i="6"/>
  <c r="X91" i="6"/>
  <c r="O91" i="5"/>
  <c r="W91" i="5"/>
  <c r="AE91" i="5"/>
  <c r="AM91" i="5"/>
  <c r="AU91" i="5"/>
  <c r="BC91" i="5"/>
  <c r="BK91" i="5"/>
  <c r="BS91" i="5"/>
  <c r="CA91" i="5"/>
  <c r="CI91" i="5"/>
  <c r="CQ91" i="5"/>
  <c r="CY91" i="5"/>
  <c r="O91" i="4"/>
  <c r="W91" i="4"/>
  <c r="Q91" i="6"/>
  <c r="P91" i="5"/>
  <c r="X91" i="5"/>
  <c r="AV91" i="5"/>
  <c r="BL91" i="5"/>
  <c r="CB91" i="5"/>
  <c r="CJ91" i="5"/>
  <c r="CZ91" i="5"/>
  <c r="X91" i="4"/>
  <c r="Y91" i="6"/>
  <c r="AF91" i="5"/>
  <c r="AN91" i="5"/>
  <c r="BD91" i="5"/>
  <c r="BT91" i="5"/>
  <c r="CR91" i="5"/>
  <c r="P91" i="4"/>
  <c r="R91" i="6"/>
  <c r="Z91" i="6"/>
  <c r="Q91" i="5"/>
  <c r="Y91" i="5"/>
  <c r="AG91" i="5"/>
  <c r="AO91" i="5"/>
  <c r="AW91" i="5"/>
  <c r="BE91" i="5"/>
  <c r="BM91" i="5"/>
  <c r="BU91" i="5"/>
  <c r="CC91" i="5"/>
  <c r="CK91" i="5"/>
  <c r="CS91" i="5"/>
  <c r="DA91" i="5"/>
  <c r="Q91" i="4"/>
  <c r="Y91" i="4"/>
  <c r="AH41" i="9"/>
  <c r="J69" i="6" s="1"/>
  <c r="AI41" i="9"/>
  <c r="K69" i="6" s="1"/>
  <c r="K91" i="5"/>
  <c r="K91" i="6"/>
  <c r="W100" i="15"/>
  <c r="L67" i="15"/>
  <c r="L44" i="15" s="1"/>
  <c r="AB29" i="9"/>
  <c r="AJ31" i="9" s="1"/>
  <c r="AH31" i="9"/>
  <c r="AH28" i="9"/>
  <c r="I69" i="4"/>
  <c r="I69" i="6"/>
  <c r="I69" i="5"/>
  <c r="Y95" i="4"/>
  <c r="X102" i="4"/>
  <c r="AI27" i="9"/>
  <c r="AI29" i="9" s="1"/>
  <c r="AI30" i="9" s="1"/>
  <c r="AH27" i="9"/>
  <c r="AH24" i="9"/>
  <c r="AH26" i="9" s="1"/>
  <c r="AG24" i="9"/>
  <c r="AG26" i="9" s="1"/>
  <c r="AF30" i="9"/>
  <c r="AA91" i="15"/>
  <c r="L91" i="15"/>
  <c r="Y95" i="15"/>
  <c r="AB91" i="15"/>
  <c r="O91" i="15"/>
  <c r="X102" i="15"/>
  <c r="P91" i="15"/>
  <c r="W91" i="15"/>
  <c r="M91" i="15"/>
  <c r="Q91" i="15"/>
  <c r="U91" i="15"/>
  <c r="N91" i="15"/>
  <c r="Y91" i="15"/>
  <c r="T91" i="15"/>
  <c r="V91" i="15"/>
  <c r="R91" i="15"/>
  <c r="X91" i="15"/>
  <c r="S91" i="15"/>
  <c r="Z91" i="15"/>
  <c r="I69" i="15"/>
  <c r="Q90" i="6" l="1"/>
  <c r="M90" i="5"/>
  <c r="L90" i="5"/>
  <c r="Y90" i="6"/>
  <c r="U90" i="5"/>
  <c r="T90" i="4"/>
  <c r="AB90" i="4"/>
  <c r="R90" i="6"/>
  <c r="Z90" i="6"/>
  <c r="N90" i="5"/>
  <c r="V90" i="5"/>
  <c r="U90" i="4"/>
  <c r="M90" i="4"/>
  <c r="S90" i="6"/>
  <c r="AA90" i="6"/>
  <c r="O90" i="5"/>
  <c r="W90" i="5"/>
  <c r="V90" i="4"/>
  <c r="N90" i="4"/>
  <c r="T90" i="6"/>
  <c r="AB90" i="6"/>
  <c r="P90" i="5"/>
  <c r="X90" i="5"/>
  <c r="W90" i="4"/>
  <c r="O90" i="4"/>
  <c r="M90" i="6"/>
  <c r="U90" i="6"/>
  <c r="L90" i="6"/>
  <c r="Q90" i="5"/>
  <c r="Y90" i="5"/>
  <c r="P90" i="4"/>
  <c r="X90" i="4"/>
  <c r="L90" i="4"/>
  <c r="N90" i="6"/>
  <c r="V90" i="6"/>
  <c r="R90" i="5"/>
  <c r="Z90" i="5"/>
  <c r="Q90" i="4"/>
  <c r="Y90" i="4"/>
  <c r="W90" i="6"/>
  <c r="R90" i="4"/>
  <c r="O90" i="6"/>
  <c r="S90" i="5"/>
  <c r="AA90" i="5"/>
  <c r="Z90" i="4"/>
  <c r="P90" i="6"/>
  <c r="X90" i="6"/>
  <c r="T90" i="5"/>
  <c r="AB90" i="5"/>
  <c r="S90" i="4"/>
  <c r="AA90" i="4"/>
  <c r="K68" i="5"/>
  <c r="K68" i="6"/>
  <c r="K68" i="4"/>
  <c r="K69" i="5"/>
  <c r="J69" i="5"/>
  <c r="K69" i="4"/>
  <c r="J69" i="4"/>
  <c r="AI31" i="9"/>
  <c r="X100" i="15"/>
  <c r="L9" i="15"/>
  <c r="L133" i="15"/>
  <c r="F91" i="15"/>
  <c r="G91" i="15"/>
  <c r="AH29" i="9"/>
  <c r="AH30" i="9" s="1"/>
  <c r="J90" i="5"/>
  <c r="I90" i="4"/>
  <c r="I90" i="6"/>
  <c r="I90" i="5"/>
  <c r="AF90" i="6"/>
  <c r="AN90" i="6"/>
  <c r="AV90" i="6"/>
  <c r="BD90" i="6"/>
  <c r="BL90" i="6"/>
  <c r="BT90" i="6"/>
  <c r="CB90" i="6"/>
  <c r="CJ90" i="6"/>
  <c r="CR90" i="6"/>
  <c r="CZ90" i="6"/>
  <c r="BE90" i="6"/>
  <c r="CK90" i="6"/>
  <c r="AH90" i="6"/>
  <c r="AP90" i="6"/>
  <c r="AX90" i="6"/>
  <c r="BF90" i="6"/>
  <c r="BN90" i="6"/>
  <c r="BV90" i="6"/>
  <c r="CD90" i="6"/>
  <c r="CL90" i="6"/>
  <c r="CT90" i="6"/>
  <c r="DB90" i="6"/>
  <c r="BB90" i="6"/>
  <c r="CH90" i="6"/>
  <c r="BM90" i="6"/>
  <c r="CS90" i="6"/>
  <c r="AI90" i="6"/>
  <c r="AQ90" i="6"/>
  <c r="AY90" i="6"/>
  <c r="BG90" i="6"/>
  <c r="BO90" i="6"/>
  <c r="BW90" i="6"/>
  <c r="CE90" i="6"/>
  <c r="CM90" i="6"/>
  <c r="CU90" i="6"/>
  <c r="DC90" i="6"/>
  <c r="AD90" i="6"/>
  <c r="BJ90" i="6"/>
  <c r="CP90" i="6"/>
  <c r="AG90" i="6"/>
  <c r="AJ90" i="6"/>
  <c r="AR90" i="6"/>
  <c r="AZ90" i="6"/>
  <c r="BH90" i="6"/>
  <c r="BP90" i="6"/>
  <c r="BX90" i="6"/>
  <c r="CF90" i="6"/>
  <c r="CN90" i="6"/>
  <c r="CV90" i="6"/>
  <c r="AT90" i="6"/>
  <c r="BR90" i="6"/>
  <c r="BU90" i="6"/>
  <c r="AC90" i="6"/>
  <c r="AK90" i="6"/>
  <c r="AS90" i="6"/>
  <c r="BA90" i="6"/>
  <c r="BI90" i="6"/>
  <c r="BQ90" i="6"/>
  <c r="BY90" i="6"/>
  <c r="CG90" i="6"/>
  <c r="CO90" i="6"/>
  <c r="CW90" i="6"/>
  <c r="AL90" i="6"/>
  <c r="BZ90" i="6"/>
  <c r="CX90" i="6"/>
  <c r="AO90" i="6"/>
  <c r="AE90" i="6"/>
  <c r="AM90" i="6"/>
  <c r="AU90" i="6"/>
  <c r="BC90" i="6"/>
  <c r="BK90" i="6"/>
  <c r="BS90" i="6"/>
  <c r="CA90" i="6"/>
  <c r="CI90" i="6"/>
  <c r="CQ90" i="6"/>
  <c r="CY90" i="6"/>
  <c r="AW90" i="6"/>
  <c r="CC90" i="6"/>
  <c r="DA90" i="6"/>
  <c r="H68" i="4"/>
  <c r="H68" i="5"/>
  <c r="H68" i="6"/>
  <c r="Y102" i="4"/>
  <c r="Z95" i="4"/>
  <c r="AJ90" i="4"/>
  <c r="BH90" i="4"/>
  <c r="CV90" i="4"/>
  <c r="AC90" i="4"/>
  <c r="BA90" i="4"/>
  <c r="BY90" i="4"/>
  <c r="CI90" i="4"/>
  <c r="CB90" i="4"/>
  <c r="CG90" i="4"/>
  <c r="CR90" i="4"/>
  <c r="AD90" i="4"/>
  <c r="AL90" i="4"/>
  <c r="AT90" i="4"/>
  <c r="BB90" i="4"/>
  <c r="BJ90" i="4"/>
  <c r="BR90" i="4"/>
  <c r="BZ90" i="4"/>
  <c r="CH90" i="4"/>
  <c r="CP90" i="4"/>
  <c r="CX90" i="4"/>
  <c r="AE90" i="4"/>
  <c r="AU90" i="4"/>
  <c r="BK90" i="4"/>
  <c r="CY90" i="4"/>
  <c r="CJ90" i="4"/>
  <c r="AM90" i="4"/>
  <c r="BC90" i="4"/>
  <c r="BS90" i="4"/>
  <c r="CA90" i="4"/>
  <c r="BD90" i="4"/>
  <c r="AF90" i="4"/>
  <c r="AN90" i="4"/>
  <c r="BL90" i="4"/>
  <c r="AG90" i="4"/>
  <c r="AO90" i="4"/>
  <c r="AW90" i="4"/>
  <c r="BE90" i="4"/>
  <c r="BM90" i="4"/>
  <c r="BU90" i="4"/>
  <c r="CC90" i="4"/>
  <c r="CK90" i="4"/>
  <c r="CS90" i="4"/>
  <c r="DA90" i="4"/>
  <c r="AI90" i="4"/>
  <c r="AQ90" i="4"/>
  <c r="BG90" i="4"/>
  <c r="BW90" i="4"/>
  <c r="CM90" i="4"/>
  <c r="DC90" i="4"/>
  <c r="AZ90" i="4"/>
  <c r="BP90" i="4"/>
  <c r="CF90" i="4"/>
  <c r="AS90" i="4"/>
  <c r="BI90" i="4"/>
  <c r="CW90" i="4"/>
  <c r="BT90" i="4"/>
  <c r="AH90" i="4"/>
  <c r="AP90" i="4"/>
  <c r="AX90" i="4"/>
  <c r="BF90" i="4"/>
  <c r="BN90" i="4"/>
  <c r="BV90" i="4"/>
  <c r="CD90" i="4"/>
  <c r="CL90" i="4"/>
  <c r="CT90" i="4"/>
  <c r="DB90" i="4"/>
  <c r="AY90" i="4"/>
  <c r="BO90" i="4"/>
  <c r="CE90" i="4"/>
  <c r="CU90" i="4"/>
  <c r="AR90" i="4"/>
  <c r="BX90" i="4"/>
  <c r="CN90" i="4"/>
  <c r="AK90" i="4"/>
  <c r="BQ90" i="4"/>
  <c r="CO90" i="4"/>
  <c r="CQ90" i="4"/>
  <c r="AV90" i="4"/>
  <c r="CZ90" i="4"/>
  <c r="AG30" i="9"/>
  <c r="AT90" i="15"/>
  <c r="CW90" i="15"/>
  <c r="BO90" i="15"/>
  <c r="Z90" i="15"/>
  <c r="BM90" i="15"/>
  <c r="CE90" i="15"/>
  <c r="I90" i="15"/>
  <c r="AJ90" i="15"/>
  <c r="CJ90" i="15"/>
  <c r="CN90" i="15"/>
  <c r="CK90" i="15"/>
  <c r="CZ90" i="15"/>
  <c r="CT90" i="15"/>
  <c r="CS90" i="15"/>
  <c r="CX90" i="15"/>
  <c r="CQ90" i="15"/>
  <c r="AE90" i="15"/>
  <c r="J69" i="15"/>
  <c r="CI90" i="15"/>
  <c r="AK90" i="15"/>
  <c r="AM90" i="15"/>
  <c r="BG90" i="15"/>
  <c r="AG90" i="15"/>
  <c r="BC90" i="15"/>
  <c r="K68" i="15"/>
  <c r="CC90" i="15"/>
  <c r="BT90" i="15"/>
  <c r="CL90" i="15"/>
  <c r="AW90" i="15"/>
  <c r="BF90" i="15"/>
  <c r="AI90" i="15"/>
  <c r="V90" i="15"/>
  <c r="T90" i="15"/>
  <c r="BX90" i="15"/>
  <c r="CU90" i="15"/>
  <c r="Z95" i="15"/>
  <c r="CF90" i="15"/>
  <c r="O90" i="15"/>
  <c r="CP90" i="15"/>
  <c r="L90" i="15"/>
  <c r="P90" i="15"/>
  <c r="AP90" i="15"/>
  <c r="AV90" i="15"/>
  <c r="CB90" i="15"/>
  <c r="AB90" i="15"/>
  <c r="BL90" i="15"/>
  <c r="CH90" i="15"/>
  <c r="AZ90" i="15"/>
  <c r="BV90" i="15"/>
  <c r="BR90" i="15"/>
  <c r="BU90" i="15"/>
  <c r="BP90" i="15"/>
  <c r="BZ90" i="15"/>
  <c r="DB90" i="15"/>
  <c r="BB90" i="15"/>
  <c r="H68" i="15"/>
  <c r="DC90" i="15"/>
  <c r="BJ90" i="15"/>
  <c r="BD90" i="15"/>
  <c r="AQ90" i="15"/>
  <c r="BY90" i="15"/>
  <c r="BQ90" i="15"/>
  <c r="U90" i="15"/>
  <c r="AF90" i="15"/>
  <c r="BK90" i="15"/>
  <c r="CG90" i="15"/>
  <c r="AX90" i="15"/>
  <c r="AN90" i="15"/>
  <c r="BS90" i="15"/>
  <c r="CY90" i="15"/>
  <c r="CV90" i="15"/>
  <c r="AU90" i="15"/>
  <c r="AY90" i="15"/>
  <c r="AS90" i="15"/>
  <c r="Q90" i="15"/>
  <c r="CO90" i="15"/>
  <c r="DA90" i="15"/>
  <c r="BA90" i="15"/>
  <c r="K69" i="15"/>
  <c r="CM90" i="15"/>
  <c r="BE90" i="15"/>
  <c r="X90" i="15"/>
  <c r="R90" i="15"/>
  <c r="CR90" i="15"/>
  <c r="AO90" i="15"/>
  <c r="Y90" i="15"/>
  <c r="BN90" i="15"/>
  <c r="AC90" i="15"/>
  <c r="AA90" i="15"/>
  <c r="BW90" i="15"/>
  <c r="AR90" i="15"/>
  <c r="BI90" i="15"/>
  <c r="AL90" i="15"/>
  <c r="AD90" i="15"/>
  <c r="AH90" i="15"/>
  <c r="N90" i="15"/>
  <c r="W90" i="15"/>
  <c r="BH90" i="15"/>
  <c r="CA90" i="15"/>
  <c r="M90" i="15"/>
  <c r="S90" i="15"/>
  <c r="CD90" i="15"/>
  <c r="Y102" i="15"/>
  <c r="K90" i="5" l="1"/>
  <c r="K90" i="6"/>
  <c r="K90" i="4"/>
  <c r="J68" i="5"/>
  <c r="J68" i="6"/>
  <c r="J68" i="4"/>
  <c r="G69" i="15"/>
  <c r="F69" i="15"/>
  <c r="Y100" i="15"/>
  <c r="K67" i="15"/>
  <c r="K44" i="15" s="1"/>
  <c r="AR89" i="15"/>
  <c r="AR7" i="15" s="1"/>
  <c r="AV89" i="15"/>
  <c r="AV7" i="15" s="1"/>
  <c r="T89" i="15"/>
  <c r="T7" i="15" s="1"/>
  <c r="CL89" i="15"/>
  <c r="CL7" i="15" s="1"/>
  <c r="Z89" i="15"/>
  <c r="CF89" i="15"/>
  <c r="CF7" i="15" s="1"/>
  <c r="AQ89" i="15"/>
  <c r="AQ7" i="15" s="1"/>
  <c r="BM89" i="15"/>
  <c r="BM7" i="15" s="1"/>
  <c r="AN89" i="15"/>
  <c r="AN7" i="15" s="1"/>
  <c r="AM89" i="15"/>
  <c r="AM7" i="15" s="1"/>
  <c r="CX89" i="15"/>
  <c r="CX7" i="15" s="1"/>
  <c r="AL89" i="15"/>
  <c r="AL7" i="15" s="1"/>
  <c r="L89" i="15"/>
  <c r="L7" i="15" s="1"/>
  <c r="AP89" i="15"/>
  <c r="AP7" i="15" s="1"/>
  <c r="CU89" i="15"/>
  <c r="CU7" i="15" s="1"/>
  <c r="R89" i="15"/>
  <c r="R7" i="15" s="1"/>
  <c r="AI89" i="15"/>
  <c r="AI7" i="15" s="1"/>
  <c r="BE89" i="15"/>
  <c r="BE7" i="15" s="1"/>
  <c r="AF89" i="15"/>
  <c r="AF7" i="15" s="1"/>
  <c r="W89" i="15"/>
  <c r="W7" i="15" s="1"/>
  <c r="CP89" i="15"/>
  <c r="CP7" i="15" s="1"/>
  <c r="AD89" i="15"/>
  <c r="AD7" i="15" s="1"/>
  <c r="BY89" i="15"/>
  <c r="BY7" i="15" s="1"/>
  <c r="BX89" i="15"/>
  <c r="BX7" i="15" s="1"/>
  <c r="CQ89" i="15"/>
  <c r="CQ7" i="15" s="1"/>
  <c r="BP89" i="15"/>
  <c r="BP7" i="15" s="1"/>
  <c r="CO89" i="15"/>
  <c r="CO7" i="15" s="1"/>
  <c r="CE89" i="15"/>
  <c r="CE7" i="15" s="1"/>
  <c r="BV89" i="15"/>
  <c r="BV7" i="15" s="1"/>
  <c r="BT89" i="15"/>
  <c r="BT7" i="15" s="1"/>
  <c r="AZ89" i="15"/>
  <c r="AZ7" i="15" s="1"/>
  <c r="S89" i="15"/>
  <c r="S7" i="15" s="1"/>
  <c r="AW89" i="15"/>
  <c r="AW7" i="15" s="1"/>
  <c r="X89" i="15"/>
  <c r="X7" i="15" s="1"/>
  <c r="CJ89" i="15"/>
  <c r="CJ7" i="15" s="1"/>
  <c r="CH89" i="15"/>
  <c r="CH7" i="15" s="1"/>
  <c r="V89" i="15"/>
  <c r="V7" i="15" s="1"/>
  <c r="BA89" i="15"/>
  <c r="BA7" i="15" s="1"/>
  <c r="CZ89" i="15"/>
  <c r="CZ7" i="15" s="1"/>
  <c r="CD89" i="15"/>
  <c r="CD7" i="15" s="1"/>
  <c r="BQ89" i="15"/>
  <c r="BQ7" i="15" s="1"/>
  <c r="BO89" i="15"/>
  <c r="BO7" i="15" s="1"/>
  <c r="BN89" i="15"/>
  <c r="BN7" i="15" s="1"/>
  <c r="CW89" i="15"/>
  <c r="CW7" i="15" s="1"/>
  <c r="DA89" i="15"/>
  <c r="DA7" i="15" s="1"/>
  <c r="AO89" i="15"/>
  <c r="AO7" i="15" s="1"/>
  <c r="P89" i="15"/>
  <c r="P7" i="15" s="1"/>
  <c r="CY89" i="15"/>
  <c r="CY7" i="15" s="1"/>
  <c r="BZ89" i="15"/>
  <c r="BZ7" i="15" s="1"/>
  <c r="N89" i="15"/>
  <c r="N7" i="15" s="1"/>
  <c r="AC89" i="15"/>
  <c r="AC7" i="15" s="1"/>
  <c r="H67" i="15"/>
  <c r="AK89" i="15"/>
  <c r="AK7" i="15" s="1"/>
  <c r="AY89" i="15"/>
  <c r="AY7" i="15" s="1"/>
  <c r="BI89" i="15"/>
  <c r="BI7" i="15" s="1"/>
  <c r="DC89" i="15"/>
  <c r="DC7" i="15" s="1"/>
  <c r="CS89" i="15"/>
  <c r="CS7" i="15" s="1"/>
  <c r="AG89" i="15"/>
  <c r="AG7" i="15" s="1"/>
  <c r="BD89" i="15"/>
  <c r="BD7" i="15" s="1"/>
  <c r="BK89" i="15"/>
  <c r="BK7" i="15" s="1"/>
  <c r="BR89" i="15"/>
  <c r="BR7" i="15" s="1"/>
  <c r="CR89" i="15"/>
  <c r="CR7" i="15" s="1"/>
  <c r="CV89" i="15"/>
  <c r="CV7" i="15" s="1"/>
  <c r="BF89" i="15"/>
  <c r="BF7" i="15" s="1"/>
  <c r="CN89" i="15"/>
  <c r="CN7" i="15" s="1"/>
  <c r="AX89" i="15"/>
  <c r="AX7" i="15" s="1"/>
  <c r="AS89" i="15"/>
  <c r="AS7" i="15" s="1"/>
  <c r="CM89" i="15"/>
  <c r="CM7" i="15" s="1"/>
  <c r="CK89" i="15"/>
  <c r="CK7" i="15" s="1"/>
  <c r="Y89" i="15"/>
  <c r="CA89" i="15"/>
  <c r="CA7" i="15" s="1"/>
  <c r="AU89" i="15"/>
  <c r="AU7" i="15" s="1"/>
  <c r="BJ89" i="15"/>
  <c r="BJ7" i="15" s="1"/>
  <c r="CG89" i="15"/>
  <c r="CG7" i="15" s="1"/>
  <c r="BH89" i="15"/>
  <c r="BH7" i="15" s="1"/>
  <c r="I89" i="15"/>
  <c r="DB89" i="15"/>
  <c r="DB7" i="15" s="1"/>
  <c r="U89" i="15"/>
  <c r="U7" i="15" s="1"/>
  <c r="BW89" i="15"/>
  <c r="BW7" i="15" s="1"/>
  <c r="CC89" i="15"/>
  <c r="CC7" i="15" s="1"/>
  <c r="Q89" i="15"/>
  <c r="Q7" i="15" s="1"/>
  <c r="BS89" i="15"/>
  <c r="BS7" i="15" s="1"/>
  <c r="AE89" i="15"/>
  <c r="AE7" i="15" s="1"/>
  <c r="BB89" i="15"/>
  <c r="BB7" i="15" s="1"/>
  <c r="CB89" i="15"/>
  <c r="CB7" i="15" s="1"/>
  <c r="AJ89" i="15"/>
  <c r="AJ7" i="15" s="1"/>
  <c r="CT89" i="15"/>
  <c r="CT7" i="15" s="1"/>
  <c r="AH89" i="15"/>
  <c r="AH7" i="15" s="1"/>
  <c r="M89" i="15"/>
  <c r="M7" i="15" s="1"/>
  <c r="BG89" i="15"/>
  <c r="BG7" i="15" s="1"/>
  <c r="BU89" i="15"/>
  <c r="BU7" i="15" s="1"/>
  <c r="BL89" i="15"/>
  <c r="BL7" i="15" s="1"/>
  <c r="BC89" i="15"/>
  <c r="BC7" i="15" s="1"/>
  <c r="O89" i="15"/>
  <c r="O7" i="15" s="1"/>
  <c r="AT89" i="15"/>
  <c r="AT7" i="15" s="1"/>
  <c r="CI89" i="15"/>
  <c r="CI7" i="15" s="1"/>
  <c r="J90" i="6"/>
  <c r="J90" i="4"/>
  <c r="I68" i="4"/>
  <c r="I68" i="6"/>
  <c r="I68" i="5"/>
  <c r="AA95" i="4"/>
  <c r="Z102" i="4"/>
  <c r="CX91" i="19"/>
  <c r="DB91" i="19"/>
  <c r="DF91" i="19"/>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J68" i="15"/>
  <c r="Z102" i="15"/>
  <c r="J90" i="15"/>
  <c r="K90" i="15"/>
  <c r="AA95" i="15"/>
  <c r="I68" i="15"/>
  <c r="K89" i="15" l="1"/>
  <c r="Y7" i="15"/>
  <c r="Z100" i="15"/>
  <c r="Z7" i="15" s="1"/>
  <c r="K9" i="15"/>
  <c r="K133" i="15"/>
  <c r="J67" i="15"/>
  <c r="J44" i="15" s="1"/>
  <c r="AA89" i="15"/>
  <c r="I67" i="15"/>
  <c r="I44" i="15" s="1"/>
  <c r="F68" i="15"/>
  <c r="F67" i="15" s="1"/>
  <c r="F44" i="15" s="1"/>
  <c r="F9" i="15" s="1"/>
  <c r="G68" i="15"/>
  <c r="J89" i="15"/>
  <c r="F90" i="15"/>
  <c r="G90" i="15"/>
  <c r="H44" i="15"/>
  <c r="AB95" i="4"/>
  <c r="AA102" i="4"/>
  <c r="D99" i="19"/>
  <c r="D101" i="19"/>
  <c r="D102" i="19"/>
  <c r="D104" i="19"/>
  <c r="D105" i="19"/>
  <c r="D107" i="19"/>
  <c r="D108" i="19"/>
  <c r="D110" i="19"/>
  <c r="D111" i="19"/>
  <c r="D112" i="19"/>
  <c r="AA102" i="15"/>
  <c r="AB95" i="15"/>
  <c r="K7" i="15" l="1"/>
  <c r="AA100" i="15"/>
  <c r="AA7" i="15" s="1"/>
  <c r="G67" i="15"/>
  <c r="J9" i="15"/>
  <c r="J7" i="15" s="1"/>
  <c r="J133" i="15"/>
  <c r="F95" i="15"/>
  <c r="F89" i="15" s="1"/>
  <c r="G95" i="15"/>
  <c r="G89" i="15" s="1"/>
  <c r="AB89" i="15"/>
  <c r="H9" i="15"/>
  <c r="G44" i="15"/>
  <c r="I9" i="15"/>
  <c r="I7" i="15" s="1"/>
  <c r="I133" i="15"/>
  <c r="AB102" i="4"/>
  <c r="G15" i="14"/>
  <c r="G14" i="14"/>
  <c r="AB102" i="15"/>
  <c r="AB100" i="15" l="1"/>
  <c r="AB7" i="15" s="1"/>
  <c r="F102" i="15"/>
  <c r="F100" i="15" s="1"/>
  <c r="F7" i="15" s="1"/>
  <c r="G102" i="15"/>
  <c r="G100" i="15" s="1"/>
  <c r="H7" i="15"/>
  <c r="G9" i="15"/>
  <c r="F91" i="19"/>
  <c r="G7" i="15" l="1"/>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D109" i="19" s="1"/>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D106" i="19" s="1"/>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Z103" i="19"/>
  <c r="V103" i="19"/>
  <c r="R103" i="19"/>
  <c r="N103" i="19"/>
  <c r="J103" i="19"/>
  <c r="F103" i="19"/>
  <c r="D103" i="19" s="1"/>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D100" i="19" s="1"/>
  <c r="LJ97" i="19"/>
  <c r="LJ96" i="19" s="1"/>
  <c r="LF97" i="19"/>
  <c r="LF96" i="19" s="1"/>
  <c r="LB97" i="19"/>
  <c r="KX97" i="19"/>
  <c r="KT97" i="19"/>
  <c r="KT96" i="19" s="1"/>
  <c r="KP97" i="19"/>
  <c r="KP96" i="19" s="1"/>
  <c r="KL97" i="19"/>
  <c r="KH97" i="19"/>
  <c r="KD97" i="19"/>
  <c r="KD96" i="19" s="1"/>
  <c r="JZ97" i="19"/>
  <c r="JZ96" i="19" s="1"/>
  <c r="JV97" i="19"/>
  <c r="JR97" i="19"/>
  <c r="JN97" i="19"/>
  <c r="JN96" i="19" s="1"/>
  <c r="JJ97" i="19"/>
  <c r="JJ96" i="19" s="1"/>
  <c r="JF97" i="19"/>
  <c r="JB97" i="19"/>
  <c r="IX97" i="19"/>
  <c r="IX96" i="19" s="1"/>
  <c r="IT97" i="19"/>
  <c r="IT96" i="19" s="1"/>
  <c r="IP97" i="19"/>
  <c r="IL97" i="19"/>
  <c r="IH97" i="19"/>
  <c r="IH96" i="19" s="1"/>
  <c r="ID97" i="19"/>
  <c r="ID96" i="19" s="1"/>
  <c r="HZ97" i="19"/>
  <c r="HV97" i="19"/>
  <c r="HR97" i="19"/>
  <c r="HR96" i="19" s="1"/>
  <c r="HN97" i="19"/>
  <c r="HN96" i="19" s="1"/>
  <c r="HJ97" i="19"/>
  <c r="HF97" i="19"/>
  <c r="HB97" i="19"/>
  <c r="HB96" i="19" s="1"/>
  <c r="GX97" i="19"/>
  <c r="GX96" i="19" s="1"/>
  <c r="GT97" i="19"/>
  <c r="GP97" i="19"/>
  <c r="GL97" i="19"/>
  <c r="GL96" i="19" s="1"/>
  <c r="GH97" i="19"/>
  <c r="GH96" i="19" s="1"/>
  <c r="GD97" i="19"/>
  <c r="FZ97" i="19"/>
  <c r="FV97" i="19"/>
  <c r="FV96" i="19" s="1"/>
  <c r="FR97" i="19"/>
  <c r="FR96" i="19" s="1"/>
  <c r="FN97" i="19"/>
  <c r="FJ97" i="19"/>
  <c r="FF97" i="19"/>
  <c r="FF96" i="19" s="1"/>
  <c r="FB97" i="19"/>
  <c r="FB96" i="19" s="1"/>
  <c r="EX97" i="19"/>
  <c r="ET97" i="19"/>
  <c r="EP97" i="19"/>
  <c r="EP96" i="19" s="1"/>
  <c r="EL97" i="19"/>
  <c r="EL96" i="19" s="1"/>
  <c r="EH97" i="19"/>
  <c r="ED97" i="19"/>
  <c r="DZ97" i="19"/>
  <c r="DZ96" i="19" s="1"/>
  <c r="DV97" i="19"/>
  <c r="DV96" i="19" s="1"/>
  <c r="DR97" i="19"/>
  <c r="DN97" i="19"/>
  <c r="DJ97" i="19"/>
  <c r="DJ96" i="19" s="1"/>
  <c r="DF97" i="19"/>
  <c r="DF96" i="19" s="1"/>
  <c r="DB97" i="19"/>
  <c r="CX97" i="19"/>
  <c r="CT97" i="19"/>
  <c r="CT96" i="19" s="1"/>
  <c r="CP97" i="19"/>
  <c r="CP96" i="19" s="1"/>
  <c r="CL97" i="19"/>
  <c r="CH97" i="19"/>
  <c r="CD97" i="19"/>
  <c r="CD96" i="19" s="1"/>
  <c r="BZ97" i="19"/>
  <c r="BZ96" i="19" s="1"/>
  <c r="BV97" i="19"/>
  <c r="BR97" i="19"/>
  <c r="BN97" i="19"/>
  <c r="BN96" i="19" s="1"/>
  <c r="BJ97" i="19"/>
  <c r="BJ96" i="19" s="1"/>
  <c r="BF97" i="19"/>
  <c r="BB97" i="19"/>
  <c r="AX97" i="19"/>
  <c r="AX96" i="19" s="1"/>
  <c r="AT97" i="19"/>
  <c r="AT96" i="19" s="1"/>
  <c r="AP97" i="19"/>
  <c r="AL97" i="19"/>
  <c r="AL96" i="19" s="1"/>
  <c r="AH97" i="19"/>
  <c r="AH96" i="19" s="1"/>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F7" i="19"/>
  <c r="C2" i="19"/>
  <c r="F96" i="19" l="1"/>
  <c r="BB96" i="19"/>
  <c r="BR96" i="19"/>
  <c r="CH96" i="19"/>
  <c r="CX96" i="19"/>
  <c r="DN96" i="19"/>
  <c r="ED96" i="19"/>
  <c r="ET96" i="19"/>
  <c r="FJ96" i="19"/>
  <c r="FZ96" i="19"/>
  <c r="GP96" i="19"/>
  <c r="HF96" i="19"/>
  <c r="HV96" i="19"/>
  <c r="IL96" i="19"/>
  <c r="JB96" i="19"/>
  <c r="JR96" i="19"/>
  <c r="KH96" i="19"/>
  <c r="KX96" i="19"/>
  <c r="AP96" i="19"/>
  <c r="BF96" i="19"/>
  <c r="BV96" i="19"/>
  <c r="CL96" i="19"/>
  <c r="DB96" i="19"/>
  <c r="DR96" i="19"/>
  <c r="EH96" i="19"/>
  <c r="EX96" i="19"/>
  <c r="FN96" i="19"/>
  <c r="GD96" i="19"/>
  <c r="GT96" i="19"/>
  <c r="HJ96" i="19"/>
  <c r="HZ96" i="19"/>
  <c r="IP96" i="19"/>
  <c r="JF96" i="19"/>
  <c r="JV96" i="19"/>
  <c r="KL96" i="19"/>
  <c r="LB96" i="19"/>
  <c r="D9" i="19"/>
  <c r="J7" i="19"/>
  <c r="N7" i="19" l="1"/>
  <c r="R7" i="19" l="1"/>
  <c r="V7" i="19" l="1"/>
  <c r="Z7" i="19" l="1"/>
  <c r="AD7" i="19" l="1"/>
  <c r="AH7" i="19" l="1"/>
  <c r="AL7" i="19" l="1"/>
  <c r="AP7" i="19" l="1"/>
  <c r="AT7" i="19" l="1"/>
  <c r="AX7" i="19" l="1"/>
  <c r="BB7" i="19" l="1"/>
  <c r="BF7" i="19" l="1"/>
  <c r="C160" i="16"/>
  <c r="C159" i="16"/>
  <c r="C158" i="16"/>
  <c r="C157" i="16"/>
  <c r="C156" i="16"/>
  <c r="C155" i="16"/>
  <c r="C154" i="16"/>
  <c r="C153" i="16"/>
  <c r="D118" i="16"/>
  <c r="H6" i="16"/>
  <c r="H146" i="16" s="1"/>
  <c r="BJ7" i="19" l="1"/>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BN7" i="19" l="1"/>
  <c r="F101" i="7"/>
  <c r="BR7" i="19" l="1"/>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BV7" i="19" l="1"/>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BZ7" i="19" l="1"/>
  <c r="AI107" i="14"/>
  <c r="R110" i="14"/>
  <c r="AQ108" i="14"/>
  <c r="BH110" i="14"/>
  <c r="AA109" i="14"/>
  <c r="BU110" i="14"/>
  <c r="AB111" i="14"/>
  <c r="AU107" i="14"/>
  <c r="BP112" i="14"/>
  <c r="CF111" i="14"/>
  <c r="U112" i="14"/>
  <c r="AI109" i="14"/>
  <c r="AX111" i="14"/>
  <c r="T109" i="14"/>
  <c r="AB113" i="14"/>
  <c r="CU109" i="14"/>
  <c r="BL113" i="14"/>
  <c r="BO112" i="14"/>
  <c r="CB107" i="14"/>
  <c r="CE108" i="14"/>
  <c r="AT113" i="14"/>
  <c r="BN113" i="14"/>
  <c r="CL111" i="14"/>
  <c r="CV110" i="14"/>
  <c r="CH110" i="14"/>
  <c r="AL110" i="14"/>
  <c r="CX111" i="14"/>
  <c r="AF112" i="14"/>
  <c r="N113" i="14"/>
  <c r="AV108" i="14"/>
  <c r="AV110" i="14"/>
  <c r="AS112" i="14"/>
  <c r="CB113" i="14"/>
  <c r="BN107" i="14"/>
  <c r="BR107" i="14"/>
  <c r="AC112" i="14"/>
  <c r="CP112" i="14"/>
  <c r="BA113" i="14"/>
  <c r="CO107" i="14"/>
  <c r="CD111" i="14"/>
  <c r="AV111" i="14"/>
  <c r="BN112" i="14"/>
  <c r="CN109" i="14"/>
  <c r="S107" i="14"/>
  <c r="BM110" i="14"/>
  <c r="C118" i="14"/>
  <c r="AE112" i="14"/>
  <c r="N111" i="14"/>
  <c r="BN110" i="14"/>
  <c r="I111" i="14"/>
  <c r="CH109" i="14"/>
  <c r="CV107" i="14"/>
  <c r="AC107" i="14"/>
  <c r="BX107" i="14"/>
  <c r="CA108" i="14"/>
  <c r="AD113" i="14"/>
  <c r="CO112" i="14"/>
  <c r="AU110" i="14"/>
  <c r="AA107" i="14"/>
  <c r="CR110" i="14"/>
  <c r="AK107" i="14"/>
  <c r="BS112" i="14"/>
  <c r="CS111" i="14"/>
  <c r="CR111" i="14"/>
  <c r="CC109" i="14"/>
  <c r="CN107" i="14"/>
  <c r="CC108" i="14"/>
  <c r="BH109" i="14"/>
  <c r="BV110" i="14"/>
  <c r="CL109" i="14"/>
  <c r="AE111" i="14"/>
  <c r="AB109" i="14"/>
  <c r="V113" i="14"/>
  <c r="BW108" i="14"/>
  <c r="AZ109" i="14"/>
  <c r="K109" i="14"/>
  <c r="BE108" i="14"/>
  <c r="AW107" i="14"/>
  <c r="CR112" i="14"/>
  <c r="CY107" i="14"/>
  <c r="BT108" i="14"/>
  <c r="AF108" i="14"/>
  <c r="AW108" i="14"/>
  <c r="Z113" i="14"/>
  <c r="CF110" i="14"/>
  <c r="V107" i="14"/>
  <c r="BJ109" i="14"/>
  <c r="X110" i="14"/>
  <c r="BN108" i="14"/>
  <c r="CX107" i="14"/>
  <c r="CD108" i="14"/>
  <c r="BU108" i="14"/>
  <c r="I113" i="14"/>
  <c r="BT113" i="14"/>
  <c r="J110" i="14"/>
  <c r="AM107" i="14"/>
  <c r="CC112" i="14"/>
  <c r="BR110" i="14"/>
  <c r="AJ111" i="14"/>
  <c r="S113" i="14"/>
  <c r="BI110" i="14"/>
  <c r="CO113" i="14"/>
  <c r="BB108" i="14"/>
  <c r="AH113" i="14"/>
  <c r="BF108" i="14"/>
  <c r="BB110" i="14"/>
  <c r="BX112" i="14"/>
  <c r="CW112" i="14"/>
  <c r="CY111" i="14"/>
  <c r="BV109" i="14"/>
  <c r="CK109" i="14"/>
  <c r="R111" i="14"/>
  <c r="CS108" i="14"/>
  <c r="CT109" i="14"/>
  <c r="BC113" i="14"/>
  <c r="CI110" i="14"/>
  <c r="DC107" i="14"/>
  <c r="AC113" i="14"/>
  <c r="AN109" i="14"/>
  <c r="AB110" i="14"/>
  <c r="CE110" i="14"/>
  <c r="T111" i="14"/>
  <c r="AR108" i="14"/>
  <c r="H107" i="14"/>
  <c r="BD112" i="14"/>
  <c r="BA112" i="14"/>
  <c r="K112" i="14"/>
  <c r="AE110" i="14"/>
  <c r="V109" i="14"/>
  <c r="AY113" i="14"/>
  <c r="W109" i="14"/>
  <c r="BL111" i="14"/>
  <c r="AD111" i="14"/>
  <c r="CH108" i="14"/>
  <c r="Y112" i="14"/>
  <c r="BW110" i="14"/>
  <c r="AX107" i="14"/>
  <c r="BQ109" i="14"/>
  <c r="BK113" i="14"/>
  <c r="AM112" i="14"/>
  <c r="N107" i="14"/>
  <c r="AX110" i="14"/>
  <c r="CX112" i="14"/>
  <c r="BP110" i="14"/>
  <c r="V111" i="14"/>
  <c r="H108" i="14"/>
  <c r="BZ111" i="14"/>
  <c r="CY110" i="14"/>
  <c r="BI109" i="14"/>
  <c r="S109" i="14"/>
  <c r="CP110" i="14"/>
  <c r="P109" i="14"/>
  <c r="AV113" i="14"/>
  <c r="AB107" i="14"/>
  <c r="X112" i="14"/>
  <c r="AH112" i="14"/>
  <c r="BE110" i="14"/>
  <c r="CO109" i="14"/>
  <c r="CQ113" i="14"/>
  <c r="AP113" i="14"/>
  <c r="BE107" i="14"/>
  <c r="BU107" i="14"/>
  <c r="DC108" i="14"/>
  <c r="CQ109" i="14"/>
  <c r="AO107" i="14"/>
  <c r="BI108" i="14"/>
  <c r="Y110" i="14"/>
  <c r="AP109" i="14"/>
  <c r="N109" i="14"/>
  <c r="AZ112" i="14"/>
  <c r="BM109" i="14"/>
  <c r="BL107" i="14"/>
  <c r="CZ109" i="14"/>
  <c r="BL109" i="14"/>
  <c r="CQ107" i="14"/>
  <c r="BW107" i="14"/>
  <c r="BE109" i="14"/>
  <c r="BC107" i="14"/>
  <c r="CF112" i="14"/>
  <c r="CN110" i="14"/>
  <c r="AI110" i="14"/>
  <c r="BA109" i="14"/>
  <c r="BM111" i="14"/>
  <c r="CX109" i="14"/>
  <c r="AY108" i="14"/>
  <c r="L111" i="14"/>
  <c r="Y113" i="14"/>
  <c r="CZ110" i="14"/>
  <c r="CT107" i="14"/>
  <c r="CT110" i="14"/>
  <c r="CX108" i="14"/>
  <c r="AC109" i="14"/>
  <c r="BA111" i="14"/>
  <c r="BH107" i="14"/>
  <c r="AT109" i="14"/>
  <c r="CM108" i="14"/>
  <c r="Q107" i="14"/>
  <c r="BN111" i="14"/>
  <c r="BD113" i="14"/>
  <c r="AN107" i="14"/>
  <c r="BC112" i="14"/>
  <c r="H111" i="14"/>
  <c r="BI112" i="14"/>
  <c r="CN111" i="14"/>
  <c r="CB108" i="14"/>
  <c r="BT112" i="14"/>
  <c r="AS113" i="14"/>
  <c r="AG112" i="14"/>
  <c r="BD109" i="14"/>
  <c r="BY112" i="14"/>
  <c r="CU110" i="14"/>
  <c r="AM108" i="14"/>
  <c r="CJ113" i="14"/>
  <c r="J107" i="14"/>
  <c r="AK108" i="14"/>
  <c r="AG107" i="14"/>
  <c r="AH108" i="14"/>
  <c r="BS108" i="14"/>
  <c r="CG107" i="14"/>
  <c r="CZ107" i="14"/>
  <c r="AO111" i="14"/>
  <c r="BM112" i="14"/>
  <c r="CN113" i="14"/>
  <c r="BU112" i="14"/>
  <c r="BD111" i="14"/>
  <c r="BG109" i="14"/>
  <c r="AR110" i="14"/>
  <c r="AR112" i="14"/>
  <c r="BE112" i="14"/>
  <c r="CF113" i="14"/>
  <c r="AW111" i="14"/>
  <c r="AP110" i="14"/>
  <c r="CU113" i="14"/>
  <c r="BK111" i="14"/>
  <c r="BH111" i="14"/>
  <c r="AE109" i="14"/>
  <c r="BA108" i="14"/>
  <c r="BV108" i="14"/>
  <c r="DA107" i="14"/>
  <c r="BE113" i="14"/>
  <c r="BY107" i="14"/>
  <c r="BO110" i="14"/>
  <c r="C20" i="16"/>
  <c r="Z112" i="14"/>
  <c r="BX108" i="14"/>
  <c r="AG109" i="14"/>
  <c r="T107" i="14"/>
  <c r="BV113" i="14"/>
  <c r="DA113" i="14"/>
  <c r="U110" i="14"/>
  <c r="BH112" i="14"/>
  <c r="BR108" i="14"/>
  <c r="AY110" i="14"/>
  <c r="BC108" i="14"/>
  <c r="DB109" i="14"/>
  <c r="AN110" i="14"/>
  <c r="AT108" i="14"/>
  <c r="AN112" i="14"/>
  <c r="CM107" i="14"/>
  <c r="BT109" i="14"/>
  <c r="BP107" i="14"/>
  <c r="CD107" i="14"/>
  <c r="AH111" i="14"/>
  <c r="J113" i="14"/>
  <c r="CI109" i="14"/>
  <c r="CP108" i="14"/>
  <c r="AI108" i="14"/>
  <c r="CJ109" i="14"/>
  <c r="BA110" i="14"/>
  <c r="CA111" i="14"/>
  <c r="BQ113" i="14"/>
  <c r="BI107" i="14"/>
  <c r="AQ107" i="14"/>
  <c r="CQ112" i="14"/>
  <c r="BO107" i="14"/>
  <c r="CH112" i="14"/>
  <c r="CF109" i="14"/>
  <c r="V110" i="14"/>
  <c r="CJ112" i="14"/>
  <c r="T112" i="14"/>
  <c r="CO111" i="14"/>
  <c r="AA110" i="14"/>
  <c r="CM112" i="14"/>
  <c r="AD112" i="14"/>
  <c r="BJ112" i="14"/>
  <c r="DA112" i="14"/>
  <c r="BQ111" i="14"/>
  <c r="AZ108" i="14"/>
  <c r="CR107" i="14"/>
  <c r="DA110" i="14"/>
  <c r="I112" i="14"/>
  <c r="BI111" i="14"/>
  <c r="AS111" i="14"/>
  <c r="AO112" i="14"/>
  <c r="CN108" i="14"/>
  <c r="AP107" i="14"/>
  <c r="AL111" i="14"/>
  <c r="CB112" i="14"/>
  <c r="Z109" i="14"/>
  <c r="AS107" i="14"/>
  <c r="CT113" i="14"/>
  <c r="BX110" i="14"/>
  <c r="BW111" i="14"/>
  <c r="AS109" i="14"/>
  <c r="CV109" i="14"/>
  <c r="CJ107" i="14"/>
  <c r="BK109" i="14"/>
  <c r="BS109" i="14"/>
  <c r="AT110" i="14"/>
  <c r="AK113" i="14"/>
  <c r="BB112" i="14"/>
  <c r="AU112" i="14"/>
  <c r="CG110" i="14"/>
  <c r="DC113" i="14"/>
  <c r="I110" i="14"/>
  <c r="AH109" i="14"/>
  <c r="CM110" i="14"/>
  <c r="CT112" i="14"/>
  <c r="CO110" i="14"/>
  <c r="L112" i="14"/>
  <c r="CM111" i="14"/>
  <c r="BQ112" i="14"/>
  <c r="BE111" i="14"/>
  <c r="CW109" i="14"/>
  <c r="BB109" i="14"/>
  <c r="K110" i="14"/>
  <c r="AE108" i="14"/>
  <c r="BJ110" i="14"/>
  <c r="I109" i="14"/>
  <c r="X107" i="14"/>
  <c r="CR113" i="14"/>
  <c r="BG111" i="14"/>
  <c r="S111" i="14"/>
  <c r="BG110" i="14"/>
  <c r="BM108" i="14"/>
  <c r="N110" i="14"/>
  <c r="BR112" i="14"/>
  <c r="BC109" i="14"/>
  <c r="CR108" i="14"/>
  <c r="W107" i="14"/>
  <c r="BO113" i="14"/>
  <c r="CI111" i="14"/>
  <c r="DC109" i="14"/>
  <c r="BY108" i="14"/>
  <c r="AW110" i="14"/>
  <c r="C20" i="15"/>
  <c r="S110" i="14"/>
  <c r="L109" i="14"/>
  <c r="BG108" i="14"/>
  <c r="BF113" i="14"/>
  <c r="AJ107" i="14"/>
  <c r="DA109" i="14"/>
  <c r="BB111" i="14"/>
  <c r="AS110" i="14"/>
  <c r="BP111" i="14"/>
  <c r="AQ109" i="14"/>
  <c r="BD110" i="14"/>
  <c r="AS108" i="14"/>
  <c r="AZ113" i="14"/>
  <c r="DC112" i="14"/>
  <c r="BZ113" i="14"/>
  <c r="AD110" i="14"/>
  <c r="BY113" i="14"/>
  <c r="BI113" i="14"/>
  <c r="AG110" i="14"/>
  <c r="AL107" i="14"/>
  <c r="AX113" i="14"/>
  <c r="BS107" i="14"/>
  <c r="H110" i="14"/>
  <c r="BG113" i="14"/>
  <c r="AV109" i="14"/>
  <c r="CK108" i="14"/>
  <c r="AD109" i="14"/>
  <c r="AH110" i="14"/>
  <c r="M111" i="14"/>
  <c r="BC110" i="14"/>
  <c r="CA109" i="14"/>
  <c r="CS107" i="14"/>
  <c r="AL113" i="14"/>
  <c r="R113" i="14"/>
  <c r="T110" i="14"/>
  <c r="AH107" i="14"/>
  <c r="BX113" i="14"/>
  <c r="CU112" i="14"/>
  <c r="AO113" i="14"/>
  <c r="CS110" i="14"/>
  <c r="BF111" i="14"/>
  <c r="CY108" i="14"/>
  <c r="AF107" i="14"/>
  <c r="AA112" i="14"/>
  <c r="CJ111" i="14"/>
  <c r="Z111" i="14"/>
  <c r="DA108" i="14"/>
  <c r="AX109" i="14"/>
  <c r="BS113" i="14"/>
  <c r="U113" i="14"/>
  <c r="AE113" i="14"/>
  <c r="O113" i="14"/>
  <c r="CS109" i="14"/>
  <c r="CA113" i="14"/>
  <c r="H113" i="14"/>
  <c r="AW109" i="14"/>
  <c r="BB113" i="14"/>
  <c r="CD113" i="14"/>
  <c r="BF109" i="14"/>
  <c r="BR113" i="14"/>
  <c r="CL108" i="14"/>
  <c r="BZ108" i="14"/>
  <c r="CC107" i="14"/>
  <c r="DB112" i="14"/>
  <c r="AE107" i="14"/>
  <c r="BY110" i="14"/>
  <c r="BG107" i="14"/>
  <c r="Q113" i="14"/>
  <c r="U107" i="14"/>
  <c r="AX112" i="14"/>
  <c r="T113" i="14"/>
  <c r="CU108" i="14"/>
  <c r="BL112" i="14"/>
  <c r="BV112" i="14"/>
  <c r="J111" i="14"/>
  <c r="K113" i="14"/>
  <c r="J109" i="14"/>
  <c r="AF111" i="14"/>
  <c r="CP107" i="14"/>
  <c r="L107" i="14"/>
  <c r="Z110" i="14"/>
  <c r="AX108" i="14"/>
  <c r="CH111" i="14"/>
  <c r="BT110" i="14"/>
  <c r="K111" i="14"/>
  <c r="AF109" i="14"/>
  <c r="Q110" i="14"/>
  <c r="BD108" i="14"/>
  <c r="BG112" i="14"/>
  <c r="BS111" i="14"/>
  <c r="DB107" i="14"/>
  <c r="BS110" i="14"/>
  <c r="AG108" i="14"/>
  <c r="BJ108" i="14"/>
  <c r="BP113" i="14"/>
  <c r="BZ110" i="14"/>
  <c r="H112" i="14"/>
  <c r="CE109" i="14"/>
  <c r="CB111" i="14"/>
  <c r="BP109" i="14"/>
  <c r="CG108" i="14"/>
  <c r="BO108" i="14"/>
  <c r="AJ110" i="14"/>
  <c r="BW109" i="14"/>
  <c r="AQ110" i="14"/>
  <c r="Q111" i="14"/>
  <c r="CJ110" i="14"/>
  <c r="BZ109" i="14"/>
  <c r="BQ107" i="14"/>
  <c r="AQ112" i="14"/>
  <c r="AR107" i="14"/>
  <c r="CZ111" i="14"/>
  <c r="CX110" i="14"/>
  <c r="P107" i="14"/>
  <c r="AD108" i="14"/>
  <c r="CR109" i="14"/>
  <c r="AM109" i="14"/>
  <c r="BK112" i="14"/>
  <c r="AP111" i="14"/>
  <c r="AY112" i="14"/>
  <c r="CK113" i="14"/>
  <c r="CS112" i="14"/>
  <c r="J112" i="14"/>
  <c r="AU108" i="14"/>
  <c r="P111" i="14"/>
  <c r="AV107" i="14"/>
  <c r="CT111" i="14"/>
  <c r="M113" i="14"/>
  <c r="AC108" i="14"/>
  <c r="CS113" i="14"/>
  <c r="CB109" i="14"/>
  <c r="M109" i="14"/>
  <c r="AN113" i="14"/>
  <c r="CP111" i="14"/>
  <c r="I107" i="14"/>
  <c r="AF110" i="14"/>
  <c r="AM111" i="14"/>
  <c r="CZ112" i="14"/>
  <c r="CL110" i="14"/>
  <c r="W110" i="14"/>
  <c r="AA113" i="14"/>
  <c r="CF107" i="14"/>
  <c r="CQ111" i="14"/>
  <c r="CL113" i="14"/>
  <c r="AR111" i="14"/>
  <c r="AM113" i="14"/>
  <c r="AU109" i="14"/>
  <c r="O109" i="14"/>
  <c r="BK110" i="14"/>
  <c r="AI111" i="14"/>
  <c r="CD110" i="14"/>
  <c r="BT111" i="14"/>
  <c r="BX109" i="14"/>
  <c r="CK110" i="14"/>
  <c r="AP112" i="14"/>
  <c r="AQ113" i="14"/>
  <c r="BK107" i="14"/>
  <c r="CY113" i="14"/>
  <c r="AK109" i="14"/>
  <c r="CE112" i="14"/>
  <c r="X109" i="14"/>
  <c r="AK110" i="14"/>
  <c r="AW112" i="14"/>
  <c r="O110" i="14"/>
  <c r="DB108" i="14"/>
  <c r="CU107" i="14"/>
  <c r="R107" i="14"/>
  <c r="P113" i="14"/>
  <c r="BH113" i="14"/>
  <c r="CO108" i="14"/>
  <c r="BL108" i="14"/>
  <c r="CK107" i="14"/>
  <c r="AL108" i="14"/>
  <c r="DC110" i="14"/>
  <c r="CF108" i="14"/>
  <c r="BJ107" i="14"/>
  <c r="BB107" i="14"/>
  <c r="AI113" i="14"/>
  <c r="CA107" i="14"/>
  <c r="Q112" i="14"/>
  <c r="CH113" i="14"/>
  <c r="BL110" i="14"/>
  <c r="CI107" i="14"/>
  <c r="CW108" i="14"/>
  <c r="B118" i="14"/>
  <c r="AY107" i="14"/>
  <c r="DB110" i="14"/>
  <c r="CV111" i="14"/>
  <c r="O112" i="14"/>
  <c r="CC113" i="14"/>
  <c r="CV112" i="14"/>
  <c r="CY112" i="14"/>
  <c r="AY111" i="14"/>
  <c r="CN112" i="14"/>
  <c r="BA107" i="14"/>
  <c r="CI108" i="14"/>
  <c r="BM113" i="14"/>
  <c r="BV111" i="14"/>
  <c r="AT112" i="14"/>
  <c r="DA111" i="14"/>
  <c r="P110" i="14"/>
  <c r="CG113" i="14"/>
  <c r="BM107" i="14"/>
  <c r="P112" i="14"/>
  <c r="AB112" i="14"/>
  <c r="X113" i="14"/>
  <c r="CZ108" i="14"/>
  <c r="AL109" i="14"/>
  <c r="AA111" i="14"/>
  <c r="AL112" i="14"/>
  <c r="M112" i="14"/>
  <c r="CD112" i="14"/>
  <c r="W113" i="14"/>
  <c r="CM109" i="14"/>
  <c r="M110" i="14"/>
  <c r="AU113" i="14"/>
  <c r="CC110" i="14"/>
  <c r="CV108" i="14"/>
  <c r="BC111" i="14"/>
  <c r="AO108" i="14"/>
  <c r="CY109" i="14"/>
  <c r="CC111" i="14"/>
  <c r="BQ110" i="14"/>
  <c r="DC111" i="14"/>
  <c r="O107" i="14"/>
  <c r="CX113" i="14"/>
  <c r="AK112" i="14"/>
  <c r="AZ110" i="14"/>
  <c r="U111" i="14"/>
  <c r="BF107" i="14"/>
  <c r="AU111" i="14"/>
  <c r="M107" i="14"/>
  <c r="AO110" i="14"/>
  <c r="V112" i="14"/>
  <c r="BV107" i="14"/>
  <c r="N112" i="14"/>
  <c r="AJ109" i="14"/>
  <c r="AT107" i="14"/>
  <c r="X111" i="14"/>
  <c r="Y109" i="14"/>
  <c r="AV112" i="14"/>
  <c r="AQ111" i="14"/>
  <c r="BF112" i="14"/>
  <c r="R112" i="14"/>
  <c r="BH108" i="14"/>
  <c r="BY109" i="14"/>
  <c r="CA110" i="14"/>
  <c r="L110" i="14"/>
  <c r="CP113" i="14"/>
  <c r="AJ113" i="14"/>
  <c r="BZ112" i="14"/>
  <c r="CE111" i="14"/>
  <c r="AJ112" i="14"/>
  <c r="BW113" i="14"/>
  <c r="AM110" i="14"/>
  <c r="L113" i="14"/>
  <c r="I108" i="14"/>
  <c r="BR109" i="14"/>
  <c r="AZ107" i="14"/>
  <c r="BR111" i="14"/>
  <c r="CU111" i="14"/>
  <c r="CG109" i="14"/>
  <c r="CB110" i="14"/>
  <c r="H109" i="14"/>
  <c r="CI113" i="14"/>
  <c r="CL107" i="14"/>
  <c r="CD109" i="14"/>
  <c r="O111" i="14"/>
  <c r="CI112" i="14"/>
  <c r="R109" i="14"/>
  <c r="CE107" i="14"/>
  <c r="CV113" i="14"/>
  <c r="BO111" i="14"/>
  <c r="AN108" i="14"/>
  <c r="W111" i="14"/>
  <c r="CH107" i="14"/>
  <c r="CP109" i="14"/>
  <c r="AG113" i="14"/>
  <c r="S112" i="14"/>
  <c r="CL112" i="14"/>
  <c r="BT107" i="14"/>
  <c r="CW113" i="14"/>
  <c r="CJ108" i="14"/>
  <c r="CG111" i="14"/>
  <c r="AG111" i="14"/>
  <c r="BK108" i="14"/>
  <c r="AR109" i="14"/>
  <c r="AR113" i="14"/>
  <c r="DB111" i="14"/>
  <c r="AI112" i="14"/>
  <c r="CE113" i="14"/>
  <c r="BU113" i="14"/>
  <c r="CT108" i="14"/>
  <c r="Q109" i="14"/>
  <c r="BD107" i="14"/>
  <c r="CW107" i="14"/>
  <c r="BJ111" i="14"/>
  <c r="AW113" i="14"/>
  <c r="AK111" i="14"/>
  <c r="CW110" i="14"/>
  <c r="Y111" i="14"/>
  <c r="CA112" i="14"/>
  <c r="BZ107" i="14"/>
  <c r="AY109" i="14"/>
  <c r="CZ113" i="14"/>
  <c r="BU109" i="14"/>
  <c r="BJ113" i="14"/>
  <c r="Z107" i="14"/>
  <c r="AF113" i="14"/>
  <c r="BU111" i="14"/>
  <c r="CQ108" i="14"/>
  <c r="AZ111" i="14"/>
  <c r="AN111" i="14"/>
  <c r="BN109" i="14"/>
  <c r="BQ108" i="14"/>
  <c r="BP108" i="14"/>
  <c r="BW112" i="14"/>
  <c r="Y107" i="14"/>
  <c r="AC110" i="14"/>
  <c r="BY111" i="14"/>
  <c r="AT111" i="14"/>
  <c r="DB113" i="14"/>
  <c r="AC111" i="14"/>
  <c r="AJ108" i="14"/>
  <c r="CK111" i="14"/>
  <c r="BX111" i="14"/>
  <c r="CM113" i="14"/>
  <c r="AD107" i="14"/>
  <c r="W112" i="14"/>
  <c r="K107" i="14"/>
  <c r="CW111" i="14"/>
  <c r="CK112" i="14"/>
  <c r="CG112" i="14"/>
  <c r="AO109" i="14"/>
  <c r="BF110" i="14"/>
  <c r="CQ110" i="14"/>
  <c r="U109" i="14"/>
  <c r="AP108" i="14"/>
  <c r="BO109" i="14"/>
  <c r="G109" i="14" l="1"/>
  <c r="G112" i="14"/>
  <c r="G113" i="14"/>
  <c r="G110" i="14"/>
  <c r="G111" i="14"/>
  <c r="G107" i="14"/>
  <c r="CD7" i="19"/>
  <c r="DD20" i="10"/>
  <c r="CH7" i="19" l="1"/>
  <c r="V165" i="15"/>
  <c r="N274" i="15" s="1"/>
  <c r="T165" i="15"/>
  <c r="M274" i="15" s="1"/>
  <c r="M165" i="15"/>
  <c r="N165" i="15"/>
  <c r="L165" i="15"/>
  <c r="K165" i="15"/>
  <c r="J165" i="15"/>
  <c r="I165" i="15"/>
  <c r="H165" i="15"/>
  <c r="G274" i="15" s="1"/>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107" i="14"/>
  <c r="C116" i="14"/>
  <c r="C108" i="14"/>
  <c r="C110" i="14"/>
  <c r="C113" i="14"/>
  <c r="C41" i="14"/>
  <c r="B116" i="14"/>
  <c r="C112" i="14"/>
  <c r="C111" i="14"/>
  <c r="C106" i="14"/>
  <c r="H106" i="14"/>
  <c r="C109" i="14"/>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3" i="7"/>
  <c r="DE93"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1" i="7"/>
  <c r="DE71"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 i="7"/>
  <c r="DE12" i="7"/>
  <c r="DF129" i="6"/>
  <c r="DE129" i="6"/>
  <c r="DF128" i="6"/>
  <c r="DE128" i="6"/>
  <c r="DF127" i="6"/>
  <c r="DE127" i="6"/>
  <c r="DF125" i="6"/>
  <c r="DE125" i="6"/>
  <c r="DF124" i="6"/>
  <c r="DE124" i="6"/>
  <c r="DF123" i="6"/>
  <c r="DE123" i="6"/>
  <c r="DF122" i="6"/>
  <c r="DE122" i="6"/>
  <c r="DF121" i="6"/>
  <c r="DE121"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 i="6"/>
  <c r="DE12" i="6"/>
  <c r="DF129" i="5"/>
  <c r="DE129" i="5"/>
  <c r="DF128" i="5"/>
  <c r="DE128" i="5"/>
  <c r="DF127" i="5"/>
  <c r="DE127" i="5"/>
  <c r="DF125" i="5"/>
  <c r="DE125" i="5"/>
  <c r="DF124" i="5"/>
  <c r="DE124" i="5"/>
  <c r="DF123" i="5"/>
  <c r="DE123" i="5"/>
  <c r="DF122" i="5"/>
  <c r="DE122" i="5"/>
  <c r="DF121" i="5"/>
  <c r="DE121"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12" i="5"/>
  <c r="DE12"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1" i="4"/>
  <c r="DF122" i="4"/>
  <c r="DF123" i="4"/>
  <c r="DF124" i="4"/>
  <c r="DF125" i="4"/>
  <c r="DF127" i="4"/>
  <c r="DF128" i="4"/>
  <c r="DF129" i="4"/>
  <c r="DF13" i="4"/>
  <c r="DF14" i="4"/>
  <c r="DF15" i="4"/>
  <c r="DF16" i="4"/>
  <c r="DF17" i="4"/>
  <c r="DF18" i="4"/>
  <c r="DF19" i="4"/>
  <c r="DF20" i="4"/>
  <c r="DF21" i="4"/>
  <c r="DF12" i="4"/>
  <c r="DE12" i="4"/>
  <c r="DC78" i="4"/>
  <c r="DJ7" i="19" l="1"/>
  <c r="DE6" i="7"/>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1" i="7"/>
  <c r="G72" i="7"/>
  <c r="G73" i="7"/>
  <c r="G74" i="7"/>
  <c r="G75" i="7"/>
  <c r="G76" i="7"/>
  <c r="G77" i="7"/>
  <c r="G79" i="7"/>
  <c r="G80" i="7"/>
  <c r="G81" i="7"/>
  <c r="G82" i="7"/>
  <c r="G83" i="7"/>
  <c r="G84" i="7"/>
  <c r="G85" i="7"/>
  <c r="G86" i="7"/>
  <c r="G87" i="7"/>
  <c r="G88" i="7"/>
  <c r="G90" i="7"/>
  <c r="G91" i="7"/>
  <c r="G92" i="7"/>
  <c r="G93"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1" i="6"/>
  <c r="G122" i="6"/>
  <c r="G123" i="6"/>
  <c r="G124" i="6"/>
  <c r="G125" i="6"/>
  <c r="G127" i="6"/>
  <c r="G128" i="6"/>
  <c r="G129" i="6"/>
  <c r="G12" i="5"/>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1" i="5"/>
  <c r="G122" i="5"/>
  <c r="G123" i="5"/>
  <c r="G124" i="5"/>
  <c r="G125" i="5"/>
  <c r="G127" i="5"/>
  <c r="G128" i="5"/>
  <c r="G129" i="5"/>
  <c r="G12" i="4"/>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C44" i="8" s="1"/>
  <c r="DB45" i="8"/>
  <c r="DA45" i="8"/>
  <c r="CZ45" i="8"/>
  <c r="CY45" i="8"/>
  <c r="CY44" i="8" s="1"/>
  <c r="CX45" i="8"/>
  <c r="CW45" i="8"/>
  <c r="CV45" i="8"/>
  <c r="CU45" i="8"/>
  <c r="CU44" i="8" s="1"/>
  <c r="CT45" i="8"/>
  <c r="CS45" i="8"/>
  <c r="CR45" i="8"/>
  <c r="CQ45" i="8"/>
  <c r="CQ44" i="8" s="1"/>
  <c r="CP45" i="8"/>
  <c r="CO45" i="8"/>
  <c r="CN45" i="8"/>
  <c r="CM45" i="8"/>
  <c r="CM44" i="8" s="1"/>
  <c r="CL45" i="8"/>
  <c r="CK45" i="8"/>
  <c r="CJ45" i="8"/>
  <c r="CI45" i="8"/>
  <c r="CI44" i="8" s="1"/>
  <c r="CH45" i="8"/>
  <c r="CG45" i="8"/>
  <c r="CF45" i="8"/>
  <c r="CE45" i="8"/>
  <c r="CE44" i="8" s="1"/>
  <c r="CD45" i="8"/>
  <c r="CC45" i="8"/>
  <c r="CB45" i="8"/>
  <c r="CA45" i="8"/>
  <c r="CA44" i="8" s="1"/>
  <c r="BZ45" i="8"/>
  <c r="BY45" i="8"/>
  <c r="BX45" i="8"/>
  <c r="BW45" i="8"/>
  <c r="BW44" i="8" s="1"/>
  <c r="BV45" i="8"/>
  <c r="BU45" i="8"/>
  <c r="BT45" i="8"/>
  <c r="BS45" i="8"/>
  <c r="BS44" i="8" s="1"/>
  <c r="BR45" i="8"/>
  <c r="BQ45" i="8"/>
  <c r="BP45" i="8"/>
  <c r="BO45" i="8"/>
  <c r="BO44" i="8" s="1"/>
  <c r="BN45" i="8"/>
  <c r="BM45" i="8"/>
  <c r="BL45" i="8"/>
  <c r="BK45" i="8"/>
  <c r="BK44" i="8" s="1"/>
  <c r="BJ45" i="8"/>
  <c r="BI45" i="8"/>
  <c r="BH45" i="8"/>
  <c r="BG45" i="8"/>
  <c r="BG44" i="8" s="1"/>
  <c r="BF45" i="8"/>
  <c r="BE45" i="8"/>
  <c r="BD45" i="8"/>
  <c r="BC45" i="8"/>
  <c r="BC44" i="8" s="1"/>
  <c r="BB45" i="8"/>
  <c r="BA45" i="8"/>
  <c r="AZ45" i="8"/>
  <c r="AY45" i="8"/>
  <c r="AY44" i="8" s="1"/>
  <c r="AX45" i="8"/>
  <c r="AW45" i="8"/>
  <c r="AV45" i="8"/>
  <c r="AU45" i="8"/>
  <c r="AU44" i="8" s="1"/>
  <c r="AT45" i="8"/>
  <c r="AS45" i="8"/>
  <c r="AR45" i="8"/>
  <c r="AQ45" i="8"/>
  <c r="AQ44" i="8" s="1"/>
  <c r="AP45" i="8"/>
  <c r="AO45" i="8"/>
  <c r="AN45" i="8"/>
  <c r="AM45" i="8"/>
  <c r="AM44" i="8" s="1"/>
  <c r="AL45" i="8"/>
  <c r="AK45" i="8"/>
  <c r="AJ45" i="8"/>
  <c r="AI45" i="8"/>
  <c r="AI44" i="8" s="1"/>
  <c r="AH45" i="8"/>
  <c r="AG45" i="8"/>
  <c r="AF45" i="8"/>
  <c r="AE45" i="8"/>
  <c r="AE44" i="8" s="1"/>
  <c r="AD45" i="8"/>
  <c r="AC45" i="8"/>
  <c r="AB45" i="8"/>
  <c r="AA45" i="8"/>
  <c r="AA44" i="8" s="1"/>
  <c r="Z45" i="8"/>
  <c r="Y45" i="8"/>
  <c r="X45" i="8"/>
  <c r="W45" i="8"/>
  <c r="W44" i="8" s="1"/>
  <c r="V45" i="8"/>
  <c r="U45" i="8"/>
  <c r="T45" i="8"/>
  <c r="S45" i="8"/>
  <c r="S44" i="8" s="1"/>
  <c r="R45" i="8"/>
  <c r="Q45" i="8"/>
  <c r="P45" i="8"/>
  <c r="O45" i="8"/>
  <c r="O44" i="8" s="1"/>
  <c r="N45" i="8"/>
  <c r="M45" i="8"/>
  <c r="L45" i="8"/>
  <c r="K45" i="8"/>
  <c r="K44" i="8" s="1"/>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F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F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L67" i="7"/>
  <c r="K67" i="7"/>
  <c r="J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G12" i="7"/>
  <c r="F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J11" i="7"/>
  <c r="I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G12" i="6"/>
  <c r="F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I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F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I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I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CO116" i="14"/>
  <c r="BM116" i="14"/>
  <c r="E116" i="16"/>
  <c r="B33" i="16"/>
  <c r="C15" i="16"/>
  <c r="DE112" i="16"/>
  <c r="AG116" i="14"/>
  <c r="E66" i="16"/>
  <c r="AO116" i="14"/>
  <c r="E40" i="16"/>
  <c r="C123" i="16"/>
  <c r="E18" i="16"/>
  <c r="BT116" i="14"/>
  <c r="C74" i="16"/>
  <c r="E58" i="16"/>
  <c r="AL116" i="14"/>
  <c r="E19" i="16"/>
  <c r="E39" i="16"/>
  <c r="BB116" i="14"/>
  <c r="C58" i="16"/>
  <c r="Q116" i="14"/>
  <c r="C83" i="16"/>
  <c r="E15" i="16"/>
  <c r="C128" i="16"/>
  <c r="E36" i="16"/>
  <c r="BF116" i="14"/>
  <c r="C69" i="16"/>
  <c r="AP116" i="14"/>
  <c r="C23" i="16"/>
  <c r="AM116" i="14"/>
  <c r="BX116" i="14"/>
  <c r="AH116" i="14"/>
  <c r="B126" i="16"/>
  <c r="E67" i="16"/>
  <c r="E77" i="16"/>
  <c r="C121" i="16"/>
  <c r="E46" i="16"/>
  <c r="C32" i="16"/>
  <c r="E25" i="16"/>
  <c r="E76" i="16"/>
  <c r="B78" i="16"/>
  <c r="AZ116" i="14"/>
  <c r="C79" i="16"/>
  <c r="C111" i="16"/>
  <c r="E103" i="16"/>
  <c r="B22" i="16"/>
  <c r="C38" i="16"/>
  <c r="AW116" i="14"/>
  <c r="B56" i="16"/>
  <c r="L116" i="14"/>
  <c r="CP116" i="14"/>
  <c r="C125" i="16"/>
  <c r="E79" i="16"/>
  <c r="E107" i="16"/>
  <c r="B89" i="16"/>
  <c r="E69" i="16"/>
  <c r="E97" i="16"/>
  <c r="E55" i="16"/>
  <c r="I116" i="14"/>
  <c r="B118" i="16"/>
  <c r="C50" i="16"/>
  <c r="DE115" i="16"/>
  <c r="C28" i="16"/>
  <c r="AX116" i="14"/>
  <c r="DE113" i="16"/>
  <c r="E71" i="16"/>
  <c r="BQ116" i="14"/>
  <c r="E56" i="16"/>
  <c r="E38" i="16"/>
  <c r="E43" i="16"/>
  <c r="E12" i="16"/>
  <c r="C64" i="16"/>
  <c r="BK116" i="14"/>
  <c r="E83" i="16"/>
  <c r="C76" i="16"/>
  <c r="E119" i="16"/>
  <c r="C104" i="16"/>
  <c r="E115" i="16"/>
  <c r="BR116" i="14"/>
  <c r="E61" i="16"/>
  <c r="E123" i="16"/>
  <c r="CU116" i="14"/>
  <c r="C51" i="16"/>
  <c r="E49" i="16"/>
  <c r="DC116" i="14"/>
  <c r="E64" i="16"/>
  <c r="CS116" i="14"/>
  <c r="C22" i="16"/>
  <c r="C102" i="16"/>
  <c r="C106" i="16"/>
  <c r="BW116" i="14"/>
  <c r="E24" i="16"/>
  <c r="AI116" i="14"/>
  <c r="C14" i="16"/>
  <c r="DE116" i="16"/>
  <c r="C127" i="16"/>
  <c r="E121" i="16"/>
  <c r="E33" i="16"/>
  <c r="E44" i="16"/>
  <c r="AU116" i="14"/>
  <c r="E41" i="16"/>
  <c r="CQ116" i="14"/>
  <c r="CD116" i="14"/>
  <c r="E90" i="16"/>
  <c r="BL116" i="14"/>
  <c r="B67" i="16"/>
  <c r="C112" i="16"/>
  <c r="C41" i="16"/>
  <c r="C60" i="16"/>
  <c r="Z116" i="14"/>
  <c r="C62" i="16"/>
  <c r="C84" i="16"/>
  <c r="C31" i="16"/>
  <c r="C96" i="16"/>
  <c r="C93" i="16"/>
  <c r="C67" i="16"/>
  <c r="C129" i="16"/>
  <c r="C114" i="16"/>
  <c r="BJ116" i="14"/>
  <c r="C107" i="16"/>
  <c r="E156" i="16"/>
  <c r="C126" i="16"/>
  <c r="E120" i="16"/>
  <c r="E85" i="16"/>
  <c r="E117" i="16"/>
  <c r="C44" i="16"/>
  <c r="E111" i="16"/>
  <c r="AR116" i="14"/>
  <c r="C124" i="16"/>
  <c r="E158" i="16"/>
  <c r="E106" i="16"/>
  <c r="E23" i="16"/>
  <c r="C42" i="16"/>
  <c r="E51" i="16"/>
  <c r="BO116" i="14"/>
  <c r="CN116" i="14"/>
  <c r="E157" i="16"/>
  <c r="E125" i="16"/>
  <c r="E98" i="16"/>
  <c r="E96" i="16"/>
  <c r="C85" i="16"/>
  <c r="CZ116" i="14"/>
  <c r="AN116" i="14"/>
  <c r="E128" i="16"/>
  <c r="AT116" i="14"/>
  <c r="E17" i="16"/>
  <c r="C55" i="16"/>
  <c r="CA116" i="14"/>
  <c r="E153" i="16"/>
  <c r="C97" i="16"/>
  <c r="C27" i="16"/>
  <c r="E57" i="16"/>
  <c r="E81" i="16"/>
  <c r="C94" i="16"/>
  <c r="AA116" i="14"/>
  <c r="E30" i="16"/>
  <c r="E160" i="16"/>
  <c r="E42" i="16"/>
  <c r="E52" i="16"/>
  <c r="U116" i="14"/>
  <c r="E27" i="16"/>
  <c r="CT116" i="14"/>
  <c r="C45" i="16"/>
  <c r="B44" i="16"/>
  <c r="E129" i="16"/>
  <c r="C57" i="16"/>
  <c r="CC116" i="14"/>
  <c r="H116" i="14"/>
  <c r="AS116" i="14"/>
  <c r="BC116" i="14"/>
  <c r="C12" i="16"/>
  <c r="C33" i="16"/>
  <c r="E110" i="16"/>
  <c r="E108" i="16"/>
  <c r="CH116" i="14"/>
  <c r="CM116" i="14"/>
  <c r="C17" i="16"/>
  <c r="E45" i="16"/>
  <c r="BH116" i="14"/>
  <c r="C101" i="16"/>
  <c r="C30" i="16"/>
  <c r="C56" i="16"/>
  <c r="C48" i="16"/>
  <c r="E60" i="16"/>
  <c r="E72" i="16"/>
  <c r="E122" i="16"/>
  <c r="AB116" i="14"/>
  <c r="W116" i="14"/>
  <c r="C24" i="16"/>
  <c r="E37" i="16"/>
  <c r="BE116" i="14"/>
  <c r="CG116" i="14"/>
  <c r="C26" i="16"/>
  <c r="B111" i="16"/>
  <c r="BY116" i="14"/>
  <c r="E105" i="16"/>
  <c r="E78" i="16"/>
  <c r="CB116" i="14"/>
  <c r="E20" i="16"/>
  <c r="C89" i="16"/>
  <c r="E109" i="16"/>
  <c r="BU116" i="14"/>
  <c r="CI116" i="14"/>
  <c r="BZ116" i="14"/>
  <c r="CE116" i="14"/>
  <c r="C21" i="16"/>
  <c r="N116" i="14"/>
  <c r="E34" i="16"/>
  <c r="E89" i="16"/>
  <c r="C61" i="16"/>
  <c r="CL116" i="14"/>
  <c r="E92" i="16"/>
  <c r="C59" i="16"/>
  <c r="C118" i="16"/>
  <c r="B116" i="16"/>
  <c r="C71" i="16"/>
  <c r="AF116" i="14"/>
  <c r="C105" i="16"/>
  <c r="C39" i="16"/>
  <c r="CX116" i="14"/>
  <c r="C35" i="16"/>
  <c r="BD116" i="14"/>
  <c r="E155" i="16"/>
  <c r="AE116" i="14"/>
  <c r="E16" i="16"/>
  <c r="DB116" i="14"/>
  <c r="DA116" i="14"/>
  <c r="BS116" i="14"/>
  <c r="C98" i="16"/>
  <c r="E94" i="16"/>
  <c r="B113" i="16"/>
  <c r="E124" i="16"/>
  <c r="C25" i="16"/>
  <c r="CY116" i="14"/>
  <c r="E65" i="16"/>
  <c r="B112" i="16"/>
  <c r="E113" i="16"/>
  <c r="E84" i="16"/>
  <c r="E28" i="16"/>
  <c r="CJ116" i="14"/>
  <c r="C122" i="16"/>
  <c r="C18" i="16"/>
  <c r="C120" i="16"/>
  <c r="E26" i="16"/>
  <c r="E54" i="16"/>
  <c r="C95" i="16"/>
  <c r="E112" i="16"/>
  <c r="E100" i="16"/>
  <c r="R116" i="14"/>
  <c r="E102" i="16"/>
  <c r="BV116" i="14"/>
  <c r="AQ116" i="14"/>
  <c r="C72" i="16"/>
  <c r="E99" i="16"/>
  <c r="C108" i="16"/>
  <c r="O116" i="14"/>
  <c r="E93" i="16"/>
  <c r="B117" i="16"/>
  <c r="C37" i="16"/>
  <c r="E82" i="16"/>
  <c r="C82" i="16"/>
  <c r="C36" i="16"/>
  <c r="C73" i="16"/>
  <c r="C75" i="16"/>
  <c r="E91" i="16"/>
  <c r="C110" i="16"/>
  <c r="E68" i="16"/>
  <c r="E87" i="16"/>
  <c r="C87" i="16"/>
  <c r="E32" i="16"/>
  <c r="C117" i="16"/>
  <c r="C16" i="16"/>
  <c r="E31" i="16"/>
  <c r="CR116" i="14"/>
  <c r="E13" i="16"/>
  <c r="C66" i="16"/>
  <c r="CV116" i="14"/>
  <c r="BA116" i="14"/>
  <c r="E59" i="16"/>
  <c r="C46" i="16"/>
  <c r="E50" i="16"/>
  <c r="E159" i="16"/>
  <c r="E73" i="16"/>
  <c r="C77" i="16"/>
  <c r="BI116" i="14"/>
  <c r="E114" i="16"/>
  <c r="C43" i="16"/>
  <c r="E14" i="16"/>
  <c r="C119" i="16"/>
  <c r="C47" i="16"/>
  <c r="C68" i="16"/>
  <c r="E29" i="16"/>
  <c r="E47" i="16"/>
  <c r="M116" i="14"/>
  <c r="E22" i="16"/>
  <c r="C78" i="16"/>
  <c r="E101" i="16"/>
  <c r="C113" i="16"/>
  <c r="AY116" i="14"/>
  <c r="C49" i="16"/>
  <c r="C13" i="16"/>
  <c r="E74" i="16"/>
  <c r="E95" i="16"/>
  <c r="E63" i="16"/>
  <c r="E35" i="16"/>
  <c r="C19" i="16"/>
  <c r="AK116" i="14"/>
  <c r="B45" i="16"/>
  <c r="E154" i="16"/>
  <c r="C100" i="16"/>
  <c r="E48" i="16"/>
  <c r="C103" i="16"/>
  <c r="C70" i="16"/>
  <c r="X116" i="14"/>
  <c r="C88" i="16"/>
  <c r="C91" i="16"/>
  <c r="E118" i="16"/>
  <c r="E62" i="16"/>
  <c r="C80" i="16"/>
  <c r="AV116" i="14"/>
  <c r="C63" i="16"/>
  <c r="E104" i="16"/>
  <c r="K116" i="14"/>
  <c r="AC116" i="14"/>
  <c r="V116" i="14"/>
  <c r="E127" i="16"/>
  <c r="CW116" i="14"/>
  <c r="AD116" i="14"/>
  <c r="BP116" i="14"/>
  <c r="C115" i="16"/>
  <c r="BG116" i="14"/>
  <c r="Y116" i="14"/>
  <c r="AJ116" i="14"/>
  <c r="E75" i="16"/>
  <c r="C92" i="16"/>
  <c r="C65" i="16"/>
  <c r="C40" i="16"/>
  <c r="CF116" i="14"/>
  <c r="B114" i="16"/>
  <c r="DE111" i="16"/>
  <c r="C52" i="16"/>
  <c r="E70" i="16"/>
  <c r="C34" i="16"/>
  <c r="E88" i="16"/>
  <c r="C53" i="16"/>
  <c r="C54" i="16"/>
  <c r="E21" i="16"/>
  <c r="E80" i="16"/>
  <c r="T116" i="14"/>
  <c r="E53" i="16"/>
  <c r="C29" i="16"/>
  <c r="E86" i="16"/>
  <c r="BN116" i="14"/>
  <c r="B115" i="16"/>
  <c r="E126" i="16"/>
  <c r="J116" i="14"/>
  <c r="C90" i="16"/>
  <c r="C86" i="16"/>
  <c r="CK116" i="14"/>
  <c r="C81" i="16"/>
  <c r="DE114" i="16"/>
  <c r="P116" i="14"/>
  <c r="C109" i="16"/>
  <c r="C99" i="16"/>
  <c r="B100" i="16"/>
  <c r="DF116" i="16" l="1"/>
  <c r="DF111" i="16"/>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DF11" i="6"/>
  <c r="K10" i="7"/>
  <c r="O10" i="7"/>
  <c r="DF45" i="7"/>
  <c r="DF67" i="7"/>
  <c r="DF89" i="7"/>
  <c r="DF45"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DF78" i="6"/>
  <c r="DF100" i="6"/>
  <c r="DF8" i="7"/>
  <c r="H10" i="7"/>
  <c r="DF11" i="7"/>
  <c r="DF45" i="8"/>
  <c r="DF67" i="8"/>
  <c r="DF89" i="8"/>
  <c r="AE117" i="5"/>
  <c r="AI117" i="5"/>
  <c r="AM117" i="5"/>
  <c r="AQ117" i="5"/>
  <c r="AU117" i="5"/>
  <c r="AY117" i="5"/>
  <c r="BC117" i="5"/>
  <c r="BG117" i="5"/>
  <c r="BK117" i="5"/>
  <c r="BO117" i="5"/>
  <c r="BS117" i="5"/>
  <c r="BW117" i="5"/>
  <c r="CA117" i="5"/>
  <c r="CE117" i="5"/>
  <c r="CI117" i="5"/>
  <c r="CM117" i="5"/>
  <c r="CQ117" i="5"/>
  <c r="CU117" i="5"/>
  <c r="CY117" i="5"/>
  <c r="O44" i="6"/>
  <c r="CM44" i="6"/>
  <c r="AD117" i="6"/>
  <c r="AH117" i="6"/>
  <c r="AL117" i="6"/>
  <c r="AP117" i="6"/>
  <c r="AT117" i="6"/>
  <c r="AX117" i="6"/>
  <c r="BB117" i="6"/>
  <c r="BF117" i="6"/>
  <c r="BJ117" i="6"/>
  <c r="BN117" i="6"/>
  <c r="BR117" i="6"/>
  <c r="BV117" i="6"/>
  <c r="BZ117" i="6"/>
  <c r="CD117" i="6"/>
  <c r="CH117" i="6"/>
  <c r="CL117" i="6"/>
  <c r="CP117" i="6"/>
  <c r="CT117" i="6"/>
  <c r="CX117" i="6"/>
  <c r="DB117" i="6"/>
  <c r="DF33" i="7"/>
  <c r="J44" i="7"/>
  <c r="N44" i="7"/>
  <c r="DF56" i="7"/>
  <c r="DF78" i="7"/>
  <c r="DF100" i="7"/>
  <c r="DF118" i="7"/>
  <c r="I44" i="8"/>
  <c r="M44" i="8"/>
  <c r="Q44" i="8"/>
  <c r="U44" i="8"/>
  <c r="Y44" i="8"/>
  <c r="AC44" i="8"/>
  <c r="AG44" i="8"/>
  <c r="AK44" i="8"/>
  <c r="AO44" i="8"/>
  <c r="AS44" i="8"/>
  <c r="AS9" i="8" s="1"/>
  <c r="AS7" i="8" s="1"/>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DF11"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11" i="5"/>
  <c r="DF22" i="5"/>
  <c r="G22" i="5"/>
  <c r="DF126" i="8"/>
  <c r="DF118" i="8"/>
  <c r="BW117" i="7"/>
  <c r="BF117" i="7"/>
  <c r="BJ117" i="7"/>
  <c r="BN117" i="7"/>
  <c r="BR117" i="7"/>
  <c r="BV117" i="7"/>
  <c r="BZ117" i="7"/>
  <c r="CD117" i="7"/>
  <c r="CH117" i="7"/>
  <c r="CL117" i="7"/>
  <c r="CP117" i="7"/>
  <c r="CT117" i="7"/>
  <c r="DF126" i="7"/>
  <c r="DF126" i="6"/>
  <c r="DF126" i="5"/>
  <c r="DC10" i="8"/>
  <c r="DC9" i="8" s="1"/>
  <c r="DC7" i="8" s="1"/>
  <c r="K10" i="8"/>
  <c r="K9" i="8" s="1"/>
  <c r="K7" i="8" s="1"/>
  <c r="O10" i="8"/>
  <c r="S10" i="8"/>
  <c r="S9" i="8" s="1"/>
  <c r="S7" i="8" s="1"/>
  <c r="W10" i="8"/>
  <c r="W9" i="8" s="1"/>
  <c r="W7" i="8" s="1"/>
  <c r="AA10" i="8"/>
  <c r="AA9" i="8" s="1"/>
  <c r="AA7" i="8" s="1"/>
  <c r="AE10" i="8"/>
  <c r="AE9" i="8" s="1"/>
  <c r="AE7" i="8" s="1"/>
  <c r="AI10" i="8"/>
  <c r="AI9" i="8" s="1"/>
  <c r="AI7" i="8" s="1"/>
  <c r="AM10" i="8"/>
  <c r="AM9" i="8" s="1"/>
  <c r="AM7" i="8" s="1"/>
  <c r="AQ10" i="8"/>
  <c r="AQ9" i="8" s="1"/>
  <c r="AQ7" i="8" s="1"/>
  <c r="AU10" i="8"/>
  <c r="AU9" i="8" s="1"/>
  <c r="AU7" i="8" s="1"/>
  <c r="AY10" i="8"/>
  <c r="AY9" i="8" s="1"/>
  <c r="AY7" i="8" s="1"/>
  <c r="BC10" i="8"/>
  <c r="BC9" i="8" s="1"/>
  <c r="BC7" i="8" s="1"/>
  <c r="BG10" i="8"/>
  <c r="BG9" i="8" s="1"/>
  <c r="BG7" i="8" s="1"/>
  <c r="BK10" i="8"/>
  <c r="BO10" i="8"/>
  <c r="BO9" i="8" s="1"/>
  <c r="BO7" i="8" s="1"/>
  <c r="BS10" i="8"/>
  <c r="BS9" i="8" s="1"/>
  <c r="BS7" i="8" s="1"/>
  <c r="BW10" i="8"/>
  <c r="BW9" i="8" s="1"/>
  <c r="BW7" i="8" s="1"/>
  <c r="CA10" i="8"/>
  <c r="CE10" i="8"/>
  <c r="CE9" i="8" s="1"/>
  <c r="CE7" i="8" s="1"/>
  <c r="CI10" i="8"/>
  <c r="CI9" i="8" s="1"/>
  <c r="CI7" i="8" s="1"/>
  <c r="CM10" i="8"/>
  <c r="CM9" i="8" s="1"/>
  <c r="CM7" i="8" s="1"/>
  <c r="CQ10" i="8"/>
  <c r="CU10" i="8"/>
  <c r="CU9" i="8" s="1"/>
  <c r="CU7" i="8" s="1"/>
  <c r="CY10" i="8"/>
  <c r="CY9" i="8" s="1"/>
  <c r="CY7" i="8" s="1"/>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C9" i="8" s="1"/>
  <c r="CC7" i="8" s="1"/>
  <c r="CW10" i="8"/>
  <c r="CW9" i="8" s="1"/>
  <c r="CW7" i="8" s="1"/>
  <c r="G45" i="8"/>
  <c r="G56" i="8"/>
  <c r="G67" i="8"/>
  <c r="G78" i="8"/>
  <c r="G89" i="8"/>
  <c r="G100" i="8"/>
  <c r="AX10" i="8"/>
  <c r="BB10" i="8"/>
  <c r="BJ10" i="8"/>
  <c r="BN10" i="8"/>
  <c r="BR10" i="8"/>
  <c r="BZ10" i="8"/>
  <c r="BZ9" i="8" s="1"/>
  <c r="BZ7" i="8" s="1"/>
  <c r="CD10" i="8"/>
  <c r="CD9" i="8" s="1"/>
  <c r="CD7" i="8" s="1"/>
  <c r="CH10" i="8"/>
  <c r="BE114" i="7"/>
  <c r="G11" i="8"/>
  <c r="G89" i="7"/>
  <c r="G100" i="7"/>
  <c r="G33" i="8"/>
  <c r="BA114" i="8"/>
  <c r="G8" i="7"/>
  <c r="J10" i="7"/>
  <c r="N10" i="7"/>
  <c r="AC44" i="5"/>
  <c r="AS44" i="5"/>
  <c r="BE44" i="5"/>
  <c r="BY44" i="5"/>
  <c r="CG44" i="5"/>
  <c r="CO44" i="5"/>
  <c r="CW44" i="5"/>
  <c r="AX113" i="5"/>
  <c r="I10" i="7"/>
  <c r="M10" i="7"/>
  <c r="Q10" i="7"/>
  <c r="G56" i="7"/>
  <c r="G67" i="7"/>
  <c r="G78" i="7"/>
  <c r="H44" i="7"/>
  <c r="L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BX9" i="7" s="1"/>
  <c r="BX7" i="7" s="1"/>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T9" i="7" s="1"/>
  <c r="AT7" i="7" s="1"/>
  <c r="AX44" i="7"/>
  <c r="BB44" i="7"/>
  <c r="BF44" i="7"/>
  <c r="BJ44" i="7"/>
  <c r="BN44" i="7"/>
  <c r="BR44" i="7"/>
  <c r="BV44" i="7"/>
  <c r="BZ44" i="7"/>
  <c r="CD44" i="7"/>
  <c r="CH44" i="7"/>
  <c r="CL44" i="7"/>
  <c r="CP44" i="7"/>
  <c r="CT44" i="7"/>
  <c r="CX44" i="7"/>
  <c r="DB44" i="7"/>
  <c r="G8" i="5"/>
  <c r="BL117" i="5"/>
  <c r="BT117" i="5"/>
  <c r="CB117" i="5"/>
  <c r="CZ117" i="5"/>
  <c r="AF117" i="5"/>
  <c r="AJ117" i="5"/>
  <c r="AN117" i="5"/>
  <c r="AR117" i="5"/>
  <c r="AZ117" i="5"/>
  <c r="BD117" i="5"/>
  <c r="BH117" i="5"/>
  <c r="BP117" i="5"/>
  <c r="BX117" i="5"/>
  <c r="CF117" i="5"/>
  <c r="CJ117" i="5"/>
  <c r="CN117" i="5"/>
  <c r="CV117" i="5"/>
  <c r="I117" i="5"/>
  <c r="AC117" i="5"/>
  <c r="AG117" i="5"/>
  <c r="AK117" i="5"/>
  <c r="AO117" i="5"/>
  <c r="G11" i="7"/>
  <c r="AS117" i="5"/>
  <c r="AW117" i="5"/>
  <c r="BA117" i="5"/>
  <c r="BE117" i="5"/>
  <c r="BI117" i="5"/>
  <c r="BM117" i="5"/>
  <c r="BQ117" i="5"/>
  <c r="BU117" i="5"/>
  <c r="BY117" i="5"/>
  <c r="CC117" i="5"/>
  <c r="CG117" i="5"/>
  <c r="BG117" i="6"/>
  <c r="BK117" i="6"/>
  <c r="CQ117" i="6"/>
  <c r="BU117" i="7"/>
  <c r="CC117" i="7"/>
  <c r="CW117" i="7"/>
  <c r="DC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G11" i="6"/>
  <c r="CD10" i="6"/>
  <c r="K10" i="6"/>
  <c r="O10" i="6"/>
  <c r="AS10" i="6"/>
  <c r="G100" i="6"/>
  <c r="G78" i="6"/>
  <c r="G67" i="6"/>
  <c r="G56" i="6"/>
  <c r="G45" i="6"/>
  <c r="J10" i="6"/>
  <c r="R10" i="6"/>
  <c r="Z10" i="6"/>
  <c r="AH10" i="6"/>
  <c r="G33" i="6"/>
  <c r="G8" i="6"/>
  <c r="BI10" i="6"/>
  <c r="BU10" i="6"/>
  <c r="G45" i="5"/>
  <c r="I44" i="5"/>
  <c r="M44" i="5"/>
  <c r="Q44" i="5"/>
  <c r="G56" i="5"/>
  <c r="G33" i="5"/>
  <c r="O44" i="5"/>
  <c r="G11" i="5"/>
  <c r="G67" i="5"/>
  <c r="G78" i="5"/>
  <c r="G118" i="8"/>
  <c r="G118" i="7"/>
  <c r="CS117" i="7"/>
  <c r="G126" i="7"/>
  <c r="G126" i="6"/>
  <c r="H117" i="5"/>
  <c r="F126" i="5"/>
  <c r="F100" i="8"/>
  <c r="F118" i="8"/>
  <c r="F126" i="6"/>
  <c r="F118" i="7"/>
  <c r="F126" i="8"/>
  <c r="F126" i="7"/>
  <c r="F100" i="6"/>
  <c r="F100" i="7"/>
  <c r="K44"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BQ9" i="8" s="1"/>
  <c r="BQ7" i="8" s="1"/>
  <c r="CG10" i="8"/>
  <c r="CO10" i="8"/>
  <c r="CS10" i="8"/>
  <c r="CS9" i="8" s="1"/>
  <c r="CS7" i="8" s="1"/>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R9" i="8" s="1"/>
  <c r="CR7" i="8" s="1"/>
  <c r="CV44" i="8"/>
  <c r="CZ44" i="8"/>
  <c r="BQ10" i="7"/>
  <c r="BU10" i="7"/>
  <c r="BY10" i="7"/>
  <c r="CG10" i="7"/>
  <c r="CK10" i="7"/>
  <c r="CO10" i="7"/>
  <c r="CS10" i="7"/>
  <c r="CW10" i="7"/>
  <c r="DA10" i="7"/>
  <c r="O113" i="7"/>
  <c r="I44" i="7"/>
  <c r="M44" i="7"/>
  <c r="Q44" i="7"/>
  <c r="U44" i="7"/>
  <c r="Y44" i="7"/>
  <c r="Y9" i="7" s="1"/>
  <c r="Y7" i="7" s="1"/>
  <c r="AC44" i="7"/>
  <c r="AG44" i="7"/>
  <c r="AK44" i="7"/>
  <c r="AO44" i="7"/>
  <c r="AO9" i="7" s="1"/>
  <c r="AO7" i="7" s="1"/>
  <c r="AS44" i="7"/>
  <c r="AW44" i="7"/>
  <c r="BA44" i="7"/>
  <c r="BE44" i="7"/>
  <c r="BE9" i="7" s="1"/>
  <c r="BE7" i="7" s="1"/>
  <c r="BI44" i="7"/>
  <c r="BM44" i="7"/>
  <c r="BQ44" i="7"/>
  <c r="BU44" i="7"/>
  <c r="BY44" i="7"/>
  <c r="CC44" i="7"/>
  <c r="CG44" i="7"/>
  <c r="CK44" i="7"/>
  <c r="CO44" i="7"/>
  <c r="CS44" i="7"/>
  <c r="CW44" i="7"/>
  <c r="DA44" i="7"/>
  <c r="J10" i="8"/>
  <c r="Z10" i="8"/>
  <c r="AP10" i="8"/>
  <c r="BF10" i="8"/>
  <c r="BV10" i="8"/>
  <c r="BV9" i="8" s="1"/>
  <c r="BV7" i="8" s="1"/>
  <c r="CL10" i="8"/>
  <c r="CP10" i="8"/>
  <c r="CT10" i="8"/>
  <c r="CX10" i="8"/>
  <c r="DB10" i="8"/>
  <c r="DB9" i="8" s="1"/>
  <c r="DB7" i="8" s="1"/>
  <c r="O9" i="8"/>
  <c r="O7" i="8" s="1"/>
  <c r="BK9" i="8"/>
  <c r="BK7" i="8" s="1"/>
  <c r="CA9" i="8"/>
  <c r="CA7" i="8" s="1"/>
  <c r="CQ9" i="8"/>
  <c r="CQ7" i="8" s="1"/>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AC117" i="6"/>
  <c r="AG117" i="6"/>
  <c r="AK117" i="6"/>
  <c r="AO117" i="6"/>
  <c r="AS117" i="6"/>
  <c r="AW117" i="6"/>
  <c r="BA117" i="6"/>
  <c r="BE117" i="6"/>
  <c r="BI117" i="6"/>
  <c r="BM117" i="6"/>
  <c r="BQ117" i="6"/>
  <c r="BU117" i="6"/>
  <c r="BY117" i="6"/>
  <c r="CC117" i="6"/>
  <c r="CG117" i="6"/>
  <c r="CK117" i="6"/>
  <c r="CO117" i="6"/>
  <c r="CS117" i="6"/>
  <c r="CW117" i="6"/>
  <c r="DA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67" i="7"/>
  <c r="F89" i="7"/>
  <c r="F33" i="8"/>
  <c r="F22" i="7"/>
  <c r="F78" i="8"/>
  <c r="H117" i="6"/>
  <c r="F11" i="5"/>
  <c r="I10" i="6"/>
  <c r="S10" i="6"/>
  <c r="W10" i="6"/>
  <c r="AA10" i="6"/>
  <c r="AE10" i="6"/>
  <c r="AI10" i="6"/>
  <c r="AM10" i="6"/>
  <c r="AQ10" i="6"/>
  <c r="AU10" i="6"/>
  <c r="AY10" i="6"/>
  <c r="BC10" i="6"/>
  <c r="BG10" i="6"/>
  <c r="BO10" i="6"/>
  <c r="BS10" i="6"/>
  <c r="BW10" i="6"/>
  <c r="CA10" i="6"/>
  <c r="CE10" i="6"/>
  <c r="CI10" i="6"/>
  <c r="CM10" i="6"/>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F11"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AN9" i="5" s="1"/>
  <c r="AN7" i="5" s="1"/>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I10"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W112" i="8" s="1"/>
  <c r="CS113" i="8"/>
  <c r="CO113" i="8"/>
  <c r="CK113" i="8"/>
  <c r="CG113" i="8"/>
  <c r="CG112" i="8" s="1"/>
  <c r="CC113" i="8"/>
  <c r="BY113" i="8"/>
  <c r="BU113" i="8"/>
  <c r="BQ113" i="8"/>
  <c r="BM113" i="8"/>
  <c r="BI113" i="8"/>
  <c r="BE113" i="8"/>
  <c r="BA113" i="8"/>
  <c r="BA112" i="8" s="1"/>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E112" i="8" s="1"/>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G112" i="8" s="1"/>
  <c r="BO113" i="8"/>
  <c r="BW113" i="8"/>
  <c r="CI113" i="8"/>
  <c r="CY113" i="8"/>
  <c r="M114" i="8"/>
  <c r="AC114" i="8"/>
  <c r="AS114" i="8"/>
  <c r="BI114" i="8"/>
  <c r="BY114" i="8"/>
  <c r="CO114" i="8"/>
  <c r="N113" i="8"/>
  <c r="V113" i="8"/>
  <c r="AD113" i="8"/>
  <c r="AL113" i="8"/>
  <c r="AL112" i="8" s="1"/>
  <c r="AT113" i="8"/>
  <c r="BB113" i="8"/>
  <c r="BJ113" i="8"/>
  <c r="BR113" i="8"/>
  <c r="BR112" i="8" s="1"/>
  <c r="BZ113" i="8"/>
  <c r="CM113" i="8"/>
  <c r="CM112" i="8" s="1"/>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T9" i="7"/>
  <c r="T7" i="7" s="1"/>
  <c r="CU113" i="7"/>
  <c r="AM113" i="7"/>
  <c r="CE113" i="7"/>
  <c r="AE113" i="7"/>
  <c r="BO113" i="7"/>
  <c r="W113" i="7"/>
  <c r="F11"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Y114" i="7"/>
  <c r="CK114" i="7"/>
  <c r="AO114" i="7"/>
  <c r="DB113" i="7"/>
  <c r="CX113" i="7"/>
  <c r="CT113" i="7"/>
  <c r="CP113" i="7"/>
  <c r="CL113" i="7"/>
  <c r="CH113" i="7"/>
  <c r="CD113" i="7"/>
  <c r="BZ113" i="7"/>
  <c r="BV113" i="7"/>
  <c r="BR113" i="7"/>
  <c r="BN113" i="7"/>
  <c r="BJ113" i="7"/>
  <c r="BF113" i="7"/>
  <c r="BB113" i="7"/>
  <c r="AX113" i="7"/>
  <c r="AT113" i="7"/>
  <c r="DA113" i="7"/>
  <c r="DA112" i="7" s="1"/>
  <c r="CW113" i="7"/>
  <c r="CS113" i="7"/>
  <c r="CO113" i="7"/>
  <c r="CK113" i="7"/>
  <c r="CG113" i="7"/>
  <c r="CC113" i="7"/>
  <c r="BY113" i="7"/>
  <c r="BU113" i="7"/>
  <c r="BQ113" i="7"/>
  <c r="BM113" i="7"/>
  <c r="BI113" i="7"/>
  <c r="BE113" i="7"/>
  <c r="BA113" i="7"/>
  <c r="AW113" i="7"/>
  <c r="AS113" i="7"/>
  <c r="AO113" i="7"/>
  <c r="AK113" i="7"/>
  <c r="AG113" i="7"/>
  <c r="AC113" i="7"/>
  <c r="Y113" i="7"/>
  <c r="U113" i="7"/>
  <c r="Q113" i="7"/>
  <c r="M113" i="7"/>
  <c r="I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L113" i="7"/>
  <c r="H113" i="7"/>
  <c r="CZ114" i="7"/>
  <c r="CV114" i="7"/>
  <c r="CR114" i="7"/>
  <c r="CN114" i="7"/>
  <c r="CJ114" i="7"/>
  <c r="CF114" i="7"/>
  <c r="CB114" i="7"/>
  <c r="BX114" i="7"/>
  <c r="BT114" i="7"/>
  <c r="BP114" i="7"/>
  <c r="BL114" i="7"/>
  <c r="BH114" i="7"/>
  <c r="BD114" i="7"/>
  <c r="AZ114" i="7"/>
  <c r="AV114" i="7"/>
  <c r="AR114" i="7"/>
  <c r="AN114" i="7"/>
  <c r="AJ114" i="7"/>
  <c r="AF114" i="7"/>
  <c r="AB114" i="7"/>
  <c r="X114" i="7"/>
  <c r="T114" i="7"/>
  <c r="P114" i="7"/>
  <c r="L114" i="7"/>
  <c r="H114" i="7"/>
  <c r="DC114" i="7"/>
  <c r="CY114" i="7"/>
  <c r="CU114" i="7"/>
  <c r="CQ114" i="7"/>
  <c r="CM114" i="7"/>
  <c r="CI114" i="7"/>
  <c r="CE114" i="7"/>
  <c r="CA114" i="7"/>
  <c r="BW114" i="7"/>
  <c r="BS114" i="7"/>
  <c r="BO114" i="7"/>
  <c r="BK114" i="7"/>
  <c r="BG114" i="7"/>
  <c r="BC114" i="7"/>
  <c r="AY114" i="7"/>
  <c r="AU114" i="7"/>
  <c r="AQ114" i="7"/>
  <c r="AM114" i="7"/>
  <c r="AI114" i="7"/>
  <c r="AE114" i="7"/>
  <c r="AA114" i="7"/>
  <c r="W114" i="7"/>
  <c r="S114" i="7"/>
  <c r="O114" i="7"/>
  <c r="K114" i="7"/>
  <c r="DB114" i="7"/>
  <c r="CX114" i="7"/>
  <c r="CT114" i="7"/>
  <c r="CP114" i="7"/>
  <c r="CL114" i="7"/>
  <c r="CH114" i="7"/>
  <c r="CD114" i="7"/>
  <c r="BZ114" i="7"/>
  <c r="BV114" i="7"/>
  <c r="BR114" i="7"/>
  <c r="BN114" i="7"/>
  <c r="BJ114" i="7"/>
  <c r="BF114" i="7"/>
  <c r="BB114" i="7"/>
  <c r="AX114" i="7"/>
  <c r="AT114" i="7"/>
  <c r="AP114" i="7"/>
  <c r="AL114" i="7"/>
  <c r="AH114" i="7"/>
  <c r="AD114" i="7"/>
  <c r="Z114" i="7"/>
  <c r="V114" i="7"/>
  <c r="R114" i="7"/>
  <c r="N114" i="7"/>
  <c r="J114" i="7"/>
  <c r="J113" i="7"/>
  <c r="R113" i="7"/>
  <c r="Z113" i="7"/>
  <c r="AH113" i="7"/>
  <c r="AP113" i="7"/>
  <c r="BC113" i="7"/>
  <c r="BS113" i="7"/>
  <c r="CI113" i="7"/>
  <c r="CI112" i="7" s="1"/>
  <c r="CY113" i="7"/>
  <c r="M114" i="7"/>
  <c r="AC114" i="7"/>
  <c r="AS114" i="7"/>
  <c r="BI114" i="7"/>
  <c r="BY114" i="7"/>
  <c r="CO114" i="7"/>
  <c r="K113" i="7"/>
  <c r="S113" i="7"/>
  <c r="S112" i="7" s="1"/>
  <c r="AA113" i="7"/>
  <c r="AI113" i="7"/>
  <c r="AQ113" i="7"/>
  <c r="BG113" i="7"/>
  <c r="BW113" i="7"/>
  <c r="CM113" i="7"/>
  <c r="DC113" i="7"/>
  <c r="Q114" i="7"/>
  <c r="AG114" i="7"/>
  <c r="AW114" i="7"/>
  <c r="BM114" i="7"/>
  <c r="CC114" i="7"/>
  <c r="CS114" i="7"/>
  <c r="N113" i="7"/>
  <c r="N112" i="7" s="1"/>
  <c r="V113" i="7"/>
  <c r="AD113" i="7"/>
  <c r="AL113" i="7"/>
  <c r="AU113" i="7"/>
  <c r="BK113" i="7"/>
  <c r="CA113" i="7"/>
  <c r="CQ113" i="7"/>
  <c r="U114" i="7"/>
  <c r="AK114" i="7"/>
  <c r="BA114" i="7"/>
  <c r="BQ114" i="7"/>
  <c r="CG114" i="7"/>
  <c r="CW114" i="7"/>
  <c r="AE113" i="6"/>
  <c r="CS114" i="6"/>
  <c r="AN114" i="6"/>
  <c r="H114" i="6"/>
  <c r="CC114" i="6"/>
  <c r="AF114" i="6"/>
  <c r="BM114" i="6"/>
  <c r="X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Y114" i="6"/>
  <c r="AG114" i="6"/>
  <c r="AO114" i="6"/>
  <c r="BA114" i="6"/>
  <c r="BQ114" i="6"/>
  <c r="CG114" i="6"/>
  <c r="DA113" i="6"/>
  <c r="CW113" i="6"/>
  <c r="CS113" i="6"/>
  <c r="CO113" i="6"/>
  <c r="CK113" i="6"/>
  <c r="CG113" i="6"/>
  <c r="CC113" i="6"/>
  <c r="BY113" i="6"/>
  <c r="BU113" i="6"/>
  <c r="BQ113" i="6"/>
  <c r="BM113" i="6"/>
  <c r="BI113" i="6"/>
  <c r="BE113" i="6"/>
  <c r="BA113" i="6"/>
  <c r="AW113" i="6"/>
  <c r="AS113" i="6"/>
  <c r="AO113" i="6"/>
  <c r="AK113" i="6"/>
  <c r="AG113" i="6"/>
  <c r="AC113" i="6"/>
  <c r="Y113" i="6"/>
  <c r="U113" i="6"/>
  <c r="Q113" i="6"/>
  <c r="M113" i="6"/>
  <c r="I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AE114" i="6"/>
  <c r="AA114" i="6"/>
  <c r="DB114" i="6"/>
  <c r="CX114" i="6"/>
  <c r="CT114" i="6"/>
  <c r="CP114" i="6"/>
  <c r="CL114" i="6"/>
  <c r="CH114" i="6"/>
  <c r="CD114" i="6"/>
  <c r="BZ114" i="6"/>
  <c r="BV114" i="6"/>
  <c r="BR114" i="6"/>
  <c r="BN114" i="6"/>
  <c r="BJ114" i="6"/>
  <c r="BF114" i="6"/>
  <c r="BB114" i="6"/>
  <c r="AX114" i="6"/>
  <c r="AT114" i="6"/>
  <c r="AP114" i="6"/>
  <c r="AL114" i="6"/>
  <c r="AH114" i="6"/>
  <c r="AD114" i="6"/>
  <c r="Z114" i="6"/>
  <c r="K113" i="6"/>
  <c r="S113" i="6"/>
  <c r="AA113" i="6"/>
  <c r="AI113" i="6"/>
  <c r="AQ113" i="6"/>
  <c r="AY113" i="6"/>
  <c r="BG113" i="6"/>
  <c r="BO113" i="6"/>
  <c r="BW113" i="6"/>
  <c r="CE113" i="6"/>
  <c r="CM113" i="6"/>
  <c r="CU113" i="6"/>
  <c r="DC113" i="6"/>
  <c r="AB114" i="6"/>
  <c r="AJ114" i="6"/>
  <c r="AR114" i="6"/>
  <c r="BE114" i="6"/>
  <c r="BU114" i="6"/>
  <c r="CK114" i="6"/>
  <c r="DA114" i="6"/>
  <c r="N113" i="6"/>
  <c r="V113" i="6"/>
  <c r="AD113" i="6"/>
  <c r="AL113" i="6"/>
  <c r="AT113" i="6"/>
  <c r="BB113" i="6"/>
  <c r="BJ113" i="6"/>
  <c r="BR113" i="6"/>
  <c r="BZ113" i="6"/>
  <c r="CH113" i="6"/>
  <c r="CP113" i="6"/>
  <c r="CX113" i="6"/>
  <c r="AC114"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I113"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AB114" i="5"/>
  <c r="X114" i="5"/>
  <c r="H114" i="5"/>
  <c r="DC114" i="5"/>
  <c r="CY114" i="5"/>
  <c r="CU114" i="5"/>
  <c r="CQ114" i="5"/>
  <c r="CM114" i="5"/>
  <c r="CI114" i="5"/>
  <c r="CE114" i="5"/>
  <c r="CA114" i="5"/>
  <c r="BW114" i="5"/>
  <c r="BS114" i="5"/>
  <c r="BO114" i="5"/>
  <c r="BK114" i="5"/>
  <c r="BG114" i="5"/>
  <c r="BC114" i="5"/>
  <c r="AY114" i="5"/>
  <c r="AU114" i="5"/>
  <c r="AQ114" i="5"/>
  <c r="AM114" i="5"/>
  <c r="AI114" i="5"/>
  <c r="AE114" i="5"/>
  <c r="AA114" i="5"/>
  <c r="DB114" i="5"/>
  <c r="CX114" i="5"/>
  <c r="CT114" i="5"/>
  <c r="CP114" i="5"/>
  <c r="CL114" i="5"/>
  <c r="CH114" i="5"/>
  <c r="CD114" i="5"/>
  <c r="BZ114" i="5"/>
  <c r="BV114" i="5"/>
  <c r="BR114" i="5"/>
  <c r="BN114" i="5"/>
  <c r="BJ114" i="5"/>
  <c r="BF114" i="5"/>
  <c r="BB114" i="5"/>
  <c r="AX114" i="5"/>
  <c r="AT114" i="5"/>
  <c r="AP114" i="5"/>
  <c r="AL114" i="5"/>
  <c r="AH114" i="5"/>
  <c r="AD114" i="5"/>
  <c r="Z114" i="5"/>
  <c r="DA114" i="5"/>
  <c r="CW114" i="5"/>
  <c r="CS114" i="5"/>
  <c r="CO114" i="5"/>
  <c r="CK114" i="5"/>
  <c r="CG114" i="5"/>
  <c r="CC114" i="5"/>
  <c r="BY114" i="5"/>
  <c r="BU114" i="5"/>
  <c r="BQ114" i="5"/>
  <c r="BM114" i="5"/>
  <c r="BI114" i="5"/>
  <c r="BE114" i="5"/>
  <c r="BA114" i="5"/>
  <c r="AW114" i="5"/>
  <c r="AS114" i="5"/>
  <c r="AO114" i="5"/>
  <c r="AK114" i="5"/>
  <c r="AG114" i="5"/>
  <c r="AC114" i="5"/>
  <c r="Y114" i="5"/>
  <c r="I114" i="5"/>
  <c r="K113" i="5"/>
  <c r="V113" i="5"/>
  <c r="AL113" i="5"/>
  <c r="BB113" i="5"/>
  <c r="N113" i="5"/>
  <c r="Z113" i="5"/>
  <c r="AP113" i="5"/>
  <c r="BF113" i="5"/>
  <c r="F126" i="4"/>
  <c r="B95" i="4"/>
  <c r="H23" i="14"/>
  <c r="I23" i="14"/>
  <c r="J23" i="14"/>
  <c r="G23" i="14"/>
  <c r="J22" i="14"/>
  <c r="I22" i="14"/>
  <c r="H22" i="14"/>
  <c r="G22" i="14"/>
  <c r="BI116" i="16"/>
  <c r="AB111" i="16"/>
  <c r="CC111" i="16"/>
  <c r="BC111" i="16"/>
  <c r="BA116" i="16"/>
  <c r="AF116" i="16"/>
  <c r="BR111" i="16"/>
  <c r="BX116" i="16"/>
  <c r="CV111" i="16"/>
  <c r="BD116" i="16"/>
  <c r="CD116" i="16"/>
  <c r="AR111" i="16"/>
  <c r="AB116" i="16"/>
  <c r="U111" i="16"/>
  <c r="W111" i="16"/>
  <c r="BX111" i="16"/>
  <c r="BK111" i="16"/>
  <c r="BV111" i="16"/>
  <c r="T116" i="16"/>
  <c r="BG111" i="16"/>
  <c r="AU111" i="16"/>
  <c r="S116" i="16"/>
  <c r="AL111" i="16"/>
  <c r="CG116" i="16"/>
  <c r="CE116" i="16"/>
  <c r="CY111" i="16"/>
  <c r="BL111" i="16"/>
  <c r="BZ111" i="16"/>
  <c r="BQ116" i="16"/>
  <c r="AP116" i="16"/>
  <c r="Y116" i="16"/>
  <c r="AS116" i="16"/>
  <c r="BZ116" i="16"/>
  <c r="H116" i="16"/>
  <c r="CM111" i="16"/>
  <c r="BD111" i="16"/>
  <c r="BO116" i="16"/>
  <c r="BJ111" i="16"/>
  <c r="R111" i="16"/>
  <c r="CS111" i="16"/>
  <c r="CM116" i="16"/>
  <c r="CC116" i="16"/>
  <c r="BK116" i="16"/>
  <c r="AV116" i="16"/>
  <c r="DA116" i="16"/>
  <c r="AG111" i="16"/>
  <c r="AD111" i="16"/>
  <c r="V111" i="16"/>
  <c r="H111" i="16"/>
  <c r="W116" i="16"/>
  <c r="AM116" i="16"/>
  <c r="AD116" i="16"/>
  <c r="DB111" i="16"/>
  <c r="I111" i="16"/>
  <c r="AE111" i="16"/>
  <c r="CT111" i="16"/>
  <c r="BP116" i="16"/>
  <c r="L111" i="16"/>
  <c r="CB111" i="16"/>
  <c r="CG111" i="16"/>
  <c r="AI116" i="16"/>
  <c r="CS116" i="16"/>
  <c r="X111" i="16"/>
  <c r="AW111" i="16"/>
  <c r="BC116" i="16"/>
  <c r="CN116" i="16"/>
  <c r="BU111" i="16"/>
  <c r="P111" i="16"/>
  <c r="H20" i="14"/>
  <c r="BV116" i="16"/>
  <c r="CA111" i="16"/>
  <c r="H21" i="14"/>
  <c r="BF116" i="16"/>
  <c r="N111" i="16"/>
  <c r="AJ111" i="16"/>
  <c r="CX111" i="16"/>
  <c r="BO111" i="16"/>
  <c r="AY111" i="16"/>
  <c r="T111" i="16"/>
  <c r="AC111" i="16"/>
  <c r="AO116" i="16"/>
  <c r="AR116" i="16"/>
  <c r="DC111" i="16"/>
  <c r="BG116" i="16"/>
  <c r="DA111" i="16"/>
  <c r="BT116" i="16"/>
  <c r="G21" i="14"/>
  <c r="CJ116" i="16"/>
  <c r="BS111" i="16"/>
  <c r="K111" i="16"/>
  <c r="CP111" i="16"/>
  <c r="O111" i="16"/>
  <c r="BF111" i="16"/>
  <c r="CZ116" i="16"/>
  <c r="CO116" i="16"/>
  <c r="CL111" i="16"/>
  <c r="AI111" i="16"/>
  <c r="L116" i="16"/>
  <c r="BY116" i="16"/>
  <c r="BI111" i="16"/>
  <c r="M116" i="16"/>
  <c r="AS111" i="16"/>
  <c r="BH111" i="16"/>
  <c r="BB111" i="16"/>
  <c r="AJ116" i="16"/>
  <c r="X116" i="16"/>
  <c r="AA111" i="16"/>
  <c r="AT111" i="16"/>
  <c r="AQ116" i="16"/>
  <c r="AW116" i="16"/>
  <c r="AY116" i="16"/>
  <c r="BN116" i="16"/>
  <c r="CD111" i="16"/>
  <c r="I116" i="16"/>
  <c r="AG116" i="16"/>
  <c r="DC116" i="16"/>
  <c r="AN111" i="16"/>
  <c r="CQ116" i="16"/>
  <c r="O116" i="16"/>
  <c r="BH116" i="16"/>
  <c r="J111" i="16"/>
  <c r="BU116" i="16"/>
  <c r="CX116" i="16"/>
  <c r="CT116" i="16"/>
  <c r="BT111" i="16"/>
  <c r="CL116" i="16"/>
  <c r="S111" i="16"/>
  <c r="CQ111" i="16"/>
  <c r="J116" i="16"/>
  <c r="CW111" i="16"/>
  <c r="BJ116" i="16"/>
  <c r="U116" i="16"/>
  <c r="BE111" i="16"/>
  <c r="AZ116" i="16"/>
  <c r="CH116" i="16"/>
  <c r="G20" i="14"/>
  <c r="CF111" i="16"/>
  <c r="CN111" i="16"/>
  <c r="Z111" i="16"/>
  <c r="AA116" i="16"/>
  <c r="AH116" i="16"/>
  <c r="CU111" i="16"/>
  <c r="AX111" i="16"/>
  <c r="BS116" i="16"/>
  <c r="AX116" i="16"/>
  <c r="DB116" i="16"/>
  <c r="AP111" i="16"/>
  <c r="CZ111" i="16"/>
  <c r="AT116" i="16"/>
  <c r="CJ111" i="16"/>
  <c r="AZ111" i="16"/>
  <c r="BY111" i="16"/>
  <c r="AK111" i="16"/>
  <c r="M111" i="16"/>
  <c r="BP111" i="16"/>
  <c r="CI116" i="16"/>
  <c r="CY116" i="16"/>
  <c r="V116" i="16"/>
  <c r="P116" i="16"/>
  <c r="BW111" i="16"/>
  <c r="AN116" i="16"/>
  <c r="AF111" i="16"/>
  <c r="BB116" i="16"/>
  <c r="BL116" i="16"/>
  <c r="BM116" i="16"/>
  <c r="AC116" i="16"/>
  <c r="AH111" i="16"/>
  <c r="CK111" i="16"/>
  <c r="AQ111" i="16"/>
  <c r="CH111" i="16"/>
  <c r="CA116" i="16"/>
  <c r="R116" i="16"/>
  <c r="CB116" i="16"/>
  <c r="AM111" i="16"/>
  <c r="AU116" i="16"/>
  <c r="CI111" i="16"/>
  <c r="CW116" i="16"/>
  <c r="BA111" i="16"/>
  <c r="CF116" i="16"/>
  <c r="CK116" i="16"/>
  <c r="CU116" i="16"/>
  <c r="Y111" i="16"/>
  <c r="BE116" i="16"/>
  <c r="BW116" i="16"/>
  <c r="AV111" i="16"/>
  <c r="AL116" i="16"/>
  <c r="AO111" i="16"/>
  <c r="AE116" i="16"/>
  <c r="CR116" i="16"/>
  <c r="CP116" i="16"/>
  <c r="CE111" i="16"/>
  <c r="BQ111" i="16"/>
  <c r="Z116" i="16"/>
  <c r="K116" i="16"/>
  <c r="AK116" i="16"/>
  <c r="Q116" i="16"/>
  <c r="Q111" i="16"/>
  <c r="N116" i="16"/>
  <c r="CV116" i="16"/>
  <c r="BM111" i="16"/>
  <c r="CR111" i="16"/>
  <c r="BN111" i="16"/>
  <c r="BR116" i="16"/>
  <c r="CO111" i="16"/>
  <c r="CH9" i="8" l="1"/>
  <c r="CH7" i="8" s="1"/>
  <c r="CF9" i="7"/>
  <c r="CF7" i="7" s="1"/>
  <c r="BE112" i="7"/>
  <c r="AX112" i="5"/>
  <c r="CM112" i="7"/>
  <c r="CK112" i="8"/>
  <c r="CX9" i="8"/>
  <c r="CX7" i="8" s="1"/>
  <c r="AJ9" i="7"/>
  <c r="AJ7" i="7" s="1"/>
  <c r="AG9" i="8"/>
  <c r="AG7" i="8" s="1"/>
  <c r="CL9" i="8"/>
  <c r="CL7" i="8" s="1"/>
  <c r="CQ112" i="7"/>
  <c r="CM112" i="6"/>
  <c r="BA112" i="6"/>
  <c r="AA112" i="6"/>
  <c r="F111" i="16"/>
  <c r="G111" i="16"/>
  <c r="G116" i="16"/>
  <c r="F116" i="16"/>
  <c r="AW112" i="6"/>
  <c r="BG112" i="6"/>
  <c r="AM9" i="6"/>
  <c r="AM7" i="6" s="1"/>
  <c r="AO112" i="6"/>
  <c r="CQ112" i="6"/>
  <c r="CI9" i="6"/>
  <c r="CI7" i="6" s="1"/>
  <c r="S9" i="6"/>
  <c r="CA9" i="6"/>
  <c r="CA7" i="6" s="1"/>
  <c r="AQ9" i="6"/>
  <c r="AQ7" i="6" s="1"/>
  <c r="CZ9" i="5"/>
  <c r="CZ7" i="5" s="1"/>
  <c r="AE9" i="5"/>
  <c r="AE7" i="5" s="1"/>
  <c r="CM9" i="6"/>
  <c r="CM7" i="6" s="1"/>
  <c r="DV7" i="19"/>
  <c r="J9" i="8"/>
  <c r="J7" i="8" s="1"/>
  <c r="CG9" i="8"/>
  <c r="CG7" i="8" s="1"/>
  <c r="U9" i="8"/>
  <c r="U7" i="8" s="1"/>
  <c r="V9" i="8"/>
  <c r="V7" i="8" s="1"/>
  <c r="BK112" i="7"/>
  <c r="R112" i="7"/>
  <c r="CA112" i="7"/>
  <c r="CP9" i="7"/>
  <c r="CP7" i="7" s="1"/>
  <c r="BZ9" i="7"/>
  <c r="BZ7" i="7" s="1"/>
  <c r="BJ9" i="7"/>
  <c r="BJ7" i="7" s="1"/>
  <c r="AD9" i="7"/>
  <c r="AD7" i="7" s="1"/>
  <c r="CZ9" i="7"/>
  <c r="CZ7" i="7" s="1"/>
  <c r="BD9" i="7"/>
  <c r="BD7" i="7" s="1"/>
  <c r="AN9" i="7"/>
  <c r="AN7" i="7" s="1"/>
  <c r="BV9" i="7"/>
  <c r="BV7" i="7" s="1"/>
  <c r="AP9" i="7"/>
  <c r="AP7" i="7" s="1"/>
  <c r="N9" i="7"/>
  <c r="N7" i="7" s="1"/>
  <c r="CV9" i="7"/>
  <c r="CV7" i="7" s="1"/>
  <c r="AZ9" i="7"/>
  <c r="AZ7" i="7" s="1"/>
  <c r="J9" i="7"/>
  <c r="J7" i="7" s="1"/>
  <c r="CE9" i="7"/>
  <c r="CE7" i="7" s="1"/>
  <c r="BO9" i="7"/>
  <c r="BO7" i="7" s="1"/>
  <c r="DB9" i="7"/>
  <c r="DB7" i="7" s="1"/>
  <c r="CL9" i="7"/>
  <c r="CL7" i="7" s="1"/>
  <c r="BF9" i="7"/>
  <c r="BF7" i="7" s="1"/>
  <c r="Z9" i="7"/>
  <c r="Z7" i="7" s="1"/>
  <c r="CJ9" i="7"/>
  <c r="CJ7" i="7" s="1"/>
  <c r="BT9" i="7"/>
  <c r="BT7" i="7" s="1"/>
  <c r="X9" i="7"/>
  <c r="X7" i="7" s="1"/>
  <c r="BP9" i="7"/>
  <c r="BP7" i="7" s="1"/>
  <c r="CG9" i="6"/>
  <c r="CG7" i="6" s="1"/>
  <c r="AW9" i="6"/>
  <c r="AW7" i="6" s="1"/>
  <c r="AC9" i="6"/>
  <c r="AC7" i="6" s="1"/>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V7" i="7" s="1"/>
  <c r="CN9" i="7"/>
  <c r="CN7" i="7" s="1"/>
  <c r="AR9" i="7"/>
  <c r="AR7" i="7" s="1"/>
  <c r="CR9" i="7"/>
  <c r="CR7" i="7" s="1"/>
  <c r="CQ9" i="7"/>
  <c r="CQ7" i="7" s="1"/>
  <c r="CB9" i="7"/>
  <c r="CB7" i="7" s="1"/>
  <c r="BL9" i="7"/>
  <c r="BL7" i="7" s="1"/>
  <c r="AV9" i="7"/>
  <c r="AV7" i="7" s="1"/>
  <c r="AF9" i="7"/>
  <c r="AF7" i="7" s="1"/>
  <c r="P9" i="7"/>
  <c r="P7" i="7" s="1"/>
  <c r="CA9" i="7"/>
  <c r="CA7" i="7" s="1"/>
  <c r="BQ9" i="6"/>
  <c r="BQ7" i="6" s="1"/>
  <c r="AP112" i="5"/>
  <c r="BQ112" i="8"/>
  <c r="Q9" i="7"/>
  <c r="Q7" i="7" s="1"/>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O112" i="7"/>
  <c r="M9" i="7"/>
  <c r="M7" i="7" s="1"/>
  <c r="R9" i="7"/>
  <c r="R7" i="7" s="1"/>
  <c r="L9" i="7"/>
  <c r="L7" i="7" s="1"/>
  <c r="BQ9" i="5"/>
  <c r="BQ7" i="5" s="1"/>
  <c r="I9" i="8"/>
  <c r="I7" i="8" s="1"/>
  <c r="I112" i="6"/>
  <c r="AF112" i="6"/>
  <c r="AX9" i="8"/>
  <c r="AX7" i="8" s="1"/>
  <c r="AH9" i="8"/>
  <c r="AH7" i="8" s="1"/>
  <c r="AU112" i="7"/>
  <c r="AQ9" i="7"/>
  <c r="AQ7" i="7" s="1"/>
  <c r="CO9" i="5"/>
  <c r="CO7" i="5" s="1"/>
  <c r="AS9" i="5"/>
  <c r="AS7" i="5" s="1"/>
  <c r="K9" i="6"/>
  <c r="CO9" i="6"/>
  <c r="CO7" i="6" s="1"/>
  <c r="Q9" i="8"/>
  <c r="Q7" i="8" s="1"/>
  <c r="BM9" i="8"/>
  <c r="BM7" i="8" s="1"/>
  <c r="BA9" i="7"/>
  <c r="BA7" i="7" s="1"/>
  <c r="AK9" i="7"/>
  <c r="AK7" i="7" s="1"/>
  <c r="U9" i="7"/>
  <c r="U7" i="7" s="1"/>
  <c r="AW9" i="8"/>
  <c r="AW7" i="8" s="1"/>
  <c r="R9" i="8"/>
  <c r="R7" i="8" s="1"/>
  <c r="M9" i="8"/>
  <c r="M7" i="8" s="1"/>
  <c r="CC9" i="7"/>
  <c r="CC7" i="7" s="1"/>
  <c r="CN9" i="8"/>
  <c r="CN7" i="8" s="1"/>
  <c r="O9" i="7"/>
  <c r="O7" i="7" s="1"/>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K9" i="7"/>
  <c r="K7" i="7" s="1"/>
  <c r="CS9" i="6"/>
  <c r="CS7" i="6" s="1"/>
  <c r="AN112" i="6"/>
  <c r="BW112" i="8"/>
  <c r="AQ112" i="8"/>
  <c r="BN9" i="8"/>
  <c r="BN7" i="8" s="1"/>
  <c r="CT9" i="8"/>
  <c r="CT7" i="8" s="1"/>
  <c r="I9" i="7"/>
  <c r="I7" i="7" s="1"/>
  <c r="CO9" i="8"/>
  <c r="CO7" i="8" s="1"/>
  <c r="BM112" i="6"/>
  <c r="AI112" i="7"/>
  <c r="BS112" i="7"/>
  <c r="BI9" i="5"/>
  <c r="BI7" i="5" s="1"/>
  <c r="AC9" i="5"/>
  <c r="AC7" i="5" s="1"/>
  <c r="BI9" i="7"/>
  <c r="BI7" i="7" s="1"/>
  <c r="AS9" i="7"/>
  <c r="AS7" i="7" s="1"/>
  <c r="AC9" i="7"/>
  <c r="AC7" i="7" s="1"/>
  <c r="BW9" i="7"/>
  <c r="BW7" i="7" s="1"/>
  <c r="BG9" i="7"/>
  <c r="BG7" i="7" s="1"/>
  <c r="AA9" i="7"/>
  <c r="AA7" i="7" s="1"/>
  <c r="AL112" i="7"/>
  <c r="CU9" i="7"/>
  <c r="CU7" i="7" s="1"/>
  <c r="DF44" i="8"/>
  <c r="DF114" i="8"/>
  <c r="DF44" i="6"/>
  <c r="DF44" i="7"/>
  <c r="DF113" i="6"/>
  <c r="DF114" i="7"/>
  <c r="K112" i="8"/>
  <c r="DF113" i="8"/>
  <c r="CY112" i="7"/>
  <c r="AP112" i="7"/>
  <c r="DF113" i="7"/>
  <c r="DF10" i="8"/>
  <c r="CJ9" i="8"/>
  <c r="CJ7" i="8" s="1"/>
  <c r="BT9" i="8"/>
  <c r="BT7" i="8" s="1"/>
  <c r="BD9" i="8"/>
  <c r="BD7" i="8" s="1"/>
  <c r="AN9" i="8"/>
  <c r="AN7" i="8" s="1"/>
  <c r="X9" i="8"/>
  <c r="X7" i="8" s="1"/>
  <c r="DF10" i="7"/>
  <c r="DF10" i="6"/>
  <c r="BY9" i="5"/>
  <c r="BY7" i="5" s="1"/>
  <c r="U9" i="5"/>
  <c r="AB9" i="5"/>
  <c r="AB7" i="5" s="1"/>
  <c r="CI9" i="5"/>
  <c r="CI7" i="5" s="1"/>
  <c r="BO9" i="5"/>
  <c r="BO7" i="5" s="1"/>
  <c r="AU9" i="5"/>
  <c r="AU7" i="5" s="1"/>
  <c r="W9" i="5"/>
  <c r="DF44" i="5"/>
  <c r="DF10" i="5"/>
  <c r="DF113" i="5"/>
  <c r="DF117" i="8"/>
  <c r="DF117" i="7"/>
  <c r="AD112" i="8"/>
  <c r="I112" i="8"/>
  <c r="AO112" i="8"/>
  <c r="BU112" i="8"/>
  <c r="BB112" i="8"/>
  <c r="V112" i="8"/>
  <c r="BZ112" i="8"/>
  <c r="AT112" i="8"/>
  <c r="N112" i="8"/>
  <c r="AY112" i="8"/>
  <c r="S112" i="8"/>
  <c r="CZ9" i="8"/>
  <c r="CZ7" i="8" s="1"/>
  <c r="CQ112" i="8"/>
  <c r="CV9" i="8"/>
  <c r="CV7" i="8" s="1"/>
  <c r="S9" i="7"/>
  <c r="S7" i="7" s="1"/>
  <c r="BK9" i="7"/>
  <c r="BK7" i="7" s="1"/>
  <c r="I112" i="7"/>
  <c r="V112" i="7"/>
  <c r="Y112" i="7"/>
  <c r="BU112" i="7"/>
  <c r="CK112" i="7"/>
  <c r="AE9" i="7"/>
  <c r="AE7" i="7" s="1"/>
  <c r="AY9" i="7"/>
  <c r="AY7" i="7" s="1"/>
  <c r="AI9" i="7"/>
  <c r="AI7" i="7" s="1"/>
  <c r="AO9" i="6"/>
  <c r="AO7" i="6" s="1"/>
  <c r="Y9" i="6"/>
  <c r="Y7" i="6" s="1"/>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Z7" i="5" s="1"/>
  <c r="BM9" i="5"/>
  <c r="BM7" i="5" s="1"/>
  <c r="Q9" i="5"/>
  <c r="AA9" i="5"/>
  <c r="AA7" i="5" s="1"/>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4" i="7"/>
  <c r="G113" i="8"/>
  <c r="AZ9" i="5"/>
  <c r="AZ7" i="5" s="1"/>
  <c r="CV9" i="5"/>
  <c r="CV7" i="5" s="1"/>
  <c r="BT9" i="5"/>
  <c r="BT7" i="5" s="1"/>
  <c r="X9" i="5"/>
  <c r="X7" i="5" s="1"/>
  <c r="G10" i="8"/>
  <c r="CP9" i="5"/>
  <c r="CP7" i="5" s="1"/>
  <c r="BZ9" i="5"/>
  <c r="BZ7" i="5" s="1"/>
  <c r="AT9" i="5"/>
  <c r="AT7" i="5" s="1"/>
  <c r="AD9" i="5"/>
  <c r="AD7" i="5" s="1"/>
  <c r="J112" i="7"/>
  <c r="CY9" i="7"/>
  <c r="CY7" i="7" s="1"/>
  <c r="CI9" i="7"/>
  <c r="CI7" i="7" s="1"/>
  <c r="BS9" i="7"/>
  <c r="BS7" i="7" s="1"/>
  <c r="BC9" i="7"/>
  <c r="BC7" i="7" s="1"/>
  <c r="G10" i="7"/>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Y7" i="5" s="1"/>
  <c r="BB112" i="5"/>
  <c r="AL112" i="5"/>
  <c r="CC9" i="5"/>
  <c r="CC7" i="5" s="1"/>
  <c r="BN9" i="5"/>
  <c r="BN7" i="5" s="1"/>
  <c r="AH9" i="5"/>
  <c r="AH7" i="5" s="1"/>
  <c r="I9" i="5"/>
  <c r="R9" i="6"/>
  <c r="Z9" i="6"/>
  <c r="Z7" i="6" s="1"/>
  <c r="F44" i="7"/>
  <c r="H9" i="5"/>
  <c r="BY9" i="7"/>
  <c r="BY7" i="7" s="1"/>
  <c r="AM9" i="7"/>
  <c r="AM7" i="7" s="1"/>
  <c r="G44" i="7"/>
  <c r="G113" i="7"/>
  <c r="CO9" i="7"/>
  <c r="CO7" i="7" s="1"/>
  <c r="BU9" i="7"/>
  <c r="BU7" i="7" s="1"/>
  <c r="W9" i="7"/>
  <c r="W7" i="7" s="1"/>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F10" i="8"/>
  <c r="F117" i="7"/>
  <c r="AA9" i="6"/>
  <c r="AA7" i="6" s="1"/>
  <c r="BB9" i="6"/>
  <c r="BB7" i="6" s="1"/>
  <c r="CT9" i="6"/>
  <c r="CT7" i="6" s="1"/>
  <c r="CQ9" i="6"/>
  <c r="CQ7" i="6" s="1"/>
  <c r="F117" i="8"/>
  <c r="CP112" i="6"/>
  <c r="BJ112" i="6"/>
  <c r="AD112" i="6"/>
  <c r="DC112" i="6"/>
  <c r="BW112" i="6"/>
  <c r="AQ112" i="6"/>
  <c r="V9" i="6"/>
  <c r="AU9" i="6"/>
  <c r="AU7" i="6" s="1"/>
  <c r="CU9" i="6"/>
  <c r="CU7" i="6" s="1"/>
  <c r="BK9" i="6"/>
  <c r="BK7" i="6" s="1"/>
  <c r="J9" i="6"/>
  <c r="CC9" i="6"/>
  <c r="CC7" i="6" s="1"/>
  <c r="BM9" i="6"/>
  <c r="BM7" i="6" s="1"/>
  <c r="BZ9" i="6"/>
  <c r="BZ7" i="6" s="1"/>
  <c r="AD9" i="6"/>
  <c r="AD7" i="6" s="1"/>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AE7" i="6" s="1"/>
  <c r="BJ9" i="6"/>
  <c r="BJ7" i="6" s="1"/>
  <c r="G10" i="6"/>
  <c r="DC9" i="6"/>
  <c r="DC7" i="6" s="1"/>
  <c r="BN9" i="6"/>
  <c r="BN7" i="6" s="1"/>
  <c r="G113" i="6"/>
  <c r="N9" i="5"/>
  <c r="L9" i="5"/>
  <c r="AR9" i="5"/>
  <c r="AR7" i="5" s="1"/>
  <c r="CN9" i="5"/>
  <c r="CN7" i="5" s="1"/>
  <c r="G113" i="5"/>
  <c r="G10" i="5"/>
  <c r="G44" i="5"/>
  <c r="G117" i="8"/>
  <c r="G117" i="7"/>
  <c r="BQ112" i="6"/>
  <c r="AH112" i="7"/>
  <c r="BQ9" i="7"/>
  <c r="BQ7" i="7" s="1"/>
  <c r="BF112" i="5"/>
  <c r="Y112" i="6"/>
  <c r="Z112" i="7"/>
  <c r="P112" i="7"/>
  <c r="AF112" i="7"/>
  <c r="AV112" i="7"/>
  <c r="BL112" i="7"/>
  <c r="CB112" i="7"/>
  <c r="CR112" i="7"/>
  <c r="M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B7" i="6" s="1"/>
  <c r="AL9" i="6"/>
  <c r="AL7" i="6" s="1"/>
  <c r="CS9" i="7"/>
  <c r="CS7" i="7" s="1"/>
  <c r="Z112" i="5"/>
  <c r="AE112" i="6"/>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I9" i="6"/>
  <c r="I7" i="6" s="1"/>
  <c r="P9" i="6"/>
  <c r="Q9" i="6"/>
  <c r="F44" i="6"/>
  <c r="L9" i="6"/>
  <c r="N9" i="6"/>
  <c r="CZ9" i="6"/>
  <c r="CZ7" i="6" s="1"/>
  <c r="CJ9" i="6"/>
  <c r="CJ7" i="6" s="1"/>
  <c r="BT9" i="6"/>
  <c r="BT7" i="6" s="1"/>
  <c r="BD9" i="6"/>
  <c r="BD7" i="6" s="1"/>
  <c r="AN9" i="6"/>
  <c r="AN7" i="6" s="1"/>
  <c r="X9" i="6"/>
  <c r="X7" i="6" s="1"/>
  <c r="F10" i="6"/>
  <c r="F10" i="5"/>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F114" i="7"/>
  <c r="T112" i="7"/>
  <c r="AJ112" i="7"/>
  <c r="AZ112" i="7"/>
  <c r="BP112" i="7"/>
  <c r="CF112" i="7"/>
  <c r="CV112" i="7"/>
  <c r="Q112" i="7"/>
  <c r="AG112" i="7"/>
  <c r="AW112" i="7"/>
  <c r="BM112" i="7"/>
  <c r="CC112" i="7"/>
  <c r="CS112" i="7"/>
  <c r="AX112" i="7"/>
  <c r="BN112" i="7"/>
  <c r="CD112" i="7"/>
  <c r="CT112" i="7"/>
  <c r="AY112" i="7"/>
  <c r="AE112" i="7"/>
  <c r="CO112" i="7"/>
  <c r="BZ112" i="7"/>
  <c r="AD112" i="7"/>
  <c r="BG112" i="7"/>
  <c r="F113" i="7"/>
  <c r="H112" i="7"/>
  <c r="X112" i="7"/>
  <c r="AN112" i="7"/>
  <c r="BD112" i="7"/>
  <c r="BT112" i="7"/>
  <c r="CJ112" i="7"/>
  <c r="CZ112" i="7"/>
  <c r="U112" i="7"/>
  <c r="AK112" i="7"/>
  <c r="BA112" i="7"/>
  <c r="BQ112" i="7"/>
  <c r="CG112" i="7"/>
  <c r="CW112" i="7"/>
  <c r="BB112" i="7"/>
  <c r="BR112" i="7"/>
  <c r="CH112" i="7"/>
  <c r="CX112" i="7"/>
  <c r="F10" i="7"/>
  <c r="CE112" i="7"/>
  <c r="AC112" i="7"/>
  <c r="BJ112" i="7"/>
  <c r="DC112" i="7"/>
  <c r="AQ112" i="7"/>
  <c r="K112" i="7"/>
  <c r="L112" i="7"/>
  <c r="AB112" i="7"/>
  <c r="AR112" i="7"/>
  <c r="BH112" i="7"/>
  <c r="BX112" i="7"/>
  <c r="CN112" i="7"/>
  <c r="AO112" i="7"/>
  <c r="BF112" i="7"/>
  <c r="BV112" i="7"/>
  <c r="CL112" i="7"/>
  <c r="DB112" i="7"/>
  <c r="W112" i="7"/>
  <c r="AM112" i="7"/>
  <c r="AC112" i="6"/>
  <c r="BY112" i="6"/>
  <c r="CH112" i="6"/>
  <c r="BB112" i="6"/>
  <c r="CU112" i="6"/>
  <c r="BO112" i="6"/>
  <c r="AI112" i="6"/>
  <c r="AJ112" i="6"/>
  <c r="AZ112" i="6"/>
  <c r="BP112" i="6"/>
  <c r="CF112" i="6"/>
  <c r="CV112" i="6"/>
  <c r="AG112" i="6"/>
  <c r="CC112" i="6"/>
  <c r="CL112" i="6"/>
  <c r="BF112" i="6"/>
  <c r="Z112" i="6"/>
  <c r="CA112" i="6"/>
  <c r="AM112" i="6"/>
  <c r="F113" i="6"/>
  <c r="H112" i="6"/>
  <c r="X112" i="6"/>
  <c r="BD112" i="6"/>
  <c r="BT112" i="6"/>
  <c r="CJ112" i="6"/>
  <c r="CZ112" i="6"/>
  <c r="AK112" i="6"/>
  <c r="CG112" i="6"/>
  <c r="CW112" i="6"/>
  <c r="CD112" i="6"/>
  <c r="AX112" i="6"/>
  <c r="AU112" i="6"/>
  <c r="BK112" i="6"/>
  <c r="CX112" i="6"/>
  <c r="BR112" i="6"/>
  <c r="AL112" i="6"/>
  <c r="CE112" i="6"/>
  <c r="AY112" i="6"/>
  <c r="AB112" i="6"/>
  <c r="AR112" i="6"/>
  <c r="BH112" i="6"/>
  <c r="BX112" i="6"/>
  <c r="CN112" i="6"/>
  <c r="BE112" i="6"/>
  <c r="BU112" i="6"/>
  <c r="CK112" i="6"/>
  <c r="DA112" i="6"/>
  <c r="BV112" i="6"/>
  <c r="AP112" i="6"/>
  <c r="CY112" i="6"/>
  <c r="CI112" i="6"/>
  <c r="AA112" i="5"/>
  <c r="AQ112" i="5"/>
  <c r="BG112" i="5"/>
  <c r="BW112" i="5"/>
  <c r="CM112" i="5"/>
  <c r="DC112" i="5"/>
  <c r="AJ112" i="5"/>
  <c r="AZ112" i="5"/>
  <c r="BP112" i="5"/>
  <c r="CF112" i="5"/>
  <c r="CV112" i="5"/>
  <c r="AK112" i="5"/>
  <c r="BA112" i="5"/>
  <c r="BQ112" i="5"/>
  <c r="CG112" i="5"/>
  <c r="CW112" i="5"/>
  <c r="BV112" i="5"/>
  <c r="CL112" i="5"/>
  <c r="DB112" i="5"/>
  <c r="BJ112" i="5"/>
  <c r="AE112" i="5"/>
  <c r="AU112" i="5"/>
  <c r="BK112" i="5"/>
  <c r="CA112" i="5"/>
  <c r="CQ112" i="5"/>
  <c r="F113" i="5"/>
  <c r="X112" i="5"/>
  <c r="AN112" i="5"/>
  <c r="BD112" i="5"/>
  <c r="BT112" i="5"/>
  <c r="CJ112" i="5"/>
  <c r="CZ112" i="5"/>
  <c r="Y112" i="5"/>
  <c r="AO112" i="5"/>
  <c r="BE112" i="5"/>
  <c r="BU112" i="5"/>
  <c r="CK112" i="5"/>
  <c r="DA112" i="5"/>
  <c r="BZ112" i="5"/>
  <c r="CP112" i="5"/>
  <c r="AH112" i="5"/>
  <c r="AT112" i="5"/>
  <c r="AI112" i="5"/>
  <c r="AY112" i="5"/>
  <c r="BO112" i="5"/>
  <c r="CE112" i="5"/>
  <c r="CU112" i="5"/>
  <c r="AB112" i="5"/>
  <c r="AR112" i="5"/>
  <c r="BH112" i="5"/>
  <c r="BX112" i="5"/>
  <c r="CN112" i="5"/>
  <c r="AC112" i="5"/>
  <c r="AS112" i="5"/>
  <c r="BI112" i="5"/>
  <c r="BY112" i="5"/>
  <c r="CO112" i="5"/>
  <c r="BN112" i="5"/>
  <c r="CD112" i="5"/>
  <c r="CT112" i="5"/>
  <c r="AD112" i="5"/>
  <c r="AM112" i="5"/>
  <c r="BC112" i="5"/>
  <c r="BS112" i="5"/>
  <c r="CI112" i="5"/>
  <c r="CY112" i="5"/>
  <c r="AF112" i="5"/>
  <c r="AV112" i="5"/>
  <c r="BL112" i="5"/>
  <c r="CB112" i="5"/>
  <c r="CR112" i="5"/>
  <c r="AG112" i="5"/>
  <c r="AW112" i="5"/>
  <c r="BM112" i="5"/>
  <c r="CC112" i="5"/>
  <c r="CS112" i="5"/>
  <c r="BR112" i="5"/>
  <c r="CH112" i="5"/>
  <c r="CX112" i="5"/>
  <c r="DZ7" i="19" l="1"/>
  <c r="F9" i="7"/>
  <c r="DF112" i="7"/>
  <c r="DF112" i="8"/>
  <c r="DF7" i="7"/>
  <c r="DF9" i="7"/>
  <c r="H7" i="8"/>
  <c r="DF7" i="8" s="1"/>
  <c r="DF9" i="8"/>
  <c r="H7" i="6"/>
  <c r="DF9" i="6"/>
  <c r="DF9" i="5"/>
  <c r="G9" i="8"/>
  <c r="G7" i="7"/>
  <c r="G112" i="8"/>
  <c r="F9" i="8"/>
  <c r="G112" i="7"/>
  <c r="G9" i="7"/>
  <c r="G9" i="5"/>
  <c r="F112" i="8"/>
  <c r="F9" i="5"/>
  <c r="G9" i="6"/>
  <c r="F112" i="7"/>
  <c r="F9" i="6"/>
  <c r="E22" i="14"/>
  <c r="F23" i="14"/>
  <c r="E23" i="14"/>
  <c r="L23" i="14"/>
  <c r="L22" i="14"/>
  <c r="F22" i="14"/>
  <c r="E20" i="14"/>
  <c r="F20" i="14"/>
  <c r="F21" i="14"/>
  <c r="E21" i="14"/>
  <c r="G7" i="8" l="1"/>
  <c r="ED7" i="19"/>
  <c r="F7" i="7"/>
  <c r="DF6" i="7"/>
  <c r="DF6" i="8"/>
  <c r="F7" i="8"/>
  <c r="K22" i="14"/>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ET7" i="19" l="1"/>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S116" i="14"/>
  <c r="G116" i="14" l="1"/>
  <c r="EX7" i="19"/>
  <c r="H45" i="10"/>
  <c r="G6" i="14"/>
  <c r="B3" i="15"/>
  <c r="B3" i="16"/>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L63" i="10"/>
  <c r="CA63" i="10"/>
  <c r="BK63" i="10"/>
  <c r="AU63" i="10"/>
  <c r="O63" i="10"/>
  <c r="Y63" i="10"/>
  <c r="I63" i="10"/>
  <c r="R63" i="10"/>
  <c r="CZ63" i="10"/>
  <c r="CJ63" i="10"/>
  <c r="BT63" i="10"/>
  <c r="BD63" i="10"/>
  <c r="AN63" i="10"/>
  <c r="X63" i="10"/>
  <c r="K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I45" i="10"/>
  <c r="BX45" i="10"/>
  <c r="BH45" i="10"/>
  <c r="AR45" i="10"/>
  <c r="AB45" i="10"/>
  <c r="L45" i="10"/>
  <c r="CQ45" i="10"/>
  <c r="BK45" i="10"/>
  <c r="AU45" i="10"/>
  <c r="AE45" i="10"/>
  <c r="O45" i="10"/>
  <c r="AH45" i="10"/>
  <c r="CW45" i="10"/>
  <c r="CG45" i="10"/>
  <c r="BQ45" i="10"/>
  <c r="BA45" i="10"/>
  <c r="AK45" i="10"/>
  <c r="U45" i="10"/>
  <c r="CJ45" i="10"/>
  <c r="BT45" i="10"/>
  <c r="BD45" i="10"/>
  <c r="AN45" i="10"/>
  <c r="I27"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J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F63" i="10"/>
  <c r="F45" i="10"/>
  <c r="F27"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Z73" i="10" s="1"/>
  <c r="Y65" i="10"/>
  <c r="Y73" i="10" s="1"/>
  <c r="X65" i="10"/>
  <c r="X73" i="10" s="1"/>
  <c r="W65" i="10"/>
  <c r="V65" i="10"/>
  <c r="V73" i="10" s="1"/>
  <c r="U65" i="10"/>
  <c r="U73" i="10" s="1"/>
  <c r="T65" i="10"/>
  <c r="T73" i="10" s="1"/>
  <c r="S65" i="10"/>
  <c r="S73" i="10" s="1"/>
  <c r="R65" i="10"/>
  <c r="R73" i="10" s="1"/>
  <c r="Q65" i="10"/>
  <c r="Q73" i="10" s="1"/>
  <c r="P65" i="10"/>
  <c r="P73" i="10" s="1"/>
  <c r="O65" i="10"/>
  <c r="O73" i="10" s="1"/>
  <c r="N65" i="10"/>
  <c r="N73" i="10" s="1"/>
  <c r="M65" i="10"/>
  <c r="M73" i="10" s="1"/>
  <c r="L65" i="10"/>
  <c r="L73" i="10" s="1"/>
  <c r="K65" i="10"/>
  <c r="K73" i="10" s="1"/>
  <c r="J65" i="10"/>
  <c r="J73" i="10" s="1"/>
  <c r="I65" i="10"/>
  <c r="I73" i="10" s="1"/>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Z64" i="10"/>
  <c r="Y64" i="10"/>
  <c r="X64" i="10"/>
  <c r="W64" i="10"/>
  <c r="V64" i="10"/>
  <c r="U64" i="10"/>
  <c r="T64" i="10"/>
  <c r="S64" i="10"/>
  <c r="R64" i="10"/>
  <c r="Q64" i="10"/>
  <c r="P64" i="10"/>
  <c r="O64" i="10"/>
  <c r="N64" i="10"/>
  <c r="M64" i="10"/>
  <c r="L64" i="10"/>
  <c r="K64" i="10"/>
  <c r="J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E55" i="10" s="1"/>
  <c r="AD47" i="10"/>
  <c r="AD55" i="10" s="1"/>
  <c r="AC47" i="10"/>
  <c r="AC55" i="10" s="1"/>
  <c r="AB47" i="10"/>
  <c r="AB55" i="10" s="1"/>
  <c r="AA47" i="10"/>
  <c r="AA55" i="10" s="1"/>
  <c r="Z47" i="10"/>
  <c r="Z55" i="10" s="1"/>
  <c r="Y47" i="10"/>
  <c r="Y55" i="10" s="1"/>
  <c r="X47" i="10"/>
  <c r="X55" i="10" s="1"/>
  <c r="W47" i="10"/>
  <c r="V47" i="10"/>
  <c r="U47" i="10"/>
  <c r="T47" i="10"/>
  <c r="S47" i="10"/>
  <c r="R47" i="10"/>
  <c r="Q47" i="10"/>
  <c r="P47" i="10"/>
  <c r="O47" i="10"/>
  <c r="N47" i="10"/>
  <c r="M47" i="10"/>
  <c r="L47" i="10"/>
  <c r="K47" i="10"/>
  <c r="J47" i="10"/>
  <c r="I47" i="10"/>
  <c r="I55" i="10" s="1"/>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AE46" i="10"/>
  <c r="AD46" i="10"/>
  <c r="AC46" i="10"/>
  <c r="AB46" i="10"/>
  <c r="AA46" i="10"/>
  <c r="Z46" i="10"/>
  <c r="Y46" i="10"/>
  <c r="X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E37" i="10" s="1"/>
  <c r="AD29" i="10"/>
  <c r="AD37" i="10" s="1"/>
  <c r="AC29" i="10"/>
  <c r="AC37" i="10" s="1"/>
  <c r="AB29" i="10"/>
  <c r="AB37" i="10" s="1"/>
  <c r="AA29" i="10"/>
  <c r="AA37" i="10" s="1"/>
  <c r="Z29" i="10"/>
  <c r="Z37" i="10" s="1"/>
  <c r="Y29" i="10"/>
  <c r="Y37" i="10" s="1"/>
  <c r="X29" i="10"/>
  <c r="X37" i="10" s="1"/>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AE28" i="10"/>
  <c r="AD28" i="10"/>
  <c r="AC28" i="10"/>
  <c r="AB28" i="10"/>
  <c r="AA28" i="10"/>
  <c r="Z28" i="10"/>
  <c r="Y28" i="10"/>
  <c r="X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4" i="10"/>
  <c r="W73" i="10"/>
  <c r="F75" i="10" s="1"/>
  <c r="F65" i="10"/>
  <c r="F76" i="10" s="1"/>
  <c r="DC66" i="10"/>
  <c r="H66" i="10"/>
  <c r="L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J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K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Z53" i="11" s="1"/>
  <c r="Y52" i="11"/>
  <c r="Y53" i="11" s="1"/>
  <c r="X52" i="11"/>
  <c r="X53" i="11" s="1"/>
  <c r="W52" i="11"/>
  <c r="W53" i="11" s="1"/>
  <c r="V52" i="11"/>
  <c r="V53" i="11" s="1"/>
  <c r="U52" i="11"/>
  <c r="U53" i="11" s="1"/>
  <c r="T52" i="11"/>
  <c r="T53" i="11" s="1"/>
  <c r="S52" i="11"/>
  <c r="S53" i="11" s="1"/>
  <c r="R52" i="11"/>
  <c r="R53" i="11" s="1"/>
  <c r="Q52" i="11"/>
  <c r="Q53" i="11" s="1"/>
  <c r="P52" i="11"/>
  <c r="P53" i="11" s="1"/>
  <c r="O52" i="11"/>
  <c r="O53" i="11" s="1"/>
  <c r="N52" i="11"/>
  <c r="N53" i="11" s="1"/>
  <c r="M52" i="11"/>
  <c r="M53" i="11" s="1"/>
  <c r="L52" i="11"/>
  <c r="L53" i="11" s="1"/>
  <c r="K52" i="11"/>
  <c r="K53" i="11" s="1"/>
  <c r="J52" i="11"/>
  <c r="J53" i="11" s="1"/>
  <c r="I52" i="11"/>
  <c r="I53" i="11" s="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E45" i="11" s="1"/>
  <c r="AD44" i="11"/>
  <c r="AD45" i="11" s="1"/>
  <c r="AC44" i="11"/>
  <c r="AC45" i="11" s="1"/>
  <c r="AB44" i="11"/>
  <c r="AB45" i="11" s="1"/>
  <c r="AA44" i="11"/>
  <c r="AA45" i="11" s="1"/>
  <c r="Z44" i="11"/>
  <c r="Z45" i="11" s="1"/>
  <c r="Y44" i="11"/>
  <c r="Y45" i="11" s="1"/>
  <c r="X44" i="11"/>
  <c r="X45" i="11" s="1"/>
  <c r="W44" i="11"/>
  <c r="V44" i="11"/>
  <c r="U44" i="11"/>
  <c r="T44" i="11"/>
  <c r="S44" i="11"/>
  <c r="R44" i="11"/>
  <c r="Q44" i="11"/>
  <c r="P44" i="11"/>
  <c r="O44" i="11"/>
  <c r="N44" i="11"/>
  <c r="M44" i="11"/>
  <c r="L44" i="11"/>
  <c r="K44" i="11"/>
  <c r="J44" i="11"/>
  <c r="I44" i="11"/>
  <c r="I45" i="11" s="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E37" i="11" s="1"/>
  <c r="AD36" i="11"/>
  <c r="AD37" i="11" s="1"/>
  <c r="AC36" i="11"/>
  <c r="AC37" i="11" s="1"/>
  <c r="AB36" i="11"/>
  <c r="AB37" i="11" s="1"/>
  <c r="AA36" i="11"/>
  <c r="AA37" i="11" s="1"/>
  <c r="Z36" i="11"/>
  <c r="Z37" i="11" s="1"/>
  <c r="Y36" i="11"/>
  <c r="Y37" i="11" s="1"/>
  <c r="X36" i="11"/>
  <c r="X37" i="11" s="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CW117" i="14"/>
  <c r="BW117" i="14"/>
  <c r="BP117" i="14"/>
  <c r="AT117" i="14"/>
  <c r="BV117" i="14"/>
  <c r="AB117" i="14"/>
  <c r="CR117" i="14"/>
  <c r="CP117" i="14"/>
  <c r="BN117" i="14"/>
  <c r="BE117" i="14"/>
  <c r="CD117" i="14"/>
  <c r="CN117" i="14"/>
  <c r="BT117" i="14"/>
  <c r="AF117" i="14"/>
  <c r="DC117" i="14"/>
  <c r="CZ117" i="14"/>
  <c r="Z117" i="14"/>
  <c r="AD117" i="14"/>
  <c r="DB117" i="14"/>
  <c r="BY117" i="14"/>
  <c r="DA117" i="14"/>
  <c r="BL117" i="14"/>
  <c r="CT117" i="14"/>
  <c r="CK117" i="14"/>
  <c r="AS117" i="14"/>
  <c r="BD117" i="14"/>
  <c r="BO117" i="14"/>
  <c r="AN117" i="14"/>
  <c r="CV117" i="14"/>
  <c r="BC117" i="14"/>
  <c r="AA117" i="14"/>
  <c r="BK117" i="14"/>
  <c r="Y117" i="14"/>
  <c r="BH117" i="14"/>
  <c r="CU117" i="14"/>
  <c r="AY117" i="14"/>
  <c r="CX117" i="14"/>
  <c r="AC117" i="14"/>
  <c r="BG117" i="14"/>
  <c r="AR117" i="14"/>
  <c r="BA117" i="14"/>
  <c r="AX117" i="14"/>
  <c r="BI117" i="14"/>
  <c r="CE117" i="14"/>
  <c r="BQ117" i="14"/>
  <c r="AH117" i="14"/>
  <c r="AW117" i="14"/>
  <c r="AI117" i="14"/>
  <c r="CQ117" i="14"/>
  <c r="BZ117" i="14"/>
  <c r="AU117" i="14"/>
  <c r="H117" i="14"/>
  <c r="CA117" i="14"/>
  <c r="CY117" i="14"/>
  <c r="AP117" i="14"/>
  <c r="AE117" i="14"/>
  <c r="CF117" i="14"/>
  <c r="AV117" i="14"/>
  <c r="AK117" i="14"/>
  <c r="AZ117" i="14"/>
  <c r="AJ117" i="14"/>
  <c r="CG117" i="14"/>
  <c r="CH117" i="14"/>
  <c r="BX117" i="14"/>
  <c r="BR117" i="14"/>
  <c r="CS117" i="14"/>
  <c r="AQ117" i="14"/>
  <c r="AL117" i="14"/>
  <c r="CM117" i="14"/>
  <c r="CL117" i="14"/>
  <c r="CJ117" i="14"/>
  <c r="X117" i="14"/>
  <c r="AM117" i="14"/>
  <c r="CO117" i="14"/>
  <c r="AO117" i="14"/>
  <c r="BS117" i="14"/>
  <c r="BJ117" i="14"/>
  <c r="BF117" i="14"/>
  <c r="CC117" i="14"/>
  <c r="CB117" i="14"/>
  <c r="AG117" i="14"/>
  <c r="BB117" i="14"/>
  <c r="BU117" i="14"/>
  <c r="CI117" i="14"/>
  <c r="BM117" i="14"/>
  <c r="FZ7" i="19" l="1"/>
  <c r="F48" i="10"/>
  <c r="F66" i="10"/>
  <c r="G66" i="10"/>
  <c r="K115" i="5"/>
  <c r="K100" i="5"/>
  <c r="O115" i="5"/>
  <c r="O100" i="5"/>
  <c r="S115" i="5"/>
  <c r="S100" i="5"/>
  <c r="W115" i="5"/>
  <c r="W100" i="5"/>
  <c r="H115" i="5"/>
  <c r="DF101" i="5"/>
  <c r="DE101" i="5"/>
  <c r="G101" i="5"/>
  <c r="F101" i="5"/>
  <c r="F100" i="5" s="1"/>
  <c r="H100" i="5"/>
  <c r="L115" i="5"/>
  <c r="L100" i="5"/>
  <c r="P115" i="5"/>
  <c r="P100" i="5"/>
  <c r="T115" i="5"/>
  <c r="T100" i="5"/>
  <c r="I115" i="5"/>
  <c r="I112" i="5" s="1"/>
  <c r="I100" i="5"/>
  <c r="I7" i="5" s="1"/>
  <c r="M115" i="5"/>
  <c r="M100" i="5"/>
  <c r="Q115" i="5"/>
  <c r="Q100" i="5"/>
  <c r="U115" i="5"/>
  <c r="U100" i="5"/>
  <c r="J115" i="5"/>
  <c r="J100" i="5"/>
  <c r="N115" i="5"/>
  <c r="N100" i="5"/>
  <c r="R115" i="5"/>
  <c r="R100" i="5"/>
  <c r="V115" i="5"/>
  <c r="V100" i="5"/>
  <c r="F55" i="11"/>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AA114" i="4"/>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AD114" i="4"/>
  <c r="Z114" i="4"/>
  <c r="Z10" i="10" s="1"/>
  <c r="CG114" i="4"/>
  <c r="BY114" i="4"/>
  <c r="BQ114" i="4"/>
  <c r="BQ10" i="10" s="1"/>
  <c r="BI114" i="4"/>
  <c r="BI10" i="10" s="1"/>
  <c r="BA114" i="4"/>
  <c r="AS114" i="4"/>
  <c r="AK114" i="4"/>
  <c r="AC114" i="4"/>
  <c r="AC10" i="10" s="1"/>
  <c r="DA114" i="4"/>
  <c r="CW114" i="4"/>
  <c r="CW10" i="10" s="1"/>
  <c r="CS114" i="4"/>
  <c r="CO114" i="4"/>
  <c r="CO10" i="10" s="1"/>
  <c r="CK114" i="4"/>
  <c r="CC114" i="4"/>
  <c r="CC10" i="10" s="1"/>
  <c r="BU114" i="4"/>
  <c r="BM114" i="4"/>
  <c r="BM10" i="10" s="1"/>
  <c r="BE114" i="4"/>
  <c r="AW114" i="4"/>
  <c r="AW10" i="10" s="1"/>
  <c r="AO114" i="4"/>
  <c r="AG114" i="4"/>
  <c r="AG10" i="10" s="1"/>
  <c r="Y114" i="4"/>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AB114" i="4"/>
  <c r="X114" i="4"/>
  <c r="CI114" i="4"/>
  <c r="CI10" i="10" s="1"/>
  <c r="CA114" i="4"/>
  <c r="BS114" i="4"/>
  <c r="BK114" i="4"/>
  <c r="BC114" i="4"/>
  <c r="AU114" i="4"/>
  <c r="AM114" i="4"/>
  <c r="AE114" i="4"/>
  <c r="L67" i="10"/>
  <c r="F28" i="11"/>
  <c r="T67" i="10"/>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N67" i="10"/>
  <c r="Z67" i="10"/>
  <c r="AH67" i="10"/>
  <c r="Q67" i="10"/>
  <c r="W67" i="10"/>
  <c r="AE67" i="10"/>
  <c r="J67" i="10"/>
  <c r="V67" i="10"/>
  <c r="AD67" i="10"/>
  <c r="AL67" i="10"/>
  <c r="AR31" i="10"/>
  <c r="AI49" i="10"/>
  <c r="H67" i="10"/>
  <c r="BG49" i="10"/>
  <c r="X67" i="10"/>
  <c r="I49" i="10"/>
  <c r="AE49" i="10"/>
  <c r="AK49" i="10"/>
  <c r="AR49" i="10"/>
  <c r="AZ49" i="10"/>
  <c r="BO49" i="10"/>
  <c r="BU49" i="10"/>
  <c r="CC49" i="10"/>
  <c r="CI49" i="10"/>
  <c r="CY49" i="10"/>
  <c r="AS49" i="10"/>
  <c r="BL49" i="10"/>
  <c r="CJ49" i="10"/>
  <c r="CO49" i="10"/>
  <c r="CT49" i="10"/>
  <c r="DA49" i="10"/>
  <c r="AO49" i="10"/>
  <c r="AW49" i="10"/>
  <c r="BC49" i="10"/>
  <c r="BK49" i="10"/>
  <c r="BQ49" i="10"/>
  <c r="BX49" i="10"/>
  <c r="CF49" i="10"/>
  <c r="CQ49" i="10"/>
  <c r="AF49" i="10"/>
  <c r="BD49" i="10"/>
  <c r="BY49" i="10"/>
  <c r="CL49" i="10"/>
  <c r="CR49" i="10"/>
  <c r="CW49" i="10"/>
  <c r="AC31" i="10"/>
  <c r="AH31" i="10"/>
  <c r="AM31" i="10"/>
  <c r="AS31" i="10"/>
  <c r="AY31" i="10"/>
  <c r="BE31" i="10"/>
  <c r="BJ31" i="10"/>
  <c r="BQ31" i="10"/>
  <c r="BV31" i="10"/>
  <c r="CA31" i="10"/>
  <c r="CH31" i="10"/>
  <c r="CM31" i="10"/>
  <c r="CS31" i="10"/>
  <c r="CY31" i="10"/>
  <c r="BD31" i="10"/>
  <c r="BP31" i="10"/>
  <c r="CD31" i="10"/>
  <c r="CR31" i="10"/>
  <c r="AE31" i="10"/>
  <c r="AK31" i="10"/>
  <c r="AP31" i="10"/>
  <c r="AU31" i="10"/>
  <c r="BB31" i="10"/>
  <c r="BM31" i="10"/>
  <c r="BS31" i="10"/>
  <c r="BY31" i="10"/>
  <c r="CK31" i="10"/>
  <c r="CP31" i="10"/>
  <c r="CW31" i="10"/>
  <c r="DB31" i="10"/>
  <c r="AJ31" i="10"/>
  <c r="AX31" i="10"/>
  <c r="BL31" i="10"/>
  <c r="BX31" i="10"/>
  <c r="CJ31" i="10"/>
  <c r="CV31" i="10"/>
  <c r="AR67" i="10"/>
  <c r="DC49" i="10"/>
  <c r="G48" i="10"/>
  <c r="AJ49" i="10"/>
  <c r="CA49" i="10"/>
  <c r="AD31"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O67" i="10"/>
  <c r="U67" i="10"/>
  <c r="AC67" i="10"/>
  <c r="AM67" i="10"/>
  <c r="AW67" i="10"/>
  <c r="BC67" i="10"/>
  <c r="BK67" i="10"/>
  <c r="BT67" i="10"/>
  <c r="CE67" i="10"/>
  <c r="CJ67" i="10"/>
  <c r="CU67" i="10"/>
  <c r="I67" i="10"/>
  <c r="R67" i="10"/>
  <c r="AA67" i="10"/>
  <c r="AK67" i="10"/>
  <c r="AQ67" i="10"/>
  <c r="BB67" i="10"/>
  <c r="BJ67" i="10"/>
  <c r="BR67" i="10"/>
  <c r="BY67" i="10"/>
  <c r="CK67" i="10"/>
  <c r="CS67" i="10"/>
  <c r="DA67" i="10"/>
  <c r="S67" i="10"/>
  <c r="AI67" i="10"/>
  <c r="AZ67" i="10"/>
  <c r="BH67" i="10"/>
  <c r="BP67" i="10"/>
  <c r="CA67" i="10"/>
  <c r="CG67" i="10"/>
  <c r="CO67" i="10"/>
  <c r="CY67" i="10"/>
  <c r="M67" i="10"/>
  <c r="Y67" i="10"/>
  <c r="AG67" i="10"/>
  <c r="AO67" i="10"/>
  <c r="AT67" i="10"/>
  <c r="BF67" i="10"/>
  <c r="BN67" i="10"/>
  <c r="BV67" i="10"/>
  <c r="CD67" i="10"/>
  <c r="CM67" i="10"/>
  <c r="CW67" i="10"/>
  <c r="AG49" i="10"/>
  <c r="AM49" i="10"/>
  <c r="BA49" i="10"/>
  <c r="BH49" i="10"/>
  <c r="BP49" i="10"/>
  <c r="BW49" i="10"/>
  <c r="CE49" i="10"/>
  <c r="CM49" i="10"/>
  <c r="AC49" i="10"/>
  <c r="AV49" i="10"/>
  <c r="BT49" i="10"/>
  <c r="CK49" i="10"/>
  <c r="CP49" i="10"/>
  <c r="CV49" i="10"/>
  <c r="DB49" i="10"/>
  <c r="AQ49" i="10"/>
  <c r="AY49" i="10"/>
  <c r="BE49" i="10"/>
  <c r="BM49" i="10"/>
  <c r="BS49" i="10"/>
  <c r="CG49" i="10"/>
  <c r="CU49" i="10"/>
  <c r="AN49" i="10"/>
  <c r="BI49" i="10"/>
  <c r="CB49" i="10"/>
  <c r="CN49" i="10"/>
  <c r="CS49" i="10"/>
  <c r="CZ49" i="10"/>
  <c r="I31" i="10"/>
  <c r="AI31" i="10"/>
  <c r="BK31" i="10"/>
  <c r="BW31" i="10"/>
  <c r="CI31" i="10"/>
  <c r="CU31" i="10"/>
  <c r="CT31" i="10"/>
  <c r="BG31" i="10"/>
  <c r="CE31" i="10"/>
  <c r="AG31" i="10"/>
  <c r="AL31" i="10"/>
  <c r="AQ31" i="10"/>
  <c r="AW31" i="10"/>
  <c r="BC31" i="10"/>
  <c r="BI31" i="10"/>
  <c r="BO31" i="10"/>
  <c r="BU31" i="10"/>
  <c r="BZ31" i="10"/>
  <c r="CG31" i="10"/>
  <c r="CL31" i="10"/>
  <c r="CQ31" i="10"/>
  <c r="C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P67" i="10" s="1"/>
  <c r="AF62" i="10"/>
  <c r="AF67" i="10" s="1"/>
  <c r="AV62" i="10"/>
  <c r="AV67" i="10" s="1"/>
  <c r="BL62" i="10"/>
  <c r="BL67" i="10" s="1"/>
  <c r="CB62" i="10"/>
  <c r="CB67" i="10" s="1"/>
  <c r="CR62" i="10"/>
  <c r="CR67" i="10" s="1"/>
  <c r="K62" i="10"/>
  <c r="K67" i="10" s="1"/>
  <c r="H44" i="10"/>
  <c r="H49" i="10" s="1"/>
  <c r="AD44" i="10"/>
  <c r="AD49" i="10" s="1"/>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R85" i="10" s="1"/>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AY10" i="10"/>
  <c r="K113" i="4"/>
  <c r="V113" i="4"/>
  <c r="AG113" i="4"/>
  <c r="AX113" i="4"/>
  <c r="BS113" i="4"/>
  <c r="I113" i="4"/>
  <c r="N113" i="4"/>
  <c r="Y113" i="4"/>
  <c r="AD113" i="4"/>
  <c r="AI113" i="4"/>
  <c r="AO113" i="4"/>
  <c r="AT113" i="4"/>
  <c r="BB113" i="4"/>
  <c r="BK113" i="4"/>
  <c r="CA113" i="4"/>
  <c r="DC113" i="4"/>
  <c r="J113" i="4"/>
  <c r="O113" i="4"/>
  <c r="U113" i="4"/>
  <c r="Z113" i="4"/>
  <c r="AE113" i="4"/>
  <c r="AK113" i="4"/>
  <c r="AP113" i="4"/>
  <c r="AU113" i="4"/>
  <c r="BC113" i="4"/>
  <c r="BO113" i="4"/>
  <c r="AD22" i="13"/>
  <c r="AD25" i="13" s="1"/>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AA22" i="13"/>
  <c r="AA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GD7" i="19" l="1"/>
  <c r="T85" i="10"/>
  <c r="BH85" i="10"/>
  <c r="F71"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E10" i="10"/>
  <c r="X10" i="10"/>
  <c r="AN10" i="10"/>
  <c r="BT10" i="10"/>
  <c r="CJ10" i="10"/>
  <c r="CZ10" i="10"/>
  <c r="BU10" i="10"/>
  <c r="CS10" i="10"/>
  <c r="AK10" i="10"/>
  <c r="AA10" i="10"/>
  <c r="BG10" i="10"/>
  <c r="CM10" i="10"/>
  <c r="DC10" i="10"/>
  <c r="F62" i="10"/>
  <c r="I37" i="11"/>
  <c r="F84" i="10"/>
  <c r="G84" i="10"/>
  <c r="CI85" i="10"/>
  <c r="CY85" i="10"/>
  <c r="G67" i="10"/>
  <c r="F67" i="10"/>
  <c r="I37" i="10"/>
  <c r="DF100" i="5"/>
  <c r="G100" i="5"/>
  <c r="H7" i="5"/>
  <c r="DF115" i="5"/>
  <c r="DE115" i="5"/>
  <c r="G115" i="5"/>
  <c r="F115" i="5"/>
  <c r="H112" i="5"/>
  <c r="BP10" i="10"/>
  <c r="CN10" i="10"/>
  <c r="AB10" i="10"/>
  <c r="AO10" i="10"/>
  <c r="BK10" i="10"/>
  <c r="BT85" i="10"/>
  <c r="AN85" i="10"/>
  <c r="BL85" i="10"/>
  <c r="CB85" i="10"/>
  <c r="BK85" i="10"/>
  <c r="AU10" i="10"/>
  <c r="CA10" i="10"/>
  <c r="AJ10" i="10"/>
  <c r="AZ10" i="10"/>
  <c r="CF10" i="10"/>
  <c r="CV10" i="10"/>
  <c r="Y10" i="10"/>
  <c r="BE10" i="10"/>
  <c r="CK10" i="10"/>
  <c r="DA10" i="10"/>
  <c r="AD10" i="10"/>
  <c r="AT10" i="10"/>
  <c r="BJ10" i="10"/>
  <c r="BZ10" i="10"/>
  <c r="CP10" i="10"/>
  <c r="AQ10" i="10"/>
  <c r="BW10" i="10"/>
  <c r="AV85" i="10"/>
  <c r="DF113" i="4"/>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G113" i="4"/>
  <c r="F113" i="4"/>
  <c r="CH112" i="4"/>
  <c r="CE85" i="10"/>
  <c r="CM85" i="10"/>
  <c r="BG85" i="10"/>
  <c r="AA85" i="10"/>
  <c r="AY85" i="10"/>
  <c r="DC85" i="10"/>
  <c r="BW85" i="10"/>
  <c r="AQ85" i="10"/>
  <c r="K85" i="10"/>
  <c r="CU85" i="10"/>
  <c r="CP112" i="4"/>
  <c r="BJ112" i="4"/>
  <c r="BN112" i="4"/>
  <c r="CT112" i="4"/>
  <c r="DC112" i="4"/>
  <c r="AQ112" i="4"/>
  <c r="CD112" i="4"/>
  <c r="CQ112" i="4"/>
  <c r="BF112" i="4"/>
  <c r="AY112" i="4"/>
  <c r="AT112" i="4"/>
  <c r="CE112" i="4"/>
  <c r="CL112" i="4"/>
  <c r="CU112" i="4"/>
  <c r="CY112" i="4"/>
  <c r="G80" i="10"/>
  <c r="G62" i="10"/>
  <c r="BB112" i="4"/>
  <c r="AD112" i="4"/>
  <c r="AC112" i="4"/>
  <c r="BV112" i="4"/>
  <c r="DB112" i="4"/>
  <c r="CI112" i="4"/>
  <c r="BZ112" i="4"/>
  <c r="AA112" i="4"/>
  <c r="CM112" i="4"/>
  <c r="AI112" i="4"/>
  <c r="Y112" i="4"/>
  <c r="AH112" i="4"/>
  <c r="AX112" i="4"/>
  <c r="BK112" i="4"/>
  <c r="CK112" i="4"/>
  <c r="AE112" i="4"/>
  <c r="AU112" i="4"/>
  <c r="CG112" i="4"/>
  <c r="AG112" i="4"/>
  <c r="AS112" i="4"/>
  <c r="AF112" i="4"/>
  <c r="CS112" i="4"/>
  <c r="BU112" i="4"/>
  <c r="AL112" i="4"/>
  <c r="BR112" i="4"/>
  <c r="CX112" i="4"/>
  <c r="BO112" i="4"/>
  <c r="AV112" i="4"/>
  <c r="BL112" i="4"/>
  <c r="CB112" i="4"/>
  <c r="CR112" i="4"/>
  <c r="BQ112" i="4"/>
  <c r="CC112" i="4"/>
  <c r="BE112" i="4"/>
  <c r="Z112" i="4"/>
  <c r="AP112" i="4"/>
  <c r="AM112" i="4"/>
  <c r="BC112" i="4"/>
  <c r="BS112" i="4"/>
  <c r="AJ112" i="4"/>
  <c r="AZ112" i="4"/>
  <c r="BP112" i="4"/>
  <c r="CF112" i="4"/>
  <c r="CV112" i="4"/>
  <c r="BA112" i="4"/>
  <c r="BM112" i="4"/>
  <c r="CW112" i="4"/>
  <c r="CA112" i="4"/>
  <c r="AB112" i="4"/>
  <c r="AR112" i="4"/>
  <c r="BH112" i="4"/>
  <c r="BX112" i="4"/>
  <c r="CN112" i="4"/>
  <c r="DA112" i="4"/>
  <c r="AO112" i="4"/>
  <c r="BG112" i="4"/>
  <c r="BW112" i="4"/>
  <c r="X112" i="4"/>
  <c r="AN112" i="4"/>
  <c r="BD112" i="4"/>
  <c r="BT112" i="4"/>
  <c r="CJ112" i="4"/>
  <c r="CZ112" i="4"/>
  <c r="AK112" i="4"/>
  <c r="BI112" i="4"/>
  <c r="AW112" i="4"/>
  <c r="CO112" i="4"/>
  <c r="BY112" i="4"/>
  <c r="H82" i="10"/>
  <c r="I36" i="13"/>
  <c r="I39" i="13" s="1"/>
  <c r="DB36" i="13"/>
  <c r="DB39" i="13" s="1"/>
  <c r="BI36" i="13"/>
  <c r="BI39" i="13" s="1"/>
  <c r="BJ29" i="13"/>
  <c r="BJ32" i="13" s="1"/>
  <c r="AE29" i="13"/>
  <c r="AE32" i="13" s="1"/>
  <c r="I29" i="13"/>
  <c r="I32" i="13" s="1"/>
  <c r="AD29" i="13"/>
  <c r="AD32" i="13" s="1"/>
  <c r="U29" i="13"/>
  <c r="U32" i="13" s="1"/>
  <c r="CE29" i="13"/>
  <c r="CE32" i="13" s="1"/>
  <c r="Z22" i="13"/>
  <c r="Z25"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X22" i="13"/>
  <c r="X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X15" i="13"/>
  <c r="X18" i="13" s="1"/>
  <c r="CX15" i="13"/>
  <c r="CX18" i="13" s="1"/>
  <c r="BL15" i="13"/>
  <c r="BL18" i="13" s="1"/>
  <c r="CY15" i="13"/>
  <c r="CY18" i="13" s="1"/>
  <c r="CR15" i="13"/>
  <c r="CR18" i="13" s="1"/>
  <c r="AE15" i="13"/>
  <c r="AE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J29" i="13"/>
  <c r="J32" i="13" s="1"/>
  <c r="Z29" i="13"/>
  <c r="Z32" i="13" s="1"/>
  <c r="BN29" i="13"/>
  <c r="BN32" i="13" s="1"/>
  <c r="CI29" i="13"/>
  <c r="CI32" i="13" s="1"/>
  <c r="K29" i="13"/>
  <c r="K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N29" i="13"/>
  <c r="N32" i="13" s="1"/>
  <c r="AX29" i="13"/>
  <c r="AX32" i="13" s="1"/>
  <c r="BS29" i="13"/>
  <c r="BS32" i="13" s="1"/>
  <c r="O29" i="13"/>
  <c r="O32" i="13" s="1"/>
  <c r="AY29" i="13"/>
  <c r="AY32" i="13" s="1"/>
  <c r="BT29" i="13"/>
  <c r="BT32" i="13" s="1"/>
  <c r="CP29" i="13"/>
  <c r="CP32" i="13" s="1"/>
  <c r="L29" i="13"/>
  <c r="L32" i="13" s="1"/>
  <c r="AU29" i="13"/>
  <c r="AU32" i="13" s="1"/>
  <c r="CL29" i="13"/>
  <c r="CL32" i="13" s="1"/>
  <c r="Y29" i="13"/>
  <c r="Y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R29" i="13"/>
  <c r="R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V29" i="13"/>
  <c r="V32" i="13" s="1"/>
  <c r="BH29" i="13"/>
  <c r="BH32" i="13" s="1"/>
  <c r="W29" i="13"/>
  <c r="W32" i="13" s="1"/>
  <c r="AN29" i="13"/>
  <c r="AN32" i="13" s="1"/>
  <c r="CZ29" i="13"/>
  <c r="CZ32" i="13" s="1"/>
  <c r="T29" i="13"/>
  <c r="T32" i="13" s="1"/>
  <c r="BF29" i="13"/>
  <c r="BF32" i="13" s="1"/>
  <c r="CA29" i="13"/>
  <c r="CA32" i="13" s="1"/>
  <c r="CV29" i="13"/>
  <c r="CV32" i="13" s="1"/>
  <c r="Q29" i="13"/>
  <c r="Q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M29" i="13"/>
  <c r="M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AC22" i="13"/>
  <c r="AC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I22" i="13"/>
  <c r="I25" i="13" s="1"/>
  <c r="CB22" i="13"/>
  <c r="CB25" i="13" s="1"/>
  <c r="BF22" i="13"/>
  <c r="BF25" i="13" s="1"/>
  <c r="CW22" i="13"/>
  <c r="CW25" i="13" s="1"/>
  <c r="DC15" i="13"/>
  <c r="DC18" i="13" s="1"/>
  <c r="CM15" i="13"/>
  <c r="CM18" i="13" s="1"/>
  <c r="BW15" i="13"/>
  <c r="BW18" i="13" s="1"/>
  <c r="BG15" i="13"/>
  <c r="BG18" i="13" s="1"/>
  <c r="AQ15" i="13"/>
  <c r="AQ18" i="13" s="1"/>
  <c r="AA15" i="13"/>
  <c r="AA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AB15" i="13"/>
  <c r="AB18" i="13" s="1"/>
  <c r="CT15" i="13"/>
  <c r="CT18" i="13" s="1"/>
  <c r="CD15" i="13"/>
  <c r="CD18" i="13" s="1"/>
  <c r="AX15" i="13"/>
  <c r="AX18" i="13" s="1"/>
  <c r="CO15" i="13"/>
  <c r="CO18" i="13" s="1"/>
  <c r="BY15" i="13"/>
  <c r="BY18" i="13" s="1"/>
  <c r="AS15" i="13"/>
  <c r="AS18" i="13" s="1"/>
  <c r="AC15" i="13"/>
  <c r="AC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Y15" i="13"/>
  <c r="Y18" i="13" s="1"/>
  <c r="I15" i="13"/>
  <c r="I18" i="13" s="1"/>
  <c r="CQ15" i="13"/>
  <c r="CQ18" i="13" s="1"/>
  <c r="CA15" i="13"/>
  <c r="CA18" i="13" s="1"/>
  <c r="BK15" i="13"/>
  <c r="BK18" i="13" s="1"/>
  <c r="AU15" i="13"/>
  <c r="AU18" i="13" s="1"/>
  <c r="AD15" i="13"/>
  <c r="AD18" i="13" s="1"/>
  <c r="BX15" i="13"/>
  <c r="BX18" i="13" s="1"/>
  <c r="AR15" i="13"/>
  <c r="AR18" i="13" s="1"/>
  <c r="DB15" i="13"/>
  <c r="DB18" i="13" s="1"/>
  <c r="CL15" i="13"/>
  <c r="CL18" i="13" s="1"/>
  <c r="BV15" i="13"/>
  <c r="BV18" i="13" s="1"/>
  <c r="BF15" i="13"/>
  <c r="BF18" i="13" s="1"/>
  <c r="AP15" i="13"/>
  <c r="AP18" i="13" s="1"/>
  <c r="Z15" i="13"/>
  <c r="Z18" i="13" s="1"/>
  <c r="CW15" i="13"/>
  <c r="CW18" i="13" s="1"/>
  <c r="CG15" i="13"/>
  <c r="CG18" i="13" s="1"/>
  <c r="BQ15" i="13"/>
  <c r="BQ18" i="13" s="1"/>
  <c r="BA15" i="13"/>
  <c r="BA18" i="13" s="1"/>
  <c r="AK15" i="13"/>
  <c r="AK18" i="13" s="1"/>
  <c r="AP112" i="15"/>
  <c r="BF112" i="15"/>
  <c r="CX112" i="15"/>
  <c r="AU112" i="16"/>
  <c r="BY112" i="16"/>
  <c r="CZ112" i="15"/>
  <c r="AY112" i="16"/>
  <c r="BA112" i="16"/>
  <c r="AB112" i="15"/>
  <c r="CH112" i="16"/>
  <c r="Y112" i="16"/>
  <c r="AL112" i="15"/>
  <c r="BG112" i="16"/>
  <c r="BU112" i="16"/>
  <c r="BM112" i="16"/>
  <c r="CV112" i="16"/>
  <c r="AK112" i="15"/>
  <c r="CF112" i="16"/>
  <c r="AJ112" i="16"/>
  <c r="BR112" i="15"/>
  <c r="AF112" i="16"/>
  <c r="BQ112" i="15"/>
  <c r="CQ112" i="16"/>
  <c r="AX112" i="15"/>
  <c r="BL112" i="16"/>
  <c r="BN112" i="16"/>
  <c r="BX112" i="16"/>
  <c r="AC112" i="16"/>
  <c r="BK112" i="15"/>
  <c r="CC112" i="15"/>
  <c r="AO112" i="16"/>
  <c r="CD112" i="15"/>
  <c r="BP112" i="16"/>
  <c r="CE112" i="16"/>
  <c r="BT112" i="16"/>
  <c r="BZ112" i="15"/>
  <c r="CA112" i="16"/>
  <c r="BI112" i="15"/>
  <c r="AD112" i="15"/>
  <c r="BS112" i="16"/>
  <c r="CP112" i="16"/>
  <c r="DB112" i="16"/>
  <c r="CB112" i="15"/>
  <c r="AM112" i="16"/>
  <c r="BL112" i="15"/>
  <c r="AH112" i="16"/>
  <c r="AI112" i="16"/>
  <c r="BD112" i="16"/>
  <c r="AQ112" i="16"/>
  <c r="BG112" i="15"/>
  <c r="CT112" i="16"/>
  <c r="BS112" i="15"/>
  <c r="AF112" i="15"/>
  <c r="Z112" i="16"/>
  <c r="BB112" i="15"/>
  <c r="CU112" i="16"/>
  <c r="AV112" i="15"/>
  <c r="BI112" i="16"/>
  <c r="BO112" i="15"/>
  <c r="CM112" i="15"/>
  <c r="AG112" i="15"/>
  <c r="CV112" i="15"/>
  <c r="CG112" i="15"/>
  <c r="BW112" i="16"/>
  <c r="AH112" i="15"/>
  <c r="CI112" i="15"/>
  <c r="Z112" i="15"/>
  <c r="AA112" i="15"/>
  <c r="BJ112" i="16"/>
  <c r="BV112" i="16"/>
  <c r="CK112" i="16"/>
  <c r="AM112" i="15"/>
  <c r="CR112" i="16"/>
  <c r="AW112" i="16"/>
  <c r="BB112" i="16"/>
  <c r="CJ112" i="15"/>
  <c r="AO112" i="15"/>
  <c r="X112" i="15"/>
  <c r="BX112" i="15"/>
  <c r="AR112" i="16"/>
  <c r="AY112" i="15"/>
  <c r="CY112" i="16"/>
  <c r="BJ112" i="15"/>
  <c r="BC112" i="15"/>
  <c r="BP112" i="15"/>
  <c r="BE112" i="16"/>
  <c r="BW112" i="15"/>
  <c r="BT112" i="15"/>
  <c r="CR112" i="15"/>
  <c r="X112" i="16"/>
  <c r="BO112" i="16"/>
  <c r="CT112" i="15"/>
  <c r="BY112" i="15"/>
  <c r="AP112" i="16"/>
  <c r="BF112" i="16"/>
  <c r="BV112" i="15"/>
  <c r="DC112" i="15"/>
  <c r="AA112" i="16"/>
  <c r="CN112" i="15"/>
  <c r="BQ112" i="16"/>
  <c r="DB112" i="15"/>
  <c r="CC112" i="16"/>
  <c r="AK112" i="16"/>
  <c r="CS112" i="16"/>
  <c r="CA112" i="15"/>
  <c r="AQ112" i="15"/>
  <c r="AR112" i="15"/>
  <c r="AB112" i="16"/>
  <c r="CE112" i="15"/>
  <c r="CW112" i="16"/>
  <c r="BE112" i="15"/>
  <c r="CI112" i="16"/>
  <c r="CN112" i="16"/>
  <c r="BA112" i="15"/>
  <c r="CJ112" i="16"/>
  <c r="CB112" i="16"/>
  <c r="BD112" i="15"/>
  <c r="BZ112" i="16"/>
  <c r="AZ112" i="16"/>
  <c r="AN112" i="15"/>
  <c r="CH112" i="15"/>
  <c r="AT112" i="16"/>
  <c r="AE112" i="16"/>
  <c r="AS112" i="16"/>
  <c r="CM112" i="16"/>
  <c r="H112" i="15"/>
  <c r="CF112" i="15"/>
  <c r="DC112" i="16"/>
  <c r="AG112" i="16"/>
  <c r="BH112" i="16"/>
  <c r="CL112" i="15"/>
  <c r="BM112" i="15"/>
  <c r="AZ112" i="15"/>
  <c r="AD112" i="16"/>
  <c r="AL112" i="16"/>
  <c r="CS112" i="15"/>
  <c r="CQ112" i="15"/>
  <c r="Y112" i="15"/>
  <c r="AX112" i="16"/>
  <c r="AT112" i="15"/>
  <c r="CZ112" i="16"/>
  <c r="CD112" i="16"/>
  <c r="AI112" i="15"/>
  <c r="CW112" i="15"/>
  <c r="BN112" i="15"/>
  <c r="CG112" i="16"/>
  <c r="AU112" i="15"/>
  <c r="AS112" i="15"/>
  <c r="AJ112" i="15"/>
  <c r="CK112" i="15"/>
  <c r="CO112" i="15"/>
  <c r="BH112" i="15"/>
  <c r="CL112" i="16"/>
  <c r="CX112" i="16"/>
  <c r="AV112" i="16"/>
  <c r="DA112" i="16"/>
  <c r="BC112" i="16"/>
  <c r="CU112" i="15"/>
  <c r="DA112" i="15"/>
  <c r="CO112" i="16"/>
  <c r="AE112" i="15"/>
  <c r="BU112" i="15"/>
  <c r="AW112" i="15"/>
  <c r="CP112" i="15"/>
  <c r="BK112" i="16"/>
  <c r="AN112" i="16"/>
  <c r="H112" i="16"/>
  <c r="CY112" i="15"/>
  <c r="BR112" i="16"/>
  <c r="AC112" i="15"/>
  <c r="CO135" i="15" l="1"/>
  <c r="AN135" i="15"/>
  <c r="BH135" i="15"/>
  <c r="CF135" i="15"/>
  <c r="Z135" i="15"/>
  <c r="BO135" i="15"/>
  <c r="AG135" i="15"/>
  <c r="Y135" i="15"/>
  <c r="AC135" i="15"/>
  <c r="AQ135" i="15"/>
  <c r="AW135" i="15"/>
  <c r="X135" i="15"/>
  <c r="AR135" i="15"/>
  <c r="BP135" i="15"/>
  <c r="BE135" i="15"/>
  <c r="CX135" i="15"/>
  <c r="CG135" i="15"/>
  <c r="AI135" i="15"/>
  <c r="AD135" i="15"/>
  <c r="CL135" i="15"/>
  <c r="BI135" i="15"/>
  <c r="BW135" i="15"/>
  <c r="AB135" i="15"/>
  <c r="AZ135" i="15"/>
  <c r="CC135" i="15"/>
  <c r="BR135" i="15"/>
  <c r="AU135" i="15"/>
  <c r="CM135" i="15"/>
  <c r="BB135" i="15"/>
  <c r="CE135" i="15"/>
  <c r="DC135" i="15"/>
  <c r="CH135" i="15"/>
  <c r="AK135" i="15"/>
  <c r="BG135" i="15"/>
  <c r="CA135" i="15"/>
  <c r="AJ135" i="15"/>
  <c r="BQ135" i="15"/>
  <c r="AL135" i="15"/>
  <c r="AE135" i="15"/>
  <c r="AA135" i="15"/>
  <c r="AT135" i="15"/>
  <c r="CT135" i="15"/>
  <c r="CZ135" i="15"/>
  <c r="AO135" i="15"/>
  <c r="CW135" i="15"/>
  <c r="BS135" i="15"/>
  <c r="CR135" i="15"/>
  <c r="BU135" i="15"/>
  <c r="CK135" i="15"/>
  <c r="BZ135" i="15"/>
  <c r="AY135" i="15"/>
  <c r="BN135" i="15"/>
  <c r="CJ135" i="15"/>
  <c r="DA135" i="15"/>
  <c r="BM135" i="15"/>
  <c r="BC135" i="15"/>
  <c r="CB135" i="15"/>
  <c r="CS135" i="15"/>
  <c r="BK135" i="15"/>
  <c r="CI135" i="15"/>
  <c r="BF135" i="15"/>
  <c r="BJ135" i="15"/>
  <c r="H135" i="15"/>
  <c r="BT135" i="15"/>
  <c r="CN135" i="15"/>
  <c r="BA135" i="15"/>
  <c r="AM135" i="15"/>
  <c r="BL135" i="15"/>
  <c r="AF135" i="15"/>
  <c r="AX135" i="15"/>
  <c r="DB135" i="15"/>
  <c r="CY135" i="15"/>
  <c r="CQ135" i="15"/>
  <c r="CP135" i="15"/>
  <c r="BY135" i="15"/>
  <c r="BD135" i="15"/>
  <c r="BX135" i="15"/>
  <c r="CV135" i="15"/>
  <c r="AP135" i="15"/>
  <c r="AV135" i="15"/>
  <c r="AS135" i="15"/>
  <c r="AH135" i="15"/>
  <c r="BV135" i="15"/>
  <c r="CU135" i="15"/>
  <c r="CD135" i="15"/>
  <c r="GH7" i="19"/>
  <c r="H85" i="10"/>
  <c r="F82" i="10"/>
  <c r="H37" i="10"/>
  <c r="H37" i="11"/>
  <c r="G31" i="14"/>
  <c r="F64" i="11"/>
  <c r="G30" i="14"/>
  <c r="F56"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X29" i="13"/>
  <c r="X32" i="13" s="1"/>
  <c r="CJ29" i="13"/>
  <c r="CJ32" i="13" s="1"/>
  <c r="BB29" i="13"/>
  <c r="BB32" i="13" s="1"/>
  <c r="S29" i="13"/>
  <c r="S32" i="13" s="1"/>
  <c r="BC22" i="13"/>
  <c r="BC25" i="13" s="1"/>
  <c r="AK22" i="13"/>
  <c r="AK25" i="13" s="1"/>
  <c r="Y22" i="13"/>
  <c r="Y25" i="13" s="1"/>
  <c r="AB22" i="13"/>
  <c r="AB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G64" i="10"/>
  <c r="AR22" i="13"/>
  <c r="AR25" i="13" s="1"/>
  <c r="CG22" i="13"/>
  <c r="CG25" i="13" s="1"/>
  <c r="AE22" i="13"/>
  <c r="AE25" i="13" s="1"/>
  <c r="P29" i="13"/>
  <c r="P32" i="13" s="1"/>
  <c r="H29" i="13"/>
  <c r="H32" i="13" s="1"/>
  <c r="GL7" i="19" l="1"/>
  <c r="F85" i="10"/>
  <c r="F89" i="10"/>
  <c r="G85" i="10"/>
  <c r="G63" i="10"/>
  <c r="F70" i="10"/>
  <c r="G27" i="10"/>
  <c r="F88" i="10"/>
  <c r="G81" i="10"/>
  <c r="F30" i="14"/>
  <c r="F74" i="10"/>
  <c r="E30" i="14" s="1"/>
  <c r="G73" i="10"/>
  <c r="F54" i="11"/>
  <c r="G53" i="11"/>
  <c r="G45" i="10"/>
  <c r="H36" i="13"/>
  <c r="H39" i="13" s="1"/>
  <c r="H22" i="13"/>
  <c r="H25" i="13" s="1"/>
  <c r="H15" i="13"/>
  <c r="H18" i="13" s="1"/>
  <c r="GP7" i="19" l="1"/>
  <c r="F87" i="10"/>
  <c r="F69"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I118" i="4"/>
  <c r="H118" i="4"/>
  <c r="B108" i="14"/>
  <c r="B113" i="14"/>
  <c r="B110" i="14"/>
  <c r="B107" i="14"/>
  <c r="B112" i="14"/>
  <c r="B109" i="14"/>
  <c r="B111" i="14"/>
  <c r="HV7" i="19" l="1"/>
  <c r="DC117" i="4"/>
  <c r="DC8" i="10" s="1"/>
  <c r="DF126" i="4"/>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CX8" i="10"/>
  <c r="CH8" i="10"/>
  <c r="BR8" i="10"/>
  <c r="BB8" i="10"/>
  <c r="AL8" i="10"/>
  <c r="CC8" i="10"/>
  <c r="CY8" i="10"/>
  <c r="CJ8" i="10"/>
  <c r="CI8" i="10"/>
  <c r="AM8" i="10"/>
  <c r="CG8" i="10"/>
  <c r="CS8" i="10"/>
  <c r="BM8" i="10"/>
  <c r="AW8" i="10"/>
  <c r="AG8" i="10"/>
  <c r="CF8" i="10"/>
  <c r="BP8" i="10"/>
  <c r="AJ8" i="10"/>
  <c r="CU8" i="10"/>
  <c r="AY8" i="10"/>
  <c r="AI8" i="10"/>
  <c r="BS8" i="10"/>
  <c r="BV8" i="10"/>
  <c r="CW8" i="10"/>
  <c r="AK8" i="10"/>
  <c r="CZ8" i="10"/>
  <c r="BT8" i="10"/>
  <c r="AN8" i="10"/>
  <c r="BO8" i="10"/>
  <c r="AZ8" i="10"/>
  <c r="CL8" i="10"/>
  <c r="BA8" i="10"/>
  <c r="H8" i="10"/>
  <c r="ID7" i="19" l="1"/>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C69" i="12"/>
  <c r="C68" i="12"/>
  <c r="C67" i="12"/>
  <c r="C66" i="12"/>
  <c r="C65" i="12"/>
  <c r="C64" i="12"/>
  <c r="C63" i="12"/>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2" i="4"/>
  <c r="F11" i="11"/>
  <c r="F12" i="11"/>
  <c r="G12" i="11"/>
  <c r="F13" i="11"/>
  <c r="F21" i="11" s="1"/>
  <c r="G13" i="11"/>
  <c r="O22" i="14" s="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I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H12" i="12"/>
  <c r="F100" i="4"/>
  <c r="G67" i="4"/>
  <c r="G78" i="4"/>
  <c r="H44" i="4"/>
  <c r="F33" i="4"/>
  <c r="F56" i="4"/>
  <c r="F45" i="4"/>
  <c r="F78" i="4"/>
  <c r="F11" i="4"/>
  <c r="F67" i="4"/>
  <c r="JZ7" i="19" l="1"/>
  <c r="H12" i="10"/>
  <c r="DF10" i="4"/>
  <c r="G10" i="4"/>
  <c r="I10" i="10"/>
  <c r="I112" i="4"/>
  <c r="H9" i="4"/>
  <c r="F44" i="4"/>
  <c r="I112" i="15"/>
  <c r="I112" i="16"/>
  <c r="I135" i="15" l="1"/>
  <c r="KD7" i="19"/>
  <c r="H7" i="4"/>
  <c r="H9" i="10"/>
  <c r="F36" i="13"/>
  <c r="G36" i="13"/>
  <c r="G29" i="13"/>
  <c r="F29" i="13"/>
  <c r="KH7" i="19" l="1"/>
  <c r="H19" i="10"/>
  <c r="H13" i="10"/>
  <c r="H29" i="11"/>
  <c r="H8" i="13"/>
  <c r="H11" i="13" s="1"/>
  <c r="G39" i="13"/>
  <c r="N23" i="14" s="1"/>
  <c r="F39" i="13"/>
  <c r="M23" i="14" s="1"/>
  <c r="F32" i="13"/>
  <c r="M22" i="14" s="1"/>
  <c r="G32" i="13"/>
  <c r="N22"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F10" i="4"/>
  <c r="F9" i="4" s="1"/>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BR89" i="19"/>
  <c r="BR92" i="19" s="1"/>
  <c r="BR91" i="19" s="1"/>
  <c r="BV89" i="19"/>
  <c r="BV92" i="19" s="1"/>
  <c r="BV91" i="19" s="1"/>
  <c r="BZ89" i="19"/>
  <c r="BZ92" i="19" s="1"/>
  <c r="BZ91" i="19" s="1"/>
  <c r="CD89" i="19"/>
  <c r="CD92" i="19" s="1"/>
  <c r="CD91" i="19" s="1"/>
  <c r="CH89" i="19"/>
  <c r="CH92" i="19" s="1"/>
  <c r="CH91" i="19" s="1"/>
  <c r="CL89" i="19"/>
  <c r="CL92" i="19" s="1"/>
  <c r="CL91" i="19" s="1"/>
  <c r="CP89" i="19"/>
  <c r="CP92" i="19" s="1"/>
  <c r="CP91" i="19" s="1"/>
  <c r="CT89" i="19"/>
  <c r="CT92" i="19" s="1"/>
  <c r="CT91" i="19" s="1"/>
  <c r="CX89" i="19"/>
  <c r="DB89" i="19"/>
  <c r="DF89" i="19"/>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F95" i="19"/>
  <c r="KX7" i="19"/>
  <c r="H33" i="14"/>
  <c r="I33" i="14"/>
  <c r="G33" i="4"/>
  <c r="G11"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DE12" i="16"/>
  <c r="DF12" i="16" l="1"/>
  <c r="DF13" i="16"/>
  <c r="KX90" i="19"/>
  <c r="KX6" i="19"/>
  <c r="KX89" i="19"/>
  <c r="F88" i="19"/>
  <c r="IH88" i="19"/>
  <c r="HR88" i="19"/>
  <c r="HJ88" i="19"/>
  <c r="GT88" i="19"/>
  <c r="FV88" i="19"/>
  <c r="FN88" i="19"/>
  <c r="FF88" i="19"/>
  <c r="EP88" i="19"/>
  <c r="DZ88" i="19"/>
  <c r="CT88" i="19"/>
  <c r="JZ88" i="19"/>
  <c r="HV88" i="19"/>
  <c r="HF88" i="19"/>
  <c r="FJ88" i="19"/>
  <c r="ED88" i="19"/>
  <c r="CH88" i="19"/>
  <c r="BR88" i="19"/>
  <c r="JN88" i="19"/>
  <c r="DJ88" i="19"/>
  <c r="KP88" i="19"/>
  <c r="KL88" i="19"/>
  <c r="KD88" i="19"/>
  <c r="JV88" i="19"/>
  <c r="JF88" i="19"/>
  <c r="IX88" i="19"/>
  <c r="IP88" i="19"/>
  <c r="HZ88" i="19"/>
  <c r="HB88" i="19"/>
  <c r="GL88" i="19"/>
  <c r="GD88" i="19"/>
  <c r="EX88" i="19"/>
  <c r="EH88" i="19"/>
  <c r="DR88" i="19"/>
  <c r="DB88" i="19"/>
  <c r="CL88" i="19"/>
  <c r="CD88" i="19"/>
  <c r="BV88" i="19"/>
  <c r="KT88" i="19"/>
  <c r="KH88" i="19"/>
  <c r="JR88" i="19"/>
  <c r="JJ88" i="19"/>
  <c r="JB88" i="19"/>
  <c r="IT88" i="19"/>
  <c r="IL88" i="19"/>
  <c r="ID88" i="19"/>
  <c r="HN88" i="19"/>
  <c r="GX88" i="19"/>
  <c r="GP88" i="19"/>
  <c r="GH88" i="19"/>
  <c r="FZ88" i="19"/>
  <c r="FR88" i="19"/>
  <c r="FB88" i="19"/>
  <c r="ET88" i="19"/>
  <c r="EL88" i="19"/>
  <c r="DV88" i="19"/>
  <c r="DN88" i="19"/>
  <c r="DF88" i="19"/>
  <c r="CX88" i="19"/>
  <c r="CP88" i="19"/>
  <c r="BZ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LB90" i="19" l="1"/>
  <c r="LB6" i="19"/>
  <c r="LB89" i="19"/>
  <c r="KX88" i="19"/>
  <c r="LF7" i="19"/>
  <c r="Q9" i="4"/>
  <c r="S9" i="4"/>
  <c r="M9" i="4"/>
  <c r="U9" i="4"/>
  <c r="AC9" i="4"/>
  <c r="L9" i="4"/>
  <c r="T9" i="4"/>
  <c r="AB9" i="4"/>
  <c r="K9" i="4"/>
  <c r="O9" i="4"/>
  <c r="W9" i="4"/>
  <c r="AE9" i="4"/>
  <c r="N9" i="4"/>
  <c r="V9" i="4"/>
  <c r="AD9" i="4"/>
  <c r="AF9" i="4"/>
  <c r="P9" i="4"/>
  <c r="X9" i="4"/>
  <c r="Y9" i="4"/>
  <c r="AA9" i="4"/>
  <c r="AG9" i="4"/>
  <c r="J9" i="4"/>
  <c r="R9" i="4"/>
  <c r="Z9" i="4"/>
  <c r="I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CE9" i="10"/>
  <c r="S12" i="10"/>
  <c r="T12" i="10"/>
  <c r="AB12" i="10"/>
  <c r="O12" i="10"/>
  <c r="W12" i="10"/>
  <c r="AE12" i="10"/>
  <c r="N12" i="10"/>
  <c r="V12" i="10"/>
  <c r="AD12" i="10"/>
  <c r="AA12" i="10"/>
  <c r="AG12" i="10"/>
  <c r="J12" i="10"/>
  <c r="Z12" i="10"/>
  <c r="M12" i="10"/>
  <c r="AC9" i="10"/>
  <c r="AC12" i="10"/>
  <c r="L12" i="10"/>
  <c r="Q12" i="10"/>
  <c r="Y12" i="10"/>
  <c r="AF12" i="10"/>
  <c r="I12" i="10"/>
  <c r="P12" i="10"/>
  <c r="X12" i="10"/>
  <c r="K12" i="10"/>
  <c r="R12" i="10"/>
  <c r="U12" i="10"/>
  <c r="X9" i="10"/>
  <c r="G44" i="4"/>
  <c r="G45" i="4"/>
  <c r="G56" i="4"/>
  <c r="BL118" i="14"/>
  <c r="BJ13" i="16"/>
  <c r="CD12" i="16"/>
  <c r="X118" i="14"/>
  <c r="AW118" i="14"/>
  <c r="AL12" i="16"/>
  <c r="BB12" i="16"/>
  <c r="BR13" i="16"/>
  <c r="CV118" i="14"/>
  <c r="BE12" i="16"/>
  <c r="AU13" i="16"/>
  <c r="CR12" i="16"/>
  <c r="BI118" i="14"/>
  <c r="BG13" i="16"/>
  <c r="BV12" i="16"/>
  <c r="CF12" i="16"/>
  <c r="BF12" i="16"/>
  <c r="AW12" i="16"/>
  <c r="CU12" i="16"/>
  <c r="AZ13" i="16"/>
  <c r="AY118" i="14"/>
  <c r="AE12" i="16"/>
  <c r="AU118" i="14"/>
  <c r="BV118" i="14"/>
  <c r="BW13" i="16"/>
  <c r="CH118" i="14"/>
  <c r="W13" i="16"/>
  <c r="CN118" i="14"/>
  <c r="U118" i="14"/>
  <c r="J13" i="16"/>
  <c r="BZ118" i="14"/>
  <c r="AS118" i="14"/>
  <c r="AT13" i="16"/>
  <c r="AJ118" i="14"/>
  <c r="DA12" i="16"/>
  <c r="AJ13" i="16"/>
  <c r="AB12" i="16"/>
  <c r="CD13" i="16"/>
  <c r="CB12" i="16"/>
  <c r="BX12" i="16"/>
  <c r="CQ118" i="14"/>
  <c r="CC13" i="16"/>
  <c r="K12" i="16"/>
  <c r="N12" i="16"/>
  <c r="CK13" i="16"/>
  <c r="CE13" i="16"/>
  <c r="AL13" i="16"/>
  <c r="CP12" i="16"/>
  <c r="CR118" i="14"/>
  <c r="AN13" i="16"/>
  <c r="BU118" i="14"/>
  <c r="CK12" i="16"/>
  <c r="CQ13" i="16"/>
  <c r="BJ118" i="14"/>
  <c r="Q12" i="16"/>
  <c r="AS13" i="16"/>
  <c r="M12" i="16"/>
  <c r="BQ13" i="16"/>
  <c r="DA13" i="16"/>
  <c r="BD118" i="14"/>
  <c r="AY12" i="16"/>
  <c r="AJ12" i="16"/>
  <c r="BI12" i="16"/>
  <c r="Y118" i="14"/>
  <c r="AT12" i="16"/>
  <c r="CI13" i="16"/>
  <c r="BS12" i="16"/>
  <c r="BA12" i="16"/>
  <c r="I13" i="16"/>
  <c r="BE118" i="14"/>
  <c r="Z118" i="14"/>
  <c r="AD118" i="14"/>
  <c r="BA13" i="16"/>
  <c r="CM12" i="16"/>
  <c r="CI12" i="16"/>
  <c r="AN12" i="16"/>
  <c r="BL12" i="16"/>
  <c r="CI118" i="14"/>
  <c r="AM13" i="16"/>
  <c r="CL12" i="16"/>
  <c r="AR12" i="16"/>
  <c r="P13" i="16"/>
  <c r="Y13" i="16"/>
  <c r="BY12" i="16"/>
  <c r="BW12" i="16"/>
  <c r="BE13" i="16"/>
  <c r="BM12" i="16"/>
  <c r="P12" i="16"/>
  <c r="DB12" i="16"/>
  <c r="BI13" i="16"/>
  <c r="I12" i="16"/>
  <c r="H12" i="16"/>
  <c r="CB118" i="14"/>
  <c r="BF13" i="16"/>
  <c r="BH13" i="16"/>
  <c r="Q118" i="14"/>
  <c r="BT13" i="16"/>
  <c r="AI12" i="16"/>
  <c r="BQ118" i="14"/>
  <c r="AP118" i="14"/>
  <c r="BU12" i="16"/>
  <c r="CW12" i="16"/>
  <c r="BY118" i="14"/>
  <c r="CU118" i="14"/>
  <c r="BK118" i="14"/>
  <c r="CN12" i="16"/>
  <c r="CM13" i="16"/>
  <c r="DB118" i="14"/>
  <c r="CO12" i="16"/>
  <c r="T12" i="16"/>
  <c r="K13" i="16"/>
  <c r="BW118" i="14"/>
  <c r="AT118" i="14"/>
  <c r="P118" i="14"/>
  <c r="BS13" i="16"/>
  <c r="BP118" i="14"/>
  <c r="CT118" i="14"/>
  <c r="BT118" i="14"/>
  <c r="CZ12" i="16"/>
  <c r="AX12" i="16"/>
  <c r="CZ118" i="14"/>
  <c r="BV13" i="16"/>
  <c r="CY12" i="16"/>
  <c r="N13" i="16"/>
  <c r="BN118" i="14"/>
  <c r="R13" i="16"/>
  <c r="V12" i="16"/>
  <c r="CP13" i="16"/>
  <c r="CB13" i="16"/>
  <c r="V118" i="14"/>
  <c r="CJ13" i="16"/>
  <c r="CD118" i="14"/>
  <c r="BX118" i="14"/>
  <c r="T118" i="14"/>
  <c r="AL118" i="14"/>
  <c r="S12" i="16"/>
  <c r="AR118" i="14"/>
  <c r="BX13" i="16"/>
  <c r="BO12" i="16"/>
  <c r="CJ12" i="16"/>
  <c r="AK118" i="14"/>
  <c r="BO13" i="16"/>
  <c r="CW13" i="16"/>
  <c r="R118" i="14"/>
  <c r="CN13" i="16"/>
  <c r="AF118" i="14"/>
  <c r="CS118" i="14"/>
  <c r="AE13" i="16"/>
  <c r="AA13" i="16"/>
  <c r="CW118" i="14"/>
  <c r="CK118" i="14"/>
  <c r="AO13" i="16"/>
  <c r="T13" i="16"/>
  <c r="BM118" i="14"/>
  <c r="CX13" i="16"/>
  <c r="AC12" i="16"/>
  <c r="BC13" i="16"/>
  <c r="BJ12" i="16"/>
  <c r="CP118" i="14"/>
  <c r="O12" i="16"/>
  <c r="CT12" i="16"/>
  <c r="BR12" i="16"/>
  <c r="BG118" i="14"/>
  <c r="AZ118" i="14"/>
  <c r="CX118" i="14"/>
  <c r="AU12" i="16"/>
  <c r="CF13" i="16"/>
  <c r="X12" i="16"/>
  <c r="CT13" i="16"/>
  <c r="AI13" i="16"/>
  <c r="CE12" i="16"/>
  <c r="AA118" i="14"/>
  <c r="BK12" i="16"/>
  <c r="CM118" i="14"/>
  <c r="CQ12" i="16"/>
  <c r="BG12" i="16"/>
  <c r="CH12" i="16"/>
  <c r="CG118" i="14"/>
  <c r="AQ13" i="16"/>
  <c r="CS13" i="16"/>
  <c r="DC12" i="16"/>
  <c r="BH118" i="14"/>
  <c r="CG13" i="16"/>
  <c r="BF118" i="14"/>
  <c r="AA12" i="16"/>
  <c r="BD13" i="16"/>
  <c r="BR118" i="14"/>
  <c r="BT12" i="16"/>
  <c r="CA118" i="14"/>
  <c r="BM13" i="16"/>
  <c r="AI118" i="14"/>
  <c r="AK12" i="16"/>
  <c r="AM12" i="16"/>
  <c r="BP13" i="16"/>
  <c r="BD12" i="16"/>
  <c r="AD12" i="16"/>
  <c r="CV12" i="16"/>
  <c r="BH12" i="16"/>
  <c r="AE118" i="14"/>
  <c r="BN13" i="16"/>
  <c r="H13" i="16"/>
  <c r="DB13" i="16"/>
  <c r="CA12" i="16"/>
  <c r="M13" i="16"/>
  <c r="X13" i="16"/>
  <c r="AH12" i="16"/>
  <c r="CL13" i="16"/>
  <c r="CF118" i="14"/>
  <c r="AQ118" i="14"/>
  <c r="AO118" i="14"/>
  <c r="AO12" i="16"/>
  <c r="U12" i="16"/>
  <c r="CG12" i="16"/>
  <c r="AN118" i="14"/>
  <c r="CS12" i="16"/>
  <c r="AB13" i="16"/>
  <c r="BN12" i="16"/>
  <c r="AZ12" i="16"/>
  <c r="CC118" i="14"/>
  <c r="CY118" i="14"/>
  <c r="U13" i="16"/>
  <c r="Z12" i="16"/>
  <c r="AV13" i="16"/>
  <c r="CL118" i="14"/>
  <c r="CZ13" i="16"/>
  <c r="DA118" i="14"/>
  <c r="CR13" i="16"/>
  <c r="AP12" i="16"/>
  <c r="BK13" i="16"/>
  <c r="AK13" i="16"/>
  <c r="BU13" i="16"/>
  <c r="AD13" i="16"/>
  <c r="DC13" i="16"/>
  <c r="W118" i="14"/>
  <c r="BZ12" i="16"/>
  <c r="BQ12" i="16"/>
  <c r="AW13" i="16"/>
  <c r="BP12" i="16"/>
  <c r="CE118" i="14"/>
  <c r="BZ13" i="16"/>
  <c r="AC13" i="16"/>
  <c r="AF12" i="16"/>
  <c r="W12" i="16"/>
  <c r="AM118" i="14"/>
  <c r="BC118" i="14"/>
  <c r="AV118" i="14"/>
  <c r="CY13" i="16"/>
  <c r="AG12" i="16"/>
  <c r="CH13" i="16"/>
  <c r="R12" i="16"/>
  <c r="DC118" i="14"/>
  <c r="CV13" i="16"/>
  <c r="CO13" i="16"/>
  <c r="Z13" i="16"/>
  <c r="CU13" i="16"/>
  <c r="O118" i="14"/>
  <c r="AX118" i="14"/>
  <c r="J12" i="16"/>
  <c r="AH13" i="16"/>
  <c r="AQ12" i="16"/>
  <c r="CX12" i="16"/>
  <c r="BS118" i="14"/>
  <c r="Y12" i="16"/>
  <c r="CA13" i="16"/>
  <c r="AG13" i="16"/>
  <c r="L12" i="16"/>
  <c r="S118" i="14"/>
  <c r="AC118" i="14"/>
  <c r="AY13" i="16"/>
  <c r="L13" i="16"/>
  <c r="BL13" i="16"/>
  <c r="Q13" i="16"/>
  <c r="BY13" i="16"/>
  <c r="AB118" i="14"/>
  <c r="AP13" i="16"/>
  <c r="BA118" i="14"/>
  <c r="BC12" i="16"/>
  <c r="BB13" i="16"/>
  <c r="AX13" i="16"/>
  <c r="O13" i="16"/>
  <c r="BO118" i="14"/>
  <c r="V13" i="16"/>
  <c r="CC12" i="16"/>
  <c r="S13" i="16"/>
  <c r="AS12" i="16"/>
  <c r="CO118" i="14"/>
  <c r="AG118" i="14"/>
  <c r="AF13" i="16"/>
  <c r="CJ118" i="14"/>
  <c r="AH118" i="14"/>
  <c r="AV12" i="16"/>
  <c r="BB118" i="14"/>
  <c r="AR13" i="16"/>
  <c r="BR95" i="19" l="1"/>
  <c r="FN95" i="19"/>
  <c r="HR95" i="19"/>
  <c r="DZ95" i="19"/>
  <c r="HZ95" i="19"/>
  <c r="BZ95" i="19"/>
  <c r="CX95" i="19"/>
  <c r="CH95" i="19"/>
  <c r="JZ95" i="19"/>
  <c r="FB95" i="19"/>
  <c r="DJ95" i="19"/>
  <c r="ET95" i="19"/>
  <c r="KL95" i="19"/>
  <c r="GL95" i="19"/>
  <c r="FZ95" i="19"/>
  <c r="KX95" i="19"/>
  <c r="HJ95" i="19"/>
  <c r="GT95" i="19"/>
  <c r="FR95" i="19"/>
  <c r="KT95" i="19"/>
  <c r="HB95" i="19"/>
  <c r="HV95" i="19"/>
  <c r="CP95" i="19"/>
  <c r="LB95" i="19"/>
  <c r="IH95" i="19"/>
  <c r="AL95" i="19"/>
  <c r="BJ95" i="19"/>
  <c r="GH95" i="19"/>
  <c r="HF95" i="19"/>
  <c r="GX95" i="19"/>
  <c r="DR95" i="19"/>
  <c r="AP95" i="19"/>
  <c r="JJ95" i="19"/>
  <c r="DV95" i="19"/>
  <c r="KP95" i="19"/>
  <c r="JB95" i="19"/>
  <c r="DN95" i="19"/>
  <c r="JV95" i="19"/>
  <c r="FJ95" i="19"/>
  <c r="EL95" i="19"/>
  <c r="KH95" i="19"/>
  <c r="GD95" i="19"/>
  <c r="JN95" i="19"/>
  <c r="ED95" i="19"/>
  <c r="KD95" i="19"/>
  <c r="FV95" i="19"/>
  <c r="EP95" i="19"/>
  <c r="DB95" i="19"/>
  <c r="CL95" i="19"/>
  <c r="GP95" i="19"/>
  <c r="CD95" i="19"/>
  <c r="CT95" i="19"/>
  <c r="F13" i="16"/>
  <c r="G13" i="16"/>
  <c r="ID95" i="19"/>
  <c r="IX95" i="19"/>
  <c r="HN95" i="19"/>
  <c r="IP95" i="19"/>
  <c r="IT95" i="19"/>
  <c r="DF95" i="19"/>
  <c r="JR95" i="19"/>
  <c r="FF95" i="19"/>
  <c r="IL95" i="19"/>
  <c r="JF95" i="19"/>
  <c r="EX95" i="19"/>
  <c r="EH95" i="19"/>
  <c r="BV95" i="19"/>
  <c r="BN95" i="19"/>
  <c r="F12" i="16"/>
  <c r="G12" i="16"/>
  <c r="X7" i="4"/>
  <c r="X19" i="10" s="1"/>
  <c r="AW7" i="4"/>
  <c r="AW20" i="10" s="1"/>
  <c r="BK7" i="4"/>
  <c r="BK19" i="10" s="1"/>
  <c r="AM7" i="4"/>
  <c r="AM19" i="10" s="1"/>
  <c r="BM7" i="4"/>
  <c r="BM19" i="10" s="1"/>
  <c r="Z7" i="4"/>
  <c r="Z19" i="10" s="1"/>
  <c r="AF7" i="4"/>
  <c r="AF19" i="10" s="1"/>
  <c r="AB7" i="4"/>
  <c r="AB19" i="10" s="1"/>
  <c r="CZ7" i="4"/>
  <c r="CZ19" i="10" s="1"/>
  <c r="BZ7" i="4"/>
  <c r="BZ19" i="10" s="1"/>
  <c r="AT7" i="4"/>
  <c r="AT20" i="10" s="1"/>
  <c r="CL7" i="4"/>
  <c r="CL19" i="10" s="1"/>
  <c r="AI7" i="4"/>
  <c r="AI29" i="11" s="1"/>
  <c r="AR7" i="4"/>
  <c r="AR19" i="10" s="1"/>
  <c r="CS7" i="4"/>
  <c r="CS19" i="10" s="1"/>
  <c r="CC7" i="4"/>
  <c r="CC20" i="10" s="1"/>
  <c r="BC7" i="4"/>
  <c r="BC19" i="10" s="1"/>
  <c r="AZ7" i="4"/>
  <c r="AZ20" i="10" s="1"/>
  <c r="CV7" i="4"/>
  <c r="CV19" i="10" s="1"/>
  <c r="CF7" i="4"/>
  <c r="CF29" i="11" s="1"/>
  <c r="BI7" i="4"/>
  <c r="BI19" i="10" s="1"/>
  <c r="BE7" i="4"/>
  <c r="BE19" i="10" s="1"/>
  <c r="AX7" i="4"/>
  <c r="AX29" i="11" s="1"/>
  <c r="CU7" i="4"/>
  <c r="CU19" i="10" s="1"/>
  <c r="CE7" i="4"/>
  <c r="CE19" i="10" s="1"/>
  <c r="BG7" i="4"/>
  <c r="BG29" i="11" s="1"/>
  <c r="CX7" i="4"/>
  <c r="CX20" i="10" s="1"/>
  <c r="BL7" i="4"/>
  <c r="BL20" i="10" s="1"/>
  <c r="AD7" i="4"/>
  <c r="AD29" i="11" s="1"/>
  <c r="CT7" i="4"/>
  <c r="CT20" i="10" s="1"/>
  <c r="CG7" i="4"/>
  <c r="CG20" i="10" s="1"/>
  <c r="BO7" i="4"/>
  <c r="BO20" i="10" s="1"/>
  <c r="CI7" i="4"/>
  <c r="CI20" i="10" s="1"/>
  <c r="P9" i="10"/>
  <c r="V9" i="10"/>
  <c r="BB7" i="4"/>
  <c r="BB19" i="10" s="1"/>
  <c r="BH7" i="4"/>
  <c r="BH29" i="11" s="1"/>
  <c r="BF7" i="4"/>
  <c r="BF29" i="11" s="1"/>
  <c r="AK7" i="4"/>
  <c r="AK20" i="10" s="1"/>
  <c r="Q9" i="10"/>
  <c r="BV7" i="4"/>
  <c r="BV19" i="10" s="1"/>
  <c r="AL7" i="4"/>
  <c r="AL19" i="10" s="1"/>
  <c r="CD7" i="4"/>
  <c r="CD20" i="10" s="1"/>
  <c r="BT7" i="4"/>
  <c r="BT8" i="13" s="1"/>
  <c r="BT11" i="13" s="1"/>
  <c r="AJ7" i="4"/>
  <c r="AJ8" i="13" s="1"/>
  <c r="AJ11" i="13" s="1"/>
  <c r="CO7" i="4"/>
  <c r="CO29" i="11" s="1"/>
  <c r="BY7" i="4"/>
  <c r="BY20" i="10" s="1"/>
  <c r="AV7" i="4"/>
  <c r="AV20" i="10" s="1"/>
  <c r="AP7" i="4"/>
  <c r="AP19" i="10" s="1"/>
  <c r="CR7" i="4"/>
  <c r="CR20" i="10" s="1"/>
  <c r="CB7" i="4"/>
  <c r="CB19" i="10" s="1"/>
  <c r="BA7" i="4"/>
  <c r="BA8" i="13" s="1"/>
  <c r="BA11" i="13" s="1"/>
  <c r="BW7" i="4"/>
  <c r="BW20" i="10" s="1"/>
  <c r="AN7" i="4"/>
  <c r="AN20" i="10" s="1"/>
  <c r="CQ7" i="4"/>
  <c r="CQ20" i="10" s="1"/>
  <c r="CA7" i="4"/>
  <c r="CA20" i="10" s="1"/>
  <c r="AY7" i="4"/>
  <c r="AY8" i="13" s="1"/>
  <c r="AY11" i="13" s="1"/>
  <c r="CP7" i="4"/>
  <c r="CP20" i="10" s="1"/>
  <c r="AQ7" i="4"/>
  <c r="AQ29" i="11" s="1"/>
  <c r="AG7" i="4"/>
  <c r="AG19" i="10" s="1"/>
  <c r="AC7" i="4"/>
  <c r="AC19" i="10" s="1"/>
  <c r="BD7" i="4"/>
  <c r="BD19" i="10" s="1"/>
  <c r="CW7" i="4"/>
  <c r="CW20" i="10" s="1"/>
  <c r="CJ7" i="4"/>
  <c r="CJ20" i="10" s="1"/>
  <c r="CY7" i="4"/>
  <c r="CY20" i="10" s="1"/>
  <c r="AA7" i="4"/>
  <c r="AA19" i="10" s="1"/>
  <c r="AE7" i="4"/>
  <c r="AE19" i="10" s="1"/>
  <c r="BN7" i="4"/>
  <c r="BN29" i="11" s="1"/>
  <c r="DB7" i="4"/>
  <c r="DB20" i="10" s="1"/>
  <c r="BS7" i="4"/>
  <c r="BS29" i="11" s="1"/>
  <c r="BJ7" i="4"/>
  <c r="BJ20" i="10" s="1"/>
  <c r="DA7" i="4"/>
  <c r="DA20" i="10" s="1"/>
  <c r="CK7" i="4"/>
  <c r="CK19" i="10" s="1"/>
  <c r="BQ7" i="4"/>
  <c r="BQ20" i="10" s="1"/>
  <c r="BR7" i="4"/>
  <c r="BR29" i="11" s="1"/>
  <c r="AH7" i="4"/>
  <c r="AH20" i="10" s="1"/>
  <c r="CN7" i="4"/>
  <c r="CN20" i="10" s="1"/>
  <c r="BX7" i="4"/>
  <c r="BX19" i="10" s="1"/>
  <c r="AU7" i="4"/>
  <c r="AU20" i="10" s="1"/>
  <c r="BP7" i="4"/>
  <c r="BP20" i="10" s="1"/>
  <c r="DC7" i="4"/>
  <c r="DC19" i="10" s="1"/>
  <c r="CM7" i="4"/>
  <c r="CM29" i="11" s="1"/>
  <c r="BU7" i="4"/>
  <c r="BU20" i="10" s="1"/>
  <c r="AS7" i="4"/>
  <c r="AS20" i="10" s="1"/>
  <c r="CH7" i="4"/>
  <c r="CH19" i="10" s="1"/>
  <c r="AO7" i="4"/>
  <c r="AO20" i="10" s="1"/>
  <c r="Y7" i="4"/>
  <c r="Y19" i="10" s="1"/>
  <c r="BF95" i="19"/>
  <c r="BB95" i="19"/>
  <c r="AX95" i="19"/>
  <c r="AT95" i="19"/>
  <c r="R9" i="10"/>
  <c r="AW9" i="10"/>
  <c r="LF90" i="19"/>
  <c r="LF6" i="19"/>
  <c r="LF95" i="19"/>
  <c r="LF89" i="19"/>
  <c r="LB88" i="19"/>
  <c r="LJ7" i="19"/>
  <c r="I7" i="4"/>
  <c r="I8" i="13" s="1"/>
  <c r="I11" i="13" s="1"/>
  <c r="M9" i="10"/>
  <c r="CR9" i="10"/>
  <c r="CR13" i="10" s="1"/>
  <c r="CA9" i="10"/>
  <c r="CA13" i="10" s="1"/>
  <c r="I9" i="10"/>
  <c r="I13" i="10" s="1"/>
  <c r="AG9" i="10"/>
  <c r="AG13" i="10" s="1"/>
  <c r="BZ9" i="10"/>
  <c r="BZ13" i="10" s="1"/>
  <c r="BI9" i="10"/>
  <c r="BI13" i="10" s="1"/>
  <c r="BA9" i="10"/>
  <c r="BA13" i="10" s="1"/>
  <c r="AC20" i="10"/>
  <c r="BF9" i="10"/>
  <c r="BF13" i="10" s="1"/>
  <c r="BK20" i="10"/>
  <c r="AR9" i="10"/>
  <c r="AR13" i="10" s="1"/>
  <c r="AX9" i="10"/>
  <c r="AX13" i="10" s="1"/>
  <c r="Y9" i="10"/>
  <c r="AD9" i="10"/>
  <c r="AD13" i="10" s="1"/>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R20" i="10"/>
  <c r="CV20" i="10"/>
  <c r="BQ9" i="10"/>
  <c r="BQ13" i="10" s="1"/>
  <c r="CF9" i="10"/>
  <c r="CF13" i="10" s="1"/>
  <c r="AQ20" i="10"/>
  <c r="G12" i="10"/>
  <c r="F12" i="10"/>
  <c r="AE29" i="11"/>
  <c r="AF9" i="10"/>
  <c r="AF13" i="10" s="1"/>
  <c r="L9" i="10"/>
  <c r="AE9" i="10"/>
  <c r="AE13" i="10" s="1"/>
  <c r="AB9" i="10"/>
  <c r="AT19" i="10"/>
  <c r="DB29" i="11"/>
  <c r="BR19" i="10"/>
  <c r="BU19" i="10"/>
  <c r="CD29" i="11"/>
  <c r="CB29" i="11"/>
  <c r="AQ1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DF9" i="4"/>
  <c r="CE13" i="10"/>
  <c r="AW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AC13" i="10"/>
  <c r="U9" i="10"/>
  <c r="S9" i="10"/>
  <c r="AQ8" i="13"/>
  <c r="AQ11" i="13" s="1"/>
  <c r="BR8" i="13"/>
  <c r="BR11" i="13" s="1"/>
  <c r="AT8" i="13"/>
  <c r="AT11" i="13" s="1"/>
  <c r="CD8" i="13"/>
  <c r="CD11" i="13" s="1"/>
  <c r="BK8" i="13"/>
  <c r="BK11" i="13" s="1"/>
  <c r="CV8" i="13"/>
  <c r="CV11" i="13" s="1"/>
  <c r="CB8" i="13"/>
  <c r="CB11" i="13" s="1"/>
  <c r="AE8" i="13"/>
  <c r="AE11" i="13" s="1"/>
  <c r="BX29" i="11" l="1"/>
  <c r="BY19" i="10"/>
  <c r="AX8" i="13"/>
  <c r="AX11" i="13" s="1"/>
  <c r="BN8" i="13"/>
  <c r="BN11" i="13" s="1"/>
  <c r="CS29" i="11"/>
  <c r="BH8" i="13"/>
  <c r="BH11" i="13" s="1"/>
  <c r="BL19" i="10"/>
  <c r="AD20" i="10"/>
  <c r="BM20" i="10"/>
  <c r="AM29" i="11"/>
  <c r="BM29" i="11"/>
  <c r="CN19" i="10"/>
  <c r="BI20" i="10"/>
  <c r="AI8" i="13"/>
  <c r="AI11" i="13" s="1"/>
  <c r="AK19" i="10"/>
  <c r="AD19" i="10"/>
  <c r="AK8" i="13"/>
  <c r="AK11" i="13" s="1"/>
  <c r="CS8" i="13"/>
  <c r="CS11" i="13" s="1"/>
  <c r="AO29" i="11"/>
  <c r="CS20" i="10"/>
  <c r="AR8" i="13"/>
  <c r="AR11" i="13" s="1"/>
  <c r="CQ8" i="13"/>
  <c r="CQ11" i="13" s="1"/>
  <c r="AK29" i="11"/>
  <c r="BY29" i="11"/>
  <c r="Y8" i="13"/>
  <c r="Y11" i="13" s="1"/>
  <c r="CG29" i="11"/>
  <c r="AF29" i="11"/>
  <c r="AX20" i="10"/>
  <c r="CW8" i="13"/>
  <c r="CW11" i="13" s="1"/>
  <c r="CQ29" i="11"/>
  <c r="CG19" i="10"/>
  <c r="AX19" i="10"/>
  <c r="BJ29" i="11"/>
  <c r="CG8" i="13"/>
  <c r="CG11" i="13" s="1"/>
  <c r="BJ8" i="13"/>
  <c r="BJ11" i="13" s="1"/>
  <c r="CQ19" i="10"/>
  <c r="CW29" i="11"/>
  <c r="AU29" i="11"/>
  <c r="BX20" i="10"/>
  <c r="AF20" i="10"/>
  <c r="BY8" i="13"/>
  <c r="BY11" i="13" s="1"/>
  <c r="AF8" i="13"/>
  <c r="AF11" i="13" s="1"/>
  <c r="BF19" i="10"/>
  <c r="CW19" i="10"/>
  <c r="AU19" i="10"/>
  <c r="CT8" i="13"/>
  <c r="CT11" i="13" s="1"/>
  <c r="BE29" i="11"/>
  <c r="BF20" i="10"/>
  <c r="BS19" i="10"/>
  <c r="AO8" i="13"/>
  <c r="AO11" i="13" s="1"/>
  <c r="BE8" i="13"/>
  <c r="BE11" i="13" s="1"/>
  <c r="BX8" i="13"/>
  <c r="BX11" i="13" s="1"/>
  <c r="CT29" i="11"/>
  <c r="Z29" i="11"/>
  <c r="CO20" i="10"/>
  <c r="BS8" i="13"/>
  <c r="BS11" i="13" s="1"/>
  <c r="BF8" i="13"/>
  <c r="BF11" i="13" s="1"/>
  <c r="Z8" i="13"/>
  <c r="Z11" i="13" s="1"/>
  <c r="AN29" i="11"/>
  <c r="CO19" i="10"/>
  <c r="AV8" i="13"/>
  <c r="AV11" i="13" s="1"/>
  <c r="DB8" i="13"/>
  <c r="DB11" i="13" s="1"/>
  <c r="BI8" i="13"/>
  <c r="BI11" i="13" s="1"/>
  <c r="BH19" i="10"/>
  <c r="AJ29" i="11"/>
  <c r="AI19" i="10"/>
  <c r="BH20" i="10"/>
  <c r="AJ19" i="10"/>
  <c r="CN29" i="11"/>
  <c r="CN8" i="13"/>
  <c r="CN11" i="13" s="1"/>
  <c r="BW29" i="11"/>
  <c r="DB19" i="10"/>
  <c r="CH20" i="10"/>
  <c r="AI20" i="10"/>
  <c r="AJ20" i="10"/>
  <c r="BM8" i="13"/>
  <c r="BM11" i="13" s="1"/>
  <c r="BW19" i="10"/>
  <c r="CH8" i="13"/>
  <c r="CH11" i="13" s="1"/>
  <c r="CH29" i="11"/>
  <c r="BI29" i="11"/>
  <c r="AC29" i="11"/>
  <c r="BB29" i="11"/>
  <c r="CF19" i="10"/>
  <c r="BJ19" i="10"/>
  <c r="Y29" i="11"/>
  <c r="BV20" i="10"/>
  <c r="X20" i="10"/>
  <c r="AS8" i="13"/>
  <c r="AS11" i="13" s="1"/>
  <c r="BA19" i="10"/>
  <c r="BT19" i="10"/>
  <c r="AS29" i="11"/>
  <c r="AH29" i="11"/>
  <c r="BN19" i="10"/>
  <c r="CF20" i="10"/>
  <c r="CL20" i="10"/>
  <c r="BA20" i="10"/>
  <c r="BT20" i="10"/>
  <c r="BA29" i="11"/>
  <c r="AM20" i="10"/>
  <c r="CL8" i="13"/>
  <c r="CL11" i="13" s="1"/>
  <c r="AS19" i="10"/>
  <c r="AH19" i="10"/>
  <c r="CP29" i="11"/>
  <c r="BG19" i="10"/>
  <c r="CL29" i="11"/>
  <c r="BN20" i="10"/>
  <c r="BB8" i="13"/>
  <c r="BB11" i="13" s="1"/>
  <c r="AG29" i="11"/>
  <c r="BT29" i="11"/>
  <c r="BB20" i="10"/>
  <c r="BL29" i="11"/>
  <c r="AM8" i="13"/>
  <c r="AM11" i="13" s="1"/>
  <c r="BL8" i="13"/>
  <c r="BL11" i="13" s="1"/>
  <c r="AL20" i="10"/>
  <c r="AA20" i="10"/>
  <c r="BG8" i="13"/>
  <c r="BG11" i="13" s="1"/>
  <c r="AG20" i="10"/>
  <c r="CM8" i="13"/>
  <c r="CM11" i="13" s="1"/>
  <c r="CP19" i="10"/>
  <c r="CR29" i="11"/>
  <c r="BQ8" i="13"/>
  <c r="BQ11" i="13" s="1"/>
  <c r="AW19" i="10"/>
  <c r="CM19" i="10"/>
  <c r="AZ19" i="10"/>
  <c r="AA29" i="11"/>
  <c r="BZ20" i="10"/>
  <c r="BG20" i="10"/>
  <c r="CR19" i="10"/>
  <c r="AW29" i="11"/>
  <c r="BZ8" i="13"/>
  <c r="BZ11" i="13" s="1"/>
  <c r="CR8" i="13"/>
  <c r="CR11" i="13" s="1"/>
  <c r="CP8" i="13"/>
  <c r="CP11" i="13" s="1"/>
  <c r="CM20" i="10"/>
  <c r="AZ29" i="11"/>
  <c r="AZ8" i="13"/>
  <c r="AZ11" i="13" s="1"/>
  <c r="AL8" i="13"/>
  <c r="AL11" i="13" s="1"/>
  <c r="BQ29" i="11"/>
  <c r="BZ29" i="11"/>
  <c r="AL29" i="11"/>
  <c r="BQ19" i="10"/>
  <c r="AA8" i="13"/>
  <c r="AA11" i="13" s="1"/>
  <c r="DA8" i="13"/>
  <c r="DA11" i="13" s="1"/>
  <c r="BO8" i="13"/>
  <c r="BO11" i="13" s="1"/>
  <c r="BP8" i="13"/>
  <c r="BP11" i="13" s="1"/>
  <c r="CJ8" i="13"/>
  <c r="CJ11" i="13" s="1"/>
  <c r="CC8" i="13"/>
  <c r="CC11" i="13" s="1"/>
  <c r="BO29" i="11"/>
  <c r="CC19" i="10"/>
  <c r="CY8" i="13"/>
  <c r="CY11" i="13" s="1"/>
  <c r="AP20" i="10"/>
  <c r="AN19" i="10"/>
  <c r="BK29" i="11"/>
  <c r="BD29" i="11"/>
  <c r="CX29" i="11"/>
  <c r="CV29" i="11"/>
  <c r="BS20" i="10"/>
  <c r="CB20" i="10"/>
  <c r="BD20" i="10"/>
  <c r="BU8" i="13"/>
  <c r="BU11" i="13" s="1"/>
  <c r="CX19" i="10"/>
  <c r="AT29" i="11"/>
  <c r="BE20" i="10"/>
  <c r="AE20" i="10"/>
  <c r="Z20" i="10"/>
  <c r="AN8" i="13"/>
  <c r="AN11" i="13" s="1"/>
  <c r="CO8" i="13"/>
  <c r="CO11" i="13" s="1"/>
  <c r="CD19" i="10"/>
  <c r="AO19" i="10"/>
  <c r="CT19" i="10"/>
  <c r="AR29" i="11"/>
  <c r="AR20" i="10"/>
  <c r="BU29" i="11"/>
  <c r="CA29" i="11"/>
  <c r="AV29" i="11"/>
  <c r="BO19" i="10"/>
  <c r="AV19" i="10"/>
  <c r="CC29" i="11"/>
  <c r="BP29" i="11"/>
  <c r="CA19" i="10"/>
  <c r="AB29" i="11"/>
  <c r="BP19" i="10"/>
  <c r="CJ29" i="11"/>
  <c r="CU20" i="10"/>
  <c r="CJ19" i="10"/>
  <c r="CU29" i="11"/>
  <c r="DA29" i="11"/>
  <c r="AB20" i="10"/>
  <c r="DA19" i="10"/>
  <c r="CE8" i="13"/>
  <c r="CE11" i="13" s="1"/>
  <c r="CI8" i="13"/>
  <c r="CI11" i="13" s="1"/>
  <c r="BC8" i="13"/>
  <c r="BC11" i="13" s="1"/>
  <c r="CY19" i="10"/>
  <c r="DC20" i="10"/>
  <c r="CK20" i="10"/>
  <c r="CZ20" i="10"/>
  <c r="CK8" i="13"/>
  <c r="CK11" i="13" s="1"/>
  <c r="X29" i="11"/>
  <c r="AY20" i="10"/>
  <c r="DC8" i="13"/>
  <c r="DC11" i="13" s="1"/>
  <c r="CI29" i="11"/>
  <c r="CZ29" i="11"/>
  <c r="DC29" i="11"/>
  <c r="CK29" i="11"/>
  <c r="AP8" i="13"/>
  <c r="AP11" i="13" s="1"/>
  <c r="CI19" i="10"/>
  <c r="X8" i="13"/>
  <c r="X11" i="13" s="1"/>
  <c r="AY29" i="11"/>
  <c r="AP29" i="11"/>
  <c r="BV29" i="11"/>
  <c r="CE29" i="11"/>
  <c r="BC29" i="11"/>
  <c r="CE20" i="10"/>
  <c r="BC20" i="10"/>
  <c r="BV8" i="13"/>
  <c r="BV11" i="13" s="1"/>
  <c r="AY19" i="10"/>
  <c r="Y20" i="10"/>
  <c r="CY29" i="11"/>
  <c r="I19" i="10"/>
  <c r="LJ90" i="19"/>
  <c r="LJ6" i="19"/>
  <c r="LJ95" i="19"/>
  <c r="LJ89" i="19"/>
  <c r="LF88" i="19"/>
  <c r="I29" i="11"/>
  <c r="F9" i="10"/>
  <c r="AG8" i="13"/>
  <c r="AG11" i="13" s="1"/>
  <c r="CU8" i="13"/>
  <c r="CU11" i="13" s="1"/>
  <c r="BW8" i="13"/>
  <c r="BW11" i="13" s="1"/>
  <c r="CX8" i="13"/>
  <c r="CX11" i="13" s="1"/>
  <c r="AD8" i="13"/>
  <c r="AD11" i="13" s="1"/>
  <c r="AH8" i="13"/>
  <c r="AH11" i="13" s="1"/>
  <c r="CA8" i="13"/>
  <c r="CA11" i="13" s="1"/>
  <c r="AU8" i="13"/>
  <c r="AU11" i="13" s="1"/>
  <c r="CF8" i="13"/>
  <c r="CF11" i="13" s="1"/>
  <c r="G9" i="10"/>
  <c r="CZ8" i="13"/>
  <c r="CZ11" i="13" s="1"/>
  <c r="AW8" i="13"/>
  <c r="AW11" i="13" s="1"/>
  <c r="BD8" i="13"/>
  <c r="BD11" i="13" s="1"/>
  <c r="AB8" i="13"/>
  <c r="AB11" i="13" s="1"/>
  <c r="AC8" i="13"/>
  <c r="AC11" i="13" s="1"/>
  <c r="D90" i="19" l="1"/>
  <c r="D93" i="19"/>
  <c r="E80" i="19"/>
  <c r="E81" i="19"/>
  <c r="LJ88" i="19"/>
  <c r="B62" i="12"/>
  <c r="B49" i="12"/>
  <c r="B36" i="12"/>
  <c r="B24" i="12"/>
  <c r="B23" i="12"/>
  <c r="B9" i="12"/>
  <c r="B10" i="12"/>
  <c r="B11" i="12"/>
  <c r="B12" i="12"/>
  <c r="B13" i="12"/>
  <c r="B14" i="12"/>
  <c r="B15" i="12"/>
  <c r="B16" i="12"/>
  <c r="B8" i="12"/>
  <c r="D17" i="12"/>
  <c r="B30" i="12"/>
  <c r="E30" i="12" s="1"/>
  <c r="B28" i="12"/>
  <c r="B26" i="12"/>
  <c r="E26" i="12" l="1"/>
  <c r="E28" i="12"/>
  <c r="E24" i="12"/>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B64" i="12" l="1"/>
  <c r="E64" i="12" s="1"/>
  <c r="B77" i="12"/>
  <c r="E77" i="12" s="1"/>
  <c r="B66" i="12"/>
  <c r="E66" i="12" s="1"/>
  <c r="B79" i="12"/>
  <c r="E79" i="12" s="1"/>
  <c r="B68" i="12"/>
  <c r="E68" i="12" s="1"/>
  <c r="B81" i="12"/>
  <c r="E81" i="12" s="1"/>
  <c r="B70" i="12"/>
  <c r="E70" i="12" s="1"/>
  <c r="B83" i="12"/>
  <c r="E83" i="12" s="1"/>
  <c r="B54" i="12"/>
  <c r="E54" i="12" s="1"/>
  <c r="B52" i="12"/>
  <c r="E52" i="12" s="1"/>
  <c r="B56" i="12"/>
  <c r="E56" i="12" s="1"/>
  <c r="B50" i="12"/>
  <c r="E50" i="12" s="1"/>
  <c r="B63" i="12" l="1"/>
  <c r="E63" i="12" s="1"/>
  <c r="B76" i="12"/>
  <c r="E76" i="12" s="1"/>
  <c r="B69" i="12"/>
  <c r="E69" i="12" s="1"/>
  <c r="B82" i="12"/>
  <c r="E82" i="12" s="1"/>
  <c r="B65" i="12"/>
  <c r="E65" i="12" s="1"/>
  <c r="B78" i="12"/>
  <c r="E78" i="12" s="1"/>
  <c r="B67" i="12"/>
  <c r="E67" i="12" s="1"/>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G9" i="4" l="1"/>
  <c r="DG53" i="16"/>
  <c r="DG73" i="15"/>
  <c r="DG85" i="15"/>
  <c r="B55" i="16"/>
  <c r="E116" i="15"/>
  <c r="DG93" i="15"/>
  <c r="C116" i="15"/>
  <c r="DG60" i="15"/>
  <c r="C44" i="15"/>
  <c r="E35" i="15"/>
  <c r="DG82" i="15"/>
  <c r="DG28" i="15"/>
  <c r="DG90" i="15"/>
  <c r="DE117" i="15"/>
  <c r="C65" i="15"/>
  <c r="E44" i="15"/>
  <c r="DG94" i="16"/>
  <c r="DG75" i="16"/>
  <c r="C47" i="15"/>
  <c r="DG105" i="16"/>
  <c r="DG103" i="15"/>
  <c r="DE88" i="16"/>
  <c r="E89" i="15"/>
  <c r="DG83" i="16"/>
  <c r="E77" i="15"/>
  <c r="E101" i="15"/>
  <c r="DG19" i="15"/>
  <c r="DG31" i="16"/>
  <c r="DE98" i="16"/>
  <c r="DG40" i="15"/>
  <c r="K118" i="14"/>
  <c r="C76" i="15"/>
  <c r="E64" i="15"/>
  <c r="DE94" i="16"/>
  <c r="DE116" i="15"/>
  <c r="E112" i="15"/>
  <c r="C46" i="15"/>
  <c r="DE125" i="16"/>
  <c r="DG27" i="15"/>
  <c r="DG73" i="16"/>
  <c r="C78" i="15"/>
  <c r="C19" i="15"/>
  <c r="DG48" i="16"/>
  <c r="B66" i="16"/>
  <c r="E84" i="15"/>
  <c r="DG58" i="16"/>
  <c r="DE109" i="15"/>
  <c r="DG75" i="15"/>
  <c r="DG17" i="16"/>
  <c r="C109" i="15"/>
  <c r="DG110" i="15"/>
  <c r="E88" i="15"/>
  <c r="C63" i="15"/>
  <c r="E153" i="15"/>
  <c r="C73" i="15"/>
  <c r="DG77" i="15"/>
  <c r="E160" i="15"/>
  <c r="DG42" i="15"/>
  <c r="E63" i="15"/>
  <c r="DE106" i="16"/>
  <c r="E109" i="15"/>
  <c r="DG99" i="15"/>
  <c r="E66" i="15"/>
  <c r="DG57" i="16"/>
  <c r="DG23" i="16"/>
  <c r="E79" i="15"/>
  <c r="C107" i="15"/>
  <c r="DG74" i="16"/>
  <c r="C123" i="15"/>
  <c r="E51" i="15"/>
  <c r="B129" i="16"/>
  <c r="C60" i="15"/>
  <c r="C67" i="15"/>
  <c r="E15" i="15"/>
  <c r="C121" i="15"/>
  <c r="E17" i="15"/>
  <c r="DG85" i="16"/>
  <c r="I118" i="14"/>
  <c r="E82" i="15"/>
  <c r="C94" i="15"/>
  <c r="E46" i="15"/>
  <c r="B91" i="16"/>
  <c r="B99" i="16"/>
  <c r="DG82" i="16"/>
  <c r="DG30" i="16"/>
  <c r="DE108" i="15"/>
  <c r="C70" i="15"/>
  <c r="DG103" i="16"/>
  <c r="C42" i="15"/>
  <c r="E92" i="15"/>
  <c r="E87" i="15"/>
  <c r="B128" i="16"/>
  <c r="DG28" i="16"/>
  <c r="E39" i="15"/>
  <c r="C28" i="15"/>
  <c r="C125" i="15"/>
  <c r="C83" i="15"/>
  <c r="DG83" i="15"/>
  <c r="DG79" i="15"/>
  <c r="DE95" i="16"/>
  <c r="C110" i="15"/>
  <c r="E50" i="15"/>
  <c r="B94" i="16"/>
  <c r="E53" i="15"/>
  <c r="DE96" i="16"/>
  <c r="E36" i="15"/>
  <c r="E52" i="15"/>
  <c r="H118" i="14"/>
  <c r="DG107" i="16"/>
  <c r="E111" i="15"/>
  <c r="DE97" i="16"/>
  <c r="C27" i="15"/>
  <c r="DE66" i="16"/>
  <c r="C101" i="15"/>
  <c r="E124" i="15"/>
  <c r="E12" i="15"/>
  <c r="B77" i="16"/>
  <c r="C103" i="15"/>
  <c r="B96" i="16"/>
  <c r="DG50" i="16"/>
  <c r="DG68" i="16"/>
  <c r="C71" i="15"/>
  <c r="C34" i="15"/>
  <c r="DG54" i="15"/>
  <c r="DG65" i="16"/>
  <c r="E80" i="15"/>
  <c r="E28" i="15"/>
  <c r="DG12" i="16"/>
  <c r="E29" i="15"/>
  <c r="DG26" i="16"/>
  <c r="DG79" i="16"/>
  <c r="E13" i="15"/>
  <c r="DG14" i="15"/>
  <c r="DG109" i="15"/>
  <c r="DG62" i="16"/>
  <c r="DG106" i="16"/>
  <c r="E19" i="14"/>
  <c r="DG43" i="16"/>
  <c r="C57" i="15"/>
  <c r="DG64" i="16"/>
  <c r="E120" i="15"/>
  <c r="DG76" i="15"/>
  <c r="E58" i="15"/>
  <c r="DG63" i="16"/>
  <c r="B110" i="16"/>
  <c r="DG59" i="16"/>
  <c r="DG63" i="15"/>
  <c r="E25" i="15"/>
  <c r="DG24" i="16"/>
  <c r="E62" i="15"/>
  <c r="B120" i="16"/>
  <c r="C97" i="15"/>
  <c r="DG86" i="15"/>
  <c r="C120" i="15"/>
  <c r="E86" i="15"/>
  <c r="DG40" i="16"/>
  <c r="E76" i="15"/>
  <c r="E156" i="15"/>
  <c r="C25" i="15"/>
  <c r="DG71" i="15"/>
  <c r="E37" i="15"/>
  <c r="DG20" i="16"/>
  <c r="E18" i="15"/>
  <c r="DG70" i="15"/>
  <c r="DG65" i="15"/>
  <c r="C29" i="15"/>
  <c r="DG72" i="15"/>
  <c r="C38" i="15"/>
  <c r="DE99" i="16"/>
  <c r="E72" i="15"/>
  <c r="E61" i="15"/>
  <c r="DG16" i="16"/>
  <c r="E110" i="15"/>
  <c r="DG108" i="15"/>
  <c r="DG98" i="16"/>
  <c r="B32" i="16"/>
  <c r="DG104" i="16"/>
  <c r="C118" i="15"/>
  <c r="DG106" i="15"/>
  <c r="DG29" i="16"/>
  <c r="C100" i="15"/>
  <c r="DG49" i="16"/>
  <c r="DE108" i="16"/>
  <c r="C99" i="15"/>
  <c r="E98" i="15"/>
  <c r="B124" i="16"/>
  <c r="DG46" i="16"/>
  <c r="B97" i="16"/>
  <c r="E73" i="15"/>
  <c r="E158" i="15"/>
  <c r="DG18" i="15"/>
  <c r="DG104" i="15"/>
  <c r="E26" i="15"/>
  <c r="E93" i="15"/>
  <c r="DG84" i="16"/>
  <c r="C50" i="15"/>
  <c r="C93" i="15"/>
  <c r="E24" i="15"/>
  <c r="C41" i="15"/>
  <c r="E43" i="15"/>
  <c r="C85" i="15"/>
  <c r="E115" i="15"/>
  <c r="E54" i="15"/>
  <c r="E65" i="15"/>
  <c r="DG41" i="16"/>
  <c r="E113" i="15"/>
  <c r="B119" i="16"/>
  <c r="C91" i="15"/>
  <c r="C17" i="15"/>
  <c r="E30" i="15"/>
  <c r="DG68" i="15"/>
  <c r="B103" i="16"/>
  <c r="C18" i="15"/>
  <c r="B21" i="16"/>
  <c r="DG18" i="16"/>
  <c r="E23" i="15"/>
  <c r="DE114" i="15"/>
  <c r="C64" i="15"/>
  <c r="DG69" i="16"/>
  <c r="C55" i="15"/>
  <c r="DG76" i="16"/>
  <c r="DE121" i="16"/>
  <c r="C122" i="15"/>
  <c r="M118" i="14"/>
  <c r="DE107" i="15"/>
  <c r="C72" i="15"/>
  <c r="DE126" i="15"/>
  <c r="DG107" i="15"/>
  <c r="DG97" i="16"/>
  <c r="C102" i="15"/>
  <c r="DG62" i="15"/>
  <c r="C119" i="15"/>
  <c r="C40" i="15"/>
  <c r="DG12" i="15"/>
  <c r="E155" i="15"/>
  <c r="B109" i="16"/>
  <c r="DG66" i="15"/>
  <c r="DE124" i="16"/>
  <c r="E127" i="15"/>
  <c r="B127" i="16"/>
  <c r="DG59" i="15"/>
  <c r="DG32" i="15"/>
  <c r="DG88" i="16"/>
  <c r="DE120" i="16"/>
  <c r="G19" i="14"/>
  <c r="C96" i="15"/>
  <c r="DE107" i="16"/>
  <c r="C112" i="15"/>
  <c r="E117" i="15"/>
  <c r="DG87" i="15"/>
  <c r="DG88" i="15"/>
  <c r="DG69" i="15"/>
  <c r="DG30" i="15"/>
  <c r="E49" i="15"/>
  <c r="E90" i="15"/>
  <c r="C48" i="15"/>
  <c r="DE93" i="16"/>
  <c r="DG47" i="16"/>
  <c r="DG55" i="16"/>
  <c r="DE123" i="16"/>
  <c r="DG15" i="15"/>
  <c r="DG53" i="15"/>
  <c r="E69" i="15"/>
  <c r="E32" i="15"/>
  <c r="DG51" i="16"/>
  <c r="DG93" i="16"/>
  <c r="C16" i="15"/>
  <c r="H44" i="14"/>
  <c r="C81" i="15"/>
  <c r="E159" i="15"/>
  <c r="DG74" i="15"/>
  <c r="C14" i="15"/>
  <c r="E122" i="15"/>
  <c r="E56" i="15"/>
  <c r="C51" i="15"/>
  <c r="DG81" i="15"/>
  <c r="C43" i="15"/>
  <c r="DE21" i="16"/>
  <c r="E31" i="15"/>
  <c r="DG71" i="16"/>
  <c r="C80" i="15"/>
  <c r="E27" i="15"/>
  <c r="B95" i="16"/>
  <c r="DE112" i="15"/>
  <c r="C84" i="15"/>
  <c r="C37" i="15"/>
  <c r="C23" i="15"/>
  <c r="DG52" i="16"/>
  <c r="C53" i="15"/>
  <c r="DE109" i="16"/>
  <c r="C39" i="15"/>
  <c r="J118" i="14"/>
  <c r="F19" i="14"/>
  <c r="DG80" i="15"/>
  <c r="DE97" i="15"/>
  <c r="B122" i="16"/>
  <c r="B104" i="16"/>
  <c r="DG96" i="16"/>
  <c r="DG94" i="15"/>
  <c r="C113" i="15"/>
  <c r="DG51" i="15"/>
  <c r="DG39" i="15"/>
  <c r="DG16" i="15"/>
  <c r="DG35" i="16"/>
  <c r="DG24" i="15"/>
  <c r="DG58" i="15"/>
  <c r="E71" i="15"/>
  <c r="C90" i="15"/>
  <c r="DG99" i="16"/>
  <c r="C105" i="15"/>
  <c r="B121" i="16"/>
  <c r="E60" i="15"/>
  <c r="C59" i="15"/>
  <c r="C111" i="15"/>
  <c r="DE110" i="15"/>
  <c r="B43" i="16"/>
  <c r="DG41" i="15"/>
  <c r="C52" i="15"/>
  <c r="DG25" i="15"/>
  <c r="DG13" i="15"/>
  <c r="DE101" i="16"/>
  <c r="C92" i="15"/>
  <c r="B102" i="16"/>
  <c r="DG108" i="16"/>
  <c r="DE119" i="16"/>
  <c r="DG34" i="16"/>
  <c r="E42" i="15"/>
  <c r="E57" i="15"/>
  <c r="E45" i="15"/>
  <c r="DG38" i="16"/>
  <c r="E20" i="15"/>
  <c r="C21" i="15"/>
  <c r="C69" i="15"/>
  <c r="C79" i="15"/>
  <c r="C77" i="15"/>
  <c r="DG23" i="15"/>
  <c r="DG43" i="15"/>
  <c r="DE105" i="16"/>
  <c r="DG42" i="16"/>
  <c r="E128" i="15"/>
  <c r="E55" i="15"/>
  <c r="DG48" i="15"/>
  <c r="DG26" i="15"/>
  <c r="DG95" i="15"/>
  <c r="C116" i="16"/>
  <c r="DG70" i="16"/>
  <c r="C36" i="15"/>
  <c r="E74" i="15"/>
  <c r="E104" i="15"/>
  <c r="C22" i="15"/>
  <c r="E81" i="15"/>
  <c r="E99" i="15"/>
  <c r="DG52" i="15"/>
  <c r="E100" i="15"/>
  <c r="DE95" i="15"/>
  <c r="DG60" i="16"/>
  <c r="B92" i="16"/>
  <c r="DG98" i="15"/>
  <c r="DG72" i="16"/>
  <c r="DE110" i="16"/>
  <c r="C35" i="15"/>
  <c r="E157" i="15"/>
  <c r="DE129" i="16"/>
  <c r="B98" i="16"/>
  <c r="C54" i="15"/>
  <c r="DG34" i="15"/>
  <c r="DG14" i="16"/>
  <c r="E83" i="15"/>
  <c r="E123" i="15"/>
  <c r="DG96" i="15"/>
  <c r="E75" i="15"/>
  <c r="C66" i="15"/>
  <c r="C114" i="15"/>
  <c r="E47" i="15"/>
  <c r="DG55" i="15"/>
  <c r="DG64" i="15"/>
  <c r="DE128" i="16"/>
  <c r="DE96" i="15"/>
  <c r="C31" i="15"/>
  <c r="DG39" i="16"/>
  <c r="E129" i="15"/>
  <c r="DG77" i="16"/>
  <c r="DG110" i="16"/>
  <c r="DG36" i="15"/>
  <c r="B107" i="16"/>
  <c r="B123" i="16"/>
  <c r="DG32" i="16"/>
  <c r="E33" i="15"/>
  <c r="DG47" i="15"/>
  <c r="DG101" i="15"/>
  <c r="C106" i="15"/>
  <c r="C126" i="15"/>
  <c r="C45" i="15"/>
  <c r="E107" i="15"/>
  <c r="C24" i="15"/>
  <c r="E41" i="15"/>
  <c r="E154" i="15"/>
  <c r="DG46" i="15"/>
  <c r="DG90" i="16"/>
  <c r="E125" i="15"/>
  <c r="DE43" i="16"/>
  <c r="DE111" i="15"/>
  <c r="DE98" i="15"/>
  <c r="C26" i="15"/>
  <c r="DG102" i="16"/>
  <c r="DE77" i="16"/>
  <c r="B125" i="16"/>
  <c r="B106" i="16"/>
  <c r="DG21" i="16"/>
  <c r="DG20" i="15"/>
  <c r="B93" i="16"/>
  <c r="DG80" i="16"/>
  <c r="C87" i="15"/>
  <c r="C61" i="15"/>
  <c r="DG37" i="15"/>
  <c r="E106" i="15"/>
  <c r="DG36" i="16"/>
  <c r="DG38" i="15"/>
  <c r="E68" i="15"/>
  <c r="DG105" i="15"/>
  <c r="E38" i="15"/>
  <c r="C117" i="15"/>
  <c r="C98" i="15"/>
  <c r="C88" i="15"/>
  <c r="DG15" i="16"/>
  <c r="DG91" i="16"/>
  <c r="E78" i="15"/>
  <c r="DG29" i="15"/>
  <c r="B90" i="16"/>
  <c r="DG61" i="16"/>
  <c r="E121" i="15"/>
  <c r="C86" i="15"/>
  <c r="DE103" i="16"/>
  <c r="DG17" i="15"/>
  <c r="H19" i="14"/>
  <c r="E14" i="15"/>
  <c r="N118" i="14"/>
  <c r="DG84" i="15"/>
  <c r="DG86" i="16"/>
  <c r="DG27" i="16"/>
  <c r="C58" i="15"/>
  <c r="E19" i="15"/>
  <c r="C75" i="15"/>
  <c r="C62" i="15"/>
  <c r="DE32" i="16"/>
  <c r="E96" i="15"/>
  <c r="DG57" i="15"/>
  <c r="DG37" i="16"/>
  <c r="DE113" i="15"/>
  <c r="C82" i="15"/>
  <c r="E119" i="15"/>
  <c r="C128" i="15"/>
  <c r="C12" i="15"/>
  <c r="C30" i="15"/>
  <c r="DG21" i="15"/>
  <c r="C115" i="15"/>
  <c r="C124" i="15"/>
  <c r="E105" i="15"/>
  <c r="DG87" i="16"/>
  <c r="E70" i="15"/>
  <c r="L118" i="14"/>
  <c r="C13" i="15"/>
  <c r="C127" i="15"/>
  <c r="DG54" i="16"/>
  <c r="DG61" i="15"/>
  <c r="DG97" i="15"/>
  <c r="DG35" i="15"/>
  <c r="DG50" i="15"/>
  <c r="B88" i="16"/>
  <c r="E16" i="15"/>
  <c r="E94" i="15"/>
  <c r="DE102" i="16"/>
  <c r="DE99" i="15"/>
  <c r="C15" i="15"/>
  <c r="E126" i="15"/>
  <c r="DE122" i="16"/>
  <c r="DG31" i="15"/>
  <c r="E59" i="15"/>
  <c r="DE92" i="16"/>
  <c r="E85" i="15"/>
  <c r="DG13" i="16"/>
  <c r="E22" i="15"/>
  <c r="DG19" i="16"/>
  <c r="E48" i="15"/>
  <c r="C33" i="15"/>
  <c r="C49" i="15"/>
  <c r="DG101" i="16"/>
  <c r="E102" i="15"/>
  <c r="B108" i="16"/>
  <c r="C56" i="15"/>
  <c r="DE115" i="15"/>
  <c r="DE104" i="16"/>
  <c r="DG81" i="16"/>
  <c r="C68" i="15"/>
  <c r="E118" i="15"/>
  <c r="DE91" i="16"/>
  <c r="DG25" i="16"/>
  <c r="DE106" i="15"/>
  <c r="E114" i="15"/>
  <c r="E95" i="15"/>
  <c r="C32" i="15"/>
  <c r="DG102" i="15"/>
  <c r="E34" i="15"/>
  <c r="DG92" i="15"/>
  <c r="C74" i="15"/>
  <c r="DE90" i="16"/>
  <c r="DG109" i="16"/>
  <c r="DG95" i="16"/>
  <c r="C129" i="15"/>
  <c r="DG91" i="15"/>
  <c r="DE127" i="16"/>
  <c r="E67" i="15"/>
  <c r="E108" i="15"/>
  <c r="E97" i="15"/>
  <c r="B101" i="16"/>
  <c r="DG66" i="16"/>
  <c r="C108" i="15"/>
  <c r="DE55" i="16"/>
  <c r="C89" i="15"/>
  <c r="B105" i="16"/>
  <c r="E91" i="15"/>
  <c r="DG49" i="15"/>
  <c r="E103" i="15"/>
  <c r="C95" i="15"/>
  <c r="DE118" i="15"/>
  <c r="E40" i="15"/>
  <c r="I117" i="14"/>
  <c r="E21" i="15"/>
  <c r="C104" i="15"/>
  <c r="DG92" i="16"/>
  <c r="N137" i="15" l="1"/>
  <c r="V137" i="15"/>
  <c r="AJ137" i="15"/>
  <c r="AR137" i="15"/>
  <c r="AZ137" i="15"/>
  <c r="BH137" i="15"/>
  <c r="BP137" i="15"/>
  <c r="BX137" i="15"/>
  <c r="CF137" i="15"/>
  <c r="CN137" i="15"/>
  <c r="CV137" i="15"/>
  <c r="O137" i="15"/>
  <c r="W137" i="15"/>
  <c r="AC137" i="15"/>
  <c r="AK137" i="15"/>
  <c r="AS137" i="15"/>
  <c r="BA137" i="15"/>
  <c r="BI137" i="15"/>
  <c r="BQ137" i="15"/>
  <c r="BY137" i="15"/>
  <c r="CG137" i="15"/>
  <c r="CO137" i="15"/>
  <c r="CW137" i="15"/>
  <c r="H137" i="15"/>
  <c r="P137" i="15"/>
  <c r="X137" i="15"/>
  <c r="AD137" i="15"/>
  <c r="AL137" i="15"/>
  <c r="AT137" i="15"/>
  <c r="BB137" i="15"/>
  <c r="BJ137" i="15"/>
  <c r="BR137" i="15"/>
  <c r="BZ137" i="15"/>
  <c r="CH137" i="15"/>
  <c r="CP137" i="15"/>
  <c r="CX137" i="15"/>
  <c r="I137" i="15"/>
  <c r="Q137" i="15"/>
  <c r="Y137" i="15"/>
  <c r="AE137" i="15"/>
  <c r="AM137" i="15"/>
  <c r="AU137" i="15"/>
  <c r="BC137" i="15"/>
  <c r="BK137" i="15"/>
  <c r="BS137" i="15"/>
  <c r="CA137" i="15"/>
  <c r="CI137" i="15"/>
  <c r="CQ137" i="15"/>
  <c r="CY137" i="15"/>
  <c r="J137" i="15"/>
  <c r="R137" i="15"/>
  <c r="Z137" i="15"/>
  <c r="AF137" i="15"/>
  <c r="AN137" i="15"/>
  <c r="AV137" i="15"/>
  <c r="BD137" i="15"/>
  <c r="BL137" i="15"/>
  <c r="BT137" i="15"/>
  <c r="CB137" i="15"/>
  <c r="CJ137" i="15"/>
  <c r="CR137" i="15"/>
  <c r="CZ137" i="15"/>
  <c r="K137" i="15"/>
  <c r="S137" i="15"/>
  <c r="AA137" i="15"/>
  <c r="AG137" i="15"/>
  <c r="AO137" i="15"/>
  <c r="AW137" i="15"/>
  <c r="BE137" i="15"/>
  <c r="BM137" i="15"/>
  <c r="BU137" i="15"/>
  <c r="CC137" i="15"/>
  <c r="CK137" i="15"/>
  <c r="CS137" i="15"/>
  <c r="DA137" i="15"/>
  <c r="L137" i="15"/>
  <c r="T137" i="15"/>
  <c r="AB137" i="15"/>
  <c r="AH137" i="15"/>
  <c r="AP137" i="15"/>
  <c r="AX137" i="15"/>
  <c r="BF137" i="15"/>
  <c r="BN137" i="15"/>
  <c r="BV137" i="15"/>
  <c r="CD137" i="15"/>
  <c r="CL137" i="15"/>
  <c r="CT137" i="15"/>
  <c r="DB137" i="15"/>
  <c r="M137" i="15"/>
  <c r="U137" i="15"/>
  <c r="AI137" i="15"/>
  <c r="AQ137" i="15"/>
  <c r="AY137" i="15"/>
  <c r="BG137" i="15"/>
  <c r="BO137" i="15"/>
  <c r="BW137" i="15"/>
  <c r="CE137" i="15"/>
  <c r="CM137" i="15"/>
  <c r="CU137" i="15"/>
  <c r="DC137" i="15"/>
  <c r="L136" i="15"/>
  <c r="T136" i="15"/>
  <c r="AB136" i="15"/>
  <c r="AH136" i="15"/>
  <c r="AP136" i="15"/>
  <c r="AX136" i="15"/>
  <c r="BF136" i="15"/>
  <c r="BN136" i="15"/>
  <c r="BV136" i="15"/>
  <c r="CD136" i="15"/>
  <c r="CL136" i="15"/>
  <c r="CT136" i="15"/>
  <c r="DB136" i="15"/>
  <c r="M136" i="15"/>
  <c r="U136" i="15"/>
  <c r="AI136" i="15"/>
  <c r="AQ136" i="15"/>
  <c r="AY136" i="15"/>
  <c r="BG136" i="15"/>
  <c r="BO136" i="15"/>
  <c r="BW136" i="15"/>
  <c r="CE136" i="15"/>
  <c r="CM136" i="15"/>
  <c r="CU136" i="15"/>
  <c r="DC136" i="15"/>
  <c r="N136" i="15"/>
  <c r="V136" i="15"/>
  <c r="AJ136" i="15"/>
  <c r="AR136" i="15"/>
  <c r="AZ136" i="15"/>
  <c r="BH136" i="15"/>
  <c r="BP136" i="15"/>
  <c r="BX136" i="15"/>
  <c r="CF136" i="15"/>
  <c r="CN136" i="15"/>
  <c r="CV136" i="15"/>
  <c r="O136" i="15"/>
  <c r="W136" i="15"/>
  <c r="AC136" i="15"/>
  <c r="AK136" i="15"/>
  <c r="AS136" i="15"/>
  <c r="BA136" i="15"/>
  <c r="BI136" i="15"/>
  <c r="BQ136" i="15"/>
  <c r="BY136" i="15"/>
  <c r="CG136" i="15"/>
  <c r="CO136" i="15"/>
  <c r="CW136" i="15"/>
  <c r="H136" i="15"/>
  <c r="P136" i="15"/>
  <c r="X136" i="15"/>
  <c r="AD136" i="15"/>
  <c r="AL136" i="15"/>
  <c r="AT136" i="15"/>
  <c r="BB136" i="15"/>
  <c r="BJ136" i="15"/>
  <c r="BR136" i="15"/>
  <c r="BZ136" i="15"/>
  <c r="CH136" i="15"/>
  <c r="CP136" i="15"/>
  <c r="CX136" i="15"/>
  <c r="I136" i="15"/>
  <c r="Q136" i="15"/>
  <c r="Y136" i="15"/>
  <c r="AE136" i="15"/>
  <c r="AM136" i="15"/>
  <c r="AU136" i="15"/>
  <c r="BC136" i="15"/>
  <c r="BK136" i="15"/>
  <c r="BS136" i="15"/>
  <c r="CA136" i="15"/>
  <c r="CI136" i="15"/>
  <c r="CQ136" i="15"/>
  <c r="CY136" i="15"/>
  <c r="J136" i="15"/>
  <c r="R136" i="15"/>
  <c r="Z136" i="15"/>
  <c r="AF136" i="15"/>
  <c r="AN136" i="15"/>
  <c r="AV136" i="15"/>
  <c r="BD136" i="15"/>
  <c r="BL136" i="15"/>
  <c r="BT136" i="15"/>
  <c r="CB136" i="15"/>
  <c r="CJ136" i="15"/>
  <c r="CR136" i="15"/>
  <c r="CZ136" i="15"/>
  <c r="K136" i="15"/>
  <c r="S136" i="15"/>
  <c r="AA136" i="15"/>
  <c r="AG136" i="15"/>
  <c r="AO136" i="15"/>
  <c r="AW136" i="15"/>
  <c r="BE136" i="15"/>
  <c r="BM136" i="15"/>
  <c r="BU136" i="15"/>
  <c r="CC136" i="15"/>
  <c r="CK136" i="15"/>
  <c r="CS136" i="15"/>
  <c r="DA136" i="15"/>
  <c r="J114" i="15"/>
  <c r="J131" i="15" s="1"/>
  <c r="R114" i="15"/>
  <c r="R131" i="15" s="1"/>
  <c r="Z114" i="15"/>
  <c r="Z131" i="15" s="1"/>
  <c r="K114" i="15"/>
  <c r="K131" i="15" s="1"/>
  <c r="S114" i="15"/>
  <c r="S131" i="15" s="1"/>
  <c r="AA114" i="15"/>
  <c r="AA131" i="15" s="1"/>
  <c r="L114" i="15"/>
  <c r="L131" i="15" s="1"/>
  <c r="T114" i="15"/>
  <c r="T131" i="15" s="1"/>
  <c r="AB114" i="15"/>
  <c r="AB131" i="15" s="1"/>
  <c r="M114" i="15"/>
  <c r="M131" i="15" s="1"/>
  <c r="U114" i="15"/>
  <c r="U131" i="15" s="1"/>
  <c r="N114" i="15"/>
  <c r="N131" i="15" s="1"/>
  <c r="V114" i="15"/>
  <c r="V131" i="15" s="1"/>
  <c r="O114" i="15"/>
  <c r="O131" i="15" s="1"/>
  <c r="W114" i="15"/>
  <c r="W131" i="15" s="1"/>
  <c r="H114" i="15"/>
  <c r="P114" i="15"/>
  <c r="P131" i="15" s="1"/>
  <c r="X114" i="15"/>
  <c r="X131" i="15" s="1"/>
  <c r="I114" i="15"/>
  <c r="I131" i="15" s="1"/>
  <c r="Q114" i="15"/>
  <c r="Q131" i="15" s="1"/>
  <c r="Y114" i="15"/>
  <c r="Y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Q114" i="15"/>
  <c r="AQ131" i="15" s="1"/>
  <c r="BO114" i="15"/>
  <c r="BO131" i="15" s="1"/>
  <c r="CE114" i="15"/>
  <c r="CE131" i="15" s="1"/>
  <c r="DC114" i="15"/>
  <c r="DC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Y114" i="15"/>
  <c r="AY131" i="15" s="1"/>
  <c r="BG114" i="15"/>
  <c r="BG131" i="15" s="1"/>
  <c r="BW114" i="15"/>
  <c r="BW131" i="15" s="1"/>
  <c r="CU114" i="15"/>
  <c r="CU131" i="15" s="1"/>
  <c r="AJ114" i="15"/>
  <c r="AJ131" i="15" s="1"/>
  <c r="AR114" i="15"/>
  <c r="AR131" i="15" s="1"/>
  <c r="AZ114" i="15"/>
  <c r="AZ131" i="15" s="1"/>
  <c r="BH114" i="15"/>
  <c r="BH131" i="15" s="1"/>
  <c r="BP114" i="15"/>
  <c r="BP131" i="15" s="1"/>
  <c r="BX114" i="15"/>
  <c r="BX131" i="15" s="1"/>
  <c r="CF114" i="15"/>
  <c r="CF131" i="15" s="1"/>
  <c r="CN114" i="15"/>
  <c r="CN131" i="15" s="1"/>
  <c r="CV114" i="15"/>
  <c r="CV131" i="15" s="1"/>
  <c r="AC114" i="15"/>
  <c r="AC131" i="15" s="1"/>
  <c r="AK114" i="15"/>
  <c r="AK131" i="15" s="1"/>
  <c r="AS114" i="15"/>
  <c r="AS131" i="15" s="1"/>
  <c r="BA114" i="15"/>
  <c r="BA131" i="15" s="1"/>
  <c r="BI114" i="15"/>
  <c r="BI131" i="15" s="1"/>
  <c r="BQ114" i="15"/>
  <c r="BQ131" i="15" s="1"/>
  <c r="BY114" i="15"/>
  <c r="BY131" i="15" s="1"/>
  <c r="CG114" i="15"/>
  <c r="CG131" i="15" s="1"/>
  <c r="CO114" i="15"/>
  <c r="CO131" i="15" s="1"/>
  <c r="CW114" i="15"/>
  <c r="CW131" i="15" s="1"/>
  <c r="CM114" i="15"/>
  <c r="CM131" i="15" s="1"/>
  <c r="AD114" i="15"/>
  <c r="AD131" i="15" s="1"/>
  <c r="AL114" i="15"/>
  <c r="AL131" i="15" s="1"/>
  <c r="AT114" i="15"/>
  <c r="AT131" i="15" s="1"/>
  <c r="BB114" i="15"/>
  <c r="BB131" i="15" s="1"/>
  <c r="BJ114" i="15"/>
  <c r="BJ131" i="15" s="1"/>
  <c r="BR114" i="15"/>
  <c r="BR131" i="15" s="1"/>
  <c r="BZ114" i="15"/>
  <c r="BZ131" i="15" s="1"/>
  <c r="CH114" i="15"/>
  <c r="CH131" i="15" s="1"/>
  <c r="CP114" i="15"/>
  <c r="CP131" i="15" s="1"/>
  <c r="CX114" i="15"/>
  <c r="CX131" i="15" s="1"/>
  <c r="AE114" i="15"/>
  <c r="AE131" i="15" s="1"/>
  <c r="AM114" i="15"/>
  <c r="AM131" i="15" s="1"/>
  <c r="AU114" i="15"/>
  <c r="AU131" i="15" s="1"/>
  <c r="BC114" i="15"/>
  <c r="BC131" i="15" s="1"/>
  <c r="BK114" i="15"/>
  <c r="BK131" i="15" s="1"/>
  <c r="BS114" i="15"/>
  <c r="BS131" i="15" s="1"/>
  <c r="CA114" i="15"/>
  <c r="CA131" i="15" s="1"/>
  <c r="CI114" i="15"/>
  <c r="CI131" i="15" s="1"/>
  <c r="CQ114" i="15"/>
  <c r="CQ131" i="15" s="1"/>
  <c r="CY114" i="15"/>
  <c r="CY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L115" i="15"/>
  <c r="L147" i="15" s="1"/>
  <c r="T115" i="15"/>
  <c r="T147" i="15" s="1"/>
  <c r="AB115" i="15"/>
  <c r="AB147" i="15" s="1"/>
  <c r="AJ115" i="15"/>
  <c r="AJ147" i="15" s="1"/>
  <c r="AR115" i="15"/>
  <c r="AR147" i="15" s="1"/>
  <c r="AZ115" i="15"/>
  <c r="AZ147" i="15" s="1"/>
  <c r="BH115" i="15"/>
  <c r="BH147" i="15" s="1"/>
  <c r="BP115" i="15"/>
  <c r="BP147" i="15" s="1"/>
  <c r="BX115" i="15"/>
  <c r="BX147" i="15" s="1"/>
  <c r="CF115" i="15"/>
  <c r="CF147" i="15" s="1"/>
  <c r="CN115" i="15"/>
  <c r="CN147" i="15" s="1"/>
  <c r="CV115" i="15"/>
  <c r="CV147" i="15" s="1"/>
  <c r="M115" i="15"/>
  <c r="M147" i="15" s="1"/>
  <c r="U115" i="15"/>
  <c r="U147" i="15" s="1"/>
  <c r="AC115" i="15"/>
  <c r="AC147" i="15" s="1"/>
  <c r="AK115" i="15"/>
  <c r="AK147" i="15" s="1"/>
  <c r="AS115" i="15"/>
  <c r="AS147" i="15" s="1"/>
  <c r="BA115" i="15"/>
  <c r="BA147" i="15" s="1"/>
  <c r="BI115" i="15"/>
  <c r="BI147" i="15" s="1"/>
  <c r="BQ115" i="15"/>
  <c r="BQ147" i="15" s="1"/>
  <c r="BY115" i="15"/>
  <c r="BY147" i="15" s="1"/>
  <c r="CG115" i="15"/>
  <c r="CG147" i="15" s="1"/>
  <c r="CO115" i="15"/>
  <c r="CO147" i="15" s="1"/>
  <c r="CW115" i="15"/>
  <c r="CW147" i="15" s="1"/>
  <c r="CY115" i="15"/>
  <c r="CY147" i="15" s="1"/>
  <c r="CK115" i="15"/>
  <c r="CK147" i="15" s="1"/>
  <c r="CL115" i="15"/>
  <c r="CL147" i="15" s="1"/>
  <c r="N115" i="15"/>
  <c r="N147" i="15" s="1"/>
  <c r="V115" i="15"/>
  <c r="V147" i="15" s="1"/>
  <c r="AD115" i="15"/>
  <c r="AD147" i="15" s="1"/>
  <c r="AL115" i="15"/>
  <c r="AL147" i="15" s="1"/>
  <c r="AT115" i="15"/>
  <c r="AT147" i="15" s="1"/>
  <c r="BB115" i="15"/>
  <c r="BB147" i="15" s="1"/>
  <c r="BJ115" i="15"/>
  <c r="BJ147" i="15" s="1"/>
  <c r="BR115" i="15"/>
  <c r="BR147" i="15" s="1"/>
  <c r="BZ115" i="15"/>
  <c r="BZ147" i="15" s="1"/>
  <c r="CH115" i="15"/>
  <c r="CH147" i="15" s="1"/>
  <c r="CP115" i="15"/>
  <c r="CP147" i="15" s="1"/>
  <c r="CX115" i="15"/>
  <c r="CX147" i="15" s="1"/>
  <c r="CZ115" i="15"/>
  <c r="CZ147" i="15" s="1"/>
  <c r="CS115" i="15"/>
  <c r="CS147" i="15" s="1"/>
  <c r="CT115" i="15"/>
  <c r="CT147" i="15" s="1"/>
  <c r="O115" i="15"/>
  <c r="O147" i="15" s="1"/>
  <c r="W115" i="15"/>
  <c r="W147" i="15" s="1"/>
  <c r="AE115" i="15"/>
  <c r="AE147" i="15" s="1"/>
  <c r="AM115" i="15"/>
  <c r="AM147" i="15" s="1"/>
  <c r="AU115" i="15"/>
  <c r="AU147" i="15" s="1"/>
  <c r="BC115" i="15"/>
  <c r="BC147" i="15" s="1"/>
  <c r="BK115" i="15"/>
  <c r="BK147" i="15" s="1"/>
  <c r="BS115" i="15"/>
  <c r="BS147" i="15" s="1"/>
  <c r="CA115" i="15"/>
  <c r="CA147" i="15" s="1"/>
  <c r="CI115" i="15"/>
  <c r="CI147" i="15" s="1"/>
  <c r="CQ115" i="15"/>
  <c r="CQ147" i="15" s="1"/>
  <c r="BM115" i="15"/>
  <c r="BM147" i="15" s="1"/>
  <c r="BN115" i="15"/>
  <c r="BN147" i="15" s="1"/>
  <c r="DC115" i="15"/>
  <c r="DC147" i="15" s="1"/>
  <c r="H115" i="15"/>
  <c r="P115" i="15"/>
  <c r="P147" i="15" s="1"/>
  <c r="X115" i="15"/>
  <c r="X147" i="15" s="1"/>
  <c r="AF115" i="15"/>
  <c r="AF147" i="15" s="1"/>
  <c r="AN115" i="15"/>
  <c r="AN147" i="15" s="1"/>
  <c r="AV115" i="15"/>
  <c r="AV147" i="15" s="1"/>
  <c r="BD115" i="15"/>
  <c r="BD147" i="15" s="1"/>
  <c r="BL115" i="15"/>
  <c r="BL147" i="15" s="1"/>
  <c r="BT115" i="15"/>
  <c r="BT147" i="15" s="1"/>
  <c r="CB115" i="15"/>
  <c r="CB147" i="15" s="1"/>
  <c r="CJ115" i="15"/>
  <c r="CJ147" i="15" s="1"/>
  <c r="CR115" i="15"/>
  <c r="CR147" i="15" s="1"/>
  <c r="BU115" i="15"/>
  <c r="BU147" i="15" s="1"/>
  <c r="DA115" i="15"/>
  <c r="DA147" i="15" s="1"/>
  <c r="DB115" i="15"/>
  <c r="DB147" i="15" s="1"/>
  <c r="I115" i="15"/>
  <c r="I147" i="15" s="1"/>
  <c r="Q115" i="15"/>
  <c r="Q147" i="15" s="1"/>
  <c r="Y115" i="15"/>
  <c r="Y147" i="15" s="1"/>
  <c r="AG115" i="15"/>
  <c r="AG147" i="15" s="1"/>
  <c r="AO115" i="15"/>
  <c r="AO147" i="15" s="1"/>
  <c r="AW115" i="15"/>
  <c r="AW147" i="15" s="1"/>
  <c r="BE115" i="15"/>
  <c r="BE147" i="15" s="1"/>
  <c r="CC115" i="15"/>
  <c r="CC147" i="15" s="1"/>
  <c r="BV115" i="15"/>
  <c r="BV147" i="15" s="1"/>
  <c r="J115" i="15"/>
  <c r="J147" i="15" s="1"/>
  <c r="R115" i="15"/>
  <c r="R147" i="15" s="1"/>
  <c r="Z115" i="15"/>
  <c r="Z147" i="15" s="1"/>
  <c r="AH115" i="15"/>
  <c r="AH147" i="15" s="1"/>
  <c r="AP115" i="15"/>
  <c r="AP147" i="15" s="1"/>
  <c r="AX115" i="15"/>
  <c r="AX147" i="15" s="1"/>
  <c r="BF115" i="15"/>
  <c r="BF147" i="15" s="1"/>
  <c r="CD115" i="15"/>
  <c r="CD147" i="15" s="1"/>
  <c r="K115" i="15"/>
  <c r="K147" i="15" s="1"/>
  <c r="S115" i="15"/>
  <c r="S147" i="15" s="1"/>
  <c r="AA115" i="15"/>
  <c r="AA147" i="15" s="1"/>
  <c r="AI115" i="15"/>
  <c r="AI147" i="15" s="1"/>
  <c r="AQ115" i="15"/>
  <c r="AQ147" i="15" s="1"/>
  <c r="AY115" i="15"/>
  <c r="AY147" i="15" s="1"/>
  <c r="BG115" i="15"/>
  <c r="BG147" i="15" s="1"/>
  <c r="BO115" i="15"/>
  <c r="BO147" i="15" s="1"/>
  <c r="BW115" i="15"/>
  <c r="BW147" i="15" s="1"/>
  <c r="CE115" i="15"/>
  <c r="CE147" i="15" s="1"/>
  <c r="CM115" i="15"/>
  <c r="CM147" i="15" s="1"/>
  <c r="CU115" i="15"/>
  <c r="CU147" i="15" s="1"/>
  <c r="H113" i="15"/>
  <c r="P113" i="15"/>
  <c r="P130" i="15" s="1"/>
  <c r="X113" i="15"/>
  <c r="X130" i="15" s="1"/>
  <c r="AD113" i="15"/>
  <c r="AD130" i="15" s="1"/>
  <c r="AL113" i="15"/>
  <c r="AL130" i="15" s="1"/>
  <c r="AT113" i="15"/>
  <c r="AT130" i="15" s="1"/>
  <c r="BB113" i="15"/>
  <c r="BB130" i="15" s="1"/>
  <c r="BJ113" i="15"/>
  <c r="BJ130" i="15" s="1"/>
  <c r="BR113" i="15"/>
  <c r="BR130" i="15" s="1"/>
  <c r="BZ113" i="15"/>
  <c r="BZ130" i="15" s="1"/>
  <c r="CH113" i="15"/>
  <c r="CH130" i="15" s="1"/>
  <c r="CP113" i="15"/>
  <c r="CP130" i="15" s="1"/>
  <c r="CX113" i="15"/>
  <c r="CX130" i="15" s="1"/>
  <c r="I113" i="15"/>
  <c r="I130" i="15" s="1"/>
  <c r="Q113" i="15"/>
  <c r="Q130" i="15" s="1"/>
  <c r="Y113" i="15"/>
  <c r="Y130" i="15" s="1"/>
  <c r="AE113" i="15"/>
  <c r="AE130" i="15" s="1"/>
  <c r="AE134" i="15" s="1"/>
  <c r="AM113" i="15"/>
  <c r="AM130" i="15" s="1"/>
  <c r="AM134" i="15" s="1"/>
  <c r="AU113" i="15"/>
  <c r="AU130" i="15" s="1"/>
  <c r="AU134" i="15" s="1"/>
  <c r="BC113" i="15"/>
  <c r="BC130" i="15" s="1"/>
  <c r="BC134" i="15" s="1"/>
  <c r="BK113" i="15"/>
  <c r="BK130" i="15" s="1"/>
  <c r="BK134" i="15" s="1"/>
  <c r="BS113" i="15"/>
  <c r="BS130" i="15" s="1"/>
  <c r="BS134" i="15" s="1"/>
  <c r="CA113" i="15"/>
  <c r="CA130" i="15" s="1"/>
  <c r="CA134" i="15" s="1"/>
  <c r="CI113" i="15"/>
  <c r="CI130" i="15" s="1"/>
  <c r="CI134" i="15" s="1"/>
  <c r="CQ113" i="15"/>
  <c r="CQ130" i="15" s="1"/>
  <c r="CQ134" i="15" s="1"/>
  <c r="CY113" i="15"/>
  <c r="CY130" i="15" s="1"/>
  <c r="CY134" i="15" s="1"/>
  <c r="J113" i="15"/>
  <c r="J130" i="15" s="1"/>
  <c r="R113" i="15"/>
  <c r="R130" i="15" s="1"/>
  <c r="Z113" i="15"/>
  <c r="Z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K113" i="15"/>
  <c r="K130" i="15" s="1"/>
  <c r="S113" i="15"/>
  <c r="S130" i="15" s="1"/>
  <c r="AA113" i="15"/>
  <c r="AA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L113" i="15"/>
  <c r="L130" i="15" s="1"/>
  <c r="T113" i="15"/>
  <c r="T130" i="15" s="1"/>
  <c r="AB113" i="15"/>
  <c r="AB130" i="15" s="1"/>
  <c r="AH113" i="15"/>
  <c r="AH130" i="15" s="1"/>
  <c r="AH134" i="15" s="1"/>
  <c r="AP113" i="15"/>
  <c r="AP130" i="15" s="1"/>
  <c r="AX113" i="15"/>
  <c r="AX130" i="15" s="1"/>
  <c r="BF113" i="15"/>
  <c r="BF130" i="15" s="1"/>
  <c r="BN113" i="15"/>
  <c r="BN130" i="15" s="1"/>
  <c r="BV113" i="15"/>
  <c r="BV130" i="15" s="1"/>
  <c r="CD113" i="15"/>
  <c r="CD130" i="15" s="1"/>
  <c r="CL113" i="15"/>
  <c r="CL130" i="15" s="1"/>
  <c r="CT113" i="15"/>
  <c r="CT130" i="15" s="1"/>
  <c r="CT134" i="15" s="1"/>
  <c r="DB113" i="15"/>
  <c r="DB130" i="15" s="1"/>
  <c r="M113" i="15"/>
  <c r="M130" i="15" s="1"/>
  <c r="U113" i="15"/>
  <c r="U130" i="15" s="1"/>
  <c r="AI113" i="15"/>
  <c r="AI130" i="15" s="1"/>
  <c r="AQ113" i="15"/>
  <c r="AQ130" i="15" s="1"/>
  <c r="AY113" i="15"/>
  <c r="AY130" i="15" s="1"/>
  <c r="BG113" i="15"/>
  <c r="BG130" i="15" s="1"/>
  <c r="BO113" i="15"/>
  <c r="BO130" i="15" s="1"/>
  <c r="BW113" i="15"/>
  <c r="BW130" i="15" s="1"/>
  <c r="BW134" i="15" s="1"/>
  <c r="CE113" i="15"/>
  <c r="CE130" i="15" s="1"/>
  <c r="CE134" i="15" s="1"/>
  <c r="CM113" i="15"/>
  <c r="CM130" i="15" s="1"/>
  <c r="CU113" i="15"/>
  <c r="CU130" i="15" s="1"/>
  <c r="DC113" i="15"/>
  <c r="DC130" i="15" s="1"/>
  <c r="N113" i="15"/>
  <c r="N130" i="15" s="1"/>
  <c r="V113" i="15"/>
  <c r="V130" i="15" s="1"/>
  <c r="AJ113" i="15"/>
  <c r="AJ130" i="15" s="1"/>
  <c r="AR113" i="15"/>
  <c r="AR130" i="15" s="1"/>
  <c r="AZ113" i="15"/>
  <c r="AZ130" i="15" s="1"/>
  <c r="BH113" i="15"/>
  <c r="BH130" i="15" s="1"/>
  <c r="BP113" i="15"/>
  <c r="BP130" i="15" s="1"/>
  <c r="BX113" i="15"/>
  <c r="BX130" i="15" s="1"/>
  <c r="CF113" i="15"/>
  <c r="CF130" i="15" s="1"/>
  <c r="CN113" i="15"/>
  <c r="CN130" i="15" s="1"/>
  <c r="CV113" i="15"/>
  <c r="CV130"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DF108" i="16"/>
  <c r="DF94" i="16"/>
  <c r="DF55" i="16"/>
  <c r="DF101" i="16"/>
  <c r="DF21" i="16"/>
  <c r="DF91" i="16"/>
  <c r="DF120" i="16"/>
  <c r="DF92" i="16"/>
  <c r="DF88" i="16"/>
  <c r="DF96" i="16"/>
  <c r="DF103" i="16"/>
  <c r="DF110" i="16"/>
  <c r="DF98" i="16"/>
  <c r="DF125" i="16"/>
  <c r="DF127" i="16"/>
  <c r="DF119" i="16"/>
  <c r="DF104" i="16"/>
  <c r="DF66" i="16"/>
  <c r="DF109" i="16"/>
  <c r="DF99" i="16"/>
  <c r="DF124" i="16"/>
  <c r="DF107" i="16"/>
  <c r="DF77" i="16"/>
  <c r="DF90" i="16"/>
  <c r="DF128" i="16"/>
  <c r="DF97" i="16"/>
  <c r="DF123" i="16"/>
  <c r="DF122" i="16"/>
  <c r="DF102" i="16"/>
  <c r="DF105" i="16"/>
  <c r="DF121" i="16"/>
  <c r="DF43" i="16"/>
  <c r="DF95" i="16"/>
  <c r="DF32" i="16"/>
  <c r="DF93" i="16"/>
  <c r="DF106" i="16"/>
  <c r="DF129" i="16"/>
  <c r="J89" i="19"/>
  <c r="V95" i="19"/>
  <c r="V98" i="19" s="1"/>
  <c r="V97" i="19" s="1"/>
  <c r="V96" i="19" s="1"/>
  <c r="DH43" i="16"/>
  <c r="DH21" i="15"/>
  <c r="R95" i="19"/>
  <c r="R98" i="19" s="1"/>
  <c r="R97" i="19" s="1"/>
  <c r="R96" i="19" s="1"/>
  <c r="DH32" i="15"/>
  <c r="AD95" i="19"/>
  <c r="AD98" i="19" s="1"/>
  <c r="AD97" i="19" s="1"/>
  <c r="AD96" i="19" s="1"/>
  <c r="G118" i="14"/>
  <c r="J95" i="19"/>
  <c r="J98" i="19" s="1"/>
  <c r="DH77" i="16"/>
  <c r="DH32" i="16"/>
  <c r="Z95" i="19"/>
  <c r="Z98" i="19" s="1"/>
  <c r="Z97" i="19" s="1"/>
  <c r="Z96" i="19" s="1"/>
  <c r="DH55" i="16"/>
  <c r="DH66" i="16"/>
  <c r="DH88" i="16"/>
  <c r="DH43" i="15"/>
  <c r="DH55" i="15"/>
  <c r="AH95" i="19"/>
  <c r="N95" i="19"/>
  <c r="N98" i="19" s="1"/>
  <c r="N97" i="19" s="1"/>
  <c r="N96" i="19" s="1"/>
  <c r="DH66" i="15"/>
  <c r="DH21" i="16"/>
  <c r="DH77" i="15"/>
  <c r="DH88" i="15"/>
  <c r="G13" i="14"/>
  <c r="G12" i="14"/>
  <c r="G11" i="14"/>
  <c r="E14" i="14"/>
  <c r="E15" i="14"/>
  <c r="AU138" i="15" l="1"/>
  <c r="CH138" i="15"/>
  <c r="X138" i="15"/>
  <c r="BI138" i="15"/>
  <c r="CN138" i="15"/>
  <c r="CZ134" i="15"/>
  <c r="AN134" i="15"/>
  <c r="AR134" i="15"/>
  <c r="CK138" i="15"/>
  <c r="AA138" i="15"/>
  <c r="BL138" i="15"/>
  <c r="CS138" i="15"/>
  <c r="AG138" i="15"/>
  <c r="BT138" i="15"/>
  <c r="DC134" i="15"/>
  <c r="CF134" i="15"/>
  <c r="BE134" i="15"/>
  <c r="AT134" i="15"/>
  <c r="CY138" i="15"/>
  <c r="AM138" i="15"/>
  <c r="BZ138" i="15"/>
  <c r="BA138" i="15"/>
  <c r="CF138" i="15"/>
  <c r="BV134" i="15"/>
  <c r="BO134" i="15"/>
  <c r="CB134" i="15"/>
  <c r="BQ134" i="15"/>
  <c r="AC134" i="15"/>
  <c r="CO134" i="15"/>
  <c r="CC134" i="15"/>
  <c r="BR134" i="15"/>
  <c r="AW138" i="15"/>
  <c r="CJ138" i="15"/>
  <c r="Z138" i="15"/>
  <c r="BK138" i="15"/>
  <c r="CX138" i="15"/>
  <c r="AL138" i="15"/>
  <c r="BY138" i="15"/>
  <c r="AR138" i="15"/>
  <c r="DC138" i="15"/>
  <c r="CV134" i="15"/>
  <c r="AJ134" i="15"/>
  <c r="BU134" i="15"/>
  <c r="CB138" i="15"/>
  <c r="BC138" i="15"/>
  <c r="CP138" i="15"/>
  <c r="AD138" i="15"/>
  <c r="BQ138" i="15"/>
  <c r="CV138" i="15"/>
  <c r="AJ138" i="15"/>
  <c r="CL134" i="15"/>
  <c r="CG134" i="15"/>
  <c r="AQ138" i="15"/>
  <c r="BV138" i="15"/>
  <c r="AS134" i="15"/>
  <c r="AI134" i="15"/>
  <c r="BH134" i="15"/>
  <c r="CM134" i="15"/>
  <c r="CS134" i="15"/>
  <c r="AG134" i="15"/>
  <c r="CH134" i="15"/>
  <c r="BM138" i="15"/>
  <c r="CZ138" i="15"/>
  <c r="AN138" i="15"/>
  <c r="CA138" i="15"/>
  <c r="BB138" i="15"/>
  <c r="CO138" i="15"/>
  <c r="AC138" i="15"/>
  <c r="BH138" i="15"/>
  <c r="AX134" i="15"/>
  <c r="BD134" i="15"/>
  <c r="BG138" i="15"/>
  <c r="CL138" i="15"/>
  <c r="AB138" i="15"/>
  <c r="AV134" i="15"/>
  <c r="BJ134" i="15"/>
  <c r="DA138" i="15"/>
  <c r="AO138" i="15"/>
  <c r="CR134" i="15"/>
  <c r="AF134" i="15"/>
  <c r="I134" i="15"/>
  <c r="CU138" i="15"/>
  <c r="AI138" i="15"/>
  <c r="BN138" i="15"/>
  <c r="CE138" i="15"/>
  <c r="AX138" i="15"/>
  <c r="CM138" i="15"/>
  <c r="BF138" i="15"/>
  <c r="AY138" i="15"/>
  <c r="CD138" i="15"/>
  <c r="CW134" i="15"/>
  <c r="AK134" i="15"/>
  <c r="AZ134" i="15"/>
  <c r="CK134" i="15"/>
  <c r="BZ134" i="15"/>
  <c r="BE138" i="15"/>
  <c r="CR138" i="15"/>
  <c r="AF138" i="15"/>
  <c r="BS138" i="15"/>
  <c r="I138" i="15"/>
  <c r="AT138" i="15"/>
  <c r="CG138" i="15"/>
  <c r="AZ138" i="15"/>
  <c r="DB134" i="15"/>
  <c r="AP134" i="15"/>
  <c r="BA134" i="15"/>
  <c r="AY134" i="15"/>
  <c r="BP134" i="15"/>
  <c r="DA134" i="15"/>
  <c r="AO134" i="15"/>
  <c r="CP134" i="15"/>
  <c r="AD134" i="15"/>
  <c r="BF134" i="15"/>
  <c r="BL134" i="15"/>
  <c r="BO138" i="15"/>
  <c r="CT138" i="15"/>
  <c r="AH138" i="15"/>
  <c r="CN134" i="15"/>
  <c r="BM134" i="15"/>
  <c r="BB134" i="15"/>
  <c r="CD134" i="15"/>
  <c r="CJ134" i="15"/>
  <c r="CU134" i="15"/>
  <c r="BU138" i="15"/>
  <c r="AV138" i="15"/>
  <c r="CI138" i="15"/>
  <c r="Y138" i="15"/>
  <c r="BJ138" i="15"/>
  <c r="CW138" i="15"/>
  <c r="AK138" i="15"/>
  <c r="BP138" i="15"/>
  <c r="BY134" i="15"/>
  <c r="BI134" i="15"/>
  <c r="BG134" i="15"/>
  <c r="BX134" i="15"/>
  <c r="AQ134" i="15"/>
  <c r="AW134" i="15"/>
  <c r="CX134" i="15"/>
  <c r="AL134" i="15"/>
  <c r="AS138" i="15"/>
  <c r="BX138" i="15"/>
  <c r="BN134" i="15"/>
  <c r="BT134" i="15"/>
  <c r="CC138" i="15"/>
  <c r="BD138" i="15"/>
  <c r="CQ138" i="15"/>
  <c r="AE138" i="15"/>
  <c r="BR138" i="15"/>
  <c r="BW138" i="15"/>
  <c r="DB138" i="15"/>
  <c r="AP138" i="15"/>
  <c r="F114" i="15"/>
  <c r="H131" i="15"/>
  <c r="G137" i="15"/>
  <c r="F137" i="15"/>
  <c r="G115" i="15"/>
  <c r="F115" i="15"/>
  <c r="G143" i="15" s="1"/>
  <c r="H147" i="15"/>
  <c r="H138" i="15"/>
  <c r="F136" i="15"/>
  <c r="G136" i="15"/>
  <c r="W133" i="15"/>
  <c r="H133" i="15"/>
  <c r="F113" i="15"/>
  <c r="G113" i="15"/>
  <c r="H130" i="15"/>
  <c r="D98" i="19"/>
  <c r="J97" i="19"/>
  <c r="J88" i="19"/>
  <c r="J92" i="19"/>
  <c r="D95" i="19"/>
  <c r="E112" i="19" s="1"/>
  <c r="J23" i="13"/>
  <c r="DE95" i="6"/>
  <c r="G95" i="6"/>
  <c r="F95" i="6"/>
  <c r="DF95" i="6"/>
  <c r="H134" i="15" l="1"/>
  <c r="F130" i="15"/>
  <c r="G130" i="15"/>
  <c r="F149" i="15"/>
  <c r="F148" i="15"/>
  <c r="G133" i="15"/>
  <c r="F133" i="15"/>
  <c r="F131" i="15"/>
  <c r="G131" i="15"/>
  <c r="D97" i="19"/>
  <c r="J96" i="19"/>
  <c r="D96" i="19" s="1"/>
  <c r="E95" i="19" s="1"/>
  <c r="J91" i="19"/>
  <c r="E111" i="19"/>
  <c r="E99" i="19"/>
  <c r="E105" i="19"/>
  <c r="E108" i="19"/>
  <c r="E107" i="19"/>
  <c r="E102" i="19"/>
  <c r="E104" i="19"/>
  <c r="E101" i="19"/>
  <c r="E98" i="19"/>
  <c r="E110" i="19"/>
  <c r="J9" i="13"/>
  <c r="G90" i="6"/>
  <c r="DF90" i="6"/>
  <c r="E97" i="19" l="1"/>
  <c r="E103" i="19"/>
  <c r="E106" i="19"/>
  <c r="E109" i="19"/>
  <c r="E100" i="19"/>
  <c r="J16" i="13"/>
  <c r="DE90" i="5"/>
  <c r="DF90" i="5"/>
  <c r="G90" i="5"/>
  <c r="F90" i="5"/>
  <c r="Q89" i="6"/>
  <c r="Q7" i="6" s="1"/>
  <c r="Q55" i="10" s="1"/>
  <c r="M89" i="6"/>
  <c r="M7" i="6" s="1"/>
  <c r="M55" i="10" s="1"/>
  <c r="S89" i="6"/>
  <c r="S7" i="6" s="1"/>
  <c r="N89" i="6"/>
  <c r="N7" i="6" s="1"/>
  <c r="N55" i="10" s="1"/>
  <c r="U89" i="6"/>
  <c r="V89" i="6"/>
  <c r="V7" i="6" s="1"/>
  <c r="V55" i="10" s="1"/>
  <c r="L89" i="6"/>
  <c r="L7" i="6" s="1"/>
  <c r="L45" i="11" s="1"/>
  <c r="R89" i="6"/>
  <c r="R7" i="6" s="1"/>
  <c r="R45" i="11" s="1"/>
  <c r="O89" i="6"/>
  <c r="O7" i="6" s="1"/>
  <c r="O45" i="11" s="1"/>
  <c r="T89" i="6"/>
  <c r="T7" i="6" s="1"/>
  <c r="K89" i="6"/>
  <c r="K7" i="6" s="1"/>
  <c r="P89" i="6"/>
  <c r="P7" i="6" s="1"/>
  <c r="E96" i="19" l="1"/>
  <c r="L55" i="10"/>
  <c r="T45" i="11"/>
  <c r="T55" i="10"/>
  <c r="P45" i="11"/>
  <c r="P55" i="10"/>
  <c r="K45" i="11"/>
  <c r="K55" i="10"/>
  <c r="R55" i="10"/>
  <c r="S45" i="11"/>
  <c r="O55" i="10"/>
  <c r="V45" i="11"/>
  <c r="M45" i="11"/>
  <c r="S55" i="10"/>
  <c r="Q45" i="11"/>
  <c r="N45" i="11"/>
  <c r="U7" i="6"/>
  <c r="U55" i="10" l="1"/>
  <c r="U45" i="11"/>
  <c r="M114" i="6"/>
  <c r="M46" i="10" s="1"/>
  <c r="W114" i="6"/>
  <c r="W112" i="6" s="1"/>
  <c r="L114" i="6"/>
  <c r="L46" i="10" s="1"/>
  <c r="Q114" i="6"/>
  <c r="Q46" i="10" s="1"/>
  <c r="N114" i="6"/>
  <c r="N46" i="10" s="1"/>
  <c r="T114" i="6"/>
  <c r="T46" i="10" s="1"/>
  <c r="S114" i="6"/>
  <c r="S46" i="10" s="1"/>
  <c r="K114" i="6"/>
  <c r="K46" i="10" s="1"/>
  <c r="U114" i="6"/>
  <c r="U46" i="10" s="1"/>
  <c r="R114" i="6"/>
  <c r="R46" i="10" s="1"/>
  <c r="V114" i="6"/>
  <c r="V46" i="10" s="1"/>
  <c r="F90" i="6"/>
  <c r="J114" i="6"/>
  <c r="J112" i="6" s="1"/>
  <c r="P114" i="6"/>
  <c r="P46" i="10" s="1"/>
  <c r="O114" i="6"/>
  <c r="O46" i="10" s="1"/>
  <c r="J89" i="6"/>
  <c r="J7" i="6" s="1"/>
  <c r="O112" i="6" l="1"/>
  <c r="O22" i="13" s="1"/>
  <c r="P112" i="6"/>
  <c r="P22" i="13" s="1"/>
  <c r="J22" i="13"/>
  <c r="J55" i="10"/>
  <c r="J45" i="11"/>
  <c r="J46" i="10"/>
  <c r="R112" i="6"/>
  <c r="R22" i="13" s="1"/>
  <c r="K112" i="6"/>
  <c r="K22" i="13" s="1"/>
  <c r="T112" i="6"/>
  <c r="T22" i="13" s="1"/>
  <c r="Q112" i="6"/>
  <c r="Q22" i="13" s="1"/>
  <c r="G114" i="6"/>
  <c r="DF114" i="6"/>
  <c r="F114" i="6"/>
  <c r="F112" i="6" s="1"/>
  <c r="V112" i="6"/>
  <c r="V22" i="13" s="1"/>
  <c r="U112" i="6"/>
  <c r="U22" i="13" s="1"/>
  <c r="S112" i="6"/>
  <c r="S22" i="13" s="1"/>
  <c r="N112" i="6"/>
  <c r="N22" i="13" s="1"/>
  <c r="L112" i="6"/>
  <c r="L22" i="13" s="1"/>
  <c r="M112" i="6"/>
  <c r="M22" i="13" s="1"/>
  <c r="P23" i="13"/>
  <c r="N23" i="13"/>
  <c r="T23" i="13"/>
  <c r="R23" i="13"/>
  <c r="U23" i="13"/>
  <c r="V23" i="13"/>
  <c r="L23" i="13"/>
  <c r="F91" i="6"/>
  <c r="DF91" i="6"/>
  <c r="G91" i="6"/>
  <c r="DE91" i="6"/>
  <c r="W89" i="6"/>
  <c r="DF89" i="6" s="1"/>
  <c r="DE93" i="6"/>
  <c r="F93" i="6"/>
  <c r="DF93" i="6"/>
  <c r="G93"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DE6" i="6" l="1"/>
  <c r="W46" i="10"/>
  <c r="F89" i="6"/>
  <c r="P25" i="13"/>
  <c r="O25" i="13"/>
  <c r="F16" i="13"/>
  <c r="G16" i="13"/>
  <c r="F23" i="13"/>
  <c r="G23" i="13"/>
  <c r="Q9" i="13"/>
  <c r="V9" i="13"/>
  <c r="R9" i="13"/>
  <c r="N9" i="13"/>
  <c r="L25" i="13"/>
  <c r="V25" i="13"/>
  <c r="R25" i="13"/>
  <c r="S9" i="13"/>
  <c r="N25" i="13"/>
  <c r="Q25" i="13"/>
  <c r="DF112" i="6"/>
  <c r="K9" i="13"/>
  <c r="DE95" i="4"/>
  <c r="F95" i="4"/>
  <c r="G95" i="4"/>
  <c r="DF95" i="4"/>
  <c r="O9" i="13"/>
  <c r="F95" i="5"/>
  <c r="G95" i="5"/>
  <c r="DF95" i="5"/>
  <c r="DE95" i="5"/>
  <c r="M9" i="13"/>
  <c r="W7" i="6"/>
  <c r="G89" i="6"/>
  <c r="J114" i="5"/>
  <c r="J89" i="5"/>
  <c r="L9" i="13"/>
  <c r="U9" i="13"/>
  <c r="T9" i="13"/>
  <c r="P9" i="13"/>
  <c r="S25" i="13"/>
  <c r="T25" i="13"/>
  <c r="F46" i="10"/>
  <c r="G112" i="6"/>
  <c r="W9" i="13"/>
  <c r="M25" i="13"/>
  <c r="U25" i="13"/>
  <c r="K25" i="13"/>
  <c r="J25" i="13"/>
  <c r="G46" i="10" l="1"/>
  <c r="F48" i="11"/>
  <c r="F58" i="10"/>
  <c r="G29" i="14" s="1"/>
  <c r="F7" i="6"/>
  <c r="F20" i="11" s="1"/>
  <c r="J112" i="5"/>
  <c r="F9" i="13"/>
  <c r="G9" i="13"/>
  <c r="J7" i="5"/>
  <c r="J28" i="10"/>
  <c r="W55" i="10"/>
  <c r="W45" i="11"/>
  <c r="W22" i="13"/>
  <c r="DF7" i="6"/>
  <c r="G7" i="6"/>
  <c r="G45" i="11" l="1"/>
  <c r="F46" i="11"/>
  <c r="F47" i="11"/>
  <c r="W25" i="13"/>
  <c r="G22" i="13"/>
  <c r="F22" i="13"/>
  <c r="F56" i="10"/>
  <c r="E29" i="14" s="1"/>
  <c r="F57" i="10"/>
  <c r="F29" i="14" s="1"/>
  <c r="G55" i="10"/>
  <c r="J37" i="11"/>
  <c r="J37" i="10"/>
  <c r="J15" i="13"/>
  <c r="F25" i="13" l="1"/>
  <c r="M21" i="14" s="1"/>
  <c r="G25" i="13"/>
  <c r="N21" i="14" s="1"/>
  <c r="J18" i="13"/>
  <c r="DF90" i="4" l="1"/>
  <c r="G90" i="4"/>
  <c r="DE90" i="4"/>
  <c r="F90" i="4"/>
  <c r="DF94" i="5" l="1"/>
  <c r="F94" i="5"/>
  <c r="DE94" i="5"/>
  <c r="G94" i="5"/>
  <c r="F94" i="4"/>
  <c r="DE94" i="4"/>
  <c r="DF94" i="4"/>
  <c r="G94" i="4"/>
  <c r="DF93" i="5" l="1"/>
  <c r="DE93" i="5"/>
  <c r="F93" i="5"/>
  <c r="G93" i="5"/>
  <c r="F93" i="4"/>
  <c r="G93" i="4"/>
  <c r="DE93" i="4"/>
  <c r="DF93" i="4"/>
  <c r="F92" i="5" l="1"/>
  <c r="DF92" i="5"/>
  <c r="G92" i="5"/>
  <c r="DE92" i="5"/>
  <c r="F92" i="4"/>
  <c r="DE92" i="4"/>
  <c r="DF92" i="4"/>
  <c r="G92" i="4"/>
  <c r="J89" i="4" l="1"/>
  <c r="J114" i="4"/>
  <c r="J7" i="4" l="1"/>
  <c r="J19" i="10" s="1"/>
  <c r="J10" i="10"/>
  <c r="W89" i="5"/>
  <c r="W114" i="5"/>
  <c r="W112" i="5" s="1"/>
  <c r="W114" i="4"/>
  <c r="W89" i="4"/>
  <c r="J112" i="4"/>
  <c r="J112" i="15"/>
  <c r="J135" i="15" l="1"/>
  <c r="W112" i="4"/>
  <c r="V114" i="4"/>
  <c r="V89" i="4"/>
  <c r="J8" i="13"/>
  <c r="J29" i="11"/>
  <c r="W7" i="5"/>
  <c r="W28" i="10"/>
  <c r="V114" i="5"/>
  <c r="V112" i="5" s="1"/>
  <c r="V89" i="5"/>
  <c r="W7" i="4"/>
  <c r="W10" i="10"/>
  <c r="W112" i="15"/>
  <c r="W135" i="15" l="1"/>
  <c r="W138" i="15" s="1"/>
  <c r="J138" i="15"/>
  <c r="V112" i="4"/>
  <c r="U114" i="4"/>
  <c r="U89" i="4"/>
  <c r="W19" i="10"/>
  <c r="W8" i="13"/>
  <c r="W11" i="13" s="1"/>
  <c r="W29" i="11"/>
  <c r="J11" i="13"/>
  <c r="U114" i="5"/>
  <c r="U112" i="5" s="1"/>
  <c r="U89" i="5"/>
  <c r="V7" i="5"/>
  <c r="V28" i="10"/>
  <c r="W15" i="13"/>
  <c r="W18" i="13" s="1"/>
  <c r="V10" i="10"/>
  <c r="V7" i="4"/>
  <c r="U112" i="4" l="1"/>
  <c r="V19" i="10"/>
  <c r="V8" i="13"/>
  <c r="V11" i="13" s="1"/>
  <c r="V29" i="11"/>
  <c r="T89" i="5"/>
  <c r="T114" i="5"/>
  <c r="T112" i="5" s="1"/>
  <c r="T114" i="4"/>
  <c r="T89" i="4"/>
  <c r="V15" i="13"/>
  <c r="V18" i="13" s="1"/>
  <c r="V37" i="10"/>
  <c r="V37" i="11"/>
  <c r="U7" i="5"/>
  <c r="U28" i="10"/>
  <c r="U7" i="4"/>
  <c r="U10" i="10"/>
  <c r="T7" i="5" l="1"/>
  <c r="T28" i="10"/>
  <c r="T10" i="10"/>
  <c r="T7" i="4"/>
  <c r="T112" i="4"/>
  <c r="S89" i="5"/>
  <c r="S114" i="5"/>
  <c r="S112" i="5" s="1"/>
  <c r="S114" i="4"/>
  <c r="S89" i="4"/>
  <c r="U29" i="11"/>
  <c r="U8" i="13"/>
  <c r="U11" i="13" s="1"/>
  <c r="U19" i="10"/>
  <c r="U37" i="10"/>
  <c r="U37" i="11"/>
  <c r="U15" i="13"/>
  <c r="U18" i="13" s="1"/>
  <c r="S10" i="10" l="1"/>
  <c r="S7" i="4"/>
  <c r="S112" i="4"/>
  <c r="T37" i="10"/>
  <c r="T37" i="11"/>
  <c r="T15" i="13"/>
  <c r="T18" i="13" s="1"/>
  <c r="R89" i="5"/>
  <c r="R114" i="5"/>
  <c r="R112" i="5" s="1"/>
  <c r="R114" i="4"/>
  <c r="R89" i="4"/>
  <c r="S7" i="5"/>
  <c r="S28" i="10"/>
  <c r="T29" i="11"/>
  <c r="T19" i="10"/>
  <c r="T8" i="13"/>
  <c r="T11" i="13" s="1"/>
  <c r="R112" i="4" l="1"/>
  <c r="S19" i="10"/>
  <c r="S29" i="11"/>
  <c r="S8" i="13"/>
  <c r="S11" i="13" s="1"/>
  <c r="Q89" i="5"/>
  <c r="Q114" i="5"/>
  <c r="Q112" i="5" s="1"/>
  <c r="S37" i="10"/>
  <c r="S37" i="11"/>
  <c r="S15" i="13"/>
  <c r="S18" i="13" s="1"/>
  <c r="R7" i="5"/>
  <c r="R28" i="10"/>
  <c r="Q114" i="4"/>
  <c r="Q89" i="4"/>
  <c r="R7" i="4"/>
  <c r="R10" i="10"/>
  <c r="P114" i="4" l="1"/>
  <c r="P89" i="4"/>
  <c r="R37" i="10"/>
  <c r="R37" i="11"/>
  <c r="R15" i="13"/>
  <c r="R18" i="13" s="1"/>
  <c r="Q10" i="10"/>
  <c r="Q7" i="4"/>
  <c r="Q7" i="5"/>
  <c r="Q28" i="10"/>
  <c r="Q112" i="4"/>
  <c r="P89" i="5"/>
  <c r="P114" i="5"/>
  <c r="P112" i="5" s="1"/>
  <c r="R29" i="11"/>
  <c r="R19" i="10"/>
  <c r="R8" i="13"/>
  <c r="R11" i="13" s="1"/>
  <c r="Q37" i="10" l="1"/>
  <c r="Q37" i="11"/>
  <c r="Q15" i="13"/>
  <c r="Q18" i="13" s="1"/>
  <c r="P10" i="10"/>
  <c r="P7" i="4"/>
  <c r="P7" i="5"/>
  <c r="P28" i="10"/>
  <c r="O89" i="5"/>
  <c r="O114" i="5"/>
  <c r="O112" i="5" s="1"/>
  <c r="Q19" i="10"/>
  <c r="Q29" i="11"/>
  <c r="Q8" i="13"/>
  <c r="Q11" i="13" s="1"/>
  <c r="P112" i="4"/>
  <c r="O114" i="4"/>
  <c r="O89" i="4"/>
  <c r="N114" i="4" l="1"/>
  <c r="N89" i="4"/>
  <c r="O7" i="5"/>
  <c r="O28" i="10"/>
  <c r="P37" i="11"/>
  <c r="P37" i="10"/>
  <c r="P15" i="13"/>
  <c r="P18" i="13" s="1"/>
  <c r="N114" i="5"/>
  <c r="N112" i="5" s="1"/>
  <c r="N89" i="5"/>
  <c r="O10" i="10"/>
  <c r="O7" i="4"/>
  <c r="P19" i="10"/>
  <c r="P29" i="11"/>
  <c r="P8" i="13"/>
  <c r="P11" i="13" s="1"/>
  <c r="O112" i="4"/>
  <c r="O19" i="10" l="1"/>
  <c r="O29" i="11"/>
  <c r="O8" i="13"/>
  <c r="O11" i="13" s="1"/>
  <c r="N7" i="5"/>
  <c r="N28" i="10"/>
  <c r="N10" i="10"/>
  <c r="N7" i="4"/>
  <c r="O37" i="11"/>
  <c r="O37" i="10"/>
  <c r="O15" i="13"/>
  <c r="O18" i="13" s="1"/>
  <c r="N112" i="4"/>
  <c r="M89" i="5"/>
  <c r="M114" i="5"/>
  <c r="M112" i="5" s="1"/>
  <c r="M114" i="4"/>
  <c r="M89" i="4"/>
  <c r="N29" i="11" l="1"/>
  <c r="N19" i="10"/>
  <c r="N8" i="13"/>
  <c r="N11" i="13" s="1"/>
  <c r="L114" i="4"/>
  <c r="L89" i="4"/>
  <c r="M7" i="5"/>
  <c r="M28" i="10"/>
  <c r="L89" i="5"/>
  <c r="L114" i="5"/>
  <c r="L112" i="5" s="1"/>
  <c r="M10" i="10"/>
  <c r="M7" i="4"/>
  <c r="M112" i="4"/>
  <c r="N37" i="10"/>
  <c r="N15" i="13"/>
  <c r="N18" i="13" s="1"/>
  <c r="N37" i="11"/>
  <c r="L7" i="4" l="1"/>
  <c r="L10" i="10"/>
  <c r="L112" i="4"/>
  <c r="L7" i="5"/>
  <c r="L28" i="10"/>
  <c r="K114" i="5"/>
  <c r="K89" i="5"/>
  <c r="DE91" i="5"/>
  <c r="G91" i="5"/>
  <c r="DF91" i="5"/>
  <c r="F91" i="5"/>
  <c r="F89" i="5" s="1"/>
  <c r="M8" i="13"/>
  <c r="M11" i="13" s="1"/>
  <c r="M19" i="10"/>
  <c r="M29" i="11"/>
  <c r="K114" i="4"/>
  <c r="K89" i="4"/>
  <c r="DE91" i="4"/>
  <c r="DE6" i="4" s="1"/>
  <c r="DF91" i="4"/>
  <c r="F91" i="4"/>
  <c r="F89" i="4" s="1"/>
  <c r="F22" i="10" s="1"/>
  <c r="G91" i="4"/>
  <c r="G89" i="4" s="1"/>
  <c r="M37" i="11"/>
  <c r="M37" i="10"/>
  <c r="M15" i="13"/>
  <c r="M18" i="13" s="1"/>
  <c r="F32" i="11" l="1"/>
  <c r="F7" i="4"/>
  <c r="G27" i="14"/>
  <c r="K112" i="4"/>
  <c r="G114" i="4"/>
  <c r="G112" i="4" s="1"/>
  <c r="DF114" i="4"/>
  <c r="F114" i="4"/>
  <c r="F112" i="4" s="1"/>
  <c r="F7" i="5"/>
  <c r="K7" i="5"/>
  <c r="K28" i="10"/>
  <c r="DF89" i="5"/>
  <c r="G89" i="5"/>
  <c r="L29" i="11"/>
  <c r="L19" i="10"/>
  <c r="L8" i="13"/>
  <c r="L11" i="13" s="1"/>
  <c r="K112" i="5"/>
  <c r="G114" i="5"/>
  <c r="DF114" i="5"/>
  <c r="F114" i="5"/>
  <c r="F112" i="5" s="1"/>
  <c r="K10" i="10"/>
  <c r="K7" i="4"/>
  <c r="K19" i="10" s="1"/>
  <c r="DF89" i="4"/>
  <c r="L15" i="13"/>
  <c r="L18" i="13" s="1"/>
  <c r="L37" i="11"/>
  <c r="L37" i="10"/>
  <c r="G19" i="10" l="1"/>
  <c r="K8" i="13"/>
  <c r="K29" i="11"/>
  <c r="DF7" i="4"/>
  <c r="G7" i="4"/>
  <c r="K37" i="10"/>
  <c r="K37" i="11"/>
  <c r="K15" i="13"/>
  <c r="DF7" i="5"/>
  <c r="G7" i="5"/>
  <c r="F18" i="11"/>
  <c r="G10" i="10"/>
  <c r="F10" i="10"/>
  <c r="DF112" i="5"/>
  <c r="G112" i="5"/>
  <c r="F28" i="10"/>
  <c r="G28" i="10"/>
  <c r="DF112" i="4"/>
  <c r="K11" i="13" l="1"/>
  <c r="G8" i="13"/>
  <c r="F8" i="13"/>
  <c r="F21" i="10"/>
  <c r="F27" i="14" s="1"/>
  <c r="F20" i="10"/>
  <c r="E27" i="14" s="1"/>
  <c r="K18" i="13"/>
  <c r="G15" i="13"/>
  <c r="F15" i="13"/>
  <c r="F31" i="11"/>
  <c r="G29" i="11"/>
  <c r="F30" i="11"/>
  <c r="F18" i="13" l="1"/>
  <c r="M20" i="14" s="1"/>
  <c r="G18" i="13"/>
  <c r="N20" i="14" s="1"/>
  <c r="G11" i="13"/>
  <c r="N19" i="14" s="1"/>
  <c r="F11" i="13"/>
  <c r="M19" i="14" s="1"/>
  <c r="G55" i="5"/>
  <c r="F55" i="5"/>
  <c r="DF55" i="5"/>
  <c r="W36" i="11"/>
  <c r="G36" i="11" s="1"/>
  <c r="DE55" i="5"/>
  <c r="DE6" i="5" s="1"/>
  <c r="F36" i="11" l="1"/>
  <c r="W37" i="11"/>
  <c r="F39" i="11" s="1"/>
  <c r="W29" i="10"/>
  <c r="W30" i="10" s="1"/>
  <c r="G37" i="11" l="1"/>
  <c r="F38" i="11"/>
  <c r="F19" i="11"/>
  <c r="F40" i="11"/>
  <c r="G30" i="10"/>
  <c r="F30" i="10"/>
  <c r="G29" i="10"/>
  <c r="W37" i="10"/>
  <c r="F29" i="10"/>
  <c r="F40" i="10" l="1"/>
  <c r="G28" i="14" s="1"/>
  <c r="G37" i="10"/>
  <c r="F38" i="10"/>
  <c r="E28" i="14" s="1"/>
  <c r="F39" i="10"/>
  <c r="F28" i="14" s="1"/>
  <c r="F150" i="15" l="1"/>
  <c r="CL123" i="16"/>
  <c r="BF21" i="16"/>
  <c r="L129" i="16"/>
  <c r="O106" i="16"/>
  <c r="CV77" i="16"/>
  <c r="CK91" i="16"/>
  <c r="V119" i="16"/>
  <c r="O112" i="16"/>
  <c r="AG108" i="16"/>
  <c r="L106" i="16"/>
  <c r="CX110" i="16"/>
  <c r="CN107" i="16"/>
  <c r="CD124" i="16"/>
  <c r="I108" i="16"/>
  <c r="AN119" i="16"/>
  <c r="AD109" i="16"/>
  <c r="CR124" i="16"/>
  <c r="X121" i="16"/>
  <c r="CE96" i="16"/>
  <c r="AQ119" i="16"/>
  <c r="BK21" i="16"/>
  <c r="BC97" i="16"/>
  <c r="CR96" i="16"/>
  <c r="CP95" i="16"/>
  <c r="BE66" i="16"/>
  <c r="H93" i="16"/>
  <c r="AQ96" i="16"/>
  <c r="CP127" i="16"/>
  <c r="CD121" i="16"/>
  <c r="CD108" i="16"/>
  <c r="BD124" i="16"/>
  <c r="BR95" i="16"/>
  <c r="BJ107" i="16"/>
  <c r="X103" i="16"/>
  <c r="BN43" i="16"/>
  <c r="CT92" i="16"/>
  <c r="CP94" i="16"/>
  <c r="DC94" i="16"/>
  <c r="CM119" i="16"/>
  <c r="AY121" i="16"/>
  <c r="AG105" i="16"/>
  <c r="CJ92" i="16"/>
  <c r="DC109" i="16"/>
  <c r="AQ43" i="16"/>
  <c r="AK105" i="16"/>
  <c r="CA101" i="16"/>
  <c r="BI127" i="16"/>
  <c r="AZ97" i="16"/>
  <c r="DA121" i="16"/>
  <c r="BO123" i="16"/>
  <c r="AA119" i="16"/>
  <c r="CJ77" i="16"/>
  <c r="AT77" i="16"/>
  <c r="CX94" i="16"/>
  <c r="CK43" i="16"/>
  <c r="CV94" i="16"/>
  <c r="BO92" i="16"/>
  <c r="J107" i="16"/>
  <c r="I124" i="16"/>
  <c r="BV119" i="16"/>
  <c r="BA109" i="16"/>
  <c r="AK121" i="16"/>
  <c r="AA32" i="16"/>
  <c r="I94" i="16"/>
  <c r="BV124" i="16"/>
  <c r="N106" i="16"/>
  <c r="BX55" i="16"/>
  <c r="BZ108" i="16"/>
  <c r="DC108" i="16"/>
  <c r="CS122" i="16"/>
  <c r="CP98" i="16"/>
  <c r="CH98" i="16"/>
  <c r="BG32" i="16"/>
  <c r="AD91" i="16"/>
  <c r="J129" i="16"/>
  <c r="X110" i="16"/>
  <c r="AV105" i="16"/>
  <c r="J127" i="16"/>
  <c r="BE122" i="16"/>
  <c r="AO127" i="16"/>
  <c r="CP105" i="16"/>
  <c r="O119" i="16"/>
  <c r="CB92" i="16"/>
  <c r="BY127" i="16"/>
  <c r="X94" i="16"/>
  <c r="X108" i="16"/>
  <c r="AG124" i="16"/>
  <c r="CS110" i="16"/>
  <c r="V101" i="16"/>
  <c r="CM96" i="16"/>
  <c r="CH128" i="16"/>
  <c r="AH98" i="16"/>
  <c r="K21" i="14"/>
  <c r="BR102" i="16"/>
  <c r="BX21" i="16"/>
  <c r="CX32" i="16"/>
  <c r="U98" i="16"/>
  <c r="BE97" i="16"/>
  <c r="BE125" i="16"/>
  <c r="CY125" i="16"/>
  <c r="BX120" i="16"/>
  <c r="BI107" i="16"/>
  <c r="P129" i="16"/>
  <c r="AA124" i="16"/>
  <c r="AS97" i="16"/>
  <c r="CE127" i="16"/>
  <c r="CD125" i="16"/>
  <c r="CT90" i="16"/>
  <c r="AY127" i="16"/>
  <c r="Y91" i="16"/>
  <c r="AG128" i="16"/>
  <c r="CP122" i="16"/>
  <c r="BM120" i="16"/>
  <c r="CK93" i="16"/>
  <c r="CF92" i="16"/>
  <c r="AE66" i="16"/>
  <c r="BP108" i="16"/>
  <c r="BG91" i="16"/>
  <c r="H108" i="16"/>
  <c r="AI93" i="16"/>
  <c r="BO55" i="16"/>
  <c r="BF122" i="16"/>
  <c r="BB105" i="16"/>
  <c r="CQ119" i="16"/>
  <c r="BI96" i="16"/>
  <c r="BF99" i="16"/>
  <c r="BG92" i="16"/>
  <c r="BH121" i="16"/>
  <c r="BE90" i="16"/>
  <c r="AF66" i="16"/>
  <c r="CV119" i="16"/>
  <c r="CO122" i="16"/>
  <c r="BP55" i="16"/>
  <c r="AS93" i="16"/>
  <c r="CG108" i="16"/>
  <c r="Y93" i="16"/>
  <c r="AA55" i="16"/>
  <c r="X96" i="16"/>
  <c r="DC107" i="16"/>
  <c r="L128" i="16"/>
  <c r="CC55" i="16"/>
  <c r="AH101" i="16"/>
  <c r="CZ90" i="16"/>
  <c r="CT66" i="16"/>
  <c r="BS127" i="16"/>
  <c r="CN109" i="16"/>
  <c r="P101" i="16"/>
  <c r="BX95" i="16"/>
  <c r="CT77" i="16"/>
  <c r="AG92" i="16"/>
  <c r="AN108" i="16"/>
  <c r="CC103" i="16"/>
  <c r="AF43" i="16"/>
  <c r="AQ97" i="16"/>
  <c r="BE101" i="16"/>
  <c r="CC125" i="16"/>
  <c r="CM122" i="16"/>
  <c r="BN93" i="16"/>
  <c r="CP104" i="16"/>
  <c r="J101" i="16"/>
  <c r="CN125" i="16"/>
  <c r="AM55" i="16"/>
  <c r="AA127" i="16"/>
  <c r="AT99" i="16"/>
  <c r="CK96" i="16"/>
  <c r="U125" i="16"/>
  <c r="M103" i="16"/>
  <c r="AA97" i="16"/>
  <c r="AX108" i="16"/>
  <c r="AE98" i="16"/>
  <c r="Z96" i="16"/>
  <c r="AB110" i="16"/>
  <c r="CU90" i="16"/>
  <c r="AC95" i="16"/>
  <c r="AE106" i="16"/>
  <c r="CT99" i="16"/>
  <c r="CY110" i="16"/>
  <c r="BU110" i="16"/>
  <c r="BJ121" i="16"/>
  <c r="BT102" i="16"/>
  <c r="AI32" i="16"/>
  <c r="CC90" i="16"/>
  <c r="W123" i="16"/>
  <c r="CF108" i="16"/>
  <c r="BS119" i="16"/>
  <c r="CJ105" i="16"/>
  <c r="AR21" i="16"/>
  <c r="AW93" i="16"/>
  <c r="AC93" i="16"/>
  <c r="AT106" i="16"/>
  <c r="BK99" i="16"/>
  <c r="H102" i="16"/>
  <c r="AY103" i="16"/>
  <c r="CC129" i="16"/>
  <c r="AV93" i="16"/>
  <c r="BE110" i="16"/>
  <c r="CO109" i="16"/>
  <c r="CK103" i="16"/>
  <c r="N119" i="16"/>
  <c r="AT122" i="16"/>
  <c r="AD55" i="16"/>
  <c r="CC21" i="16"/>
  <c r="BP94" i="16"/>
  <c r="BC91" i="16"/>
  <c r="CD90" i="16"/>
  <c r="CF107" i="16"/>
  <c r="BX93" i="16"/>
  <c r="O105" i="16"/>
  <c r="BL94" i="16"/>
  <c r="CQ129" i="16"/>
  <c r="CY128" i="16"/>
  <c r="AB99" i="16"/>
  <c r="AN122" i="16"/>
  <c r="BZ96" i="16"/>
  <c r="AQ95" i="16"/>
  <c r="BU120" i="16"/>
  <c r="CR43" i="16"/>
  <c r="AU108" i="16"/>
  <c r="AN91" i="16"/>
  <c r="CU98" i="16"/>
  <c r="T77" i="16"/>
  <c r="CX119" i="16"/>
  <c r="W94" i="16"/>
  <c r="CK90" i="16"/>
  <c r="DB107" i="16"/>
  <c r="CW125" i="16"/>
  <c r="H107" i="16"/>
  <c r="CO32" i="16"/>
  <c r="CY32" i="16"/>
  <c r="BA105" i="16"/>
  <c r="CC97" i="16"/>
  <c r="CP101" i="16"/>
  <c r="R77" i="16"/>
  <c r="BC92" i="16"/>
  <c r="AR110" i="16"/>
  <c r="DB66" i="16"/>
  <c r="K121" i="16"/>
  <c r="N32" i="16"/>
  <c r="DA127" i="16"/>
  <c r="I95" i="16"/>
  <c r="BY96" i="16"/>
  <c r="BV109" i="16"/>
  <c r="CY99" i="16"/>
  <c r="AM101" i="16"/>
  <c r="M107" i="16"/>
  <c r="AJ95" i="16"/>
  <c r="CH122" i="16"/>
  <c r="AI94" i="16"/>
  <c r="P77" i="16"/>
  <c r="BG106" i="16"/>
  <c r="BF107" i="16"/>
  <c r="CX103" i="16"/>
  <c r="AM93" i="16"/>
  <c r="Y106" i="16"/>
  <c r="BL99" i="16"/>
  <c r="T107" i="16"/>
  <c r="BF124" i="16"/>
  <c r="CO43" i="16"/>
  <c r="CQ95" i="16"/>
  <c r="CR94" i="16"/>
  <c r="CL106" i="16"/>
  <c r="BM103" i="16"/>
  <c r="CF123" i="16"/>
  <c r="AW108" i="16"/>
  <c r="CT128" i="16"/>
  <c r="BU97" i="16"/>
  <c r="CA102" i="16"/>
  <c r="CT21" i="16"/>
  <c r="CQ32" i="16"/>
  <c r="CE121" i="16"/>
  <c r="BU124" i="16"/>
  <c r="O101" i="16"/>
  <c r="CO105" i="16"/>
  <c r="AP109" i="16"/>
  <c r="AD108" i="16"/>
  <c r="CM95" i="16"/>
  <c r="Y127" i="16"/>
  <c r="AC91" i="16"/>
  <c r="BG119" i="16"/>
  <c r="DC119" i="16"/>
  <c r="AF108" i="16"/>
  <c r="CQ110" i="16"/>
  <c r="AG96" i="16"/>
  <c r="CR108" i="16"/>
  <c r="K124" i="16"/>
  <c r="CJ99" i="16"/>
  <c r="BJ93" i="16"/>
  <c r="CP77" i="16"/>
  <c r="BT94" i="16"/>
  <c r="CI43" i="16"/>
  <c r="Y32" i="16"/>
  <c r="BZ97" i="16"/>
  <c r="BO77" i="16"/>
  <c r="BC90" i="16"/>
  <c r="AC96" i="16"/>
  <c r="BY119" i="16"/>
  <c r="H119" i="16"/>
  <c r="AF122" i="16"/>
  <c r="BR107" i="16"/>
  <c r="N122" i="16"/>
  <c r="CI95" i="16"/>
  <c r="CI107" i="16"/>
  <c r="K21" i="16"/>
  <c r="AS66" i="16"/>
  <c r="CL77" i="16"/>
  <c r="CK102" i="16"/>
  <c r="CJ96" i="16"/>
  <c r="CB108" i="16"/>
  <c r="CA105" i="16"/>
  <c r="DA120" i="16"/>
  <c r="Y102" i="16"/>
  <c r="T92" i="16"/>
  <c r="AD96" i="16"/>
  <c r="W129" i="16"/>
  <c r="CO97" i="16"/>
  <c r="Y123" i="16"/>
  <c r="BW95" i="16"/>
  <c r="Q119" i="16"/>
  <c r="DB102" i="16"/>
  <c r="AJ21" i="16"/>
  <c r="BK105" i="16"/>
  <c r="CH43" i="16"/>
  <c r="M108" i="16"/>
  <c r="AN97" i="16"/>
  <c r="CU127" i="16"/>
  <c r="I125" i="16"/>
  <c r="BX99" i="16"/>
  <c r="AK95" i="16"/>
  <c r="BR43" i="16"/>
  <c r="L121" i="16"/>
  <c r="CE120" i="16"/>
  <c r="AK43" i="16"/>
  <c r="I123" i="16"/>
  <c r="CX21" i="16"/>
  <c r="CW91" i="16"/>
  <c r="Q129" i="16"/>
  <c r="H109" i="16"/>
  <c r="AQ120" i="16"/>
  <c r="BF105" i="16"/>
  <c r="AT95" i="16"/>
  <c r="BO109" i="16"/>
  <c r="V112" i="15"/>
  <c r="BW125" i="16"/>
  <c r="BD32" i="16"/>
  <c r="CI123" i="16"/>
  <c r="H127" i="16"/>
  <c r="CX129" i="16"/>
  <c r="BP98" i="16"/>
  <c r="CJ120" i="16"/>
  <c r="CX93" i="16"/>
  <c r="DB90" i="16"/>
  <c r="V77" i="16"/>
  <c r="BW91" i="16"/>
  <c r="CA98" i="16"/>
  <c r="AX129" i="16"/>
  <c r="CD96" i="16"/>
  <c r="AV123" i="16"/>
  <c r="P94" i="16"/>
  <c r="CR90" i="16"/>
  <c r="T93" i="16"/>
  <c r="AK122" i="16"/>
  <c r="X91" i="16"/>
  <c r="U66" i="16"/>
  <c r="CG96" i="16"/>
  <c r="CN102" i="16"/>
  <c r="CE94" i="16"/>
  <c r="CV98" i="16"/>
  <c r="CR120" i="16"/>
  <c r="BF101" i="16"/>
  <c r="AU21" i="16"/>
  <c r="CV66" i="16"/>
  <c r="CT98" i="16"/>
  <c r="CG101" i="16"/>
  <c r="CC119" i="16"/>
  <c r="CG97" i="16"/>
  <c r="AW94" i="16"/>
  <c r="AX128" i="16"/>
  <c r="BJ123" i="16"/>
  <c r="BM90" i="16"/>
  <c r="BB124" i="16"/>
  <c r="DA125" i="16"/>
  <c r="AU122" i="16"/>
  <c r="AC128" i="16"/>
  <c r="BW124" i="16"/>
  <c r="V55" i="16"/>
  <c r="CC95" i="16"/>
  <c r="AE32" i="16"/>
  <c r="DC127" i="16"/>
  <c r="CC122" i="16"/>
  <c r="DB129" i="16"/>
  <c r="BQ94" i="16"/>
  <c r="CX66" i="16"/>
  <c r="CI121" i="16"/>
  <c r="CU123" i="16"/>
  <c r="CY102" i="16"/>
  <c r="T122" i="16"/>
  <c r="AY91" i="16"/>
  <c r="BQ43" i="16"/>
  <c r="AE127" i="16"/>
  <c r="S129" i="16"/>
  <c r="I43" i="16"/>
  <c r="DB94" i="16"/>
  <c r="BJ122" i="16"/>
  <c r="CQ66" i="16"/>
  <c r="BR110" i="16"/>
  <c r="V106" i="16"/>
  <c r="CR129" i="16"/>
  <c r="CT103" i="16"/>
  <c r="BC43" i="16"/>
  <c r="AL107" i="16"/>
  <c r="CH93" i="16"/>
  <c r="K122" i="16"/>
  <c r="CP55" i="16"/>
  <c r="BA55" i="16"/>
  <c r="AV66" i="16"/>
  <c r="BG102" i="16"/>
  <c r="T66" i="16"/>
  <c r="BL122" i="16"/>
  <c r="AE125" i="16"/>
  <c r="BV122" i="16"/>
  <c r="AJ124" i="16"/>
  <c r="CY21" i="16"/>
  <c r="AJ120" i="16"/>
  <c r="AO123" i="16"/>
  <c r="P108" i="16"/>
  <c r="Z102" i="16"/>
  <c r="DA95" i="16"/>
  <c r="CQ107" i="16"/>
  <c r="S90" i="16"/>
  <c r="AI129" i="16"/>
  <c r="CI96" i="16"/>
  <c r="BF120" i="16"/>
  <c r="BG77" i="16"/>
  <c r="AG121" i="16"/>
  <c r="CY107" i="16"/>
  <c r="AH66" i="16"/>
  <c r="CQ96" i="16"/>
  <c r="X98" i="16"/>
  <c r="BO108" i="16"/>
  <c r="R92" i="16"/>
  <c r="I77" i="16"/>
  <c r="BD91" i="16"/>
  <c r="CI110" i="16"/>
  <c r="BJ77" i="16"/>
  <c r="AC123" i="16"/>
  <c r="Z108" i="16"/>
  <c r="BR125" i="16"/>
  <c r="CD99" i="16"/>
  <c r="CF102" i="16"/>
  <c r="BD77" i="16"/>
  <c r="CZ43" i="16"/>
  <c r="BR66" i="16"/>
  <c r="BP66" i="16"/>
  <c r="BQ129" i="16"/>
  <c r="CL55" i="16"/>
  <c r="BD43" i="16"/>
  <c r="BC108" i="16"/>
  <c r="CZ96" i="16"/>
  <c r="CC102" i="16"/>
  <c r="AV110" i="16"/>
  <c r="AW32" i="16"/>
  <c r="AA98" i="16"/>
  <c r="BV92" i="16"/>
  <c r="AY105" i="16"/>
  <c r="AZ125" i="16"/>
  <c r="V102" i="16"/>
  <c r="AT90" i="16"/>
  <c r="CL108" i="16"/>
  <c r="L21" i="14"/>
  <c r="BJ120" i="16"/>
  <c r="CR98" i="16"/>
  <c r="CP103" i="16"/>
  <c r="CI91" i="16"/>
  <c r="AO104" i="16"/>
  <c r="AH55" i="16"/>
  <c r="AT93" i="16"/>
  <c r="CS95" i="16"/>
  <c r="BO101" i="16"/>
  <c r="X21" i="16"/>
  <c r="AM99" i="16"/>
  <c r="AI104" i="16"/>
  <c r="V66" i="16"/>
  <c r="AO97" i="16"/>
  <c r="BZ101" i="16"/>
  <c r="CP125" i="16"/>
  <c r="CF110" i="16"/>
  <c r="BZ127" i="16"/>
  <c r="AE97" i="16"/>
  <c r="DB109" i="16"/>
  <c r="CE103" i="16"/>
  <c r="CT96" i="16"/>
  <c r="AR98" i="16"/>
  <c r="BU96" i="16"/>
  <c r="AR99" i="16"/>
  <c r="AL97" i="16"/>
  <c r="CN43" i="16"/>
  <c r="AY32" i="16"/>
  <c r="CD122" i="16"/>
  <c r="BR120" i="16"/>
  <c r="DB43" i="16"/>
  <c r="BS90" i="16"/>
  <c r="BD66" i="16"/>
  <c r="W32" i="16"/>
  <c r="R107" i="16"/>
  <c r="CK108" i="16"/>
  <c r="BP91" i="16"/>
  <c r="CK122" i="16"/>
  <c r="CI129" i="16"/>
  <c r="CK66" i="16"/>
  <c r="BK121" i="16"/>
  <c r="AD124" i="16"/>
  <c r="AR103" i="16"/>
  <c r="CD119" i="16"/>
  <c r="BD90" i="16"/>
  <c r="AG106" i="16"/>
  <c r="BN77" i="16"/>
  <c r="P109" i="16"/>
  <c r="CE101" i="16"/>
  <c r="AS127" i="16"/>
  <c r="AP121" i="16"/>
  <c r="BE121" i="16"/>
  <c r="CV91" i="16"/>
  <c r="BW21" i="16"/>
  <c r="Z105" i="16"/>
  <c r="AI91" i="16"/>
  <c r="AW101" i="16"/>
  <c r="CO98" i="16"/>
  <c r="BN106" i="16"/>
  <c r="CL107" i="16"/>
  <c r="CF125" i="16"/>
  <c r="CT91" i="16"/>
  <c r="AU120" i="16"/>
  <c r="BI95" i="16"/>
  <c r="AA92" i="16"/>
  <c r="CX102" i="16"/>
  <c r="AT103" i="16"/>
  <c r="BI43" i="16"/>
  <c r="AV119" i="16"/>
  <c r="CU92" i="16"/>
  <c r="AH32" i="16"/>
  <c r="J103" i="16"/>
  <c r="AA21" i="16"/>
  <c r="BD98" i="16"/>
  <c r="M92" i="16"/>
  <c r="AM103" i="16"/>
  <c r="BW77" i="16"/>
  <c r="AZ66" i="16"/>
  <c r="BT110" i="16"/>
  <c r="CM125" i="16"/>
  <c r="DA122" i="16"/>
  <c r="AE123" i="16"/>
  <c r="BG124" i="16"/>
  <c r="U96" i="16"/>
  <c r="DA99" i="16"/>
  <c r="CD128" i="16"/>
  <c r="Z99" i="16"/>
  <c r="CN119" i="16"/>
  <c r="BO98" i="16"/>
  <c r="CI94" i="16"/>
  <c r="CJ94" i="16"/>
  <c r="CU55" i="16"/>
  <c r="H105" i="16"/>
  <c r="CY119" i="16"/>
  <c r="J122" i="16"/>
  <c r="CQ125" i="16"/>
  <c r="BF127" i="16"/>
  <c r="AJ99" i="16"/>
  <c r="AX21" i="16"/>
  <c r="BC120" i="16"/>
  <c r="BV125" i="16"/>
  <c r="AN77" i="16"/>
  <c r="CF120" i="16"/>
  <c r="AZ127" i="16"/>
  <c r="CX43" i="16"/>
  <c r="BM99" i="16"/>
  <c r="U99" i="16"/>
  <c r="Q105" i="16"/>
  <c r="BB95" i="16"/>
  <c r="DC98" i="16"/>
  <c r="CR102" i="16"/>
  <c r="U77" i="16"/>
  <c r="CX96" i="16"/>
  <c r="AG93" i="16"/>
  <c r="CK98" i="16"/>
  <c r="CE110" i="16"/>
  <c r="BP90" i="16"/>
  <c r="AX121" i="16"/>
  <c r="AL77" i="16"/>
  <c r="CP66" i="16"/>
  <c r="CS109" i="16"/>
  <c r="BL21" i="16"/>
  <c r="BZ102" i="16"/>
  <c r="CU109" i="16"/>
  <c r="CV109" i="16"/>
  <c r="BU90" i="16"/>
  <c r="AM96" i="16"/>
  <c r="CE55" i="16"/>
  <c r="BE43" i="16"/>
  <c r="BB103" i="16"/>
  <c r="CG102" i="16"/>
  <c r="AL129" i="16"/>
  <c r="CC121" i="16"/>
  <c r="Z125" i="16"/>
  <c r="CX125" i="16"/>
  <c r="BN21" i="16"/>
  <c r="BL127" i="16"/>
  <c r="CB124" i="16"/>
  <c r="BZ121" i="16"/>
  <c r="J21" i="14"/>
  <c r="AZ98" i="16"/>
  <c r="BG105" i="16"/>
  <c r="BA92" i="16"/>
  <c r="BO103" i="16"/>
  <c r="CF104" i="16"/>
  <c r="U101" i="16"/>
  <c r="CW97" i="16"/>
  <c r="AW110" i="16"/>
  <c r="CH90" i="16"/>
  <c r="AL106" i="16"/>
  <c r="M121" i="16"/>
  <c r="BH66" i="16"/>
  <c r="CS127" i="16"/>
  <c r="AX122" i="16"/>
  <c r="CZ122" i="16"/>
  <c r="CC110" i="16"/>
  <c r="CL127" i="16"/>
  <c r="BC96" i="16"/>
  <c r="BM91" i="16"/>
  <c r="CU99" i="16"/>
  <c r="CC104" i="16"/>
  <c r="AO93" i="16"/>
  <c r="Q128" i="16"/>
  <c r="CU106" i="16"/>
  <c r="BN103" i="16"/>
  <c r="BU107" i="16"/>
  <c r="AR106" i="16"/>
  <c r="P106" i="16"/>
  <c r="R90" i="16"/>
  <c r="BP106" i="16"/>
  <c r="AO105" i="16"/>
  <c r="CI127" i="16"/>
  <c r="CH91" i="16"/>
  <c r="CR119" i="16"/>
  <c r="CX97" i="16"/>
  <c r="CK121" i="16"/>
  <c r="AW92" i="16"/>
  <c r="CN103" i="16"/>
  <c r="AZ121" i="16"/>
  <c r="CM90" i="16"/>
  <c r="AE55" i="16"/>
  <c r="CR92" i="16"/>
  <c r="BB127" i="16"/>
  <c r="Q91" i="16"/>
  <c r="N21" i="16"/>
  <c r="X43" i="16"/>
  <c r="AK94" i="16"/>
  <c r="CO123" i="16"/>
  <c r="CH107" i="16"/>
  <c r="N93" i="16"/>
  <c r="AE102" i="16"/>
  <c r="AO109" i="16"/>
  <c r="H96" i="16"/>
  <c r="AO103" i="16"/>
  <c r="DA104" i="16"/>
  <c r="AI92" i="16"/>
  <c r="DC21" i="16"/>
  <c r="CL101" i="16"/>
  <c r="AE99" i="16"/>
  <c r="BP102" i="16"/>
  <c r="AN32" i="16"/>
  <c r="BT99" i="16"/>
  <c r="AV125" i="16"/>
  <c r="K125" i="16"/>
  <c r="P21" i="16"/>
  <c r="Y109" i="16"/>
  <c r="AM97" i="16"/>
  <c r="CS102" i="16"/>
  <c r="BI66" i="16"/>
  <c r="CT127" i="16"/>
  <c r="CR95" i="16"/>
  <c r="I107" i="16"/>
  <c r="CX55" i="16"/>
  <c r="DC128" i="16"/>
  <c r="DA43" i="16"/>
  <c r="BI124" i="16"/>
  <c r="AT123" i="16"/>
  <c r="AW105" i="16"/>
  <c r="CO127" i="16"/>
  <c r="BM98" i="16"/>
  <c r="CU128" i="16"/>
  <c r="CK127" i="16"/>
  <c r="X128" i="16"/>
  <c r="BB107" i="16"/>
  <c r="CW120" i="16"/>
  <c r="BM102" i="16"/>
  <c r="CI125" i="16"/>
  <c r="Y128" i="16"/>
  <c r="BT103" i="16"/>
  <c r="BF43" i="16"/>
  <c r="AJ104" i="16"/>
  <c r="BO93" i="16"/>
  <c r="AV102" i="16"/>
  <c r="AU55" i="16"/>
  <c r="CK99" i="16"/>
  <c r="AF102" i="16"/>
  <c r="DC32" i="16"/>
  <c r="AU43" i="16"/>
  <c r="BF94" i="16"/>
  <c r="U92" i="16"/>
  <c r="S104" i="16"/>
  <c r="BD104" i="16"/>
  <c r="J66" i="16"/>
  <c r="CF99" i="16"/>
  <c r="CI97" i="16"/>
  <c r="AU105" i="16"/>
  <c r="AL94" i="16"/>
  <c r="BR104" i="16"/>
  <c r="I55" i="16"/>
  <c r="BC32" i="16"/>
  <c r="CF32" i="16"/>
  <c r="I120" i="16"/>
  <c r="N128" i="16"/>
  <c r="BK93" i="16"/>
  <c r="DA90" i="16"/>
  <c r="AK125" i="16"/>
  <c r="AE107" i="16"/>
  <c r="AV120" i="16"/>
  <c r="X124" i="16"/>
  <c r="BN119" i="16"/>
  <c r="AO129" i="16"/>
  <c r="BY107" i="16"/>
  <c r="L101" i="16"/>
  <c r="BS104" i="16"/>
  <c r="AS98" i="16"/>
  <c r="AS124" i="16"/>
  <c r="CQ127" i="16"/>
  <c r="U21" i="16"/>
  <c r="CJ32" i="16"/>
  <c r="Q21" i="16"/>
  <c r="BR122" i="16"/>
  <c r="T129" i="16"/>
  <c r="DB77" i="16"/>
  <c r="BS101" i="16"/>
  <c r="CJ110" i="16"/>
  <c r="Q127" i="16"/>
  <c r="CS103" i="16"/>
  <c r="BI128" i="16"/>
  <c r="CR110" i="16"/>
  <c r="AC107" i="16"/>
  <c r="BT108" i="16"/>
  <c r="AA107" i="16"/>
  <c r="BV77" i="16"/>
  <c r="CK110" i="16"/>
  <c r="BZ92" i="16"/>
  <c r="BA91" i="16"/>
  <c r="CR97" i="16"/>
  <c r="CK32" i="16"/>
  <c r="BF129" i="16"/>
  <c r="AC32" i="16"/>
  <c r="CW110" i="16"/>
  <c r="DA98" i="16"/>
  <c r="AQ103" i="16"/>
  <c r="BY121" i="16"/>
  <c r="O123" i="16"/>
  <c r="Z92" i="16"/>
  <c r="AI110" i="16"/>
  <c r="AK108" i="16"/>
  <c r="AG55" i="16"/>
  <c r="CB94" i="16"/>
  <c r="BX129" i="16"/>
  <c r="P112" i="15"/>
  <c r="CT129" i="16"/>
  <c r="AE95" i="16"/>
  <c r="H125" i="16"/>
  <c r="BM127" i="16"/>
  <c r="AJ92" i="16"/>
  <c r="L99" i="16"/>
  <c r="BP109" i="16"/>
  <c r="BF93" i="16"/>
  <c r="U32" i="16"/>
  <c r="BY92" i="16"/>
  <c r="CN128" i="16"/>
  <c r="AX77" i="16"/>
  <c r="AZ109" i="16"/>
  <c r="DA129" i="16"/>
  <c r="CF127" i="16"/>
  <c r="BP110" i="16"/>
  <c r="AD21" i="16"/>
  <c r="CB119" i="16"/>
  <c r="DB108" i="16"/>
  <c r="CS123" i="16"/>
  <c r="BA121" i="16"/>
  <c r="R108" i="16"/>
  <c r="V43" i="16"/>
  <c r="BL119" i="16"/>
  <c r="BO96" i="16"/>
  <c r="BH109" i="16"/>
  <c r="BU122" i="16"/>
  <c r="AV128" i="16"/>
  <c r="AR97" i="16"/>
  <c r="BA66" i="16"/>
  <c r="Q124" i="16"/>
  <c r="AH90" i="16"/>
  <c r="DC110" i="16"/>
  <c r="BT109" i="16"/>
  <c r="L21" i="16"/>
  <c r="AD102" i="16"/>
  <c r="V32" i="16"/>
  <c r="M96" i="16"/>
  <c r="CI128" i="16"/>
  <c r="BP77" i="16"/>
  <c r="S110" i="16"/>
  <c r="AH123" i="16"/>
  <c r="R66" i="16"/>
  <c r="CA106" i="16"/>
  <c r="CS93" i="16"/>
  <c r="AL104" i="16"/>
  <c r="CF128" i="16"/>
  <c r="CQ55" i="16"/>
  <c r="W122" i="16"/>
  <c r="BT120" i="16"/>
  <c r="AP96" i="16"/>
  <c r="AK124" i="16"/>
  <c r="CO125" i="16"/>
  <c r="H128" i="16"/>
  <c r="AC98" i="16"/>
  <c r="AL123" i="16"/>
  <c r="BC123" i="16"/>
  <c r="BJ110" i="16"/>
  <c r="DA110" i="16"/>
  <c r="BX90" i="16"/>
  <c r="DA107" i="16"/>
  <c r="Z94" i="16"/>
  <c r="CH121" i="16"/>
  <c r="W66" i="16"/>
  <c r="AJ129" i="16"/>
  <c r="W110" i="16"/>
  <c r="AI66" i="16"/>
  <c r="CJ103" i="16"/>
  <c r="P103" i="16"/>
  <c r="BI123" i="16"/>
  <c r="CQ123" i="16"/>
  <c r="BH102" i="16"/>
  <c r="AB103" i="16"/>
  <c r="AO95" i="16"/>
  <c r="BB21" i="16"/>
  <c r="BA119" i="16"/>
  <c r="BF108" i="16"/>
  <c r="CF66" i="16"/>
  <c r="O129" i="16"/>
  <c r="K96" i="16"/>
  <c r="AT128" i="16"/>
  <c r="AJ97" i="16"/>
  <c r="W43" i="16"/>
  <c r="BB98" i="16"/>
  <c r="CE108" i="16"/>
  <c r="CC43" i="16"/>
  <c r="CC106" i="16"/>
  <c r="AR101" i="16"/>
  <c r="CI32" i="16"/>
  <c r="AX91" i="16"/>
  <c r="Z101" i="16"/>
  <c r="CB77" i="16"/>
  <c r="AU106" i="16"/>
  <c r="AD99" i="16"/>
  <c r="AE121" i="16"/>
  <c r="AG99" i="16"/>
  <c r="BJ109" i="16"/>
  <c r="AZ94" i="16"/>
  <c r="AT105" i="16"/>
  <c r="S98" i="16"/>
  <c r="AK127" i="16"/>
  <c r="DA128" i="16"/>
  <c r="AF105" i="16"/>
  <c r="CM106" i="16"/>
  <c r="AW107" i="16"/>
  <c r="BX102" i="16"/>
  <c r="BZ93" i="16"/>
  <c r="T94" i="16"/>
  <c r="BC95" i="16"/>
  <c r="BE108" i="16"/>
  <c r="H66" i="16"/>
  <c r="DC99" i="16"/>
  <c r="W128" i="16"/>
  <c r="BM96" i="16"/>
  <c r="J110" i="16"/>
  <c r="AK103" i="16"/>
  <c r="CU108" i="16"/>
  <c r="CH92" i="16"/>
  <c r="BE119" i="16"/>
  <c r="AG21" i="16"/>
  <c r="BL43" i="16"/>
  <c r="J21" i="16"/>
  <c r="CY96" i="16"/>
  <c r="AW121" i="16"/>
  <c r="AK93" i="16"/>
  <c r="AQ101" i="16"/>
  <c r="CL119" i="16"/>
  <c r="AY90" i="16"/>
  <c r="BA103" i="16"/>
  <c r="R127" i="16"/>
  <c r="U110" i="16"/>
  <c r="CF109" i="16"/>
  <c r="DB119" i="16"/>
  <c r="CZ120" i="16"/>
  <c r="AC108" i="16"/>
  <c r="AB105" i="16"/>
  <c r="I109" i="16"/>
  <c r="BG94" i="16"/>
  <c r="X122" i="16"/>
  <c r="BC93" i="16"/>
  <c r="CO55" i="16"/>
  <c r="AY108" i="16"/>
  <c r="AQ99" i="16"/>
  <c r="CM103" i="16"/>
  <c r="BY91" i="16"/>
  <c r="N95" i="16"/>
  <c r="CL43" i="16"/>
  <c r="Q104" i="16"/>
  <c r="AT43" i="16"/>
  <c r="AA95" i="16"/>
  <c r="BQ96" i="16"/>
  <c r="BD121" i="16"/>
  <c r="J90" i="16"/>
  <c r="BL66" i="16"/>
  <c r="T121" i="16"/>
  <c r="BK55" i="16"/>
  <c r="BS103" i="16"/>
  <c r="BH95" i="16"/>
  <c r="BX77" i="16"/>
  <c r="BA123" i="16"/>
  <c r="BB97" i="16"/>
  <c r="CJ21" i="16"/>
  <c r="AR107" i="16"/>
  <c r="CD110" i="16"/>
  <c r="BF55" i="16"/>
  <c r="K97" i="16"/>
  <c r="CS96" i="16"/>
  <c r="BT93" i="16"/>
  <c r="CH101" i="16"/>
  <c r="CX101" i="16"/>
  <c r="AS125" i="16"/>
  <c r="BL102" i="16"/>
  <c r="CP96" i="16"/>
  <c r="DA105" i="16"/>
  <c r="DB91" i="16"/>
  <c r="AL91" i="16"/>
  <c r="CZ124" i="16"/>
  <c r="AA110" i="16"/>
  <c r="AH121" i="16"/>
  <c r="AL66" i="16"/>
  <c r="CZ99" i="16"/>
  <c r="U127" i="16"/>
  <c r="AU127" i="16"/>
  <c r="CG105" i="16"/>
  <c r="Z127" i="16"/>
  <c r="DC93" i="16"/>
  <c r="AW102" i="16"/>
  <c r="CB109" i="16"/>
  <c r="AZ90" i="16"/>
  <c r="BJ97" i="16"/>
  <c r="AS94" i="16"/>
  <c r="CR107" i="16"/>
  <c r="CE102" i="16"/>
  <c r="AZ103" i="16"/>
  <c r="AH43" i="16"/>
  <c r="CM99" i="16"/>
  <c r="AM108" i="16"/>
  <c r="BT105" i="16"/>
  <c r="BR99" i="16"/>
  <c r="W104" i="16"/>
  <c r="AW55" i="16"/>
  <c r="BL106" i="16"/>
  <c r="BP124" i="16"/>
  <c r="CB97" i="16"/>
  <c r="CN55" i="16"/>
  <c r="CJ66" i="16"/>
  <c r="BO32" i="16"/>
  <c r="H94" i="16"/>
  <c r="BL123" i="16"/>
  <c r="AF106" i="16"/>
  <c r="W95" i="16"/>
  <c r="CM102" i="16"/>
  <c r="CA93" i="16"/>
  <c r="CH103" i="16"/>
  <c r="AW124" i="16"/>
  <c r="O55" i="16"/>
  <c r="CT125" i="16"/>
  <c r="CD95" i="16"/>
  <c r="CS120" i="16"/>
  <c r="CW119" i="16"/>
  <c r="K99" i="16"/>
  <c r="AT121" i="16"/>
  <c r="AW120" i="16"/>
  <c r="CC98" i="16"/>
  <c r="BP103" i="16"/>
  <c r="BR128" i="16"/>
  <c r="AU129" i="16"/>
  <c r="BP95" i="16"/>
  <c r="BE94" i="16"/>
  <c r="CY90" i="16"/>
  <c r="R94" i="16"/>
  <c r="AZ128" i="16"/>
  <c r="BQ109" i="16"/>
  <c r="P102" i="16"/>
  <c r="CY95" i="16"/>
  <c r="CL129" i="16"/>
  <c r="AL122" i="16"/>
  <c r="CE93" i="16"/>
  <c r="CT105" i="16"/>
  <c r="Q110" i="16"/>
  <c r="AI101" i="16"/>
  <c r="AN94" i="16"/>
  <c r="AH128" i="16"/>
  <c r="L98" i="16"/>
  <c r="X32" i="16"/>
  <c r="CV108" i="16"/>
  <c r="CC92" i="16"/>
  <c r="CS125" i="16"/>
  <c r="CE32" i="16"/>
  <c r="BZ109" i="16"/>
  <c r="BY21" i="16"/>
  <c r="AU102" i="16"/>
  <c r="AN93" i="16"/>
  <c r="BF102" i="16"/>
  <c r="CT93" i="16"/>
  <c r="BB94" i="16"/>
  <c r="AT108" i="16"/>
  <c r="H32" i="16"/>
  <c r="CT94" i="16"/>
  <c r="CB21" i="16"/>
  <c r="CW108" i="16"/>
  <c r="AJ91" i="16"/>
  <c r="H97" i="16"/>
  <c r="U105" i="16"/>
  <c r="AX93" i="16"/>
  <c r="BW97" i="16"/>
  <c r="DA77" i="16"/>
  <c r="AL108" i="16"/>
  <c r="CR99" i="16"/>
  <c r="BD128" i="16"/>
  <c r="H120" i="16"/>
  <c r="CS99" i="16"/>
  <c r="BZ95" i="16"/>
  <c r="AC97" i="16"/>
  <c r="R101" i="16"/>
  <c r="AO122" i="16"/>
  <c r="BA32" i="16"/>
  <c r="BR121" i="16"/>
  <c r="AJ106" i="16"/>
  <c r="AR43" i="16"/>
  <c r="O107" i="16"/>
  <c r="AT94" i="16"/>
  <c r="CI93" i="16"/>
  <c r="CN66" i="16"/>
  <c r="CE109" i="16"/>
  <c r="BX105" i="16"/>
  <c r="CE128" i="16"/>
  <c r="AC110" i="16"/>
  <c r="CU102" i="16"/>
  <c r="CJ127" i="16"/>
  <c r="AI124" i="16"/>
  <c r="AW123" i="16"/>
  <c r="BZ98" i="16"/>
  <c r="I119" i="16"/>
  <c r="BP107" i="16"/>
  <c r="CN106" i="16"/>
  <c r="BM21" i="16"/>
  <c r="I129" i="16"/>
  <c r="Q108" i="16"/>
  <c r="BY124" i="16"/>
  <c r="CD32" i="16"/>
  <c r="S124" i="16"/>
  <c r="CJ102" i="16"/>
  <c r="BO66" i="16"/>
  <c r="BE92" i="16"/>
  <c r="M125" i="16"/>
  <c r="S119" i="16"/>
  <c r="AW104" i="16"/>
  <c r="T106" i="16"/>
  <c r="CI90" i="16"/>
  <c r="AR109" i="16"/>
  <c r="Z93" i="16"/>
  <c r="CA122" i="16"/>
  <c r="BV21" i="16"/>
  <c r="Y124" i="16"/>
  <c r="AP43" i="16"/>
  <c r="J92" i="16"/>
  <c r="CS55" i="16"/>
  <c r="BW127" i="16"/>
  <c r="BL77" i="16"/>
  <c r="BV99" i="16"/>
  <c r="T98" i="16"/>
  <c r="AQ90" i="16"/>
  <c r="CB106" i="16"/>
  <c r="Y105" i="16"/>
  <c r="BB55" i="16"/>
  <c r="BC105" i="16"/>
  <c r="X129" i="16"/>
  <c r="BZ110" i="16"/>
  <c r="BQ32" i="16"/>
  <c r="CV90" i="16"/>
  <c r="BY102" i="16"/>
  <c r="AV95" i="16"/>
  <c r="CG93" i="16"/>
  <c r="O92" i="16"/>
  <c r="CI105" i="16"/>
  <c r="T101" i="16"/>
  <c r="AC102" i="16"/>
  <c r="BM92" i="16"/>
  <c r="I105" i="16"/>
  <c r="Z122" i="16"/>
  <c r="AQ124" i="16"/>
  <c r="BT97" i="16"/>
  <c r="BY101" i="16"/>
  <c r="BH122" i="16"/>
  <c r="AF120" i="16"/>
  <c r="DC103" i="16"/>
  <c r="AN55" i="16"/>
  <c r="AX92" i="16"/>
  <c r="V122" i="16"/>
  <c r="BS122" i="16"/>
  <c r="AM77" i="16"/>
  <c r="AU101" i="16"/>
  <c r="L123" i="16"/>
  <c r="AO120" i="16"/>
  <c r="AI122" i="16"/>
  <c r="CU32" i="16"/>
  <c r="AB121" i="16"/>
  <c r="BF106" i="16"/>
  <c r="CG92" i="16"/>
  <c r="J43" i="16"/>
  <c r="CW129" i="16"/>
  <c r="AP91" i="16"/>
  <c r="BA128" i="16"/>
  <c r="CR32" i="16"/>
  <c r="CH94" i="16"/>
  <c r="CZ104" i="16"/>
  <c r="CW94" i="16"/>
  <c r="Q99" i="16"/>
  <c r="CE105" i="16"/>
  <c r="Q96" i="16"/>
  <c r="AM32" i="16"/>
  <c r="AF32" i="16"/>
  <c r="BH43" i="16"/>
  <c r="AX119" i="16"/>
  <c r="BV32" i="16"/>
  <c r="CO91" i="16"/>
  <c r="AP129" i="16"/>
  <c r="DC106" i="16"/>
  <c r="CA96" i="16"/>
  <c r="BQ95" i="16"/>
  <c r="BH129" i="16"/>
  <c r="AF119" i="16"/>
  <c r="M98" i="16"/>
  <c r="CY108" i="16"/>
  <c r="BJ55" i="16"/>
  <c r="AE108" i="16"/>
  <c r="AJ94" i="16"/>
  <c r="BV121" i="16"/>
  <c r="Z110" i="16"/>
  <c r="AQ109" i="16"/>
  <c r="BR103" i="16"/>
  <c r="CV55" i="16"/>
  <c r="R32" i="16"/>
  <c r="BX108" i="16"/>
  <c r="AX99" i="16"/>
  <c r="H123" i="16"/>
  <c r="BA129" i="16"/>
  <c r="BV108" i="16"/>
  <c r="BT91" i="16"/>
  <c r="BD129" i="16"/>
  <c r="BY55" i="16"/>
  <c r="CW104" i="16"/>
  <c r="W105" i="16"/>
  <c r="AR93" i="16"/>
  <c r="CL99" i="16"/>
  <c r="CX95" i="16"/>
  <c r="CH55" i="16"/>
  <c r="K32" i="16"/>
  <c r="CV128" i="16"/>
  <c r="K93" i="16"/>
  <c r="BG129" i="16"/>
  <c r="H43" i="16"/>
  <c r="H91" i="16"/>
  <c r="J123" i="16"/>
  <c r="BT129" i="16"/>
  <c r="K66" i="16"/>
  <c r="AP103" i="16"/>
  <c r="BG99" i="16"/>
  <c r="AT120" i="16"/>
  <c r="K105" i="16"/>
  <c r="W55" i="16"/>
  <c r="CE92" i="16"/>
  <c r="CB120" i="16"/>
  <c r="CZ125" i="16"/>
  <c r="BM110" i="16"/>
  <c r="CN98" i="16"/>
  <c r="AU119" i="16"/>
  <c r="AM109" i="16"/>
  <c r="BK108" i="16"/>
  <c r="AM124" i="16"/>
  <c r="BI32" i="16"/>
  <c r="BC107" i="16"/>
  <c r="L105" i="16"/>
  <c r="N103" i="16"/>
  <c r="T110" i="16"/>
  <c r="R112" i="15"/>
  <c r="CH95" i="16"/>
  <c r="CW109" i="16"/>
  <c r="U112" i="16"/>
  <c r="AE110" i="16"/>
  <c r="CG66" i="16"/>
  <c r="Y92" i="16"/>
  <c r="CM94" i="16"/>
  <c r="BN66" i="16"/>
  <c r="I21" i="14"/>
  <c r="CU94" i="16"/>
  <c r="BP93" i="16"/>
  <c r="CO103" i="16"/>
  <c r="BU77" i="16"/>
  <c r="AL102" i="16"/>
  <c r="CZ102" i="16"/>
  <c r="BY97" i="16"/>
  <c r="AL119" i="16"/>
  <c r="CE129" i="16"/>
  <c r="BI92" i="16"/>
  <c r="W21" i="16"/>
  <c r="BH96" i="16"/>
  <c r="CD43" i="16"/>
  <c r="BV106" i="16"/>
  <c r="AM106" i="16"/>
  <c r="BX98" i="16"/>
  <c r="AC77" i="16"/>
  <c r="BW55" i="16"/>
  <c r="CS101" i="16"/>
  <c r="T97" i="16"/>
  <c r="AO98" i="16"/>
  <c r="DB105" i="16"/>
  <c r="BG90" i="16"/>
  <c r="AL101" i="16"/>
  <c r="BN123" i="16"/>
  <c r="N98" i="16"/>
  <c r="BX106" i="16"/>
  <c r="BU99" i="16"/>
  <c r="BF66" i="16"/>
  <c r="BT121" i="16"/>
  <c r="CG123" i="16"/>
  <c r="AP97" i="16"/>
  <c r="BD123" i="16"/>
  <c r="Y125" i="16"/>
  <c r="BW102" i="16"/>
  <c r="BG95" i="16"/>
  <c r="K119" i="16"/>
  <c r="BZ125" i="16"/>
  <c r="AH91" i="16"/>
  <c r="CH109" i="16"/>
  <c r="AG66" i="16"/>
  <c r="AO119" i="16"/>
  <c r="Z91" i="16"/>
  <c r="AM128" i="16"/>
  <c r="BR101" i="16"/>
  <c r="H101" i="16"/>
  <c r="CY103" i="16"/>
  <c r="AY77" i="16"/>
  <c r="BC94" i="16"/>
  <c r="BN98" i="16"/>
  <c r="CE124" i="16"/>
  <c r="AW77" i="16"/>
  <c r="AJ122" i="16"/>
  <c r="CP108" i="16"/>
  <c r="AR96" i="16"/>
  <c r="CL97" i="16"/>
  <c r="CI55" i="16"/>
  <c r="BZ120" i="16"/>
  <c r="AR127" i="16"/>
  <c r="CL94" i="16"/>
  <c r="CD120" i="16"/>
  <c r="BG125" i="16"/>
  <c r="BF123" i="16"/>
  <c r="AL105" i="16"/>
  <c r="BP21" i="16"/>
  <c r="CT32" i="16"/>
  <c r="BW90" i="16"/>
  <c r="X127" i="16"/>
  <c r="BC125" i="16"/>
  <c r="AE104" i="16"/>
  <c r="CA120" i="16"/>
  <c r="BF92" i="16"/>
  <c r="AM119" i="16"/>
  <c r="AF98" i="16"/>
  <c r="AY99" i="16"/>
  <c r="S109" i="16"/>
  <c r="AQ110" i="16"/>
  <c r="BK102" i="16"/>
  <c r="CM66" i="16"/>
  <c r="CY121" i="16"/>
  <c r="L125" i="16"/>
  <c r="BJ119" i="16"/>
  <c r="AE103" i="16"/>
  <c r="DB127" i="16"/>
  <c r="DA109" i="16"/>
  <c r="L93" i="16"/>
  <c r="BV43" i="16"/>
  <c r="BM95" i="16"/>
  <c r="AH120" i="16"/>
  <c r="AN92" i="16"/>
  <c r="P125" i="16"/>
  <c r="CC120" i="16"/>
  <c r="AQ91" i="16"/>
  <c r="H90" i="16"/>
  <c r="AS120" i="16"/>
  <c r="BY95" i="16"/>
  <c r="V121" i="16"/>
  <c r="CU95" i="16"/>
  <c r="BI101" i="16"/>
  <c r="AP104" i="16"/>
  <c r="BP123" i="16"/>
  <c r="BS94" i="16"/>
  <c r="BW101" i="16"/>
  <c r="BJ108" i="16"/>
  <c r="AV92" i="16"/>
  <c r="AW98" i="16"/>
  <c r="BQ92" i="16"/>
  <c r="BB91" i="16"/>
  <c r="DB106" i="16"/>
  <c r="BX121" i="16"/>
  <c r="AH109" i="16"/>
  <c r="BS129" i="16"/>
  <c r="N77" i="16"/>
  <c r="BB108" i="16"/>
  <c r="Z103" i="16"/>
  <c r="BE107" i="16"/>
  <c r="DA108" i="16"/>
  <c r="W103" i="16"/>
  <c r="CG127" i="16"/>
  <c r="BP119" i="16"/>
  <c r="M93" i="16"/>
  <c r="AO55" i="16"/>
  <c r="CS106" i="16"/>
  <c r="CN108" i="16"/>
  <c r="CI101" i="16"/>
  <c r="BA107" i="16"/>
  <c r="AC105" i="16"/>
  <c r="AX90" i="16"/>
  <c r="CP92" i="16"/>
  <c r="K117" i="14"/>
  <c r="M94" i="16"/>
  <c r="BY94" i="16"/>
  <c r="AN125" i="16"/>
  <c r="AX32" i="16"/>
  <c r="CY129" i="16"/>
  <c r="BR98" i="16"/>
  <c r="AX105" i="16"/>
  <c r="BL96" i="16"/>
  <c r="Z90" i="16"/>
  <c r="L96" i="16"/>
  <c r="BS96" i="16"/>
  <c r="AV108" i="16"/>
  <c r="CK129" i="16"/>
  <c r="U97" i="16"/>
  <c r="CW43" i="16"/>
  <c r="AW96" i="16"/>
  <c r="BQ104" i="16"/>
  <c r="BX92" i="16"/>
  <c r="BB93" i="16"/>
  <c r="CG109" i="16"/>
  <c r="BZ90" i="16"/>
  <c r="U122" i="16"/>
  <c r="AV21" i="16"/>
  <c r="O21" i="16"/>
  <c r="BC129" i="16"/>
  <c r="T112" i="16"/>
  <c r="V97" i="16"/>
  <c r="AZ55" i="16"/>
  <c r="BQ90" i="16"/>
  <c r="CX109" i="16"/>
  <c r="K129" i="16"/>
  <c r="AA43" i="16"/>
  <c r="BT90" i="16"/>
  <c r="S94" i="16"/>
  <c r="AQ107" i="16"/>
  <c r="AY55" i="16"/>
  <c r="AP125" i="16"/>
  <c r="AH94" i="16"/>
  <c r="BD107" i="16"/>
  <c r="CT97" i="16"/>
  <c r="BK91" i="16"/>
  <c r="AF90" i="16"/>
  <c r="AU32" i="16"/>
  <c r="N90" i="16"/>
  <c r="O112" i="15"/>
  <c r="I66" i="16"/>
  <c r="BH128" i="16"/>
  <c r="BV107" i="16"/>
  <c r="AX127" i="16"/>
  <c r="CC93" i="16"/>
  <c r="CQ93" i="16"/>
  <c r="AW97" i="16"/>
  <c r="BQ77" i="16"/>
  <c r="CH129" i="16"/>
  <c r="CT101" i="16"/>
  <c r="P43" i="16"/>
  <c r="U103" i="16"/>
  <c r="CR106" i="16"/>
  <c r="BW92" i="16"/>
  <c r="CD93" i="16"/>
  <c r="CD66" i="16"/>
  <c r="CB123" i="16"/>
  <c r="AK123" i="16"/>
  <c r="BI108" i="16"/>
  <c r="BN97" i="16"/>
  <c r="CA91" i="16"/>
  <c r="CS66" i="16"/>
  <c r="CE107" i="16"/>
  <c r="AZ124" i="16"/>
  <c r="AP105" i="16"/>
  <c r="AL32" i="16"/>
  <c r="BX110" i="16"/>
  <c r="K92" i="16"/>
  <c r="CF94" i="16"/>
  <c r="CW21" i="16"/>
  <c r="BA110" i="16"/>
  <c r="AU110" i="16"/>
  <c r="R124" i="16"/>
  <c r="BN108" i="16"/>
  <c r="AZ43" i="16"/>
  <c r="AR128" i="16"/>
  <c r="AQ105" i="16"/>
  <c r="BO90" i="16"/>
  <c r="CF105" i="16"/>
  <c r="J124" i="16"/>
  <c r="DC125" i="16"/>
  <c r="CZ109" i="16"/>
  <c r="AB91" i="16"/>
  <c r="V92" i="16"/>
  <c r="BA106" i="16"/>
  <c r="CG106" i="16"/>
  <c r="CB127" i="16"/>
  <c r="AW128" i="16"/>
  <c r="AG127" i="16"/>
  <c r="BQ106" i="16"/>
  <c r="AP95" i="16"/>
  <c r="CA121" i="16"/>
  <c r="AF123" i="16"/>
  <c r="Z98" i="16"/>
  <c r="CD109" i="16"/>
  <c r="AD120" i="16"/>
  <c r="BY32" i="16"/>
  <c r="V108" i="16"/>
  <c r="CW127" i="16"/>
  <c r="BW96" i="16"/>
  <c r="BP129" i="16"/>
  <c r="O110" i="16"/>
  <c r="BX124" i="16"/>
  <c r="I122" i="16"/>
  <c r="AG119" i="16"/>
  <c r="AF129" i="16"/>
  <c r="CS32" i="16"/>
  <c r="AG104" i="16"/>
  <c r="CT43" i="16"/>
  <c r="BP128" i="16"/>
  <c r="CH96" i="16"/>
  <c r="BT123" i="16"/>
  <c r="BB120" i="16"/>
  <c r="CM105" i="16"/>
  <c r="CM129" i="16"/>
  <c r="BE21" i="16"/>
  <c r="BS91" i="16"/>
  <c r="I110" i="16"/>
  <c r="T55" i="16"/>
  <c r="T103" i="16"/>
  <c r="CT55" i="16"/>
  <c r="CJ124" i="16"/>
  <c r="AX101" i="16"/>
  <c r="CU110" i="16"/>
  <c r="CZ110" i="16"/>
  <c r="CT106" i="16"/>
  <c r="CY97" i="16"/>
  <c r="AM21" i="16"/>
  <c r="BA77" i="16"/>
  <c r="CG94" i="16"/>
  <c r="CJ106" i="16"/>
  <c r="BZ124" i="16"/>
  <c r="BN125" i="16"/>
  <c r="AB124" i="16"/>
  <c r="CE125" i="16"/>
  <c r="CY105" i="16"/>
  <c r="BE129" i="16"/>
  <c r="CL102" i="16"/>
  <c r="CJ104" i="16"/>
  <c r="AK55" i="16"/>
  <c r="BU32" i="16"/>
  <c r="CY109" i="16"/>
  <c r="BV66" i="16"/>
  <c r="CB32" i="16"/>
  <c r="CV107" i="16"/>
  <c r="CN21" i="16"/>
  <c r="BK124" i="16"/>
  <c r="BH93" i="16"/>
  <c r="AX123" i="16"/>
  <c r="CM124" i="16"/>
  <c r="CQ77" i="16"/>
  <c r="CM120" i="16"/>
  <c r="K104" i="16"/>
  <c r="BB122" i="16"/>
  <c r="U112" i="15"/>
  <c r="AI128" i="16"/>
  <c r="CS104" i="16"/>
  <c r="AN90" i="16"/>
  <c r="BV127" i="16"/>
  <c r="V105" i="16"/>
  <c r="CB95" i="16"/>
  <c r="AB107" i="16"/>
  <c r="CM108" i="16"/>
  <c r="CY93" i="16"/>
  <c r="CN94" i="16"/>
  <c r="AY107" i="16"/>
  <c r="W90" i="16"/>
  <c r="BS32" i="16"/>
  <c r="CU125" i="16"/>
  <c r="CT108" i="16"/>
  <c r="BQ125" i="16"/>
  <c r="AO43" i="16"/>
  <c r="BV94" i="16"/>
  <c r="CH97" i="16"/>
  <c r="CV92" i="16"/>
  <c r="AT97" i="16"/>
  <c r="BZ123" i="16"/>
  <c r="V117" i="14"/>
  <c r="BD55" i="16"/>
  <c r="BO95" i="16"/>
  <c r="BL124" i="16"/>
  <c r="J117" i="14"/>
  <c r="AY124" i="16"/>
  <c r="AX125" i="16"/>
  <c r="BZ129" i="16"/>
  <c r="CO110" i="16"/>
  <c r="BJ92" i="16"/>
  <c r="AN121" i="16"/>
  <c r="L108" i="16"/>
  <c r="BM97" i="16"/>
  <c r="CM107" i="16"/>
  <c r="CM91" i="16"/>
  <c r="CO119" i="16"/>
  <c r="V127" i="16"/>
  <c r="BR109" i="16"/>
  <c r="BJ125" i="16"/>
  <c r="O127" i="16"/>
  <c r="AV109" i="16"/>
  <c r="BT98" i="16"/>
  <c r="X95" i="16"/>
  <c r="CZ95" i="16"/>
  <c r="BM109" i="16"/>
  <c r="AI77" i="16"/>
  <c r="BK95" i="16"/>
  <c r="BK125" i="16"/>
  <c r="BL128" i="16"/>
  <c r="DC92" i="16"/>
  <c r="CB129" i="16"/>
  <c r="BB119" i="16"/>
  <c r="CA119" i="16"/>
  <c r="R110" i="16"/>
  <c r="BY104" i="16"/>
  <c r="CN97" i="16"/>
  <c r="AW106" i="16"/>
  <c r="BQ21" i="16"/>
  <c r="CW107" i="16"/>
  <c r="CU77" i="16"/>
  <c r="AG97" i="16"/>
  <c r="AG90" i="16"/>
  <c r="M119" i="16"/>
  <c r="T96" i="16"/>
  <c r="AR66" i="16"/>
  <c r="J102" i="16"/>
  <c r="AH97" i="16"/>
  <c r="BW109" i="16"/>
  <c r="AS77" i="16"/>
  <c r="BI120" i="16"/>
  <c r="DC122" i="16"/>
  <c r="CT102" i="16"/>
  <c r="CI119" i="16"/>
  <c r="Q92" i="16"/>
  <c r="BC127" i="16"/>
  <c r="AK96" i="16"/>
  <c r="CU66" i="16"/>
  <c r="I99" i="16"/>
  <c r="BG93" i="16"/>
  <c r="AP108" i="16"/>
  <c r="CI99" i="16"/>
  <c r="AA90" i="16"/>
  <c r="K107" i="16"/>
  <c r="AV96" i="16"/>
  <c r="V109" i="16"/>
  <c r="AY95" i="16"/>
  <c r="AG107" i="16"/>
  <c r="AV98" i="16"/>
  <c r="BO127" i="16"/>
  <c r="L107" i="16"/>
  <c r="DA102" i="16"/>
  <c r="N107" i="16"/>
  <c r="AK32" i="16"/>
  <c r="I106" i="16"/>
  <c r="Y129" i="16"/>
  <c r="CC109" i="16"/>
  <c r="AN96" i="16"/>
  <c r="AC119" i="16"/>
  <c r="CB101" i="16"/>
  <c r="CY55" i="16"/>
  <c r="AZ108" i="16"/>
  <c r="CR121" i="16"/>
  <c r="CQ97" i="16"/>
  <c r="CS43" i="16"/>
  <c r="BL101" i="16"/>
  <c r="AS119" i="16"/>
  <c r="X105" i="16"/>
  <c r="Z128" i="16"/>
  <c r="DC97" i="16"/>
  <c r="CY122" i="16"/>
  <c r="AN95" i="16"/>
  <c r="CD101" i="16"/>
  <c r="J99" i="16"/>
  <c r="CC107" i="16"/>
  <c r="DB95" i="16"/>
  <c r="AD32" i="16"/>
  <c r="AX55" i="16"/>
  <c r="CJ129" i="16"/>
  <c r="AA108" i="16"/>
  <c r="U106" i="16"/>
  <c r="BK66" i="16"/>
  <c r="BO125" i="16"/>
  <c r="BI103" i="16"/>
  <c r="CA94" i="16"/>
  <c r="CX105" i="16"/>
  <c r="CS91" i="16"/>
  <c r="W107" i="16"/>
  <c r="BA93" i="16"/>
  <c r="U123" i="16"/>
  <c r="I21" i="16"/>
  <c r="CW92" i="16"/>
  <c r="S92" i="16"/>
  <c r="BG97" i="16"/>
  <c r="CP123" i="16"/>
  <c r="CR104" i="16"/>
  <c r="AW99" i="16"/>
  <c r="BR90" i="16"/>
  <c r="BT32" i="16"/>
  <c r="BK101" i="16"/>
  <c r="P92" i="16"/>
  <c r="DC101" i="16"/>
  <c r="BX119" i="16"/>
  <c r="CW96" i="16"/>
  <c r="AT127" i="16"/>
  <c r="AQ55" i="16"/>
  <c r="S99" i="16"/>
  <c r="Y97" i="16"/>
  <c r="BB109" i="16"/>
  <c r="BL97" i="16"/>
  <c r="CH119" i="16"/>
  <c r="K95" i="16"/>
  <c r="AM91" i="16"/>
  <c r="CV21" i="16"/>
  <c r="J97" i="16"/>
  <c r="AU97" i="16"/>
  <c r="DC96" i="16"/>
  <c r="CZ121" i="16"/>
  <c r="BH21" i="16"/>
  <c r="AL103" i="16"/>
  <c r="BN91" i="16"/>
  <c r="U121" i="16"/>
  <c r="O104" i="16"/>
  <c r="BO107" i="16"/>
  <c r="T119" i="16"/>
  <c r="AU121" i="16"/>
  <c r="AY129" i="16"/>
  <c r="AZ96" i="16"/>
  <c r="BN122" i="16"/>
  <c r="V99" i="16"/>
  <c r="O90" i="16"/>
  <c r="AJ77" i="16"/>
  <c r="CA107" i="16"/>
  <c r="CA77" i="16"/>
  <c r="CM101" i="16"/>
  <c r="CI120" i="16"/>
  <c r="AK66" i="16"/>
  <c r="CE104" i="16"/>
  <c r="CV121" i="16"/>
  <c r="BL103" i="16"/>
  <c r="AL121" i="16"/>
  <c r="AJ96" i="16"/>
  <c r="AN104" i="16"/>
  <c r="BM77" i="16"/>
  <c r="CQ109" i="16"/>
  <c r="AI90" i="16"/>
  <c r="BV91" i="16"/>
  <c r="AM120" i="16"/>
  <c r="CO95" i="16"/>
  <c r="AN105" i="16"/>
  <c r="CD103" i="16"/>
  <c r="BA90" i="16"/>
  <c r="M123" i="16"/>
  <c r="N102" i="16"/>
  <c r="BV105" i="16"/>
  <c r="AY120" i="16"/>
  <c r="CA104" i="16"/>
  <c r="N108" i="16"/>
  <c r="CF124" i="16"/>
  <c r="CV101" i="16"/>
  <c r="BK77" i="16"/>
  <c r="AA101" i="16"/>
  <c r="CR128" i="16"/>
  <c r="AV90" i="16"/>
  <c r="AG101" i="16"/>
  <c r="BP104" i="16"/>
  <c r="CB105" i="16"/>
  <c r="BZ104" i="16"/>
  <c r="CZ93" i="16"/>
  <c r="BY106" i="16"/>
  <c r="CF103" i="16"/>
  <c r="AO32" i="16"/>
  <c r="BT122" i="16"/>
  <c r="M32" i="16"/>
  <c r="J128" i="16"/>
  <c r="R105" i="16"/>
  <c r="AR95" i="16"/>
  <c r="AY110" i="16"/>
  <c r="CQ98" i="16"/>
  <c r="CY123" i="16"/>
  <c r="AG98" i="16"/>
  <c r="BO97" i="16"/>
  <c r="BP92" i="16"/>
  <c r="BS108" i="16"/>
  <c r="DC123" i="16"/>
  <c r="AS103" i="16"/>
  <c r="AL90" i="16"/>
  <c r="AA91" i="16"/>
  <c r="BR129" i="16"/>
  <c r="BK94" i="16"/>
  <c r="I102" i="16"/>
  <c r="CM92" i="16"/>
  <c r="BQ122" i="16"/>
  <c r="BK110" i="16"/>
  <c r="CA55" i="16"/>
  <c r="CZ66" i="16"/>
  <c r="AJ55" i="16"/>
  <c r="O125" i="16"/>
  <c r="AV77" i="16"/>
  <c r="CE77" i="16"/>
  <c r="CC123" i="16"/>
  <c r="DA93" i="16"/>
  <c r="P104" i="16"/>
  <c r="AV94" i="16"/>
  <c r="AX96" i="16"/>
  <c r="AF93" i="16"/>
  <c r="AP94" i="16"/>
  <c r="AA96" i="16"/>
  <c r="BX122" i="16"/>
  <c r="T108" i="16"/>
  <c r="AZ95" i="16"/>
  <c r="AR104" i="16"/>
  <c r="BH125" i="16"/>
  <c r="Q90" i="16"/>
  <c r="AS102" i="16"/>
  <c r="AB122" i="16"/>
  <c r="BG121" i="16"/>
  <c r="BC21" i="16"/>
  <c r="CC105" i="16"/>
  <c r="X106" i="16"/>
  <c r="AJ105" i="16"/>
  <c r="CQ90" i="16"/>
  <c r="BA95" i="16"/>
  <c r="O102" i="16"/>
  <c r="AO96" i="16"/>
  <c r="DC95" i="16"/>
  <c r="Z107" i="16"/>
  <c r="BJ105" i="16"/>
  <c r="BB110" i="16"/>
  <c r="BI109" i="16"/>
  <c r="AU94" i="16"/>
  <c r="CA127" i="16"/>
  <c r="AM94" i="16"/>
  <c r="CL90" i="16"/>
  <c r="AY96" i="16"/>
  <c r="AK99" i="16"/>
  <c r="BW105" i="16"/>
  <c r="BF96" i="16"/>
  <c r="AA102" i="16"/>
  <c r="AP106" i="16"/>
  <c r="CZ97" i="16"/>
  <c r="BN121" i="16"/>
  <c r="BH77" i="16"/>
  <c r="BM105" i="16"/>
  <c r="N55" i="16"/>
  <c r="CC101" i="16"/>
  <c r="AT102" i="16"/>
  <c r="BI99" i="16"/>
  <c r="W102" i="16"/>
  <c r="CW90" i="16"/>
  <c r="BD108" i="16"/>
  <c r="BO106" i="16"/>
  <c r="BI94" i="16"/>
  <c r="AB43" i="16"/>
  <c r="M102" i="16"/>
  <c r="CK123" i="16"/>
  <c r="BN32" i="16"/>
  <c r="AI107" i="16"/>
  <c r="CR125" i="16"/>
  <c r="CN93" i="16"/>
  <c r="V96" i="16"/>
  <c r="CO21" i="16"/>
  <c r="BX104" i="16"/>
  <c r="BT125" i="16"/>
  <c r="CV96" i="16"/>
  <c r="AV32" i="16"/>
  <c r="CZ105" i="16"/>
  <c r="BU106" i="16"/>
  <c r="CW105" i="16"/>
  <c r="BS107" i="16"/>
  <c r="N101" i="16"/>
  <c r="P127" i="16"/>
  <c r="CF91" i="16"/>
  <c r="N123" i="16"/>
  <c r="BM55" i="16"/>
  <c r="BF119" i="16"/>
  <c r="AQ122" i="16"/>
  <c r="BI77" i="16"/>
  <c r="R102" i="16"/>
  <c r="CV32" i="16"/>
  <c r="AP127" i="16"/>
  <c r="AJ121" i="16"/>
  <c r="CN90" i="16"/>
  <c r="BX43" i="16"/>
  <c r="CJ121" i="16"/>
  <c r="CK125" i="16"/>
  <c r="BN107" i="16"/>
  <c r="AD90" i="16"/>
  <c r="AH107" i="16"/>
  <c r="AS128" i="16"/>
  <c r="BH91" i="16"/>
  <c r="CG129" i="16"/>
  <c r="BF125" i="16"/>
  <c r="CD55" i="16"/>
  <c r="S21" i="16"/>
  <c r="Y122" i="16"/>
  <c r="CK105" i="16"/>
  <c r="AB106" i="16"/>
  <c r="AE129" i="16"/>
  <c r="BV96" i="16"/>
  <c r="BT66" i="16"/>
  <c r="AJ128" i="16"/>
  <c r="BM66" i="16"/>
  <c r="AV122" i="16"/>
  <c r="BQ101" i="16"/>
  <c r="CF93" i="16"/>
  <c r="CJ91" i="16"/>
  <c r="U55" i="16"/>
  <c r="CI108" i="16"/>
  <c r="AJ109" i="16"/>
  <c r="BH105" i="16"/>
  <c r="AB128" i="16"/>
  <c r="AR92" i="16"/>
  <c r="AR90" i="16"/>
  <c r="AV55" i="16"/>
  <c r="CQ104" i="16"/>
  <c r="CG124" i="16"/>
  <c r="M99" i="16"/>
  <c r="CO129" i="16"/>
  <c r="AQ93" i="16"/>
  <c r="AA123" i="16"/>
  <c r="CM97" i="16"/>
  <c r="M129" i="16"/>
  <c r="CL91" i="16"/>
  <c r="BO102" i="16"/>
  <c r="P32" i="16"/>
  <c r="CS77" i="16"/>
  <c r="BJ129" i="16"/>
  <c r="AC21" i="16"/>
  <c r="BJ98" i="16"/>
  <c r="AJ101" i="16"/>
  <c r="O108" i="16"/>
  <c r="BY93" i="16"/>
  <c r="BJ127" i="16"/>
  <c r="BZ55" i="16"/>
  <c r="AH125" i="16"/>
  <c r="AE94" i="16"/>
  <c r="CG121" i="16"/>
  <c r="N121" i="16"/>
  <c r="BA127" i="16"/>
  <c r="BV97" i="16"/>
  <c r="AE93" i="16"/>
  <c r="W119" i="16"/>
  <c r="CY127" i="16"/>
  <c r="V123" i="16"/>
  <c r="CV125" i="16"/>
  <c r="S43" i="16"/>
  <c r="AZ92" i="16"/>
  <c r="AR108" i="16"/>
  <c r="J109" i="16"/>
  <c r="Z95" i="16"/>
  <c r="M43" i="16"/>
  <c r="CL128" i="16"/>
  <c r="AZ119" i="16"/>
  <c r="BV128" i="16"/>
  <c r="M55" i="16"/>
  <c r="H129" i="16"/>
  <c r="BR123" i="16"/>
  <c r="BU103" i="16"/>
  <c r="AF92" i="16"/>
  <c r="CX99" i="16"/>
  <c r="BB90" i="16"/>
  <c r="AS129" i="16"/>
  <c r="BE103" i="16"/>
  <c r="CL104" i="16"/>
  <c r="CX98" i="16"/>
  <c r="CU119" i="16"/>
  <c r="BU129" i="16"/>
  <c r="BM104" i="16"/>
  <c r="CI102" i="16"/>
  <c r="BW98" i="16"/>
  <c r="AJ102" i="16"/>
  <c r="K106" i="16"/>
  <c r="H121" i="16"/>
  <c r="K123" i="16"/>
  <c r="CA97" i="16"/>
  <c r="AI125" i="16"/>
  <c r="J93" i="16"/>
  <c r="AY94" i="16"/>
  <c r="K112" i="15"/>
  <c r="J108" i="16"/>
  <c r="CP21" i="16"/>
  <c r="O103" i="16"/>
  <c r="BL120" i="16"/>
  <c r="CM93" i="16"/>
  <c r="CU104" i="16"/>
  <c r="BQ128" i="16"/>
  <c r="W108" i="16"/>
  <c r="P124" i="16"/>
  <c r="CF101" i="16"/>
  <c r="Q94" i="16"/>
  <c r="AM66" i="16"/>
  <c r="CC32" i="16"/>
  <c r="BH97" i="16"/>
  <c r="AE92" i="16"/>
  <c r="CG90" i="16"/>
  <c r="BE77" i="16"/>
  <c r="O95" i="16"/>
  <c r="R93" i="16"/>
  <c r="BS109" i="16"/>
  <c r="BD97" i="16"/>
  <c r="AA128" i="16"/>
  <c r="CV110" i="16"/>
  <c r="AY106" i="16"/>
  <c r="BM101" i="16"/>
  <c r="BP122" i="16"/>
  <c r="CN110" i="16"/>
  <c r="Q121" i="16"/>
  <c r="J96" i="16"/>
  <c r="CN123" i="16"/>
  <c r="S93" i="16"/>
  <c r="AE101" i="16"/>
  <c r="BP105" i="16"/>
  <c r="R104" i="16"/>
  <c r="BN96" i="16"/>
  <c r="CQ121" i="16"/>
  <c r="X109" i="16"/>
  <c r="I104" i="16"/>
  <c r="W91" i="16"/>
  <c r="AQ98" i="16"/>
  <c r="AJ119" i="16"/>
  <c r="BD105" i="16"/>
  <c r="AQ32" i="16"/>
  <c r="V110" i="16"/>
  <c r="AY21" i="16"/>
  <c r="BW99" i="16"/>
  <c r="X99" i="16"/>
  <c r="BU95" i="16"/>
  <c r="AP99" i="16"/>
  <c r="S97" i="16"/>
  <c r="DC55" i="16"/>
  <c r="CU21" i="16"/>
  <c r="BO91" i="16"/>
  <c r="CU107" i="16"/>
  <c r="CR66" i="16"/>
  <c r="AR120" i="16"/>
  <c r="BI90" i="16"/>
  <c r="P98" i="16"/>
  <c r="AI43" i="16"/>
  <c r="R123" i="16"/>
  <c r="BA101" i="16"/>
  <c r="BU108" i="16"/>
  <c r="P121" i="16"/>
  <c r="AX104" i="16"/>
  <c r="AK77" i="16"/>
  <c r="BZ21" i="16"/>
  <c r="BT101" i="16"/>
  <c r="AM107" i="16"/>
  <c r="Y98" i="16"/>
  <c r="BL109" i="16"/>
  <c r="CV120" i="16"/>
  <c r="W96" i="16"/>
  <c r="CB98" i="16"/>
  <c r="CZ106" i="16"/>
  <c r="CK124" i="16"/>
  <c r="R106" i="16"/>
  <c r="BJ95" i="16"/>
  <c r="CE43" i="16"/>
  <c r="BN127" i="16"/>
  <c r="AV103" i="16"/>
  <c r="AX109" i="16"/>
  <c r="L122" i="16"/>
  <c r="BL108" i="16"/>
  <c r="CW123" i="16"/>
  <c r="AP98" i="16"/>
  <c r="AW125" i="16"/>
  <c r="BQ110" i="16"/>
  <c r="BU55" i="16"/>
  <c r="AF77" i="16"/>
  <c r="AL92" i="16"/>
  <c r="AD98" i="16"/>
  <c r="AA109" i="16"/>
  <c r="AB129" i="16"/>
  <c r="DB93" i="16"/>
  <c r="V129" i="16"/>
  <c r="CN91" i="16"/>
  <c r="CS108" i="16"/>
  <c r="U108" i="16"/>
  <c r="BU92" i="16"/>
  <c r="CW101" i="16"/>
  <c r="CB99" i="16"/>
  <c r="BS99" i="16"/>
  <c r="AZ21" i="16"/>
  <c r="BH104" i="16"/>
  <c r="T102" i="16"/>
  <c r="BY98" i="16"/>
  <c r="AT55" i="16"/>
  <c r="AC43" i="16"/>
  <c r="AP119" i="16"/>
  <c r="CA92" i="16"/>
  <c r="DA94" i="16"/>
  <c r="BG128" i="16"/>
  <c r="CT123" i="16"/>
  <c r="BL95" i="16"/>
  <c r="DC77" i="16"/>
  <c r="CA32" i="16"/>
  <c r="CX91" i="16"/>
  <c r="BQ66" i="16"/>
  <c r="AI102" i="16"/>
  <c r="CK97" i="16"/>
  <c r="BJ124" i="16"/>
  <c r="BL121" i="16"/>
  <c r="AF124" i="16"/>
  <c r="CS94" i="16"/>
  <c r="H95" i="16"/>
  <c r="AD123" i="16"/>
  <c r="CJ55" i="16"/>
  <c r="CJ97" i="16"/>
  <c r="BL92" i="16"/>
  <c r="AR91" i="16"/>
  <c r="CA124" i="16"/>
  <c r="BT128" i="16"/>
  <c r="DC90" i="16"/>
  <c r="AU107" i="16"/>
  <c r="Q77" i="16"/>
  <c r="AK106" i="16"/>
  <c r="BE123" i="16"/>
  <c r="CY94" i="16"/>
  <c r="CL21" i="16"/>
  <c r="BK92" i="16"/>
  <c r="AY102" i="16"/>
  <c r="AX107" i="16"/>
  <c r="Y107" i="16"/>
  <c r="AZ102" i="16"/>
  <c r="CX108" i="16"/>
  <c r="AF127" i="16"/>
  <c r="DA91" i="16"/>
  <c r="Q66" i="16"/>
  <c r="J98" i="16"/>
  <c r="L104" i="16"/>
  <c r="BS43" i="16"/>
  <c r="AX43" i="16"/>
  <c r="AU95" i="16"/>
  <c r="DC129" i="16"/>
  <c r="CB125" i="16"/>
  <c r="AN120" i="16"/>
  <c r="AU103" i="16"/>
  <c r="CL32" i="16"/>
  <c r="CF119" i="16"/>
  <c r="BJ104" i="16"/>
  <c r="N43" i="16"/>
  <c r="AD93" i="16"/>
  <c r="CC108" i="16"/>
  <c r="BE124" i="16"/>
  <c r="BU128" i="16"/>
  <c r="BA43" i="16"/>
  <c r="AO110" i="16"/>
  <c r="BD125" i="16"/>
  <c r="BY120" i="16"/>
  <c r="BD92" i="16"/>
  <c r="CW102" i="16"/>
  <c r="BG109" i="16"/>
  <c r="CT104" i="16"/>
  <c r="AF107" i="16"/>
  <c r="CJ109" i="16"/>
  <c r="W92" i="16"/>
  <c r="BH94" i="16"/>
  <c r="CN120" i="16"/>
  <c r="BY99" i="16"/>
  <c r="AY123" i="16"/>
  <c r="CV124" i="16"/>
  <c r="CB96" i="16"/>
  <c r="BC55" i="16"/>
  <c r="I127" i="16"/>
  <c r="BN90" i="16"/>
  <c r="AG103" i="16"/>
  <c r="CL93" i="16"/>
  <c r="AQ104" i="16"/>
  <c r="CE123" i="16"/>
  <c r="AT109" i="16"/>
  <c r="DA97" i="16"/>
  <c r="DA119" i="16"/>
  <c r="Y121" i="16"/>
  <c r="V124" i="16"/>
  <c r="CW93" i="16"/>
  <c r="DC124" i="16"/>
  <c r="CQ102" i="16"/>
  <c r="CM110" i="16"/>
  <c r="AD110" i="16"/>
  <c r="BF77" i="16"/>
  <c r="CM43" i="16"/>
  <c r="P90" i="16"/>
  <c r="BS125" i="16"/>
  <c r="CK55" i="16"/>
  <c r="M77" i="16"/>
  <c r="BD96" i="16"/>
  <c r="BA108" i="16"/>
  <c r="BF91" i="16"/>
  <c r="BV123" i="16"/>
  <c r="BG108" i="16"/>
  <c r="CO121" i="16"/>
  <c r="BG127" i="16"/>
  <c r="CS97" i="16"/>
  <c r="AC94" i="16"/>
  <c r="CE66" i="16"/>
  <c r="BH55" i="16"/>
  <c r="CO93" i="16"/>
  <c r="Y94" i="16"/>
  <c r="Q117" i="14"/>
  <c r="CT124" i="16"/>
  <c r="N94" i="16"/>
  <c r="DB125" i="16"/>
  <c r="AC104" i="16"/>
  <c r="BR106" i="16"/>
  <c r="BR119" i="16"/>
  <c r="BM122" i="16"/>
  <c r="CQ99" i="16"/>
  <c r="AR105" i="16"/>
  <c r="I32" i="16"/>
  <c r="U93" i="16"/>
  <c r="CL105" i="16"/>
  <c r="AA103" i="16"/>
  <c r="CB121" i="16"/>
  <c r="AC55" i="16"/>
  <c r="AG129" i="16"/>
  <c r="AP123" i="16"/>
  <c r="N125" i="16"/>
  <c r="AT104" i="16"/>
  <c r="BY109" i="16"/>
  <c r="AE96" i="16"/>
  <c r="AC124" i="16"/>
  <c r="AI103" i="16"/>
  <c r="BG123" i="16"/>
  <c r="AW119" i="16"/>
  <c r="CL96" i="16"/>
  <c r="BQ93" i="16"/>
  <c r="Z97" i="16"/>
  <c r="AY119" i="16"/>
  <c r="AV121" i="16"/>
  <c r="Q95" i="16"/>
  <c r="BJ90" i="16"/>
  <c r="CY104" i="16"/>
  <c r="S128" i="16"/>
  <c r="AB98" i="16"/>
  <c r="AR125" i="16"/>
  <c r="CY106" i="16"/>
  <c r="AC120" i="16"/>
  <c r="AR122" i="16"/>
  <c r="CN96" i="16"/>
  <c r="AA94" i="16"/>
  <c r="AV43" i="16"/>
  <c r="AG94" i="16"/>
  <c r="AU92" i="16"/>
  <c r="L127" i="16"/>
  <c r="CK101" i="16"/>
  <c r="BB128" i="16"/>
  <c r="AZ107" i="16"/>
  <c r="BV55" i="16"/>
  <c r="S122" i="16"/>
  <c r="AP110" i="16"/>
  <c r="BY122" i="16"/>
  <c r="AQ129" i="16"/>
  <c r="P97" i="16"/>
  <c r="AY98" i="16"/>
  <c r="BR127" i="16"/>
  <c r="CQ108" i="16"/>
  <c r="T123" i="16"/>
  <c r="AZ120" i="16"/>
  <c r="CK107" i="16"/>
  <c r="CH77" i="16"/>
  <c r="I92" i="16"/>
  <c r="CI92" i="16"/>
  <c r="P105" i="16"/>
  <c r="CF122" i="16"/>
  <c r="AZ93" i="16"/>
  <c r="BB121" i="16"/>
  <c r="AR124" i="16"/>
  <c r="AI105" i="16"/>
  <c r="CT107" i="16"/>
  <c r="BB96" i="16"/>
  <c r="CY92" i="16"/>
  <c r="BW128" i="16"/>
  <c r="AO108" i="16"/>
  <c r="AH122" i="16"/>
  <c r="V21" i="16"/>
  <c r="N66" i="16"/>
  <c r="CY43" i="16"/>
  <c r="AB123" i="16"/>
  <c r="AF94" i="16"/>
  <c r="AB21" i="16"/>
  <c r="AN123" i="16"/>
  <c r="CI104" i="16"/>
  <c r="AH99" i="16"/>
  <c r="CA109" i="16"/>
  <c r="BB43" i="16"/>
  <c r="BC122" i="16"/>
  <c r="BP121" i="16"/>
  <c r="BH103" i="16"/>
  <c r="CX121" i="16"/>
  <c r="AY101" i="16"/>
  <c r="CA43" i="16"/>
  <c r="CD21" i="16"/>
  <c r="BO121" i="16"/>
  <c r="AY122" i="16"/>
  <c r="BH32" i="16"/>
  <c r="BS92" i="16"/>
  <c r="AS21" i="16"/>
  <c r="BI110" i="16"/>
  <c r="CT110" i="16"/>
  <c r="N129" i="16"/>
  <c r="AD122" i="16"/>
  <c r="AP77" i="16"/>
  <c r="BH120" i="16"/>
  <c r="O93" i="16"/>
  <c r="Z21" i="16"/>
  <c r="AQ66" i="16"/>
  <c r="CW106" i="16"/>
  <c r="CL125" i="16"/>
  <c r="CZ123" i="16"/>
  <c r="K128" i="16"/>
  <c r="AU109" i="16"/>
  <c r="AA66" i="16"/>
  <c r="BP120" i="16"/>
  <c r="CV122" i="16"/>
  <c r="CG21" i="16"/>
  <c r="CR122" i="16"/>
  <c r="AT98" i="16"/>
  <c r="AL21" i="16"/>
  <c r="CJ101" i="16"/>
  <c r="AN98" i="16"/>
  <c r="CM109" i="16"/>
  <c r="CH105" i="16"/>
  <c r="BH127" i="16"/>
  <c r="AT32" i="16"/>
  <c r="BN92" i="16"/>
  <c r="BK129" i="16"/>
  <c r="AO77" i="16"/>
  <c r="DC104" i="16"/>
  <c r="BO122" i="16"/>
  <c r="BE127" i="16"/>
  <c r="CZ128" i="16"/>
  <c r="BS102" i="16"/>
  <c r="Q109" i="16"/>
  <c r="AW103" i="16"/>
  <c r="AY93" i="16"/>
  <c r="BN102" i="16"/>
  <c r="L90" i="16"/>
  <c r="I91" i="16"/>
  <c r="AQ21" i="16"/>
  <c r="AK120" i="16"/>
  <c r="CF95" i="16"/>
  <c r="Q55" i="16"/>
  <c r="K55" i="16"/>
  <c r="AN21" i="16"/>
  <c r="CW124" i="16"/>
  <c r="CS121" i="16"/>
  <c r="CL109" i="16"/>
  <c r="K77" i="16"/>
  <c r="CU103" i="16"/>
  <c r="AK110" i="16"/>
  <c r="AS43" i="16"/>
  <c r="M124" i="16"/>
  <c r="BX32" i="16"/>
  <c r="AP107" i="16"/>
  <c r="BU98" i="16"/>
  <c r="BR108" i="16"/>
  <c r="O43" i="16"/>
  <c r="AB104" i="16"/>
  <c r="CJ125" i="16"/>
  <c r="BS110" i="16"/>
  <c r="BF103" i="16"/>
  <c r="AN127" i="16"/>
  <c r="BE55" i="16"/>
  <c r="Z121" i="16"/>
  <c r="CL95" i="16"/>
  <c r="BF32" i="16"/>
  <c r="BC119" i="16"/>
  <c r="CL98" i="16"/>
  <c r="AZ110" i="16"/>
  <c r="CP110" i="16"/>
  <c r="BZ107" i="16"/>
  <c r="S32" i="16"/>
  <c r="AC106" i="16"/>
  <c r="AS55" i="16"/>
  <c r="BL107" i="16"/>
  <c r="AI123" i="16"/>
  <c r="CH106" i="16"/>
  <c r="CN92" i="16"/>
  <c r="AT66" i="16"/>
  <c r="Y90" i="16"/>
  <c r="BL105" i="16"/>
  <c r="N110" i="16"/>
  <c r="AL93" i="16"/>
  <c r="BY110" i="16"/>
  <c r="BH98" i="16"/>
  <c r="AR55" i="16"/>
  <c r="BR77" i="16"/>
  <c r="BN104" i="16"/>
  <c r="BG120" i="16"/>
  <c r="T43" i="16"/>
  <c r="CQ101" i="16"/>
  <c r="CN32" i="16"/>
  <c r="CQ124" i="16"/>
  <c r="CJ128" i="16"/>
  <c r="AH95" i="16"/>
  <c r="CZ119" i="16"/>
  <c r="U95" i="16"/>
  <c r="CP109" i="16"/>
  <c r="CY66" i="16"/>
  <c r="V90" i="16"/>
  <c r="CR123" i="16"/>
  <c r="AA129" i="16"/>
  <c r="CA99" i="16"/>
  <c r="L94" i="16"/>
  <c r="BV110" i="16"/>
  <c r="DB32" i="16"/>
  <c r="DB120" i="16"/>
  <c r="W121" i="16"/>
  <c r="AL120" i="16"/>
  <c r="U102" i="16"/>
  <c r="CO128" i="16"/>
  <c r="AF91" i="16"/>
  <c r="BT43" i="16"/>
  <c r="AV127" i="16"/>
  <c r="CB128" i="16"/>
  <c r="AI127" i="16"/>
  <c r="AO21" i="16"/>
  <c r="BT96" i="16"/>
  <c r="AC121" i="16"/>
  <c r="BP43" i="16"/>
  <c r="AA104" i="16"/>
  <c r="CV43" i="16"/>
  <c r="BR96" i="16"/>
  <c r="CJ93" i="16"/>
  <c r="CU91" i="16"/>
  <c r="BR97" i="16"/>
  <c r="BS21" i="16"/>
  <c r="J119" i="16"/>
  <c r="AB102" i="16"/>
  <c r="Y21" i="16"/>
  <c r="Z124" i="16"/>
  <c r="AK107" i="16"/>
  <c r="CB91" i="16"/>
  <c r="DA32" i="16"/>
  <c r="BD101" i="16"/>
  <c r="W106" i="16"/>
  <c r="I121" i="16"/>
  <c r="CC94" i="16"/>
  <c r="BH92" i="16"/>
  <c r="U117" i="14"/>
  <c r="BW122" i="16"/>
  <c r="L91" i="16"/>
  <c r="CI77" i="16"/>
  <c r="CB110" i="16"/>
  <c r="BJ101" i="16"/>
  <c r="CA108" i="16"/>
  <c r="L112" i="15"/>
  <c r="CQ21" i="16"/>
  <c r="BZ106" i="16"/>
  <c r="K109" i="16"/>
  <c r="BE104" i="16"/>
  <c r="CC66" i="16"/>
  <c r="L102" i="16"/>
  <c r="AD95" i="16"/>
  <c r="AF121" i="16"/>
  <c r="CZ98" i="16"/>
  <c r="L97" i="16"/>
  <c r="AE90" i="16"/>
  <c r="BN99" i="16"/>
  <c r="M117" i="14"/>
  <c r="BV93" i="16"/>
  <c r="N91" i="16"/>
  <c r="CT121" i="16"/>
  <c r="BA122" i="16"/>
  <c r="BK119" i="16"/>
  <c r="H110" i="16"/>
  <c r="BT107" i="16"/>
  <c r="CG32" i="16"/>
  <c r="CZ107" i="16"/>
  <c r="AS104" i="16"/>
  <c r="I128" i="16"/>
  <c r="DC102" i="16"/>
  <c r="CS98" i="16"/>
  <c r="BC124" i="16"/>
  <c r="BJ32" i="16"/>
  <c r="CM21" i="16"/>
  <c r="BZ99" i="16"/>
  <c r="AY92" i="16"/>
  <c r="BQ121" i="16"/>
  <c r="Y101" i="16"/>
  <c r="AC90" i="16"/>
  <c r="BS105" i="16"/>
  <c r="AN66" i="16"/>
  <c r="AB101" i="16"/>
  <c r="AE122" i="16"/>
  <c r="BM93" i="16"/>
  <c r="CR91" i="16"/>
  <c r="BK43" i="16"/>
  <c r="M105" i="16"/>
  <c r="O96" i="16"/>
  <c r="AO94" i="16"/>
  <c r="CD129" i="16"/>
  <c r="BE98" i="16"/>
  <c r="AZ77" i="16"/>
  <c r="CG55" i="16"/>
  <c r="BS55" i="16"/>
  <c r="P99" i="16"/>
  <c r="BI102" i="16"/>
  <c r="V95" i="16"/>
  <c r="BY43" i="16"/>
  <c r="AD43" i="16"/>
  <c r="CF121" i="16"/>
  <c r="R122" i="16"/>
  <c r="L43" i="16"/>
  <c r="CH99" i="16"/>
  <c r="CU101" i="16"/>
  <c r="I103" i="16"/>
  <c r="CP129" i="16"/>
  <c r="AI55" i="16"/>
  <c r="AM125" i="16"/>
  <c r="AM98" i="16"/>
  <c r="P110" i="16"/>
  <c r="R121" i="16"/>
  <c r="AH108" i="16"/>
  <c r="BW121" i="16"/>
  <c r="BT124" i="16"/>
  <c r="CX128" i="16"/>
  <c r="X104" i="16"/>
  <c r="BC106" i="16"/>
  <c r="AQ77" i="16"/>
  <c r="AF21" i="16"/>
  <c r="CB104" i="16"/>
  <c r="CH32" i="16"/>
  <c r="AY66" i="16"/>
  <c r="AJ103" i="16"/>
  <c r="AK92" i="16"/>
  <c r="BN101" i="16"/>
  <c r="Z32" i="16"/>
  <c r="AH102" i="16"/>
  <c r="AQ128" i="16"/>
  <c r="CB55" i="16"/>
  <c r="AA99" i="16"/>
  <c r="AW129" i="16"/>
  <c r="AE124" i="16"/>
  <c r="BO129" i="16"/>
  <c r="X97" i="16"/>
  <c r="AX95" i="16"/>
  <c r="CB43" i="16"/>
  <c r="CM77" i="16"/>
  <c r="BU21" i="16"/>
  <c r="Z77" i="16"/>
  <c r="V93" i="16"/>
  <c r="CH124" i="16"/>
  <c r="CC96" i="16"/>
  <c r="DB128" i="16"/>
  <c r="AT101" i="16"/>
  <c r="Q98" i="16"/>
  <c r="AN129" i="16"/>
  <c r="O122" i="16"/>
  <c r="R98" i="16"/>
  <c r="BB125" i="16"/>
  <c r="CF97" i="16"/>
  <c r="BC128" i="16"/>
  <c r="CM128" i="16"/>
  <c r="CU122" i="16"/>
  <c r="AH104" i="16"/>
  <c r="Q97" i="16"/>
  <c r="AT21" i="16"/>
  <c r="BQ91" i="16"/>
  <c r="AU98" i="16"/>
  <c r="BJ43" i="16"/>
  <c r="BM129" i="16"/>
  <c r="AA93" i="16"/>
  <c r="BZ91" i="16"/>
  <c r="CD105" i="16"/>
  <c r="S102" i="16"/>
  <c r="BJ128" i="16"/>
  <c r="BA94" i="16"/>
  <c r="AF97" i="16"/>
  <c r="AH105" i="16"/>
  <c r="BU66" i="16"/>
  <c r="AM122" i="16"/>
  <c r="BX125" i="16"/>
  <c r="BT127" i="16"/>
  <c r="Q101" i="16"/>
  <c r="BX96" i="16"/>
  <c r="CP121" i="16"/>
  <c r="BV95" i="16"/>
  <c r="BQ108" i="16"/>
  <c r="AG125" i="16"/>
  <c r="V112" i="16"/>
  <c r="AD129" i="16"/>
  <c r="H103" i="16"/>
  <c r="BA120" i="16"/>
  <c r="AU123" i="16"/>
  <c r="AN103" i="16"/>
  <c r="Y119" i="16"/>
  <c r="AL98" i="16"/>
  <c r="BW103" i="16"/>
  <c r="BG21" i="16"/>
  <c r="CK77" i="16"/>
  <c r="CT122" i="16"/>
  <c r="BB92" i="16"/>
  <c r="X102" i="16"/>
  <c r="W125" i="16"/>
  <c r="T125" i="16"/>
  <c r="AU99" i="16"/>
  <c r="BA99" i="16"/>
  <c r="AA77" i="16"/>
  <c r="CJ43" i="16"/>
  <c r="AC109" i="16"/>
  <c r="CU97" i="16"/>
  <c r="AM104" i="16"/>
  <c r="CC128" i="16"/>
  <c r="BQ102" i="16"/>
  <c r="BG96" i="16"/>
  <c r="CT119" i="16"/>
  <c r="AD97" i="16"/>
  <c r="BX91" i="16"/>
  <c r="BF90" i="16"/>
  <c r="BL32" i="16"/>
  <c r="CO108" i="16"/>
  <c r="R117" i="14"/>
  <c r="AO107" i="16"/>
  <c r="AG32" i="16"/>
  <c r="AJ125" i="16"/>
  <c r="V104" i="16"/>
  <c r="CO92" i="16"/>
  <c r="CK120" i="16"/>
  <c r="DB55" i="16"/>
  <c r="AG77" i="16"/>
  <c r="BB102" i="16"/>
  <c r="CJ98" i="16"/>
  <c r="CO106" i="16"/>
  <c r="CG77" i="16"/>
  <c r="T127" i="16"/>
  <c r="AN110" i="16"/>
  <c r="CW122" i="16"/>
  <c r="AK21" i="16"/>
  <c r="BB32" i="16"/>
  <c r="BY123" i="16"/>
  <c r="AN109" i="16"/>
  <c r="BN55" i="16"/>
  <c r="BL91" i="16"/>
  <c r="BU43" i="16"/>
  <c r="DA103" i="16"/>
  <c r="AF104" i="16"/>
  <c r="AJ32" i="16"/>
  <c r="AQ92" i="16"/>
  <c r="BA21" i="16"/>
  <c r="BJ102" i="16"/>
  <c r="CX120" i="16"/>
  <c r="N127" i="16"/>
  <c r="BP127" i="16"/>
  <c r="AU91" i="16"/>
  <c r="CA123" i="16"/>
  <c r="CN77" i="16"/>
  <c r="BX128" i="16"/>
  <c r="BI125" i="16"/>
  <c r="CI109" i="16"/>
  <c r="N112" i="15"/>
  <c r="AB77" i="16"/>
  <c r="BN105" i="16"/>
  <c r="AY128" i="16"/>
  <c r="BE120" i="16"/>
  <c r="BQ103" i="16"/>
  <c r="BT106" i="16"/>
  <c r="BS66" i="16"/>
  <c r="U94" i="16"/>
  <c r="BO119" i="16"/>
  <c r="CO101" i="16"/>
  <c r="CP102" i="16"/>
  <c r="CN124" i="16"/>
  <c r="AZ101" i="16"/>
  <c r="M101" i="16"/>
  <c r="CP124" i="16"/>
  <c r="CR109" i="16"/>
  <c r="BE99" i="16"/>
  <c r="CH104" i="16"/>
  <c r="CX122" i="16"/>
  <c r="CM32" i="16"/>
  <c r="BC99" i="16"/>
  <c r="BU93" i="16"/>
  <c r="S112" i="16"/>
  <c r="BN109" i="16"/>
  <c r="AB94" i="16"/>
  <c r="CH21" i="16"/>
  <c r="AQ123" i="16"/>
  <c r="BF104" i="16"/>
  <c r="BG104" i="16"/>
  <c r="BU101" i="16"/>
  <c r="BF110" i="16"/>
  <c r="BB106" i="16"/>
  <c r="AW91" i="16"/>
  <c r="S103" i="16"/>
  <c r="BV102" i="16"/>
  <c r="R21" i="16"/>
  <c r="CZ103" i="16"/>
  <c r="CK106" i="16"/>
  <c r="AS99" i="16"/>
  <c r="CN105" i="16"/>
  <c r="BH106" i="16"/>
  <c r="BX66" i="16"/>
  <c r="BS123" i="16"/>
  <c r="T21" i="16"/>
  <c r="CC127" i="16"/>
  <c r="BM119" i="16"/>
  <c r="Z129" i="16"/>
  <c r="BC110" i="16"/>
  <c r="AB96" i="16"/>
  <c r="AK90" i="16"/>
  <c r="AE91" i="16"/>
  <c r="BF109" i="16"/>
  <c r="BR94" i="16"/>
  <c r="BW120" i="16"/>
  <c r="P119" i="16"/>
  <c r="L95" i="16"/>
  <c r="CP119" i="16"/>
  <c r="CU129" i="16"/>
  <c r="BQ99" i="16"/>
  <c r="AG95" i="16"/>
  <c r="AA105" i="16"/>
  <c r="CB107" i="16"/>
  <c r="M95" i="16"/>
  <c r="N97" i="16"/>
  <c r="DB101" i="16"/>
  <c r="BH110" i="16"/>
  <c r="AE128" i="16"/>
  <c r="AK101" i="16"/>
  <c r="AC122" i="16"/>
  <c r="BU123" i="16"/>
  <c r="CK104" i="16"/>
  <c r="V98" i="16"/>
  <c r="AY109" i="16"/>
  <c r="H77" i="16"/>
  <c r="AC92" i="16"/>
  <c r="CK128" i="16"/>
  <c r="CF98" i="16"/>
  <c r="BK104" i="16"/>
  <c r="AK102" i="16"/>
  <c r="AZ106" i="16"/>
  <c r="CS105" i="16"/>
  <c r="BD127" i="16"/>
  <c r="R95" i="16"/>
  <c r="AN128" i="16"/>
  <c r="L77" i="16"/>
  <c r="K108" i="16"/>
  <c r="CW121" i="16"/>
  <c r="Z104" i="16"/>
  <c r="AD103" i="16"/>
  <c r="Z109" i="16"/>
  <c r="BW104" i="16"/>
  <c r="BO120" i="16"/>
  <c r="BS120" i="16"/>
  <c r="U90" i="16"/>
  <c r="DB103" i="16"/>
  <c r="S101" i="16"/>
  <c r="AZ129" i="16"/>
  <c r="AH21" i="16"/>
  <c r="AD101" i="16"/>
  <c r="U43" i="16"/>
  <c r="AE77" i="16"/>
  <c r="CB102" i="16"/>
  <c r="BZ105" i="16"/>
  <c r="CL120" i="16"/>
  <c r="CN101" i="16"/>
  <c r="CQ94" i="16"/>
  <c r="AH92" i="16"/>
  <c r="CQ122" i="16"/>
  <c r="AM102" i="16"/>
  <c r="AO99" i="16"/>
  <c r="AN106" i="16"/>
  <c r="CD97" i="16"/>
  <c r="AY43" i="16"/>
  <c r="BQ119" i="16"/>
  <c r="BL110" i="16"/>
  <c r="CG110" i="16"/>
  <c r="AK128" i="16"/>
  <c r="CY91" i="16"/>
  <c r="AI108" i="16"/>
  <c r="CD91" i="16"/>
  <c r="CW99" i="16"/>
  <c r="O91" i="16"/>
  <c r="W101" i="16"/>
  <c r="AS108" i="16"/>
  <c r="AL43" i="16"/>
  <c r="CG99" i="16"/>
  <c r="M128" i="16"/>
  <c r="AG43" i="16"/>
  <c r="AV99" i="16"/>
  <c r="AF99" i="16"/>
  <c r="DA123" i="16"/>
  <c r="CF55" i="16"/>
  <c r="BQ55" i="16"/>
  <c r="BA96" i="16"/>
  <c r="Z66" i="16"/>
  <c r="P107" i="16"/>
  <c r="CL66" i="16"/>
  <c r="CF106" i="16"/>
  <c r="BW123" i="16"/>
  <c r="CX123" i="16"/>
  <c r="AD94" i="16"/>
  <c r="AS105" i="16"/>
  <c r="BR91" i="16"/>
  <c r="BQ127" i="16"/>
  <c r="AO125" i="16"/>
  <c r="CY101" i="16"/>
  <c r="BA125" i="16"/>
  <c r="BO105" i="16"/>
  <c r="P91" i="16"/>
  <c r="BQ98" i="16"/>
  <c r="AW90" i="16"/>
  <c r="T109" i="16"/>
  <c r="BD99" i="16"/>
  <c r="U109" i="16"/>
  <c r="BK127" i="16"/>
  <c r="BI21" i="16"/>
  <c r="CQ103" i="16"/>
  <c r="BG110" i="16"/>
  <c r="R96" i="16"/>
  <c r="BZ119" i="16"/>
  <c r="AF110" i="16"/>
  <c r="BK32" i="16"/>
  <c r="W98" i="16"/>
  <c r="CA103" i="16"/>
  <c r="CD98" i="16"/>
  <c r="AV91" i="16"/>
  <c r="AS92" i="16"/>
  <c r="AR119" i="16"/>
  <c r="AO128" i="16"/>
  <c r="CD102" i="16"/>
  <c r="BG107" i="16"/>
  <c r="AQ125" i="16"/>
  <c r="CX104" i="16"/>
  <c r="BQ105" i="16"/>
  <c r="CT120" i="16"/>
  <c r="AI95" i="16"/>
  <c r="CM104" i="16"/>
  <c r="CE91" i="16"/>
  <c r="CQ92" i="16"/>
  <c r="BS95" i="16"/>
  <c r="CB93" i="16"/>
  <c r="BI91" i="16"/>
  <c r="BC121" i="16"/>
  <c r="AP120" i="16"/>
  <c r="CL92" i="16"/>
  <c r="CY77" i="16"/>
  <c r="AR94" i="16"/>
  <c r="J32" i="16"/>
  <c r="AW109" i="16"/>
  <c r="BY90" i="16"/>
  <c r="CP91" i="16"/>
  <c r="L117" i="14"/>
  <c r="CH110" i="16"/>
  <c r="CI106" i="16"/>
  <c r="CV102" i="16"/>
  <c r="BD95" i="16"/>
  <c r="Z119" i="16"/>
  <c r="M122" i="16"/>
  <c r="AV129" i="16"/>
  <c r="BR92" i="16"/>
  <c r="DC105" i="16"/>
  <c r="CG98" i="16"/>
  <c r="AH77" i="16"/>
  <c r="R119" i="16"/>
  <c r="K90" i="16"/>
  <c r="AL95" i="16"/>
  <c r="DA96" i="16"/>
  <c r="DB122" i="16"/>
  <c r="CJ90" i="16"/>
  <c r="BZ32" i="16"/>
  <c r="BM128" i="16"/>
  <c r="O94" i="16"/>
  <c r="BN95" i="16"/>
  <c r="AG91" i="16"/>
  <c r="CA95" i="16"/>
  <c r="AS107" i="16"/>
  <c r="J105" i="16"/>
  <c r="M21" i="16"/>
  <c r="CB122" i="16"/>
  <c r="CL124" i="16"/>
  <c r="H99" i="16"/>
  <c r="CQ120" i="16"/>
  <c r="CH123" i="16"/>
  <c r="CO77" i="16"/>
  <c r="CV127" i="16"/>
  <c r="BG55" i="16"/>
  <c r="AX97" i="16"/>
  <c r="AW95" i="16"/>
  <c r="N104" i="16"/>
  <c r="BJ96" i="16"/>
  <c r="DC43" i="16"/>
  <c r="CH120" i="16"/>
  <c r="BD102" i="16"/>
  <c r="AA125" i="16"/>
  <c r="CE95" i="16"/>
  <c r="AO91" i="16"/>
  <c r="H104" i="16"/>
  <c r="CF77" i="16"/>
  <c r="V128" i="16"/>
  <c r="BH124" i="16"/>
  <c r="X107" i="16"/>
  <c r="T95" i="16"/>
  <c r="BK90" i="16"/>
  <c r="K98" i="16"/>
  <c r="AX106" i="16"/>
  <c r="CC91" i="16"/>
  <c r="BF97" i="16"/>
  <c r="BL90" i="16"/>
  <c r="BZ43" i="16"/>
  <c r="DB123" i="16"/>
  <c r="CL121" i="16"/>
  <c r="CV105" i="16"/>
  <c r="AM127" i="16"/>
  <c r="BL104" i="16"/>
  <c r="M91" i="16"/>
  <c r="BD119" i="16"/>
  <c r="BU109" i="16"/>
  <c r="AA122" i="16"/>
  <c r="AX94" i="16"/>
  <c r="AE109" i="16"/>
  <c r="T105" i="16"/>
  <c r="H122" i="16"/>
  <c r="CV95" i="16"/>
  <c r="BY105" i="16"/>
  <c r="CU93" i="16"/>
  <c r="W99" i="16"/>
  <c r="CE98" i="16"/>
  <c r="CG91" i="16"/>
  <c r="AP55" i="16"/>
  <c r="AD125" i="16"/>
  <c r="CA110" i="16"/>
  <c r="AZ105" i="16"/>
  <c r="AN124" i="16"/>
  <c r="AM95" i="16"/>
  <c r="Y55" i="16"/>
  <c r="AN99" i="16"/>
  <c r="BD94" i="16"/>
  <c r="BP32" i="16"/>
  <c r="R125" i="16"/>
  <c r="CK21" i="16"/>
  <c r="BA104" i="16"/>
  <c r="AC103" i="16"/>
  <c r="CG43" i="16"/>
  <c r="AX120" i="16"/>
  <c r="AL125" i="16"/>
  <c r="CT109" i="16"/>
  <c r="AG123" i="16"/>
  <c r="AW127" i="16"/>
  <c r="BD103" i="16"/>
  <c r="CT95" i="16"/>
  <c r="DA55" i="16"/>
  <c r="AX103" i="16"/>
  <c r="BU91" i="16"/>
  <c r="CD107" i="16"/>
  <c r="BB77" i="16"/>
  <c r="CA66" i="16"/>
  <c r="AD66" i="16"/>
  <c r="BR124" i="16"/>
  <c r="BX101" i="16"/>
  <c r="BK106" i="16"/>
  <c r="BW94" i="16"/>
  <c r="BZ94" i="16"/>
  <c r="U107" i="16"/>
  <c r="CO107" i="16"/>
  <c r="CH127" i="16"/>
  <c r="AS121" i="16"/>
  <c r="S127" i="16"/>
  <c r="AN102" i="16"/>
  <c r="CE106" i="16"/>
  <c r="BW107" i="16"/>
  <c r="Q106" i="16"/>
  <c r="CO90" i="16"/>
  <c r="BD21" i="16"/>
  <c r="AO106" i="16"/>
  <c r="AM90" i="16"/>
  <c r="BT104" i="16"/>
  <c r="CO66" i="16"/>
  <c r="AB66" i="16"/>
  <c r="BC101" i="16"/>
  <c r="AA106" i="16"/>
  <c r="CD106" i="16"/>
  <c r="CG103" i="16"/>
  <c r="AK91" i="16"/>
  <c r="CZ108" i="16"/>
  <c r="Q32" i="16"/>
  <c r="CE119" i="16"/>
  <c r="DC91" i="16"/>
  <c r="BH99" i="16"/>
  <c r="BI119" i="16"/>
  <c r="AS91" i="16"/>
  <c r="CV97" i="16"/>
  <c r="T128" i="16"/>
  <c r="BS97" i="16"/>
  <c r="T90" i="16"/>
  <c r="AB109" i="16"/>
  <c r="CZ94" i="16"/>
  <c r="Y110" i="16"/>
  <c r="AQ127" i="16"/>
  <c r="Q122" i="16"/>
  <c r="AH96" i="16"/>
  <c r="CR21" i="16"/>
  <c r="DB92" i="16"/>
  <c r="V107" i="16"/>
  <c r="CM98" i="16"/>
  <c r="BC77" i="16"/>
  <c r="P95" i="16"/>
  <c r="Z123" i="16"/>
  <c r="CZ77" i="16"/>
  <c r="DB110" i="16"/>
  <c r="CI66" i="16"/>
  <c r="AT124" i="16"/>
  <c r="BV101" i="16"/>
  <c r="CR101" i="16"/>
  <c r="AK129" i="16"/>
  <c r="CR93" i="16"/>
  <c r="R55" i="16"/>
  <c r="AU96" i="16"/>
  <c r="DB21" i="16"/>
  <c r="BP96" i="16"/>
  <c r="J125" i="16"/>
  <c r="BK123" i="16"/>
  <c r="AF109" i="16"/>
  <c r="CF90" i="16"/>
  <c r="CN127" i="16"/>
  <c r="BL55" i="16"/>
  <c r="AA121" i="16"/>
  <c r="CE90" i="16"/>
  <c r="AT125" i="16"/>
  <c r="AF96" i="16"/>
  <c r="M104" i="16"/>
  <c r="CJ107" i="16"/>
  <c r="CI21" i="16"/>
  <c r="AP21" i="16"/>
  <c r="BT119" i="16"/>
  <c r="CJ123" i="16"/>
  <c r="AU93" i="16"/>
  <c r="J91" i="16"/>
  <c r="CV104" i="16"/>
  <c r="BG43" i="16"/>
  <c r="CR55" i="16"/>
  <c r="BO124" i="16"/>
  <c r="M112" i="16"/>
  <c r="AZ99" i="16"/>
  <c r="AI120" i="16"/>
  <c r="AO102" i="16"/>
  <c r="BA97" i="16"/>
  <c r="J112" i="16"/>
  <c r="AU104" i="16"/>
  <c r="Z106" i="16"/>
  <c r="CH66" i="16"/>
  <c r="AI106" i="16"/>
  <c r="CU105" i="16"/>
  <c r="R43" i="16"/>
  <c r="BO43" i="16"/>
  <c r="AG110" i="16"/>
  <c r="CG95" i="16"/>
  <c r="AD128" i="16"/>
  <c r="BR55" i="16"/>
  <c r="BI104" i="16"/>
  <c r="BZ128" i="16"/>
  <c r="L109" i="16"/>
  <c r="AB97" i="16"/>
  <c r="AI109" i="16"/>
  <c r="DB121" i="16"/>
  <c r="BQ123" i="16"/>
  <c r="AT92" i="16"/>
  <c r="CC99" i="16"/>
  <c r="DA124" i="16"/>
  <c r="O97" i="16"/>
  <c r="V91" i="16"/>
  <c r="S106" i="16"/>
  <c r="AM123" i="16"/>
  <c r="CI124" i="16"/>
  <c r="AZ32" i="16"/>
  <c r="H106" i="16"/>
  <c r="BF121" i="16"/>
  <c r="W77" i="16"/>
  <c r="BD93" i="16"/>
  <c r="Q102" i="16"/>
  <c r="AO101" i="16"/>
  <c r="CS21" i="16"/>
  <c r="CP93" i="16"/>
  <c r="CG119" i="16"/>
  <c r="P117" i="14"/>
  <c r="AE21" i="16"/>
  <c r="AH106" i="16"/>
  <c r="BR32" i="16"/>
  <c r="BI105" i="16"/>
  <c r="CG104" i="16"/>
  <c r="CH108" i="16"/>
  <c r="AC129" i="16"/>
  <c r="AB95" i="16"/>
  <c r="BV104" i="16"/>
  <c r="R112" i="16"/>
  <c r="CB90" i="16"/>
  <c r="BD110" i="16"/>
  <c r="BS128" i="16"/>
  <c r="BW66" i="16"/>
  <c r="CG128" i="16"/>
  <c r="BK120" i="16"/>
  <c r="AV97" i="16"/>
  <c r="AU124" i="16"/>
  <c r="AL55" i="16"/>
  <c r="BN124" i="16"/>
  <c r="BO99" i="16"/>
  <c r="Y77" i="16"/>
  <c r="CV106" i="16"/>
  <c r="N117" i="14"/>
  <c r="AB92" i="16"/>
  <c r="AZ123" i="16"/>
  <c r="AP93" i="16"/>
  <c r="CV129" i="16"/>
  <c r="CP128" i="16"/>
  <c r="BG103" i="16"/>
  <c r="CX127" i="16"/>
  <c r="N92" i="16"/>
  <c r="CY124" i="16"/>
  <c r="AP92" i="16"/>
  <c r="L55" i="16"/>
  <c r="AM92" i="16"/>
  <c r="BS106" i="16"/>
  <c r="AS122" i="16"/>
  <c r="Y95" i="16"/>
  <c r="BX107" i="16"/>
  <c r="AV104" i="16"/>
  <c r="BV103" i="16"/>
  <c r="U119" i="16"/>
  <c r="AK119" i="16"/>
  <c r="CE97" i="16"/>
  <c r="BW106" i="16"/>
  <c r="CQ106" i="16"/>
  <c r="CQ105" i="16"/>
  <c r="R128" i="16"/>
  <c r="BE95" i="16"/>
  <c r="CA90" i="16"/>
  <c r="CJ119" i="16"/>
  <c r="AT107" i="16"/>
  <c r="DA106" i="16"/>
  <c r="AI21" i="16"/>
  <c r="BH108" i="16"/>
  <c r="DC121" i="16"/>
  <c r="AD104" i="16"/>
  <c r="BW93" i="16"/>
  <c r="CO104" i="16"/>
  <c r="BD109" i="16"/>
  <c r="CQ91" i="16"/>
  <c r="BN129" i="16"/>
  <c r="BY128" i="16"/>
  <c r="S66" i="16"/>
  <c r="AX98" i="16"/>
  <c r="BY66" i="16"/>
  <c r="AR77" i="16"/>
  <c r="AM121" i="16"/>
  <c r="BJ106" i="16"/>
  <c r="P66" i="16"/>
  <c r="BX109" i="16"/>
  <c r="O109" i="16"/>
  <c r="CW77" i="16"/>
  <c r="AD92" i="16"/>
  <c r="BM121" i="16"/>
  <c r="BQ124" i="16"/>
  <c r="BZ77" i="16"/>
  <c r="CP120" i="16"/>
  <c r="BR93" i="16"/>
  <c r="AJ110" i="16"/>
  <c r="CY98" i="16"/>
  <c r="CS124" i="16"/>
  <c r="AS110" i="16"/>
  <c r="M110" i="16"/>
  <c r="P128" i="16"/>
  <c r="BA98" i="16"/>
  <c r="BC103" i="16"/>
  <c r="BQ97" i="16"/>
  <c r="CN95" i="16"/>
  <c r="P55" i="16"/>
  <c r="BN94" i="16"/>
  <c r="AK98" i="16"/>
  <c r="CZ92" i="16"/>
  <c r="AG120" i="16"/>
  <c r="AM43" i="16"/>
  <c r="CF129" i="16"/>
  <c r="AX102" i="16"/>
  <c r="BC98" i="16"/>
  <c r="BE106" i="16"/>
  <c r="CJ108" i="16"/>
  <c r="P93" i="16"/>
  <c r="CN122" i="16"/>
  <c r="BF98" i="16"/>
  <c r="CK109" i="16"/>
  <c r="O124" i="16"/>
  <c r="BQ120" i="16"/>
  <c r="CX107" i="16"/>
  <c r="AH119" i="16"/>
  <c r="AB32" i="16"/>
  <c r="P96" i="16"/>
  <c r="AD121" i="16"/>
  <c r="AM129" i="16"/>
  <c r="AQ94" i="16"/>
  <c r="AS123" i="16"/>
  <c r="AG122" i="16"/>
  <c r="BT95" i="16"/>
  <c r="X92" i="16"/>
  <c r="J77" i="16"/>
  <c r="AJ123" i="16"/>
  <c r="Y96" i="16"/>
  <c r="BF95" i="16"/>
  <c r="J121" i="16"/>
  <c r="K103" i="16"/>
  <c r="BL125" i="16"/>
  <c r="L66" i="16"/>
  <c r="CD92" i="16"/>
  <c r="CG120" i="16"/>
  <c r="AJ98" i="16"/>
  <c r="CW95" i="16"/>
  <c r="BF128" i="16"/>
  <c r="CB66" i="16"/>
  <c r="U91" i="16"/>
  <c r="BA102" i="16"/>
  <c r="AW21" i="16"/>
  <c r="X101" i="16"/>
  <c r="AM105" i="16"/>
  <c r="BK107" i="16"/>
  <c r="V94" i="16"/>
  <c r="CG122" i="16"/>
  <c r="AF101" i="16"/>
  <c r="BV129" i="16"/>
  <c r="BU119" i="16"/>
  <c r="AM110" i="16"/>
  <c r="CR105" i="16"/>
  <c r="CV123" i="16"/>
  <c r="BB66" i="16"/>
  <c r="CZ127" i="16"/>
  <c r="N96" i="16"/>
  <c r="R129" i="16"/>
  <c r="BJ91" i="16"/>
  <c r="CO124" i="16"/>
  <c r="BW43" i="16"/>
  <c r="T117" i="14"/>
  <c r="I97" i="16"/>
  <c r="CY120" i="16"/>
  <c r="L119" i="16"/>
  <c r="AI119" i="16"/>
  <c r="AO92" i="16"/>
  <c r="BY125" i="16"/>
  <c r="S108" i="16"/>
  <c r="BW129" i="16"/>
  <c r="S117" i="14"/>
  <c r="BM107" i="16"/>
  <c r="AV124" i="16"/>
  <c r="BN128" i="16"/>
  <c r="Q123" i="16"/>
  <c r="CV93" i="16"/>
  <c r="AI98" i="16"/>
  <c r="CK119" i="16"/>
  <c r="AZ91" i="16"/>
  <c r="DB97" i="16"/>
  <c r="CC124" i="16"/>
  <c r="Q93" i="16"/>
  <c r="CW66" i="16"/>
  <c r="AU90" i="16"/>
  <c r="AB93" i="16"/>
  <c r="AO124" i="16"/>
  <c r="BJ99" i="16"/>
  <c r="CL103" i="16"/>
  <c r="DB99" i="16"/>
  <c r="CZ55" i="16"/>
  <c r="P112" i="16"/>
  <c r="CR77" i="16"/>
  <c r="DB124" i="16"/>
  <c r="BH101" i="16"/>
  <c r="BI98" i="16"/>
  <c r="BM108" i="16"/>
  <c r="CC77" i="16"/>
  <c r="CH102" i="16"/>
  <c r="BJ103" i="16"/>
  <c r="AF103" i="16"/>
  <c r="Z43" i="16"/>
  <c r="CX77" i="16"/>
  <c r="AC101" i="16"/>
  <c r="S105" i="16"/>
  <c r="BU125" i="16"/>
  <c r="BQ107" i="16"/>
  <c r="AQ108" i="16"/>
  <c r="CO102" i="16"/>
  <c r="AD127" i="16"/>
  <c r="L110" i="16"/>
  <c r="AP32" i="16"/>
  <c r="CO94" i="16"/>
  <c r="BW119" i="16"/>
  <c r="BM125" i="16"/>
  <c r="AP66" i="16"/>
  <c r="S121" i="16"/>
  <c r="AR32" i="16"/>
  <c r="BT55" i="16"/>
  <c r="CK95" i="16"/>
  <c r="BI93" i="16"/>
  <c r="BC109" i="16"/>
  <c r="AF55" i="16"/>
  <c r="CS119" i="16"/>
  <c r="BB99" i="16"/>
  <c r="BP101" i="16"/>
  <c r="K94" i="16"/>
  <c r="BM124" i="16"/>
  <c r="AT96" i="16"/>
  <c r="BV120" i="16"/>
  <c r="O32" i="16"/>
  <c r="BD106" i="16"/>
  <c r="X123" i="16"/>
  <c r="M106" i="16"/>
  <c r="Y43" i="16"/>
  <c r="BI129" i="16"/>
  <c r="AI96" i="16"/>
  <c r="AH110" i="16"/>
  <c r="Y99" i="16"/>
  <c r="BX127" i="16"/>
  <c r="BV98" i="16"/>
  <c r="CF43" i="16"/>
  <c r="AX110" i="16"/>
  <c r="CR127" i="16"/>
  <c r="AR121" i="16"/>
  <c r="CM121" i="16"/>
  <c r="BE102" i="16"/>
  <c r="BS77" i="16"/>
  <c r="H92" i="16"/>
  <c r="CF21" i="16"/>
  <c r="BU102" i="16"/>
  <c r="AJ90" i="16"/>
  <c r="AJ108" i="16"/>
  <c r="CW128" i="16"/>
  <c r="CW32" i="16"/>
  <c r="CE122" i="16"/>
  <c r="AO66" i="16"/>
  <c r="CS92" i="16"/>
  <c r="CI98" i="16"/>
  <c r="AZ104" i="16"/>
  <c r="AD106" i="16"/>
  <c r="BM123" i="16"/>
  <c r="R103" i="16"/>
  <c r="L103" i="16"/>
  <c r="M90" i="16"/>
  <c r="AH103" i="16"/>
  <c r="BE96" i="16"/>
  <c r="CJ95" i="16"/>
  <c r="O117" i="14"/>
  <c r="BL98" i="16"/>
  <c r="BY77" i="16"/>
  <c r="R99" i="16"/>
  <c r="CZ101" i="16"/>
  <c r="BA124" i="16"/>
  <c r="CN121" i="16"/>
  <c r="R97" i="16"/>
  <c r="BX94" i="16"/>
  <c r="Q112" i="16"/>
  <c r="Y66" i="16"/>
  <c r="BK103" i="16"/>
  <c r="CI122" i="16"/>
  <c r="K127" i="16"/>
  <c r="S96" i="16"/>
  <c r="K112" i="16"/>
  <c r="AY97" i="16"/>
  <c r="M97" i="16"/>
  <c r="O128" i="16"/>
  <c r="CZ21" i="16"/>
  <c r="X125" i="16"/>
  <c r="AL109" i="16"/>
  <c r="M66" i="16"/>
  <c r="CP107" i="16"/>
  <c r="J106" i="16"/>
  <c r="BO104" i="16"/>
  <c r="AP101" i="16"/>
  <c r="J94" i="16"/>
  <c r="CK94" i="16"/>
  <c r="CA129" i="16"/>
  <c r="CW55" i="16"/>
  <c r="S55" i="16"/>
  <c r="BZ66" i="16"/>
  <c r="AK104" i="16"/>
  <c r="CQ43" i="16"/>
  <c r="CS107" i="16"/>
  <c r="BM32" i="16"/>
  <c r="DA66" i="16"/>
  <c r="T124" i="16"/>
  <c r="AF95" i="16"/>
  <c r="AD119" i="16"/>
  <c r="H21" i="16"/>
  <c r="Q103" i="16"/>
  <c r="BR105" i="16"/>
  <c r="CL110" i="16"/>
  <c r="AU77" i="16"/>
  <c r="BK122" i="16"/>
  <c r="AE105" i="16"/>
  <c r="BK97" i="16"/>
  <c r="BN120" i="16"/>
  <c r="AQ106" i="16"/>
  <c r="CJ122" i="16"/>
  <c r="AP122" i="16"/>
  <c r="BL129" i="16"/>
  <c r="CG125" i="16"/>
  <c r="K102" i="16"/>
  <c r="DC120" i="16"/>
  <c r="AP128" i="16"/>
  <c r="AL110" i="16"/>
  <c r="Q112" i="15"/>
  <c r="H98" i="16"/>
  <c r="AQ121" i="16"/>
  <c r="AL99" i="16"/>
  <c r="R109" i="16"/>
  <c r="BL93" i="16"/>
  <c r="CP97" i="16"/>
  <c r="BX123" i="16"/>
  <c r="AS32" i="16"/>
  <c r="N99" i="16"/>
  <c r="CP43" i="16"/>
  <c r="BK96" i="16"/>
  <c r="BE128" i="16"/>
  <c r="BJ66" i="16"/>
  <c r="BI121" i="16"/>
  <c r="CE99" i="16"/>
  <c r="CL122" i="16"/>
  <c r="BB123" i="16"/>
  <c r="BT77" i="16"/>
  <c r="M127" i="16"/>
  <c r="BC66" i="16"/>
  <c r="CI103" i="16"/>
  <c r="AV107" i="16"/>
  <c r="AC127" i="16"/>
  <c r="O99" i="16"/>
  <c r="BB129" i="16"/>
  <c r="CM123" i="16"/>
  <c r="AS109" i="16"/>
  <c r="CW103" i="16"/>
  <c r="CD127" i="16"/>
  <c r="N112" i="16"/>
  <c r="AC125" i="16"/>
  <c r="N109" i="16"/>
  <c r="H55" i="16"/>
  <c r="AT91" i="16"/>
  <c r="N124" i="16"/>
  <c r="AS95" i="16"/>
  <c r="Y108" i="16"/>
  <c r="AW43" i="16"/>
  <c r="CZ32" i="16"/>
  <c r="BX103" i="16"/>
  <c r="U129" i="16"/>
  <c r="AF125" i="16"/>
  <c r="AB90" i="16"/>
  <c r="BW32" i="16"/>
  <c r="CS90" i="16"/>
  <c r="CU121" i="16"/>
  <c r="AJ127" i="16"/>
  <c r="CP90" i="16"/>
  <c r="T99" i="16"/>
  <c r="AB108" i="16"/>
  <c r="AB125" i="16"/>
  <c r="BB104" i="16"/>
  <c r="BW110" i="16"/>
  <c r="W112" i="16"/>
  <c r="S95" i="16"/>
  <c r="BM43" i="16"/>
  <c r="CO120" i="16"/>
  <c r="AO90" i="16"/>
  <c r="AD105" i="16"/>
  <c r="BY103" i="16"/>
  <c r="AP102" i="16"/>
  <c r="X119" i="16"/>
  <c r="AG102" i="16"/>
  <c r="AN43" i="16"/>
  <c r="BK109" i="16"/>
  <c r="W117" i="14"/>
  <c r="CZ91" i="16"/>
  <c r="CA21" i="16"/>
  <c r="BH119" i="16"/>
  <c r="AX124" i="16"/>
  <c r="CB103" i="16"/>
  <c r="CE21" i="16"/>
  <c r="S77" i="16"/>
  <c r="CZ129" i="16"/>
  <c r="CN129" i="16"/>
  <c r="Q125" i="16"/>
  <c r="AU125" i="16"/>
  <c r="AD77" i="16"/>
  <c r="AS96" i="16"/>
  <c r="S112" i="15"/>
  <c r="CS129" i="16"/>
  <c r="AJ66" i="16"/>
  <c r="L92" i="16"/>
  <c r="BP99" i="16"/>
  <c r="BG122" i="16"/>
  <c r="CM127" i="16"/>
  <c r="X55" i="16"/>
  <c r="CN104" i="16"/>
  <c r="AD107" i="16"/>
  <c r="CQ128" i="16"/>
  <c r="AH129" i="16"/>
  <c r="AE120" i="16"/>
  <c r="AO121" i="16"/>
  <c r="AP124" i="16"/>
  <c r="BI106" i="16"/>
  <c r="BU94" i="16"/>
  <c r="X77" i="16"/>
  <c r="BO94" i="16"/>
  <c r="DB104" i="16"/>
  <c r="AB55" i="16"/>
  <c r="DA92" i="16"/>
  <c r="I98" i="16"/>
  <c r="AJ93" i="16"/>
  <c r="AE119" i="16"/>
  <c r="AJ43" i="16"/>
  <c r="I90" i="16"/>
  <c r="O121" i="16"/>
  <c r="BS121" i="16"/>
  <c r="CA128" i="16"/>
  <c r="BM94" i="16"/>
  <c r="BI55" i="16"/>
  <c r="CW98" i="16"/>
  <c r="AH127" i="16"/>
  <c r="H124" i="16"/>
  <c r="CX124" i="16"/>
  <c r="AX66" i="16"/>
  <c r="K91" i="16"/>
  <c r="AN101" i="16"/>
  <c r="BH107" i="16"/>
  <c r="CS128" i="16"/>
  <c r="O77" i="16"/>
  <c r="BU105" i="16"/>
  <c r="BO110" i="16"/>
  <c r="AS101" i="16"/>
  <c r="BT21" i="16"/>
  <c r="CU96" i="16"/>
  <c r="BE109" i="16"/>
  <c r="CX92" i="16"/>
  <c r="AU128" i="16"/>
  <c r="BP125" i="16"/>
  <c r="CG107" i="16"/>
  <c r="BH90" i="16"/>
  <c r="BS93" i="16"/>
  <c r="AT119" i="16"/>
  <c r="CD94" i="16"/>
  <c r="N105" i="16"/>
  <c r="CV103" i="16"/>
  <c r="CD77" i="16"/>
  <c r="BU127" i="16"/>
  <c r="AK97" i="16"/>
  <c r="CN99" i="16"/>
  <c r="BE91" i="16"/>
  <c r="BC104" i="16"/>
  <c r="BW108" i="16"/>
  <c r="Z55" i="16"/>
  <c r="AC66" i="16"/>
  <c r="I93" i="16"/>
  <c r="BK128" i="16"/>
  <c r="AT129" i="16"/>
  <c r="CV99" i="16"/>
  <c r="DB96" i="16"/>
  <c r="BD120" i="16"/>
  <c r="AH93" i="16"/>
  <c r="W127" i="16"/>
  <c r="L124" i="16"/>
  <c r="CX90" i="16"/>
  <c r="BM106" i="16"/>
  <c r="V103" i="16"/>
  <c r="AW66" i="16"/>
  <c r="CO96" i="16"/>
  <c r="AW122" i="16"/>
  <c r="L112" i="16"/>
  <c r="R91" i="16"/>
  <c r="AQ102" i="16"/>
  <c r="L32" i="16"/>
  <c r="BS124" i="16"/>
  <c r="CX106" i="16"/>
  <c r="AL124" i="16"/>
  <c r="M109" i="16"/>
  <c r="AL96" i="16"/>
  <c r="BX97" i="16"/>
  <c r="K43" i="16"/>
  <c r="P123" i="16"/>
  <c r="BE93" i="16"/>
  <c r="CK92" i="16"/>
  <c r="I96" i="16"/>
  <c r="BV90" i="16"/>
  <c r="BE32" i="16"/>
  <c r="AG109" i="16"/>
  <c r="BT92" i="16"/>
  <c r="CP99" i="16"/>
  <c r="S125" i="16"/>
  <c r="S123" i="16"/>
  <c r="CU124" i="16"/>
  <c r="K101" i="16"/>
  <c r="S91" i="16"/>
  <c r="BS98" i="16"/>
  <c r="W109" i="16"/>
  <c r="I101" i="16"/>
  <c r="AV106" i="16"/>
  <c r="BK98" i="16"/>
  <c r="AI97" i="16"/>
  <c r="Y104" i="16"/>
  <c r="AT110" i="16"/>
  <c r="V125" i="16"/>
  <c r="J55" i="16"/>
  <c r="T91" i="16"/>
  <c r="BE105" i="16"/>
  <c r="J95" i="16"/>
  <c r="BC102" i="16"/>
  <c r="W97" i="16"/>
  <c r="O66" i="16"/>
  <c r="DA101" i="16"/>
  <c r="AV101" i="16"/>
  <c r="AS90" i="16"/>
  <c r="AZ122" i="16"/>
  <c r="DC66" i="16"/>
  <c r="BD122" i="16"/>
  <c r="CP106" i="16"/>
  <c r="CU43" i="16"/>
  <c r="P122" i="16"/>
  <c r="AK109" i="16"/>
  <c r="O98" i="16"/>
  <c r="AN107" i="16"/>
  <c r="CP32" i="16"/>
  <c r="AC99" i="16"/>
  <c r="AR129" i="16"/>
  <c r="U104" i="16"/>
  <c r="BZ103" i="16"/>
  <c r="AY125" i="16"/>
  <c r="K110" i="16"/>
  <c r="AL128" i="16"/>
  <c r="AI121" i="16"/>
  <c r="CU120" i="16"/>
  <c r="W124" i="16"/>
  <c r="X66" i="16"/>
  <c r="AB119" i="16"/>
  <c r="AP90" i="16"/>
  <c r="T104" i="16"/>
  <c r="DA21" i="16"/>
  <c r="BY108" i="16"/>
  <c r="X90" i="16"/>
  <c r="CH125" i="16"/>
  <c r="BJ94" i="16"/>
  <c r="BI97" i="16"/>
  <c r="BG98" i="16"/>
  <c r="U124" i="16"/>
  <c r="BG66" i="16"/>
  <c r="AJ107" i="16"/>
  <c r="AY104" i="16"/>
  <c r="CR103" i="16"/>
  <c r="CA125" i="16"/>
  <c r="BO128" i="16"/>
  <c r="X93" i="16"/>
  <c r="S107" i="16"/>
  <c r="BH123" i="16"/>
  <c r="AI99" i="16"/>
  <c r="Q107" i="16"/>
  <c r="J104" i="16"/>
  <c r="DB98" i="16"/>
  <c r="CO99" i="16"/>
  <c r="AF128" i="16"/>
  <c r="AU66" i="16"/>
  <c r="AB127" i="16"/>
  <c r="BI122" i="16"/>
  <c r="CD104" i="16"/>
  <c r="BR21" i="16"/>
  <c r="BZ122" i="16"/>
  <c r="M112" i="15"/>
  <c r="BP97" i="16"/>
  <c r="AL127" i="16"/>
  <c r="BN110" i="16"/>
  <c r="BJ21" i="16"/>
  <c r="BB101" i="16"/>
  <c r="Q43" i="16"/>
  <c r="CM55" i="16"/>
  <c r="CD123" i="16"/>
  <c r="BY129" i="16"/>
  <c r="BU121" i="16"/>
  <c r="BO21" i="16"/>
  <c r="W93" i="16"/>
  <c r="AH124" i="16"/>
  <c r="AR123" i="16"/>
  <c r="BG101" i="16"/>
  <c r="BU104" i="16"/>
  <c r="AS106" i="16"/>
  <c r="AR102" i="16"/>
  <c r="T32" i="16"/>
  <c r="AE43" i="16"/>
  <c r="U128" i="16"/>
  <c r="Y103" i="16"/>
  <c r="T112" i="15"/>
  <c r="CF96" i="16"/>
  <c r="T135" i="15" l="1"/>
  <c r="T138" i="15" s="1"/>
  <c r="AS137" i="16"/>
  <c r="BG100" i="16"/>
  <c r="BG115" i="16"/>
  <c r="BO132" i="16"/>
  <c r="BB100" i="16"/>
  <c r="BB115" i="16"/>
  <c r="BJ132" i="16"/>
  <c r="AL126" i="16"/>
  <c r="M135" i="15"/>
  <c r="M138" i="15" s="1"/>
  <c r="BR132" i="16"/>
  <c r="AB126" i="16"/>
  <c r="X89" i="16"/>
  <c r="X114" i="16"/>
  <c r="DA132" i="16"/>
  <c r="AP89" i="16"/>
  <c r="AP114" i="16"/>
  <c r="CP137" i="16"/>
  <c r="AS114" i="16"/>
  <c r="AS89" i="16"/>
  <c r="AV100" i="16"/>
  <c r="AV115" i="16"/>
  <c r="DA115" i="16"/>
  <c r="DA100" i="16"/>
  <c r="J136" i="16"/>
  <c r="AV137" i="16"/>
  <c r="I115" i="16"/>
  <c r="I100" i="16"/>
  <c r="K115" i="16"/>
  <c r="K100" i="16"/>
  <c r="BV114" i="16"/>
  <c r="BV89" i="16"/>
  <c r="CX137" i="16"/>
  <c r="BM137" i="16"/>
  <c r="CX89" i="16"/>
  <c r="CX131" i="16" s="1"/>
  <c r="CX114" i="16"/>
  <c r="W126" i="16"/>
  <c r="BU126" i="16"/>
  <c r="AT118" i="16"/>
  <c r="BH89" i="16"/>
  <c r="BH114" i="16"/>
  <c r="BT132" i="16"/>
  <c r="AS100" i="16"/>
  <c r="AS115" i="16"/>
  <c r="AN115" i="16"/>
  <c r="AN100" i="16"/>
  <c r="F124" i="16"/>
  <c r="G124" i="16"/>
  <c r="AH126" i="16"/>
  <c r="I114" i="16"/>
  <c r="I89" i="16"/>
  <c r="AE118" i="16"/>
  <c r="BI137" i="16"/>
  <c r="CM126" i="16"/>
  <c r="S135" i="15"/>
  <c r="S138" i="15" s="1"/>
  <c r="CE132" i="16"/>
  <c r="BH118" i="16"/>
  <c r="CA132" i="16"/>
  <c r="BN89" i="19"/>
  <c r="AO89" i="16"/>
  <c r="AO114" i="16"/>
  <c r="S136" i="16"/>
  <c r="CP114" i="16"/>
  <c r="CP89" i="16"/>
  <c r="AJ126" i="16"/>
  <c r="CS89" i="16"/>
  <c r="CS131" i="16" s="1"/>
  <c r="CS114" i="16"/>
  <c r="AB89" i="16"/>
  <c r="AB114" i="16"/>
  <c r="AS136" i="16"/>
  <c r="F55" i="16"/>
  <c r="G55" i="16"/>
  <c r="CD126" i="16"/>
  <c r="AC126" i="16"/>
  <c r="M126" i="16"/>
  <c r="F98" i="16"/>
  <c r="G98" i="16"/>
  <c r="Q135" i="15"/>
  <c r="Q138" i="15" s="1"/>
  <c r="AQ137" i="16"/>
  <c r="G21" i="16"/>
  <c r="H132" i="16"/>
  <c r="F21" i="16"/>
  <c r="AD118" i="16"/>
  <c r="AF136" i="16"/>
  <c r="AP100" i="16"/>
  <c r="AP115" i="16"/>
  <c r="J137" i="16"/>
  <c r="CZ132" i="16"/>
  <c r="K126" i="16"/>
  <c r="CZ115" i="16"/>
  <c r="CZ100" i="16"/>
  <c r="AH89" i="19"/>
  <c r="CJ136" i="16"/>
  <c r="M89" i="16"/>
  <c r="M114" i="16"/>
  <c r="AD137" i="16"/>
  <c r="AJ89" i="16"/>
  <c r="AJ114" i="16"/>
  <c r="CF132" i="16"/>
  <c r="F92" i="16"/>
  <c r="G92" i="16"/>
  <c r="CR126" i="16"/>
  <c r="BX126" i="16"/>
  <c r="M137" i="16"/>
  <c r="BD137" i="16"/>
  <c r="BP115" i="16"/>
  <c r="BP100" i="16"/>
  <c r="CS118" i="16"/>
  <c r="CK136" i="16"/>
  <c r="BW118" i="16"/>
  <c r="AD126" i="16"/>
  <c r="AC100" i="16"/>
  <c r="AC115" i="16"/>
  <c r="BH100" i="16"/>
  <c r="BH115" i="16"/>
  <c r="AU114" i="16"/>
  <c r="AU89" i="16"/>
  <c r="CK118" i="16"/>
  <c r="AX89" i="19"/>
  <c r="AI118" i="16"/>
  <c r="BB89" i="19"/>
  <c r="CZ126" i="16"/>
  <c r="BU118" i="16"/>
  <c r="BU117" i="16" s="1"/>
  <c r="AF100" i="16"/>
  <c r="AF115" i="16"/>
  <c r="X100" i="16"/>
  <c r="X115" i="16"/>
  <c r="AW132" i="16"/>
  <c r="CW136" i="16"/>
  <c r="BF136" i="16"/>
  <c r="BT136" i="16"/>
  <c r="AH118" i="16"/>
  <c r="BE137" i="16"/>
  <c r="CN136" i="16"/>
  <c r="BJ137" i="16"/>
  <c r="AI132" i="16"/>
  <c r="DA137" i="16"/>
  <c r="CJ118" i="16"/>
  <c r="CA114" i="16"/>
  <c r="CA89" i="16"/>
  <c r="BE136" i="16"/>
  <c r="CQ137" i="16"/>
  <c r="BW137" i="16"/>
  <c r="AK118" i="16"/>
  <c r="Y136" i="16"/>
  <c r="BS137" i="16"/>
  <c r="CX126" i="16"/>
  <c r="AD89" i="19"/>
  <c r="CV137" i="16"/>
  <c r="CB114" i="16"/>
  <c r="CB89" i="16"/>
  <c r="CB131" i="16" s="1"/>
  <c r="AB136" i="16"/>
  <c r="AH137" i="16"/>
  <c r="AE132" i="16"/>
  <c r="AL89" i="19"/>
  <c r="CG118" i="16"/>
  <c r="CS132" i="16"/>
  <c r="AO100" i="16"/>
  <c r="AO115" i="16"/>
  <c r="H137" i="16"/>
  <c r="G106" i="16"/>
  <c r="F106" i="16"/>
  <c r="S137" i="16"/>
  <c r="CG136" i="16"/>
  <c r="AI137" i="16"/>
  <c r="Z137" i="16"/>
  <c r="G112" i="16"/>
  <c r="F112" i="16"/>
  <c r="BT118" i="16"/>
  <c r="AP132" i="16"/>
  <c r="CI132" i="16"/>
  <c r="CE89" i="16"/>
  <c r="CE114" i="16"/>
  <c r="CN126" i="16"/>
  <c r="CF89" i="16"/>
  <c r="CF131" i="16" s="1"/>
  <c r="CF114" i="16"/>
  <c r="DB132" i="16"/>
  <c r="CR115" i="16"/>
  <c r="CR100" i="16"/>
  <c r="BV100" i="16"/>
  <c r="BV115" i="16"/>
  <c r="P136" i="16"/>
  <c r="CR132" i="16"/>
  <c r="AQ126" i="16"/>
  <c r="T114" i="16"/>
  <c r="T89" i="16"/>
  <c r="BI118" i="16"/>
  <c r="CE118" i="16"/>
  <c r="CD137" i="16"/>
  <c r="AA137" i="16"/>
  <c r="BC100" i="16"/>
  <c r="BC115" i="16"/>
  <c r="AM114" i="16"/>
  <c r="AM89" i="16"/>
  <c r="AO137" i="16"/>
  <c r="BD132" i="16"/>
  <c r="CO114" i="16"/>
  <c r="CO89" i="16"/>
  <c r="Q137" i="16"/>
  <c r="CE137" i="16"/>
  <c r="S126" i="16"/>
  <c r="CH126" i="16"/>
  <c r="BK137" i="16"/>
  <c r="BX100" i="16"/>
  <c r="BX115" i="16"/>
  <c r="CT136" i="16"/>
  <c r="AW126" i="16"/>
  <c r="CK132" i="16"/>
  <c r="AM136" i="16"/>
  <c r="CV136" i="16"/>
  <c r="F122" i="16"/>
  <c r="G122" i="16"/>
  <c r="BD118" i="16"/>
  <c r="AM126" i="16"/>
  <c r="BL89" i="16"/>
  <c r="BL131" i="16" s="1"/>
  <c r="BL114" i="16"/>
  <c r="AX137" i="16"/>
  <c r="BK89" i="16"/>
  <c r="BK131" i="16" s="1"/>
  <c r="BK114" i="16"/>
  <c r="T136" i="16"/>
  <c r="F104" i="16"/>
  <c r="G104" i="16"/>
  <c r="CE136" i="16"/>
  <c r="AW136" i="16"/>
  <c r="CV126" i="16"/>
  <c r="F99" i="16"/>
  <c r="G99" i="16"/>
  <c r="M132" i="16"/>
  <c r="CA136" i="16"/>
  <c r="BN136" i="16"/>
  <c r="CJ89" i="16"/>
  <c r="CJ131" i="16" s="1"/>
  <c r="CJ114" i="16"/>
  <c r="AL136" i="16"/>
  <c r="K89" i="16"/>
  <c r="K114" i="16"/>
  <c r="BD136" i="16"/>
  <c r="CI137" i="16"/>
  <c r="V89" i="19"/>
  <c r="BY114" i="16"/>
  <c r="BY89" i="16"/>
  <c r="BS136" i="16"/>
  <c r="AI136" i="16"/>
  <c r="AR118" i="16"/>
  <c r="BZ118" i="16"/>
  <c r="BI132" i="16"/>
  <c r="BK126" i="16"/>
  <c r="AW89" i="16"/>
  <c r="AW114" i="16"/>
  <c r="CY115" i="16"/>
  <c r="CY100" i="16"/>
  <c r="BQ126" i="16"/>
  <c r="CF137" i="16"/>
  <c r="W100" i="16"/>
  <c r="W115" i="16"/>
  <c r="BQ118" i="16"/>
  <c r="BQ117" i="16" s="1"/>
  <c r="AN137" i="16"/>
  <c r="CN115" i="16"/>
  <c r="CN100" i="16"/>
  <c r="AD115" i="16"/>
  <c r="AD100" i="16"/>
  <c r="AH132" i="16"/>
  <c r="S115" i="16"/>
  <c r="S100" i="16"/>
  <c r="U114" i="16"/>
  <c r="U89" i="16"/>
  <c r="U131" i="16" s="1"/>
  <c r="R136" i="16"/>
  <c r="BD126" i="16"/>
  <c r="AZ137" i="16"/>
  <c r="G77" i="16"/>
  <c r="F77" i="16"/>
  <c r="AK100" i="16"/>
  <c r="AK115" i="16"/>
  <c r="DB115" i="16"/>
  <c r="DB100" i="16"/>
  <c r="M136" i="16"/>
  <c r="AG136" i="16"/>
  <c r="CP118" i="16"/>
  <c r="L136" i="16"/>
  <c r="AK114" i="16"/>
  <c r="AK89" i="16"/>
  <c r="BM118" i="16"/>
  <c r="CC126" i="16"/>
  <c r="T132" i="16"/>
  <c r="BH137" i="16"/>
  <c r="CK137" i="16"/>
  <c r="R132" i="16"/>
  <c r="BB137" i="16"/>
  <c r="BU100" i="16"/>
  <c r="BU115" i="16"/>
  <c r="CH132" i="16"/>
  <c r="M100" i="16"/>
  <c r="M115" i="16"/>
  <c r="AZ100" i="16"/>
  <c r="AZ115" i="16"/>
  <c r="CO100" i="16"/>
  <c r="CO115" i="16"/>
  <c r="BO118" i="16"/>
  <c r="BT137" i="16"/>
  <c r="N135" i="15"/>
  <c r="N138" i="15" s="1"/>
  <c r="BP126" i="16"/>
  <c r="N126" i="16"/>
  <c r="BA132" i="16"/>
  <c r="AK132" i="16"/>
  <c r="T126" i="16"/>
  <c r="CO137" i="16"/>
  <c r="AT89" i="19"/>
  <c r="BF89" i="16"/>
  <c r="BF114" i="16"/>
  <c r="CT118" i="16"/>
  <c r="BG132" i="16"/>
  <c r="G103" i="16"/>
  <c r="F103" i="16"/>
  <c r="BV136" i="16"/>
  <c r="Q115" i="16"/>
  <c r="Q100" i="16"/>
  <c r="BT126" i="16"/>
  <c r="AT132" i="16"/>
  <c r="AT100" i="16"/>
  <c r="AT115" i="16"/>
  <c r="BU132" i="16"/>
  <c r="AX136" i="16"/>
  <c r="BN115" i="16"/>
  <c r="BN100" i="16"/>
  <c r="AF132" i="16"/>
  <c r="BC137" i="16"/>
  <c r="CU115" i="16"/>
  <c r="CU100" i="16"/>
  <c r="V136" i="16"/>
  <c r="AB115" i="16"/>
  <c r="AB100" i="16"/>
  <c r="AC114" i="16"/>
  <c r="AC89" i="16"/>
  <c r="Y100" i="16"/>
  <c r="Y115" i="16"/>
  <c r="CM132" i="16"/>
  <c r="G110" i="16"/>
  <c r="F110" i="16"/>
  <c r="BK118" i="16"/>
  <c r="BK117" i="16" s="1"/>
  <c r="Z89" i="19"/>
  <c r="AE114" i="16"/>
  <c r="AE89" i="16"/>
  <c r="AD136" i="16"/>
  <c r="BZ137" i="16"/>
  <c r="CQ132" i="16"/>
  <c r="L135" i="15"/>
  <c r="L138" i="15" s="1"/>
  <c r="BJ115" i="16"/>
  <c r="BJ100" i="16"/>
  <c r="BF89" i="19"/>
  <c r="W137" i="16"/>
  <c r="BD100" i="16"/>
  <c r="BD115" i="16"/>
  <c r="Y132" i="16"/>
  <c r="BS132" i="16"/>
  <c r="AO132" i="16"/>
  <c r="AI126" i="16"/>
  <c r="AV126" i="16"/>
  <c r="V89" i="16"/>
  <c r="V114" i="16"/>
  <c r="U136" i="16"/>
  <c r="CZ118" i="16"/>
  <c r="CZ117" i="16" s="1"/>
  <c r="AH136" i="16"/>
  <c r="CQ115" i="16"/>
  <c r="CQ100" i="16"/>
  <c r="Y89" i="16"/>
  <c r="Y114" i="16"/>
  <c r="CH137" i="16"/>
  <c r="AC137" i="16"/>
  <c r="BC118" i="16"/>
  <c r="CL136" i="16"/>
  <c r="AN126" i="16"/>
  <c r="AN132" i="16"/>
  <c r="CF136" i="16"/>
  <c r="AQ132" i="16"/>
  <c r="L114" i="16"/>
  <c r="L89" i="16"/>
  <c r="L131" i="16" s="1"/>
  <c r="BE126" i="16"/>
  <c r="BH126" i="16"/>
  <c r="BH117" i="16" s="1"/>
  <c r="CJ115" i="16"/>
  <c r="CJ100" i="16"/>
  <c r="AL132" i="16"/>
  <c r="CG132" i="16"/>
  <c r="CW137" i="16"/>
  <c r="Z132" i="16"/>
  <c r="AS132" i="16"/>
  <c r="CD132" i="16"/>
  <c r="AY100" i="16"/>
  <c r="AY115" i="16"/>
  <c r="AB132" i="16"/>
  <c r="V132" i="16"/>
  <c r="BR126" i="16"/>
  <c r="CK100" i="16"/>
  <c r="CK115" i="16"/>
  <c r="L126" i="16"/>
  <c r="CY137" i="16"/>
  <c r="BJ114" i="16"/>
  <c r="BJ89" i="16"/>
  <c r="Q136" i="16"/>
  <c r="AY118" i="16"/>
  <c r="AW118" i="16"/>
  <c r="AW117" i="16" s="1"/>
  <c r="BR118" i="16"/>
  <c r="BR137" i="16"/>
  <c r="AP89" i="19"/>
  <c r="BG126" i="16"/>
  <c r="P89" i="16"/>
  <c r="P114" i="16"/>
  <c r="DA118" i="16"/>
  <c r="BN89" i="16"/>
  <c r="BN114" i="16"/>
  <c r="I126" i="16"/>
  <c r="CF118" i="16"/>
  <c r="AU136" i="16"/>
  <c r="AF126" i="16"/>
  <c r="CL132" i="16"/>
  <c r="AK137" i="16"/>
  <c r="DC89" i="16"/>
  <c r="DC131" i="16" s="1"/>
  <c r="DC114" i="16"/>
  <c r="G95" i="16"/>
  <c r="F95" i="16"/>
  <c r="H136" i="16"/>
  <c r="BL136" i="16"/>
  <c r="AP118" i="16"/>
  <c r="AP117" i="16" s="1"/>
  <c r="AZ132" i="16"/>
  <c r="CW115" i="16"/>
  <c r="CW100" i="16"/>
  <c r="BN126" i="16"/>
  <c r="BJ136" i="16"/>
  <c r="R137" i="16"/>
  <c r="CZ137" i="16"/>
  <c r="BT115" i="16"/>
  <c r="BT100" i="16"/>
  <c r="BZ132" i="16"/>
  <c r="BA115" i="16"/>
  <c r="BA100" i="16"/>
  <c r="BI114" i="16"/>
  <c r="BI89" i="16"/>
  <c r="CU132" i="16"/>
  <c r="BU136" i="16"/>
  <c r="AY132" i="16"/>
  <c r="AJ118" i="16"/>
  <c r="AJ117" i="16" s="1"/>
  <c r="AE100" i="16"/>
  <c r="AE115" i="16"/>
  <c r="BM100" i="16"/>
  <c r="BM115" i="16"/>
  <c r="AY137" i="16"/>
  <c r="O136" i="16"/>
  <c r="CG89" i="16"/>
  <c r="CG114" i="16"/>
  <c r="CF115" i="16"/>
  <c r="CF100" i="16"/>
  <c r="CP132" i="16"/>
  <c r="F112" i="15"/>
  <c r="K135" i="15"/>
  <c r="G112" i="15"/>
  <c r="F121" i="16"/>
  <c r="G121" i="16"/>
  <c r="K137" i="16"/>
  <c r="CU118" i="16"/>
  <c r="BB89" i="16"/>
  <c r="BB114" i="16"/>
  <c r="F129" i="16"/>
  <c r="G129" i="16"/>
  <c r="AZ118" i="16"/>
  <c r="Z136" i="16"/>
  <c r="CY126" i="16"/>
  <c r="BA126" i="16"/>
  <c r="BJ126" i="16"/>
  <c r="AJ100" i="16"/>
  <c r="AJ115" i="16"/>
  <c r="AC132" i="16"/>
  <c r="AR89" i="16"/>
  <c r="AR114" i="16"/>
  <c r="BQ100" i="16"/>
  <c r="BQ115" i="16"/>
  <c r="AB137" i="16"/>
  <c r="S132" i="16"/>
  <c r="AD114" i="16"/>
  <c r="AD89" i="16"/>
  <c r="AD131" i="16" s="1"/>
  <c r="CN114" i="16"/>
  <c r="CN89" i="16"/>
  <c r="CN131" i="16" s="1"/>
  <c r="AP126" i="16"/>
  <c r="BF118" i="16"/>
  <c r="P126" i="16"/>
  <c r="N100" i="16"/>
  <c r="N115" i="16"/>
  <c r="BU137" i="16"/>
  <c r="CO132" i="16"/>
  <c r="BO137" i="16"/>
  <c r="CW89" i="16"/>
  <c r="CW114" i="16"/>
  <c r="CC100" i="16"/>
  <c r="CC115" i="16"/>
  <c r="AP137" i="16"/>
  <c r="CL114" i="16"/>
  <c r="CL89" i="16"/>
  <c r="CA126" i="16"/>
  <c r="DC136" i="16"/>
  <c r="BA136" i="16"/>
  <c r="CQ89" i="16"/>
  <c r="CQ114" i="16"/>
  <c r="X137" i="16"/>
  <c r="BC132" i="16"/>
  <c r="Q89" i="16"/>
  <c r="Q114" i="16"/>
  <c r="AZ136" i="16"/>
  <c r="AL89" i="16"/>
  <c r="AL114" i="16"/>
  <c r="AR136" i="16"/>
  <c r="BY137" i="16"/>
  <c r="AG115" i="16"/>
  <c r="AG100" i="16"/>
  <c r="AV114" i="16"/>
  <c r="AV89" i="16"/>
  <c r="AV131" i="16" s="1"/>
  <c r="AA115" i="16"/>
  <c r="AA100" i="16"/>
  <c r="CV100" i="16"/>
  <c r="CV115" i="16"/>
  <c r="BA89" i="16"/>
  <c r="BA131" i="16" s="1"/>
  <c r="BA114" i="16"/>
  <c r="CO136" i="16"/>
  <c r="AI89" i="16"/>
  <c r="AI114" i="16"/>
  <c r="CM115" i="16"/>
  <c r="CM100" i="16"/>
  <c r="O114" i="16"/>
  <c r="O89" i="16"/>
  <c r="BH132" i="16"/>
  <c r="CV132" i="16"/>
  <c r="K136" i="16"/>
  <c r="CH118" i="16"/>
  <c r="CH117" i="16" s="1"/>
  <c r="AT126" i="16"/>
  <c r="BX118" i="16"/>
  <c r="BX117" i="16" s="1"/>
  <c r="DC100" i="16"/>
  <c r="DC115" i="16"/>
  <c r="BK115" i="16"/>
  <c r="BK100" i="16"/>
  <c r="BR89" i="16"/>
  <c r="BR114" i="16"/>
  <c r="I132" i="16"/>
  <c r="U137" i="16"/>
  <c r="DB136" i="16"/>
  <c r="CD100" i="16"/>
  <c r="CD115" i="16"/>
  <c r="AN136" i="16"/>
  <c r="AS118" i="16"/>
  <c r="BL115" i="16"/>
  <c r="BL100" i="16"/>
  <c r="CB115" i="16"/>
  <c r="CB100" i="16"/>
  <c r="AC118" i="16"/>
  <c r="AC117" i="16" s="1"/>
  <c r="I137" i="16"/>
  <c r="BO126" i="16"/>
  <c r="AY136" i="16"/>
  <c r="AA89" i="16"/>
  <c r="AA131" i="16" s="1"/>
  <c r="AA114" i="16"/>
  <c r="BC126" i="16"/>
  <c r="CI118" i="16"/>
  <c r="AG89" i="16"/>
  <c r="AG131" i="16" s="1"/>
  <c r="AG114" i="16"/>
  <c r="BQ132" i="16"/>
  <c r="AW137" i="16"/>
  <c r="CA118" i="16"/>
  <c r="BB118" i="16"/>
  <c r="BK136" i="16"/>
  <c r="CZ136" i="16"/>
  <c r="X136" i="16"/>
  <c r="O126" i="16"/>
  <c r="V126" i="16"/>
  <c r="CO118" i="16"/>
  <c r="N89" i="19"/>
  <c r="G117" i="14"/>
  <c r="BO136" i="16"/>
  <c r="BJ89" i="19"/>
  <c r="W114" i="16"/>
  <c r="W89" i="16"/>
  <c r="CB136" i="16"/>
  <c r="BV126" i="16"/>
  <c r="AN114" i="16"/>
  <c r="AN89" i="16"/>
  <c r="U135" i="15"/>
  <c r="U138" i="15" s="1"/>
  <c r="CN132" i="16"/>
  <c r="CJ137" i="16"/>
  <c r="AM132" i="16"/>
  <c r="CT137" i="16"/>
  <c r="AX100" i="16"/>
  <c r="AX115" i="16"/>
  <c r="BE132" i="16"/>
  <c r="AG118" i="16"/>
  <c r="CW126" i="16"/>
  <c r="AP136" i="16"/>
  <c r="BQ137" i="16"/>
  <c r="AG126" i="16"/>
  <c r="CB126" i="16"/>
  <c r="CG137" i="16"/>
  <c r="BA137" i="16"/>
  <c r="BO114" i="16"/>
  <c r="BO89" i="16"/>
  <c r="CW132" i="16"/>
  <c r="CR137" i="16"/>
  <c r="CT115" i="16"/>
  <c r="CT100" i="16"/>
  <c r="AX126" i="16"/>
  <c r="O135" i="15"/>
  <c r="O138" i="15" s="1"/>
  <c r="N89" i="16"/>
  <c r="N114" i="16"/>
  <c r="AF114" i="16"/>
  <c r="AF89" i="16"/>
  <c r="BT114" i="16"/>
  <c r="BT89" i="16"/>
  <c r="BQ114" i="16"/>
  <c r="BQ89" i="16"/>
  <c r="O132" i="16"/>
  <c r="AV132" i="16"/>
  <c r="BZ114" i="16"/>
  <c r="BZ89" i="16"/>
  <c r="Z114" i="16"/>
  <c r="Z89" i="16"/>
  <c r="R89" i="19"/>
  <c r="AX114" i="16"/>
  <c r="AX89" i="16"/>
  <c r="CI115" i="16"/>
  <c r="CI100" i="16"/>
  <c r="CS137" i="16"/>
  <c r="BP118" i="16"/>
  <c r="BP117" i="16" s="1"/>
  <c r="CG126" i="16"/>
  <c r="CG117" i="16" s="1"/>
  <c r="DB137" i="16"/>
  <c r="BW100" i="16"/>
  <c r="BW115" i="16"/>
  <c r="BI100" i="16"/>
  <c r="BI115" i="16"/>
  <c r="CU136" i="16"/>
  <c r="BY136" i="16"/>
  <c r="H89" i="16"/>
  <c r="H131" i="16" s="1"/>
  <c r="G90" i="16"/>
  <c r="F90" i="16"/>
  <c r="H114" i="16"/>
  <c r="BM136" i="16"/>
  <c r="DB126" i="16"/>
  <c r="BJ118" i="16"/>
  <c r="BJ117" i="16" s="1"/>
  <c r="AM118" i="16"/>
  <c r="AM117" i="16" s="1"/>
  <c r="X126" i="16"/>
  <c r="BW89" i="16"/>
  <c r="BW131" i="16" s="1"/>
  <c r="BW114" i="16"/>
  <c r="BP132" i="16"/>
  <c r="AR126" i="16"/>
  <c r="H115" i="16"/>
  <c r="G101" i="16"/>
  <c r="H100" i="16"/>
  <c r="F101" i="16"/>
  <c r="BR115" i="16"/>
  <c r="BR100" i="16"/>
  <c r="AO118" i="16"/>
  <c r="BG136" i="16"/>
  <c r="BX137" i="16"/>
  <c r="AL100" i="16"/>
  <c r="AL115" i="16"/>
  <c r="BG89" i="16"/>
  <c r="BG114" i="16"/>
  <c r="CS115" i="16"/>
  <c r="CS100" i="16"/>
  <c r="AM137" i="16"/>
  <c r="BV137" i="16"/>
  <c r="W132" i="16"/>
  <c r="AL118" i="16"/>
  <c r="AL117" i="16" s="1"/>
  <c r="CH136" i="16"/>
  <c r="R135" i="15"/>
  <c r="R138" i="15" s="1"/>
  <c r="AU118" i="16"/>
  <c r="G91" i="16"/>
  <c r="F91" i="16"/>
  <c r="G43" i="16"/>
  <c r="F43" i="16"/>
  <c r="CX136" i="16"/>
  <c r="G123" i="16"/>
  <c r="F123" i="16"/>
  <c r="AF118" i="16"/>
  <c r="BQ136" i="16"/>
  <c r="DC137" i="16"/>
  <c r="AX118" i="16"/>
  <c r="AX117" i="16" s="1"/>
  <c r="BF137" i="16"/>
  <c r="AU100" i="16"/>
  <c r="AU115" i="16"/>
  <c r="BY115" i="16"/>
  <c r="BY100" i="16"/>
  <c r="T115" i="16"/>
  <c r="T100" i="16"/>
  <c r="AV136" i="16"/>
  <c r="CV89" i="16"/>
  <c r="CV114" i="16"/>
  <c r="CB137" i="16"/>
  <c r="AQ89" i="16"/>
  <c r="AQ131" i="16" s="1"/>
  <c r="AQ114" i="16"/>
  <c r="BW126" i="16"/>
  <c r="BV132" i="16"/>
  <c r="CI89" i="16"/>
  <c r="CI131" i="16" s="1"/>
  <c r="CI114" i="16"/>
  <c r="T137" i="16"/>
  <c r="BM132" i="16"/>
  <c r="CN137" i="16"/>
  <c r="I118" i="16"/>
  <c r="I117" i="16" s="1"/>
  <c r="CJ126" i="16"/>
  <c r="AJ137" i="16"/>
  <c r="R100" i="16"/>
  <c r="R115" i="16"/>
  <c r="BZ136" i="16"/>
  <c r="F97" i="16"/>
  <c r="G97" i="16"/>
  <c r="CB132" i="16"/>
  <c r="G32" i="16"/>
  <c r="F32" i="16"/>
  <c r="BY132" i="16"/>
  <c r="AI115" i="16"/>
  <c r="AI100" i="16"/>
  <c r="CY136" i="16"/>
  <c r="CY114" i="16"/>
  <c r="CY89" i="16"/>
  <c r="BP136" i="16"/>
  <c r="CW118" i="16"/>
  <c r="CW117" i="16" s="1"/>
  <c r="CD136" i="16"/>
  <c r="W136" i="16"/>
  <c r="AF137" i="16"/>
  <c r="F94" i="16"/>
  <c r="G94" i="16"/>
  <c r="BL137" i="16"/>
  <c r="AZ114" i="16"/>
  <c r="AZ89" i="16"/>
  <c r="Z126" i="16"/>
  <c r="AU126" i="16"/>
  <c r="U126" i="16"/>
  <c r="CX100" i="16"/>
  <c r="CX115" i="16"/>
  <c r="CH115" i="16"/>
  <c r="CH100" i="16"/>
  <c r="CJ132" i="16"/>
  <c r="BH136" i="16"/>
  <c r="J114" i="16"/>
  <c r="J89" i="16"/>
  <c r="J131" i="16" s="1"/>
  <c r="AA136" i="16"/>
  <c r="N136" i="16"/>
  <c r="DB118" i="16"/>
  <c r="R126" i="16"/>
  <c r="AY114" i="16"/>
  <c r="AY89" i="16"/>
  <c r="AY131" i="16" s="1"/>
  <c r="CL118" i="16"/>
  <c r="AQ100" i="16"/>
  <c r="AQ115" i="16"/>
  <c r="J132" i="16"/>
  <c r="AG132" i="16"/>
  <c r="BE118" i="16"/>
  <c r="BE117" i="16" s="1"/>
  <c r="G66" i="16"/>
  <c r="F66" i="16"/>
  <c r="BC136" i="16"/>
  <c r="CM137" i="16"/>
  <c r="AK126" i="16"/>
  <c r="AK117" i="16" s="1"/>
  <c r="AU137" i="16"/>
  <c r="Z100" i="16"/>
  <c r="Z115" i="16"/>
  <c r="AR100" i="16"/>
  <c r="AR115" i="16"/>
  <c r="CC137" i="16"/>
  <c r="BA118" i="16"/>
  <c r="BA117" i="16" s="1"/>
  <c r="BB132" i="16"/>
  <c r="AO136" i="16"/>
  <c r="BX114" i="16"/>
  <c r="BX89" i="16"/>
  <c r="BX131" i="16" s="1"/>
  <c r="G128" i="16"/>
  <c r="F128" i="16"/>
  <c r="CA137" i="16"/>
  <c r="L132" i="16"/>
  <c r="AH114" i="16"/>
  <c r="AH89" i="16"/>
  <c r="BL118" i="16"/>
  <c r="CB118" i="16"/>
  <c r="AD132" i="16"/>
  <c r="CF126" i="16"/>
  <c r="BM126" i="16"/>
  <c r="G125" i="16"/>
  <c r="F125" i="16"/>
  <c r="AE136" i="16"/>
  <c r="P135" i="15"/>
  <c r="P138" i="15" s="1"/>
  <c r="Q126" i="16"/>
  <c r="BS115" i="16"/>
  <c r="BS100" i="16"/>
  <c r="Q132" i="16"/>
  <c r="U132" i="16"/>
  <c r="CQ126" i="16"/>
  <c r="L100" i="16"/>
  <c r="L115" i="16"/>
  <c r="BN118" i="16"/>
  <c r="BN117" i="16" s="1"/>
  <c r="DA89" i="16"/>
  <c r="DA114" i="16"/>
  <c r="CK126" i="16"/>
  <c r="CK117" i="16" s="1"/>
  <c r="CO126" i="16"/>
  <c r="CR136" i="16"/>
  <c r="CT126" i="16"/>
  <c r="CT117" i="16" s="1"/>
  <c r="P132" i="16"/>
  <c r="CL115" i="16"/>
  <c r="CL100" i="16"/>
  <c r="DC132" i="16"/>
  <c r="F96" i="16"/>
  <c r="G96" i="16"/>
  <c r="N132" i="16"/>
  <c r="F132" i="16" s="1"/>
  <c r="BB126" i="16"/>
  <c r="CM89" i="16"/>
  <c r="CM114" i="16"/>
  <c r="CR118" i="16"/>
  <c r="CR117" i="16" s="1"/>
  <c r="CI126" i="16"/>
  <c r="BP137" i="16"/>
  <c r="R89" i="16"/>
  <c r="R114" i="16"/>
  <c r="P137" i="16"/>
  <c r="AR137" i="16"/>
  <c r="CU137" i="16"/>
  <c r="CL126" i="16"/>
  <c r="CS126" i="16"/>
  <c r="CS117" i="16" s="1"/>
  <c r="AL137" i="16"/>
  <c r="CH114" i="16"/>
  <c r="CH89" i="16"/>
  <c r="U115" i="16"/>
  <c r="U100" i="16"/>
  <c r="BL126" i="16"/>
  <c r="BN132" i="16"/>
  <c r="BU89" i="16"/>
  <c r="BU131" i="16" s="1"/>
  <c r="BU114" i="16"/>
  <c r="BL132" i="16"/>
  <c r="BP114" i="16"/>
  <c r="BP89" i="16"/>
  <c r="BB136" i="16"/>
  <c r="AZ126" i="16"/>
  <c r="AX132" i="16"/>
  <c r="BF126" i="16"/>
  <c r="CY118" i="16"/>
  <c r="CY117" i="16" s="1"/>
  <c r="F105" i="16"/>
  <c r="G105" i="16"/>
  <c r="CN118" i="16"/>
  <c r="CN117" i="16" s="1"/>
  <c r="AA132" i="16"/>
  <c r="AV118" i="16"/>
  <c r="AV117" i="16" s="1"/>
  <c r="BI136" i="16"/>
  <c r="BN137" i="16"/>
  <c r="AW100" i="16"/>
  <c r="AW115" i="16"/>
  <c r="BW132" i="16"/>
  <c r="AS126" i="16"/>
  <c r="CE100" i="16"/>
  <c r="CE115" i="16"/>
  <c r="AG137" i="16"/>
  <c r="BD89" i="16"/>
  <c r="BD114" i="16"/>
  <c r="CD118" i="16"/>
  <c r="CD117" i="16" s="1"/>
  <c r="BS89" i="16"/>
  <c r="BS114" i="16"/>
  <c r="BZ126" i="16"/>
  <c r="BZ117" i="16" s="1"/>
  <c r="BZ115" i="16"/>
  <c r="BZ100" i="16"/>
  <c r="X132" i="16"/>
  <c r="BO100" i="16"/>
  <c r="BO115" i="16"/>
  <c r="CS136" i="16"/>
  <c r="AT89" i="16"/>
  <c r="AT131" i="16" s="1"/>
  <c r="AT114" i="16"/>
  <c r="S89" i="16"/>
  <c r="S114" i="16"/>
  <c r="DA136" i="16"/>
  <c r="CY132" i="16"/>
  <c r="V137" i="16"/>
  <c r="AE126" i="16"/>
  <c r="AE117" i="16" s="1"/>
  <c r="DC126" i="16"/>
  <c r="CC136" i="16"/>
  <c r="BM89" i="16"/>
  <c r="BM114" i="16"/>
  <c r="CC118" i="16"/>
  <c r="CC117" i="16" s="1"/>
  <c r="CG115" i="16"/>
  <c r="CG100" i="16"/>
  <c r="AU132" i="16"/>
  <c r="BF100" i="16"/>
  <c r="BF115" i="16"/>
  <c r="CR114" i="16"/>
  <c r="CR89" i="16"/>
  <c r="DB89" i="16"/>
  <c r="DB131" i="16" s="1"/>
  <c r="DB114" i="16"/>
  <c r="F127" i="16"/>
  <c r="H126" i="16"/>
  <c r="G127" i="16"/>
  <c r="V135" i="15"/>
  <c r="V138" i="15" s="1"/>
  <c r="AT136" i="16"/>
  <c r="F109" i="16"/>
  <c r="G109" i="16"/>
  <c r="CX132" i="16"/>
  <c r="AK136" i="16"/>
  <c r="CU126" i="16"/>
  <c r="AJ132" i="16"/>
  <c r="BW136" i="16"/>
  <c r="K132" i="16"/>
  <c r="CI136" i="16"/>
  <c r="G119" i="16"/>
  <c r="F119" i="16"/>
  <c r="H118" i="16"/>
  <c r="BY118" i="16"/>
  <c r="BC89" i="16"/>
  <c r="BC131" i="16" s="1"/>
  <c r="BC114" i="16"/>
  <c r="DC118" i="16"/>
  <c r="BG118" i="16"/>
  <c r="BG117" i="16" s="1"/>
  <c r="Y126" i="16"/>
  <c r="CM136" i="16"/>
  <c r="O115" i="16"/>
  <c r="O100" i="16"/>
  <c r="CT132" i="16"/>
  <c r="CL137" i="16"/>
  <c r="CQ136" i="16"/>
  <c r="Y137" i="16"/>
  <c r="BG137" i="16"/>
  <c r="AJ136" i="16"/>
  <c r="AM100" i="16"/>
  <c r="AM115" i="16"/>
  <c r="I136" i="16"/>
  <c r="DA126" i="16"/>
  <c r="CP100" i="16"/>
  <c r="CP115" i="16"/>
  <c r="F107" i="16"/>
  <c r="G107" i="16"/>
  <c r="CK114" i="16"/>
  <c r="CK89" i="16"/>
  <c r="CX118" i="16"/>
  <c r="CX117" i="16" s="1"/>
  <c r="AQ136" i="16"/>
  <c r="CD114" i="16"/>
  <c r="CD89" i="16"/>
  <c r="CC132" i="16"/>
  <c r="G102" i="16"/>
  <c r="F102" i="16"/>
  <c r="AT137" i="16"/>
  <c r="AR132" i="16"/>
  <c r="BS118" i="16"/>
  <c r="CC89" i="16"/>
  <c r="CC114" i="16"/>
  <c r="AE137" i="16"/>
  <c r="AC136" i="16"/>
  <c r="CU114" i="16"/>
  <c r="CU89" i="16"/>
  <c r="AA126" i="16"/>
  <c r="J100" i="16"/>
  <c r="J115" i="16"/>
  <c r="BE100" i="16"/>
  <c r="BE115" i="16"/>
  <c r="BX136" i="16"/>
  <c r="P115" i="16"/>
  <c r="P100" i="16"/>
  <c r="BS126" i="16"/>
  <c r="CZ89" i="16"/>
  <c r="CZ114" i="16"/>
  <c r="AH115" i="16"/>
  <c r="AH100" i="16"/>
  <c r="CV118" i="16"/>
  <c r="CV117" i="16" s="1"/>
  <c r="BE89" i="16"/>
  <c r="BE114" i="16"/>
  <c r="CQ118" i="16"/>
  <c r="G108" i="16"/>
  <c r="F108" i="16"/>
  <c r="AY126" i="16"/>
  <c r="CT114" i="16"/>
  <c r="CT89" i="16"/>
  <c r="CE126" i="16"/>
  <c r="CE117" i="16" s="1"/>
  <c r="BX132" i="16"/>
  <c r="V100" i="16"/>
  <c r="V115" i="16"/>
  <c r="BY126" i="16"/>
  <c r="AO126" i="16"/>
  <c r="AO117" i="16" s="1"/>
  <c r="J126" i="16"/>
  <c r="N137" i="16"/>
  <c r="BV118" i="16"/>
  <c r="BI126" i="16"/>
  <c r="CA100" i="16"/>
  <c r="CA115" i="16"/>
  <c r="CM118" i="16"/>
  <c r="CM117" i="16" s="1"/>
  <c r="BR136" i="16"/>
  <c r="CP126" i="16"/>
  <c r="CP117" i="16" s="1"/>
  <c r="F93" i="16"/>
  <c r="G93" i="16"/>
  <c r="G89" i="16" s="1"/>
  <c r="CP136" i="16"/>
  <c r="BK132" i="16"/>
  <c r="AQ118" i="16"/>
  <c r="AQ117" i="16" s="1"/>
  <c r="AN118" i="16"/>
  <c r="AN117" i="16" s="1"/>
  <c r="L137" i="16"/>
  <c r="O137" i="16"/>
  <c r="BF132" i="16"/>
  <c r="AW131" i="16"/>
  <c r="BZ131" i="16"/>
  <c r="CO131" i="16"/>
  <c r="BB92" i="19"/>
  <c r="BB91" i="19" s="1"/>
  <c r="BB88" i="19"/>
  <c r="Q131" i="16"/>
  <c r="AR117" i="16"/>
  <c r="Y131" i="16"/>
  <c r="BV131" i="16"/>
  <c r="AZ117" i="16"/>
  <c r="CD131" i="16"/>
  <c r="BQ131" i="16"/>
  <c r="BB131" i="16"/>
  <c r="AL131" i="16"/>
  <c r="AB131" i="16"/>
  <c r="CQ131" i="16"/>
  <c r="N92" i="19"/>
  <c r="N91" i="19" s="1"/>
  <c r="N88" i="19"/>
  <c r="AF117" i="16"/>
  <c r="CW131" i="16"/>
  <c r="O131" i="16"/>
  <c r="BR117" i="16"/>
  <c r="T131" i="16"/>
  <c r="AO131" i="16"/>
  <c r="CA117" i="16"/>
  <c r="AM131" i="16"/>
  <c r="V92" i="19"/>
  <c r="V91" i="19" s="1"/>
  <c r="V88" i="19"/>
  <c r="BN131" i="16"/>
  <c r="AY117" i="16"/>
  <c r="AD88" i="19"/>
  <c r="AD92" i="19"/>
  <c r="AD91" i="19" s="1"/>
  <c r="G275" i="9"/>
  <c r="H275" i="9" s="1"/>
  <c r="BV117" i="16" l="1"/>
  <c r="CK131" i="16"/>
  <c r="R131" i="16"/>
  <c r="CO117" i="16"/>
  <c r="H117" i="16"/>
  <c r="CT131" i="16"/>
  <c r="CL117" i="16"/>
  <c r="V131" i="16"/>
  <c r="AE131" i="16"/>
  <c r="BD117" i="16"/>
  <c r="AU131" i="16"/>
  <c r="BM131" i="16"/>
  <c r="S131" i="16"/>
  <c r="CB117" i="16"/>
  <c r="AX131" i="16"/>
  <c r="N131" i="16"/>
  <c r="BF131" i="16"/>
  <c r="CQ117" i="16"/>
  <c r="BP131" i="16"/>
  <c r="AH131" i="16"/>
  <c r="BT117" i="16"/>
  <c r="F137" i="16"/>
  <c r="BE131" i="16"/>
  <c r="CU131" i="16"/>
  <c r="BY117" i="16"/>
  <c r="G126" i="16"/>
  <c r="F126" i="16"/>
  <c r="BS131" i="16"/>
  <c r="CH131" i="16"/>
  <c r="BG131" i="16"/>
  <c r="F100" i="16"/>
  <c r="Z131" i="16"/>
  <c r="BT131" i="16"/>
  <c r="AS117" i="16"/>
  <c r="BR131" i="16"/>
  <c r="AI131" i="16"/>
  <c r="BC117" i="16"/>
  <c r="AK131" i="16"/>
  <c r="BY131" i="16"/>
  <c r="G137" i="16"/>
  <c r="AI117" i="16"/>
  <c r="CP131" i="16"/>
  <c r="BH131" i="16"/>
  <c r="AP131" i="16"/>
  <c r="AX88" i="19"/>
  <c r="AX92" i="19"/>
  <c r="AX91" i="19" s="1"/>
  <c r="AT117" i="16"/>
  <c r="BD131" i="16"/>
  <c r="CV131" i="16"/>
  <c r="G100" i="16"/>
  <c r="AF131" i="16"/>
  <c r="W131" i="16"/>
  <c r="CL131" i="16"/>
  <c r="AR131" i="16"/>
  <c r="CG131" i="16"/>
  <c r="DA117" i="16"/>
  <c r="BW117" i="16"/>
  <c r="M131" i="16"/>
  <c r="F115" i="16"/>
  <c r="X131" i="16"/>
  <c r="CC131" i="16"/>
  <c r="CR131" i="16"/>
  <c r="DA131" i="16"/>
  <c r="AZ131" i="16"/>
  <c r="BO131" i="16"/>
  <c r="BJ88" i="19"/>
  <c r="BJ92" i="19"/>
  <c r="BJ91" i="19" s="1"/>
  <c r="CI117" i="16"/>
  <c r="K138" i="15"/>
  <c r="F135" i="15"/>
  <c r="G135" i="15"/>
  <c r="P131" i="16"/>
  <c r="BJ131" i="16"/>
  <c r="BF92" i="19"/>
  <c r="BF91" i="19" s="1"/>
  <c r="BF88" i="19"/>
  <c r="AC131" i="16"/>
  <c r="CE131" i="16"/>
  <c r="CA131" i="16"/>
  <c r="AH117" i="16"/>
  <c r="AH92" i="19"/>
  <c r="AH91" i="19" s="1"/>
  <c r="AH88" i="19"/>
  <c r="AS131" i="16"/>
  <c r="G115" i="16"/>
  <c r="DC117" i="16"/>
  <c r="F114" i="16"/>
  <c r="AG117" i="16"/>
  <c r="BI131" i="16"/>
  <c r="F136" i="16"/>
  <c r="G136" i="16"/>
  <c r="Z88" i="19"/>
  <c r="Z92" i="19"/>
  <c r="Z91" i="19" s="1"/>
  <c r="BI117" i="16"/>
  <c r="AL92" i="19"/>
  <c r="AL91" i="19" s="1"/>
  <c r="AL88" i="19"/>
  <c r="AD117" i="16"/>
  <c r="BN88" i="19"/>
  <c r="BN92" i="19"/>
  <c r="BN91" i="19" s="1"/>
  <c r="I131" i="16"/>
  <c r="CZ131" i="16"/>
  <c r="BS117" i="16"/>
  <c r="CM131" i="16"/>
  <c r="BL117" i="16"/>
  <c r="DB117" i="16"/>
  <c r="CY131" i="16"/>
  <c r="AU117" i="16"/>
  <c r="F89" i="16"/>
  <c r="AN131" i="16"/>
  <c r="BB117" i="16"/>
  <c r="CF117" i="16"/>
  <c r="AP92" i="19"/>
  <c r="AP91" i="19" s="1"/>
  <c r="AP88" i="19"/>
  <c r="AT88" i="19"/>
  <c r="AT92" i="19"/>
  <c r="AT91" i="19" s="1"/>
  <c r="K131" i="16"/>
  <c r="CJ117" i="16"/>
  <c r="G132" i="16"/>
  <c r="R88" i="19"/>
  <c r="R92" i="19"/>
  <c r="D89" i="19"/>
  <c r="D88" i="19" s="1"/>
  <c r="BF117" i="16"/>
  <c r="CU117" i="16"/>
  <c r="BO117" i="16"/>
  <c r="BM117" i="16"/>
  <c r="AJ131" i="16"/>
  <c r="G276" i="9"/>
  <c r="G277" i="9" s="1"/>
  <c r="G284" i="9" s="1"/>
  <c r="H276" i="9"/>
  <c r="H277" i="9" s="1"/>
  <c r="H284" i="9" s="1"/>
  <c r="I275" i="9"/>
  <c r="R91" i="19" l="1"/>
  <c r="D92" i="19"/>
  <c r="D91" i="19" s="1"/>
  <c r="F138" i="15"/>
  <c r="F145" i="15" s="1"/>
  <c r="G138" i="15"/>
  <c r="G131" i="16"/>
  <c r="F131" i="16"/>
  <c r="I276" i="9"/>
  <c r="I277" i="9" s="1"/>
  <c r="I284" i="9" s="1"/>
  <c r="J275" i="9"/>
  <c r="I354" i="9"/>
  <c r="K120" i="5" s="1"/>
  <c r="K118" i="5" s="1"/>
  <c r="K117" i="5" s="1"/>
  <c r="K26" i="10" s="1"/>
  <c r="K31" i="10" s="1"/>
  <c r="I355" i="9"/>
  <c r="K120" i="6" s="1"/>
  <c r="K118" i="6" s="1"/>
  <c r="K117" i="6" s="1"/>
  <c r="K44" i="10" s="1"/>
  <c r="K49" i="10" s="1"/>
  <c r="I353" i="9"/>
  <c r="K120" i="4" s="1"/>
  <c r="H354" i="9"/>
  <c r="J120" i="5" s="1"/>
  <c r="H355" i="9"/>
  <c r="J120" i="6" s="1"/>
  <c r="H353" i="9"/>
  <c r="J120" i="4" s="1"/>
  <c r="J118" i="4" l="1"/>
  <c r="J118" i="5"/>
  <c r="J118" i="6"/>
  <c r="K118" i="4"/>
  <c r="K117" i="4" s="1"/>
  <c r="K8" i="10" s="1"/>
  <c r="K13" i="10" s="1"/>
  <c r="J276" i="9"/>
  <c r="J277" i="9" s="1"/>
  <c r="J284" i="9" s="1"/>
  <c r="K275" i="9"/>
  <c r="J354" i="9"/>
  <c r="L120" i="5" s="1"/>
  <c r="L118" i="5" s="1"/>
  <c r="L117" i="5" s="1"/>
  <c r="L26" i="10" s="1"/>
  <c r="L31" i="10" s="1"/>
  <c r="J355" i="9"/>
  <c r="L120" i="6" s="1"/>
  <c r="L118" i="6" s="1"/>
  <c r="L117" i="6" s="1"/>
  <c r="L44" i="10" s="1"/>
  <c r="L49" i="10" s="1"/>
  <c r="J353" i="9"/>
  <c r="L120" i="4" s="1"/>
  <c r="J117" i="5" l="1"/>
  <c r="L118" i="4"/>
  <c r="L117" i="4" s="1"/>
  <c r="L8" i="10" s="1"/>
  <c r="L13" i="10" s="1"/>
  <c r="J117" i="4"/>
  <c r="K355" i="9"/>
  <c r="M120" i="6" s="1"/>
  <c r="K354" i="9"/>
  <c r="M120" i="5" s="1"/>
  <c r="M118" i="5" s="1"/>
  <c r="M117" i="5" s="1"/>
  <c r="M26" i="10" s="1"/>
  <c r="M31" i="10" s="1"/>
  <c r="K353" i="9"/>
  <c r="M120" i="4" s="1"/>
  <c r="J117" i="6"/>
  <c r="L275" i="9"/>
  <c r="K276" i="9"/>
  <c r="K277" i="9" s="1"/>
  <c r="K284" i="9" s="1"/>
  <c r="J8" i="10" l="1"/>
  <c r="L355" i="9"/>
  <c r="N120" i="6" s="1"/>
  <c r="L354" i="9"/>
  <c r="N120" i="5" s="1"/>
  <c r="L353" i="9"/>
  <c r="N120" i="4" s="1"/>
  <c r="M118" i="6"/>
  <c r="J26" i="10"/>
  <c r="M118" i="4"/>
  <c r="L276" i="9"/>
  <c r="L277" i="9" s="1"/>
  <c r="L284" i="9" s="1"/>
  <c r="M275" i="9"/>
  <c r="J44" i="10"/>
  <c r="M117" i="4" l="1"/>
  <c r="J31" i="10"/>
  <c r="J49" i="10"/>
  <c r="M276" i="9"/>
  <c r="M277" i="9" s="1"/>
  <c r="M284" i="9" s="1"/>
  <c r="N275" i="9"/>
  <c r="M117" i="6"/>
  <c r="N118" i="4"/>
  <c r="N117" i="4" s="1"/>
  <c r="N8" i="10" s="1"/>
  <c r="N13" i="10" s="1"/>
  <c r="J13" i="10"/>
  <c r="M355" i="9"/>
  <c r="O120" i="6" s="1"/>
  <c r="M354" i="9"/>
  <c r="O120" i="5" s="1"/>
  <c r="M353" i="9"/>
  <c r="O120" i="4" s="1"/>
  <c r="N118" i="5"/>
  <c r="N118" i="6"/>
  <c r="N117" i="6" s="1"/>
  <c r="N44" i="10" s="1"/>
  <c r="N49" i="10" s="1"/>
  <c r="CR45" i="14"/>
  <c r="BJ92" i="14"/>
  <c r="BD47" i="14"/>
  <c r="CY86" i="14"/>
  <c r="BR60" i="14"/>
  <c r="CX88" i="14"/>
  <c r="AN85" i="14"/>
  <c r="BS95" i="14"/>
  <c r="BZ48" i="14"/>
  <c r="CJ97" i="14"/>
  <c r="CM94" i="14"/>
  <c r="AW84" i="14"/>
  <c r="P93" i="14"/>
  <c r="AN83" i="14"/>
  <c r="B34" i="16"/>
  <c r="AA84" i="14"/>
  <c r="AH86" i="14"/>
  <c r="CK73" i="14"/>
  <c r="AZ79" i="14"/>
  <c r="BT76" i="14"/>
  <c r="CZ44" i="14"/>
  <c r="O59" i="14"/>
  <c r="CK60" i="14"/>
  <c r="CM77" i="14"/>
  <c r="L100" i="14"/>
  <c r="AP95" i="14"/>
  <c r="AS74" i="14"/>
  <c r="BZ88" i="14"/>
  <c r="J78" i="14"/>
  <c r="CF87" i="14"/>
  <c r="B85" i="14"/>
  <c r="M67" i="14"/>
  <c r="DE85" i="15"/>
  <c r="H102" i="14"/>
  <c r="BA76" i="14"/>
  <c r="AW44" i="14"/>
  <c r="CI103" i="14"/>
  <c r="DE52" i="15"/>
  <c r="Y44" i="14"/>
  <c r="BP72" i="14"/>
  <c r="BL83" i="14"/>
  <c r="BV53" i="14"/>
  <c r="M75" i="14"/>
  <c r="O92" i="14"/>
  <c r="J84" i="14"/>
  <c r="CY96" i="14"/>
  <c r="BW95" i="14"/>
  <c r="BB95" i="14"/>
  <c r="AA93" i="14"/>
  <c r="AL83" i="14"/>
  <c r="AF103" i="14"/>
  <c r="AA83" i="14"/>
  <c r="CH44" i="14"/>
  <c r="CC77" i="14"/>
  <c r="BM91" i="14"/>
  <c r="CB106" i="14"/>
  <c r="CT92" i="14"/>
  <c r="AU99" i="14"/>
  <c r="AL54" i="14"/>
  <c r="AD104" i="14"/>
  <c r="BU101" i="14"/>
  <c r="J48" i="14"/>
  <c r="DE82" i="16"/>
  <c r="CY78" i="14"/>
  <c r="BZ103" i="14"/>
  <c r="R66" i="14"/>
  <c r="U75" i="14"/>
  <c r="AO45" i="14"/>
  <c r="Q76" i="14"/>
  <c r="CM97" i="14"/>
  <c r="BJ83" i="14"/>
  <c r="AV104" i="14"/>
  <c r="BH68" i="14"/>
  <c r="BY104" i="14"/>
  <c r="CK92" i="14"/>
  <c r="BJ104" i="14"/>
  <c r="DB97" i="14"/>
  <c r="CV55" i="14"/>
  <c r="K45" i="14"/>
  <c r="AM96" i="14"/>
  <c r="BK85" i="14"/>
  <c r="DB84" i="14"/>
  <c r="BT106" i="14"/>
  <c r="B88" i="14"/>
  <c r="AP60" i="14"/>
  <c r="BN93" i="14"/>
  <c r="CS54" i="14"/>
  <c r="BY50" i="14"/>
  <c r="N57" i="14"/>
  <c r="BC105" i="14"/>
  <c r="AK57" i="14"/>
  <c r="AO81" i="14"/>
  <c r="BH62" i="14"/>
  <c r="AM88" i="14"/>
  <c r="BB64" i="14"/>
  <c r="L90" i="14"/>
  <c r="AS104" i="14"/>
  <c r="CZ69" i="14"/>
  <c r="BK48" i="14"/>
  <c r="CG86" i="14"/>
  <c r="BE76" i="14"/>
  <c r="BD87" i="14"/>
  <c r="CO94" i="14"/>
  <c r="CI67" i="14"/>
  <c r="K65" i="14"/>
  <c r="AW53" i="14"/>
  <c r="CK51" i="14"/>
  <c r="O79" i="14"/>
  <c r="AJ57" i="14"/>
  <c r="AY82" i="14"/>
  <c r="CO96" i="14"/>
  <c r="O74" i="14"/>
  <c r="BJ100" i="14"/>
  <c r="T51" i="14"/>
  <c r="BX76" i="14"/>
  <c r="AK88" i="14"/>
  <c r="AN66" i="14"/>
  <c r="AH106" i="14"/>
  <c r="AD62" i="14"/>
  <c r="AB46" i="14"/>
  <c r="AK100" i="14"/>
  <c r="AA55" i="14"/>
  <c r="BE68" i="14"/>
  <c r="B109" i="15"/>
  <c r="BN82" i="14"/>
  <c r="DE127" i="15"/>
  <c r="AV55" i="14"/>
  <c r="BB81" i="14"/>
  <c r="BI67" i="14"/>
  <c r="B81" i="14"/>
  <c r="B106" i="14"/>
  <c r="N60" i="14"/>
  <c r="BO34" i="14"/>
  <c r="CK50" i="14"/>
  <c r="CT88" i="14"/>
  <c r="AK63" i="14"/>
  <c r="K95" i="14"/>
  <c r="BH102" i="14"/>
  <c r="BN56" i="14"/>
  <c r="BE99" i="14"/>
  <c r="CN59" i="14"/>
  <c r="CX84" i="14"/>
  <c r="CA46" i="14"/>
  <c r="AI79" i="14"/>
  <c r="CO85" i="14"/>
  <c r="AD77" i="14"/>
  <c r="BD46" i="14"/>
  <c r="BN100" i="14"/>
  <c r="AE77" i="14"/>
  <c r="S101" i="14"/>
  <c r="AI75" i="14"/>
  <c r="X96" i="14"/>
  <c r="CN53" i="14"/>
  <c r="B46" i="16"/>
  <c r="AM83" i="14"/>
  <c r="BS56" i="14"/>
  <c r="DA100" i="14"/>
  <c r="DB62" i="14"/>
  <c r="CZ90" i="14"/>
  <c r="AF75" i="14"/>
  <c r="DA60" i="14"/>
  <c r="AV103" i="14"/>
  <c r="BC90" i="14"/>
  <c r="CE59" i="14"/>
  <c r="CR48" i="14"/>
  <c r="CA55" i="14"/>
  <c r="AM68" i="14"/>
  <c r="AA63" i="14"/>
  <c r="C66" i="14"/>
  <c r="CA68" i="14"/>
  <c r="C69" i="14"/>
  <c r="AN46" i="14"/>
  <c r="L88" i="14"/>
  <c r="AF72" i="14"/>
  <c r="Y93" i="14"/>
  <c r="AB68" i="14"/>
  <c r="AP96" i="14"/>
  <c r="BK88" i="14"/>
  <c r="BZ101" i="14"/>
  <c r="CQ90" i="14"/>
  <c r="BG103" i="14"/>
  <c r="AX59" i="14"/>
  <c r="CT95" i="14"/>
  <c r="BJ67" i="14"/>
  <c r="BS72" i="14"/>
  <c r="DA101" i="14"/>
  <c r="CM54" i="14"/>
  <c r="B98" i="15"/>
  <c r="AX66" i="14"/>
  <c r="CM81" i="14"/>
  <c r="BG73" i="14"/>
  <c r="S82" i="14"/>
  <c r="BY64" i="14"/>
  <c r="BB100" i="14"/>
  <c r="T78" i="14"/>
  <c r="L58" i="14"/>
  <c r="R84" i="14"/>
  <c r="CL88" i="14"/>
  <c r="L75" i="14"/>
  <c r="AB86" i="14"/>
  <c r="I46" i="14"/>
  <c r="H94" i="14"/>
  <c r="BH59" i="14"/>
  <c r="AE51" i="14"/>
  <c r="U106" i="14"/>
  <c r="AR102" i="14"/>
  <c r="AY100" i="14"/>
  <c r="DC93" i="14"/>
  <c r="B12" i="15"/>
  <c r="AC45" i="14"/>
  <c r="BC59" i="14"/>
  <c r="BT83" i="14"/>
  <c r="BU95" i="14"/>
  <c r="X68" i="14"/>
  <c r="Z45" i="14"/>
  <c r="AO64" i="14"/>
  <c r="BG86" i="14"/>
  <c r="CX82" i="14"/>
  <c r="CE55" i="14"/>
  <c r="X90" i="14"/>
  <c r="BY74" i="14"/>
  <c r="B48" i="16"/>
  <c r="CQ96" i="14"/>
  <c r="CO72" i="14"/>
  <c r="AR90" i="14"/>
  <c r="BO87" i="14"/>
  <c r="BW50" i="14"/>
  <c r="AX53" i="14"/>
  <c r="CS45" i="14"/>
  <c r="P85" i="14"/>
  <c r="CZ57" i="14"/>
  <c r="BX45" i="14"/>
  <c r="DE36" i="16"/>
  <c r="CP93" i="14"/>
  <c r="BY66" i="14"/>
  <c r="CG50" i="14"/>
  <c r="V59" i="14"/>
  <c r="BE34" i="14"/>
  <c r="BJ95" i="14"/>
  <c r="V82" i="14"/>
  <c r="BA58" i="14"/>
  <c r="BW46" i="14"/>
  <c r="AE102" i="14"/>
  <c r="H74" i="14"/>
  <c r="BV78" i="14"/>
  <c r="CS94" i="14"/>
  <c r="BU84" i="14"/>
  <c r="BO62" i="14"/>
  <c r="BZ82" i="14"/>
  <c r="X50" i="14"/>
  <c r="CT64" i="14"/>
  <c r="BZ105" i="14"/>
  <c r="AU60" i="14"/>
  <c r="BH82" i="14"/>
  <c r="AR65" i="14"/>
  <c r="CQ102" i="14"/>
  <c r="AO54" i="14"/>
  <c r="AC99" i="14"/>
  <c r="BA65" i="14"/>
  <c r="CS105" i="14"/>
  <c r="CX68" i="14"/>
  <c r="U103" i="14"/>
  <c r="CK48" i="14"/>
  <c r="CH87" i="14"/>
  <c r="AN72" i="14"/>
  <c r="BY53" i="14"/>
  <c r="BJ57" i="14"/>
  <c r="H45" i="14"/>
  <c r="DC86" i="14"/>
  <c r="BB85" i="14"/>
  <c r="M83" i="14"/>
  <c r="CB100" i="14"/>
  <c r="CF86" i="14"/>
  <c r="CP50" i="14"/>
  <c r="AO47" i="14"/>
  <c r="K53" i="14"/>
  <c r="CI101" i="14"/>
  <c r="L19" i="14"/>
  <c r="B13" i="16"/>
  <c r="S88" i="14"/>
  <c r="AX104" i="14"/>
  <c r="BX74" i="14"/>
  <c r="DE54" i="15"/>
  <c r="CV88" i="14"/>
  <c r="CU73" i="14"/>
  <c r="N56" i="14"/>
  <c r="AF101" i="14"/>
  <c r="Q57" i="14"/>
  <c r="AY103" i="14"/>
  <c r="K64" i="14"/>
  <c r="CY77" i="14"/>
  <c r="BC75" i="14"/>
  <c r="CY74" i="14"/>
  <c r="CC90" i="14"/>
  <c r="CK62" i="14"/>
  <c r="BN92" i="14"/>
  <c r="BB88" i="14"/>
  <c r="CX94" i="14"/>
  <c r="DE20" i="15"/>
  <c r="BD59" i="14"/>
  <c r="T69" i="14"/>
  <c r="AE60" i="14"/>
  <c r="BU63" i="14"/>
  <c r="BR56" i="14"/>
  <c r="BQ77" i="14"/>
  <c r="BQ49" i="14"/>
  <c r="AQ92" i="14"/>
  <c r="CF92" i="14"/>
  <c r="CB56" i="14"/>
  <c r="DE20" i="16"/>
  <c r="BZ65" i="14"/>
  <c r="BT60" i="14"/>
  <c r="H90" i="14"/>
  <c r="CQ100" i="14"/>
  <c r="AQ56" i="14"/>
  <c r="CM59" i="14"/>
  <c r="CL54" i="14"/>
  <c r="CZ76" i="14"/>
  <c r="W50" i="14"/>
  <c r="W67" i="14"/>
  <c r="J76" i="14"/>
  <c r="BM104" i="14"/>
  <c r="BK73" i="14"/>
  <c r="B63" i="14"/>
  <c r="P74" i="14"/>
  <c r="AO68" i="14"/>
  <c r="AU63" i="14"/>
  <c r="DE27" i="16"/>
  <c r="CZ45" i="14"/>
  <c r="CE104" i="14"/>
  <c r="T82" i="14"/>
  <c r="AH76" i="14"/>
  <c r="BO93" i="14"/>
  <c r="AU72" i="14"/>
  <c r="O60" i="14"/>
  <c r="CP34" i="14"/>
  <c r="CX73" i="14"/>
  <c r="Z97" i="14"/>
  <c r="AF77" i="14"/>
  <c r="CF51" i="14"/>
  <c r="DA93" i="14"/>
  <c r="CX97" i="14"/>
  <c r="Q106" i="14"/>
  <c r="AX96" i="14"/>
  <c r="AW58" i="14"/>
  <c r="CI86" i="14"/>
  <c r="BF59" i="14"/>
  <c r="BG75" i="14"/>
  <c r="CD93" i="14"/>
  <c r="B53" i="15"/>
  <c r="P65" i="14"/>
  <c r="CN69" i="14"/>
  <c r="J101" i="14"/>
  <c r="BX62" i="14"/>
  <c r="H78" i="14"/>
  <c r="AL63" i="14"/>
  <c r="CN65" i="14"/>
  <c r="CZ50" i="14"/>
  <c r="AN50" i="14"/>
  <c r="AJ65" i="14"/>
  <c r="CO49" i="14"/>
  <c r="BI79" i="14"/>
  <c r="BO73" i="14"/>
  <c r="F159" i="15"/>
  <c r="CE93" i="14"/>
  <c r="AS34" i="14"/>
  <c r="W97" i="14"/>
  <c r="AO79" i="14"/>
  <c r="CW87" i="14"/>
  <c r="BF60" i="14"/>
  <c r="M76" i="14"/>
  <c r="BD84" i="14"/>
  <c r="BG82" i="14"/>
  <c r="M104" i="14"/>
  <c r="BZ46" i="14"/>
  <c r="L103" i="14"/>
  <c r="BR62" i="14"/>
  <c r="DA86" i="14"/>
  <c r="CB86" i="14"/>
  <c r="AY81" i="14"/>
  <c r="CL46" i="14"/>
  <c r="CY58" i="14"/>
  <c r="B63" i="15"/>
  <c r="CN96" i="14"/>
  <c r="AD49" i="14"/>
  <c r="BD51" i="14"/>
  <c r="BV95" i="14"/>
  <c r="Y48" i="14"/>
  <c r="DA87" i="14"/>
  <c r="W76" i="14"/>
  <c r="H62" i="14"/>
  <c r="DE54" i="16"/>
  <c r="AU78" i="14"/>
  <c r="BZ85" i="14"/>
  <c r="CU104" i="14"/>
  <c r="BJ84" i="14"/>
  <c r="AD48" i="14"/>
  <c r="CG48" i="14"/>
  <c r="BN95" i="14"/>
  <c r="C94" i="14"/>
  <c r="AN59" i="14"/>
  <c r="N105" i="14"/>
  <c r="B51" i="14"/>
  <c r="BW65" i="14"/>
  <c r="AL78" i="14"/>
  <c r="CV103" i="14"/>
  <c r="CM87" i="14"/>
  <c r="O90" i="14"/>
  <c r="AM45" i="14"/>
  <c r="CY67" i="14"/>
  <c r="DE15" i="16"/>
  <c r="BS62" i="14"/>
  <c r="AW59" i="14"/>
  <c r="BL58" i="14"/>
  <c r="K69" i="14"/>
  <c r="BH95" i="14"/>
  <c r="BZ102" i="14"/>
  <c r="Z64" i="14"/>
  <c r="L95" i="14"/>
  <c r="BL60" i="14"/>
  <c r="AW104" i="14"/>
  <c r="DE74" i="15"/>
  <c r="CG55" i="14"/>
  <c r="AM99" i="14"/>
  <c r="AP82" i="14"/>
  <c r="C86" i="14"/>
  <c r="CK76" i="14"/>
  <c r="CZ75" i="14"/>
  <c r="B37" i="16"/>
  <c r="BT99" i="14"/>
  <c r="T77" i="14"/>
  <c r="AD56" i="14"/>
  <c r="CM82" i="14"/>
  <c r="C95" i="14"/>
  <c r="AJ86" i="14"/>
  <c r="CC105" i="14"/>
  <c r="BU91" i="14"/>
  <c r="B24" i="16"/>
  <c r="AJ90" i="14"/>
  <c r="CY97" i="14"/>
  <c r="CQ88" i="14"/>
  <c r="AW50" i="14"/>
  <c r="CS83" i="14"/>
  <c r="BV91" i="14"/>
  <c r="AM92" i="14"/>
  <c r="X97" i="14"/>
  <c r="BP84" i="14"/>
  <c r="Y77" i="14"/>
  <c r="S57" i="14"/>
  <c r="CY95" i="14"/>
  <c r="Y73" i="14"/>
  <c r="AY104" i="14"/>
  <c r="BG74" i="14"/>
  <c r="CN83" i="14"/>
  <c r="B35" i="15"/>
  <c r="BA57" i="14"/>
  <c r="AQ88" i="14"/>
  <c r="CZ92" i="14"/>
  <c r="AZ82" i="14"/>
  <c r="BQ57" i="14"/>
  <c r="BN54" i="14"/>
  <c r="BY82" i="14"/>
  <c r="CJ49" i="14"/>
  <c r="BB91" i="14"/>
  <c r="CE63" i="14"/>
  <c r="CM56" i="14"/>
  <c r="I53" i="14"/>
  <c r="CE49" i="14"/>
  <c r="DA34" i="14"/>
  <c r="DE26" i="16"/>
  <c r="CG101" i="14"/>
  <c r="CE53" i="14"/>
  <c r="L47" i="14"/>
  <c r="T105" i="14"/>
  <c r="CV94" i="14"/>
  <c r="CQ49" i="14"/>
  <c r="AE96" i="14"/>
  <c r="T60" i="14"/>
  <c r="BL76" i="14"/>
  <c r="DA103" i="14"/>
  <c r="CS63" i="14"/>
  <c r="BT94" i="14"/>
  <c r="AH51" i="14"/>
  <c r="Z57" i="14"/>
  <c r="AF87" i="14"/>
  <c r="K75" i="14"/>
  <c r="AH47" i="14"/>
  <c r="BJ96" i="14"/>
  <c r="AG56" i="14"/>
  <c r="CT106" i="14"/>
  <c r="BR101" i="14"/>
  <c r="AR63" i="14"/>
  <c r="B73" i="14"/>
  <c r="I20" i="14"/>
  <c r="CT57" i="14"/>
  <c r="AL106" i="14"/>
  <c r="CS74" i="14"/>
  <c r="CI34" i="14"/>
  <c r="Y47" i="14"/>
  <c r="AW97" i="14"/>
  <c r="CE76" i="14"/>
  <c r="BO82" i="14"/>
  <c r="BV66" i="14"/>
  <c r="B40" i="16"/>
  <c r="S55" i="14"/>
  <c r="AM74" i="14"/>
  <c r="CA63" i="14"/>
  <c r="AG102" i="14"/>
  <c r="CY82" i="14"/>
  <c r="AT56" i="14"/>
  <c r="CJ87" i="14"/>
  <c r="BL49" i="14"/>
  <c r="L50" i="14"/>
  <c r="O105" i="14"/>
  <c r="BR102" i="14"/>
  <c r="CG77" i="14"/>
  <c r="BE84" i="14"/>
  <c r="B103" i="14"/>
  <c r="K57" i="14"/>
  <c r="BA84" i="14"/>
  <c r="R92" i="14"/>
  <c r="CY63" i="14"/>
  <c r="AE64" i="14"/>
  <c r="BC44" i="14"/>
  <c r="CB67" i="14"/>
  <c r="AK82" i="14"/>
  <c r="CS73" i="14"/>
  <c r="BF76" i="14"/>
  <c r="BJ68" i="14"/>
  <c r="N77" i="14"/>
  <c r="BR49" i="14"/>
  <c r="M100" i="14"/>
  <c r="AR54" i="14"/>
  <c r="AF83" i="14"/>
  <c r="AD75" i="14"/>
  <c r="AI82" i="14"/>
  <c r="AK44" i="14"/>
  <c r="AP54" i="14"/>
  <c r="AC85" i="14"/>
  <c r="CU54" i="14"/>
  <c r="BS84" i="14"/>
  <c r="DB44" i="14"/>
  <c r="CS65" i="14"/>
  <c r="CM34" i="14"/>
  <c r="BY102" i="14"/>
  <c r="AR60" i="14"/>
  <c r="AG62" i="14"/>
  <c r="BF97" i="14"/>
  <c r="AN79" i="14"/>
  <c r="AV88" i="14"/>
  <c r="BL34" i="14"/>
  <c r="CF97" i="14"/>
  <c r="C76" i="14"/>
  <c r="CS85" i="14"/>
  <c r="BG44" i="14"/>
  <c r="N62" i="14"/>
  <c r="CS103" i="14"/>
  <c r="R81" i="14"/>
  <c r="AI83" i="14"/>
  <c r="BX91" i="14"/>
  <c r="AI101" i="14"/>
  <c r="CH54" i="14"/>
  <c r="DE57" i="16"/>
  <c r="AV73" i="14"/>
  <c r="BO49" i="14"/>
  <c r="CU44" i="14"/>
  <c r="Z69" i="14"/>
  <c r="Y90" i="14"/>
  <c r="AW65" i="14"/>
  <c r="S62" i="14"/>
  <c r="CA95" i="14"/>
  <c r="BQ85" i="14"/>
  <c r="CX63" i="14"/>
  <c r="O81" i="14"/>
  <c r="CR53" i="14"/>
  <c r="Q90" i="14"/>
  <c r="R53" i="14"/>
  <c r="CX60" i="14"/>
  <c r="CQ53" i="14"/>
  <c r="AQ75" i="14"/>
  <c r="AB72" i="14"/>
  <c r="H101" i="14"/>
  <c r="BC100" i="14"/>
  <c r="BN44" i="14"/>
  <c r="V104" i="14"/>
  <c r="V51" i="14"/>
  <c r="AI55" i="14"/>
  <c r="BE75" i="14"/>
  <c r="CY84" i="14"/>
  <c r="N92" i="14"/>
  <c r="BP66" i="14"/>
  <c r="Y74" i="14"/>
  <c r="K47" i="14"/>
  <c r="BV47" i="14"/>
  <c r="BN97" i="14"/>
  <c r="BX78" i="14"/>
  <c r="I44" i="14"/>
  <c r="BV83" i="14"/>
  <c r="AW85" i="14"/>
  <c r="BT54" i="14"/>
  <c r="AJ79" i="14"/>
  <c r="AO57" i="14"/>
  <c r="CP96" i="14"/>
  <c r="B61" i="16"/>
  <c r="CN101" i="14"/>
  <c r="BJ63" i="14"/>
  <c r="CB59" i="14"/>
  <c r="AL56" i="14"/>
  <c r="AH90" i="14"/>
  <c r="I19" i="14"/>
  <c r="X51" i="14"/>
  <c r="B55" i="15"/>
  <c r="BH101" i="14"/>
  <c r="W93" i="14"/>
  <c r="AP76" i="14"/>
  <c r="CR96" i="14"/>
  <c r="AW54" i="14"/>
  <c r="O69" i="14"/>
  <c r="R77" i="14"/>
  <c r="AC58" i="14"/>
  <c r="CX46" i="14"/>
  <c r="BI75" i="14"/>
  <c r="CT104" i="14"/>
  <c r="AT65" i="14"/>
  <c r="Z65" i="14"/>
  <c r="AM105" i="14"/>
  <c r="AR44" i="14"/>
  <c r="CM55" i="14"/>
  <c r="BZ58" i="14"/>
  <c r="BZ50" i="14"/>
  <c r="J63" i="14"/>
  <c r="BC54" i="14"/>
  <c r="BU45" i="14"/>
  <c r="H92" i="14"/>
  <c r="M58" i="14"/>
  <c r="AP64" i="14"/>
  <c r="CV86" i="14"/>
  <c r="AQ51" i="14"/>
  <c r="CZ34" i="14"/>
  <c r="AR74" i="14"/>
  <c r="AH102" i="14"/>
  <c r="BM62" i="14"/>
  <c r="U82" i="14"/>
  <c r="BI63" i="14"/>
  <c r="BZ81" i="14"/>
  <c r="Y102" i="14"/>
  <c r="BV101" i="14"/>
  <c r="AF100" i="14"/>
  <c r="O88" i="14"/>
  <c r="Q84" i="14"/>
  <c r="CC49" i="14"/>
  <c r="DE47" i="15"/>
  <c r="CK97" i="14"/>
  <c r="CX64" i="14"/>
  <c r="AC69" i="14"/>
  <c r="BE104" i="14"/>
  <c r="X103" i="14"/>
  <c r="BU102" i="14"/>
  <c r="B51" i="15"/>
  <c r="BZ94" i="14"/>
  <c r="CA96" i="14"/>
  <c r="BN62" i="14"/>
  <c r="R49" i="14"/>
  <c r="S84" i="14"/>
  <c r="BW53" i="14"/>
  <c r="BF58" i="14"/>
  <c r="N102" i="14"/>
  <c r="BD66" i="14"/>
  <c r="CN106" i="14"/>
  <c r="B60" i="14"/>
  <c r="BB103" i="14"/>
  <c r="AV99" i="14"/>
  <c r="CX95" i="14"/>
  <c r="CC63" i="14"/>
  <c r="AE45" i="14"/>
  <c r="AK84" i="14"/>
  <c r="R106" i="14"/>
  <c r="BJ59" i="14"/>
  <c r="AT59" i="14"/>
  <c r="BK47" i="14"/>
  <c r="B41" i="15"/>
  <c r="V57" i="14"/>
  <c r="BJ51" i="14"/>
  <c r="AJ45" i="14"/>
  <c r="BN85" i="14"/>
  <c r="H75" i="14"/>
  <c r="O97" i="14"/>
  <c r="CG53" i="14"/>
  <c r="AY72" i="14"/>
  <c r="AL45" i="14"/>
  <c r="B102" i="14"/>
  <c r="AG47" i="14"/>
  <c r="V91" i="14"/>
  <c r="CE51" i="14"/>
  <c r="DE68" i="16"/>
  <c r="CT93" i="14"/>
  <c r="DB53" i="14"/>
  <c r="AV84" i="14"/>
  <c r="BV46" i="14"/>
  <c r="B42" i="16"/>
  <c r="AP72" i="14"/>
  <c r="U91" i="14"/>
  <c r="Q100" i="14"/>
  <c r="BM59" i="14"/>
  <c r="AB48" i="14"/>
  <c r="AO104" i="14"/>
  <c r="CF44" i="14"/>
  <c r="BV73" i="14"/>
  <c r="DE57" i="15"/>
  <c r="CD63" i="14"/>
  <c r="CA49" i="14"/>
  <c r="AN103" i="14"/>
  <c r="BY106" i="14"/>
  <c r="BC101" i="14"/>
  <c r="P64" i="14"/>
  <c r="AY69" i="14"/>
  <c r="BB99" i="14"/>
  <c r="O94" i="14"/>
  <c r="AN102" i="14"/>
  <c r="BW85" i="14"/>
  <c r="AZ69" i="14"/>
  <c r="BP60" i="14"/>
  <c r="BR86" i="14"/>
  <c r="BM84" i="14"/>
  <c r="AE105" i="14"/>
  <c r="CE54" i="14"/>
  <c r="CS91" i="14"/>
  <c r="AL101" i="14"/>
  <c r="AB104" i="14"/>
  <c r="CP53" i="14"/>
  <c r="CV58" i="14"/>
  <c r="AJ77" i="14"/>
  <c r="B86" i="16"/>
  <c r="AK55" i="14"/>
  <c r="CN85" i="14"/>
  <c r="AN104" i="14"/>
  <c r="CH58" i="14"/>
  <c r="AQ67" i="14"/>
  <c r="N54" i="14"/>
  <c r="CK99" i="14"/>
  <c r="BA48" i="14"/>
  <c r="AW72" i="14"/>
  <c r="B34" i="15"/>
  <c r="BB69" i="14"/>
  <c r="T99" i="14"/>
  <c r="R103" i="14"/>
  <c r="CI96" i="14"/>
  <c r="CK57" i="14"/>
  <c r="BK91" i="14"/>
  <c r="CI59" i="14"/>
  <c r="CK102" i="14"/>
  <c r="BV55" i="14"/>
  <c r="CA104" i="14"/>
  <c r="BL79" i="14"/>
  <c r="CS72" i="14"/>
  <c r="CR46" i="14"/>
  <c r="CZ105" i="14"/>
  <c r="B45" i="15"/>
  <c r="CX48" i="14"/>
  <c r="O66" i="14"/>
  <c r="K62" i="14"/>
  <c r="BW86" i="14"/>
  <c r="BM54" i="14"/>
  <c r="I66" i="14"/>
  <c r="AS59" i="14"/>
  <c r="AU90" i="14"/>
  <c r="AV106" i="14"/>
  <c r="S58" i="14"/>
  <c r="BJ82" i="14"/>
  <c r="AF54" i="14"/>
  <c r="DE93" i="15"/>
  <c r="V62" i="14"/>
  <c r="DE51" i="16"/>
  <c r="BG53" i="14"/>
  <c r="DE14" i="15"/>
  <c r="DC75" i="14"/>
  <c r="CJ102" i="14"/>
  <c r="AO60" i="14"/>
  <c r="AQ54" i="14"/>
  <c r="S87" i="14"/>
  <c r="K82" i="14"/>
  <c r="Q47" i="14"/>
  <c r="BZ99" i="14"/>
  <c r="CX69" i="14"/>
  <c r="AE74" i="14"/>
  <c r="AE53" i="14"/>
  <c r="AO87" i="14"/>
  <c r="BD73" i="14"/>
  <c r="DE105" i="15"/>
  <c r="BY69" i="14"/>
  <c r="BT95" i="14"/>
  <c r="T100" i="14"/>
  <c r="BS65" i="14"/>
  <c r="CX44" i="14"/>
  <c r="H73" i="14"/>
  <c r="BH74" i="14"/>
  <c r="B68" i="15"/>
  <c r="DC50" i="14"/>
  <c r="AH66" i="14"/>
  <c r="AB56" i="14"/>
  <c r="AK93" i="14"/>
  <c r="AX90" i="14"/>
  <c r="AU64" i="14"/>
  <c r="AM95" i="14"/>
  <c r="BT45" i="14"/>
  <c r="BU46" i="14"/>
  <c r="AS73" i="14"/>
  <c r="Q97" i="14"/>
  <c r="U102" i="14"/>
  <c r="B13" i="15"/>
  <c r="AV63" i="14"/>
  <c r="BF64" i="14"/>
  <c r="CT105" i="14"/>
  <c r="P103" i="14"/>
  <c r="AK51" i="14"/>
  <c r="CI78" i="14"/>
  <c r="AB47" i="14"/>
  <c r="C42" i="14"/>
  <c r="BP49" i="14"/>
  <c r="CD88" i="14"/>
  <c r="AJ54" i="14"/>
  <c r="B125" i="15"/>
  <c r="CG60" i="14"/>
  <c r="AI81" i="14"/>
  <c r="DE39" i="15"/>
  <c r="P63" i="14"/>
  <c r="BV100" i="14"/>
  <c r="AF102" i="14"/>
  <c r="AN77" i="14"/>
  <c r="CH64" i="14"/>
  <c r="BH90" i="14"/>
  <c r="AS84" i="14"/>
  <c r="BV67" i="14"/>
  <c r="AE82" i="14"/>
  <c r="L69" i="14"/>
  <c r="BO99" i="14"/>
  <c r="U64" i="14"/>
  <c r="J102" i="14"/>
  <c r="CU77" i="14"/>
  <c r="AZ58" i="14"/>
  <c r="U65" i="14"/>
  <c r="BC96" i="14"/>
  <c r="AN58" i="14"/>
  <c r="CI93" i="14"/>
  <c r="AE87" i="14"/>
  <c r="CJ85" i="14"/>
  <c r="AH34" i="14"/>
  <c r="CW77" i="14"/>
  <c r="AD96" i="14"/>
  <c r="B69" i="14"/>
  <c r="CJ53" i="14"/>
  <c r="BJ74" i="14"/>
  <c r="CC95" i="14"/>
  <c r="BH79" i="14"/>
  <c r="CT63" i="14"/>
  <c r="CZ82" i="14"/>
  <c r="CS87" i="14"/>
  <c r="BC86" i="14"/>
  <c r="AL95" i="14"/>
  <c r="BD76" i="14"/>
  <c r="BC103" i="14"/>
  <c r="CR51" i="14"/>
  <c r="AO99" i="14"/>
  <c r="AW60" i="14"/>
  <c r="BX48" i="14"/>
  <c r="CR72" i="14"/>
  <c r="DE53" i="16"/>
  <c r="CS93" i="14"/>
  <c r="AR67" i="14"/>
  <c r="T86" i="14"/>
  <c r="BW62" i="14"/>
  <c r="AF58" i="14"/>
  <c r="CC46" i="14"/>
  <c r="CB91" i="14"/>
  <c r="AM63" i="14"/>
  <c r="DE18" i="15"/>
  <c r="AS62" i="14"/>
  <c r="X74" i="14"/>
  <c r="DC77" i="14"/>
  <c r="BL62" i="14"/>
  <c r="BF96" i="14"/>
  <c r="CQ92" i="14"/>
  <c r="W104" i="14"/>
  <c r="CM72" i="14"/>
  <c r="BL102" i="14"/>
  <c r="BH50" i="14"/>
  <c r="BY63" i="14"/>
  <c r="BF87" i="14"/>
  <c r="CC57" i="14"/>
  <c r="B67" i="15"/>
  <c r="B43" i="14"/>
  <c r="BI69" i="14"/>
  <c r="Y97" i="14"/>
  <c r="DB104" i="14"/>
  <c r="BS66" i="14"/>
  <c r="DC102" i="14"/>
  <c r="CR99" i="14"/>
  <c r="DA64" i="14"/>
  <c r="CJ69" i="14"/>
  <c r="M105" i="14"/>
  <c r="AV66" i="14"/>
  <c r="AH95" i="14"/>
  <c r="CF96" i="14"/>
  <c r="BC106" i="14"/>
  <c r="BW34" i="14"/>
  <c r="CQ44" i="14"/>
  <c r="AQ94" i="14"/>
  <c r="AF48" i="14"/>
  <c r="K105" i="14"/>
  <c r="M46" i="14"/>
  <c r="BG94" i="14"/>
  <c r="AA34" i="14"/>
  <c r="BL87" i="14"/>
  <c r="X84" i="14"/>
  <c r="BE74" i="14"/>
  <c r="BP106" i="14"/>
  <c r="BP62" i="14"/>
  <c r="CJ86" i="14"/>
  <c r="DC51" i="14"/>
  <c r="DC91" i="14"/>
  <c r="AV100" i="14"/>
  <c r="AB90" i="14"/>
  <c r="BB66" i="14"/>
  <c r="BI54" i="14"/>
  <c r="BU77" i="14"/>
  <c r="AR75" i="14"/>
  <c r="BA47" i="14"/>
  <c r="CL85" i="14"/>
  <c r="V92" i="14"/>
  <c r="CQ91" i="14"/>
  <c r="AJ92" i="14"/>
  <c r="K77" i="14"/>
  <c r="CH97" i="14"/>
  <c r="AO90" i="14"/>
  <c r="CQ60" i="14"/>
  <c r="BF88" i="14"/>
  <c r="AY87" i="14"/>
  <c r="B105" i="14"/>
  <c r="CM88" i="14"/>
  <c r="CQ103" i="14"/>
  <c r="CP101" i="14"/>
  <c r="CO55" i="14"/>
  <c r="BP102" i="14"/>
  <c r="BF50" i="14"/>
  <c r="CM76" i="14"/>
  <c r="CG78" i="14"/>
  <c r="BQ87" i="14"/>
  <c r="CW81" i="14"/>
  <c r="AZ75" i="14"/>
  <c r="CG67" i="14"/>
  <c r="BL67" i="14"/>
  <c r="AH45" i="14"/>
  <c r="CA78" i="14"/>
  <c r="P106" i="14"/>
  <c r="AS100" i="14"/>
  <c r="BB53" i="14"/>
  <c r="B49" i="15"/>
  <c r="T97" i="14"/>
  <c r="AZ92" i="14"/>
  <c r="Q75" i="14"/>
  <c r="BR63" i="14"/>
  <c r="BP74" i="14"/>
  <c r="AH55" i="14"/>
  <c r="BW59" i="14"/>
  <c r="CF56" i="14"/>
  <c r="P62" i="14"/>
  <c r="BB46" i="14"/>
  <c r="BR54" i="14"/>
  <c r="AF94" i="14"/>
  <c r="N46" i="14"/>
  <c r="BL81" i="14"/>
  <c r="K81" i="14"/>
  <c r="AC66" i="14"/>
  <c r="CC97" i="14"/>
  <c r="CR66" i="14"/>
  <c r="AF95" i="14"/>
  <c r="AH77" i="14"/>
  <c r="AE57" i="14"/>
  <c r="C57" i="14"/>
  <c r="CV45" i="14"/>
  <c r="BK77" i="14"/>
  <c r="CQ45" i="14"/>
  <c r="CF58" i="14"/>
  <c r="CM79" i="14"/>
  <c r="Y91" i="14"/>
  <c r="AT95" i="14"/>
  <c r="DC53" i="14"/>
  <c r="AI63" i="14"/>
  <c r="AB63" i="14"/>
  <c r="U77" i="14"/>
  <c r="AK83" i="14"/>
  <c r="BO96" i="14"/>
  <c r="AA68" i="14"/>
  <c r="CA105" i="14"/>
  <c r="Y79" i="14"/>
  <c r="DE103" i="15"/>
  <c r="DA97" i="14"/>
  <c r="BC46" i="14"/>
  <c r="BT77" i="14"/>
  <c r="DA96" i="14"/>
  <c r="O65" i="14"/>
  <c r="BF81" i="14"/>
  <c r="AK69" i="14"/>
  <c r="AM103" i="14"/>
  <c r="K50" i="14"/>
  <c r="DB59" i="14"/>
  <c r="Z104" i="14"/>
  <c r="B83" i="16"/>
  <c r="CE90" i="14"/>
  <c r="BH105" i="14"/>
  <c r="AP50" i="14"/>
  <c r="AY58" i="14"/>
  <c r="AL69" i="14"/>
  <c r="AG96" i="14"/>
  <c r="CN77" i="14"/>
  <c r="CV84" i="14"/>
  <c r="AN105" i="14"/>
  <c r="BJ73" i="14"/>
  <c r="AK86" i="14"/>
  <c r="AB67" i="14"/>
  <c r="V64" i="14"/>
  <c r="R72" i="14"/>
  <c r="CX105" i="14"/>
  <c r="AB88" i="14"/>
  <c r="AW79" i="14"/>
  <c r="CQ99" i="14"/>
  <c r="AN90" i="14"/>
  <c r="BH63" i="14"/>
  <c r="BW105" i="14"/>
  <c r="AC56" i="14"/>
  <c r="CV64" i="14"/>
  <c r="CG91" i="14"/>
  <c r="CO82" i="14"/>
  <c r="B52" i="14"/>
  <c r="B51" i="16"/>
  <c r="CE75" i="14"/>
  <c r="BB59" i="14"/>
  <c r="CT44" i="14"/>
  <c r="O44" i="14"/>
  <c r="CN88" i="14"/>
  <c r="BN58" i="14"/>
  <c r="BR81" i="14"/>
  <c r="S85" i="14"/>
  <c r="H65" i="14"/>
  <c r="AS82" i="14"/>
  <c r="CZ100" i="14"/>
  <c r="AR72" i="14"/>
  <c r="CD79" i="14"/>
  <c r="AG84" i="14"/>
  <c r="AG63" i="14"/>
  <c r="CA51" i="14"/>
  <c r="AX76" i="14"/>
  <c r="CD34" i="14"/>
  <c r="CF83" i="14"/>
  <c r="CK79" i="14"/>
  <c r="CY99" i="14"/>
  <c r="DA95" i="14"/>
  <c r="CN92" i="14"/>
  <c r="CO87" i="14"/>
  <c r="B47" i="14"/>
  <c r="CW67" i="14"/>
  <c r="AS58" i="14"/>
  <c r="BG65" i="14"/>
  <c r="CT51" i="14"/>
  <c r="BT50" i="14"/>
  <c r="AL74" i="14"/>
  <c r="AG76" i="14"/>
  <c r="DE24" i="16"/>
  <c r="CY64" i="14"/>
  <c r="AQ77" i="14"/>
  <c r="DB69" i="14"/>
  <c r="CT79" i="14"/>
  <c r="CF76" i="14"/>
  <c r="T59" i="14"/>
  <c r="BT93" i="14"/>
  <c r="BP83" i="14"/>
  <c r="CX78" i="14"/>
  <c r="J106" i="14"/>
  <c r="CW54" i="14"/>
  <c r="O49" i="14"/>
  <c r="AV85" i="14"/>
  <c r="AW75" i="14"/>
  <c r="P78" i="14"/>
  <c r="CX49" i="14"/>
  <c r="Q101" i="14"/>
  <c r="P76" i="14"/>
  <c r="CH76" i="14"/>
  <c r="AE49" i="14"/>
  <c r="BK64" i="14"/>
  <c r="CI76" i="14"/>
  <c r="BX79" i="14"/>
  <c r="CT78" i="14"/>
  <c r="AS83" i="14"/>
  <c r="AF50" i="14"/>
  <c r="BB47" i="14"/>
  <c r="U104" i="14"/>
  <c r="H84" i="14"/>
  <c r="CP69" i="14"/>
  <c r="B72" i="15"/>
  <c r="CE94" i="14"/>
  <c r="BX67" i="14"/>
  <c r="BA104" i="14"/>
  <c r="CV85" i="14"/>
  <c r="CA100" i="14"/>
  <c r="BJ94" i="14"/>
  <c r="H68" i="14"/>
  <c r="AJ81" i="14"/>
  <c r="AX72" i="14"/>
  <c r="DA83" i="14"/>
  <c r="B31" i="16"/>
  <c r="AQ50" i="14"/>
  <c r="R56" i="14"/>
  <c r="CZ88" i="14"/>
  <c r="BR99" i="14"/>
  <c r="CD64" i="14"/>
  <c r="Y59" i="14"/>
  <c r="H60" i="14"/>
  <c r="CL59" i="14"/>
  <c r="N93" i="14"/>
  <c r="AC54" i="14"/>
  <c r="BU64" i="14"/>
  <c r="DE125" i="15"/>
  <c r="BD103" i="14"/>
  <c r="CH63" i="14"/>
  <c r="AC59" i="14"/>
  <c r="AG93" i="14"/>
  <c r="F157" i="15"/>
  <c r="BO67" i="14"/>
  <c r="BV59" i="14"/>
  <c r="Y66" i="14"/>
  <c r="CD97" i="14"/>
  <c r="C58" i="14"/>
  <c r="AT54" i="14"/>
  <c r="CI62" i="14"/>
  <c r="AS48" i="14"/>
  <c r="AN78" i="14"/>
  <c r="S91" i="14"/>
  <c r="BT64" i="14"/>
  <c r="AX69" i="14"/>
  <c r="CB87" i="14"/>
  <c r="AL64" i="14"/>
  <c r="Z106" i="14"/>
  <c r="BY59" i="14"/>
  <c r="AM73" i="14"/>
  <c r="AO34" i="14"/>
  <c r="AJ72" i="14"/>
  <c r="AV93" i="14"/>
  <c r="CF54" i="14"/>
  <c r="CO53" i="14"/>
  <c r="CF57" i="14"/>
  <c r="V48" i="14"/>
  <c r="Y105" i="14"/>
  <c r="B26" i="16"/>
  <c r="BH86" i="14"/>
  <c r="CK67" i="14"/>
  <c r="B52" i="16"/>
  <c r="BI66" i="14"/>
  <c r="AQ93" i="14"/>
  <c r="AV77" i="14"/>
  <c r="N83" i="14"/>
  <c r="BC58" i="14"/>
  <c r="CX67" i="14"/>
  <c r="L57" i="14"/>
  <c r="BV56" i="14"/>
  <c r="T73" i="14"/>
  <c r="AC91" i="14"/>
  <c r="Z59" i="14"/>
  <c r="BT72" i="14"/>
  <c r="W90" i="14"/>
  <c r="BG66" i="14"/>
  <c r="BI50" i="14"/>
  <c r="CT66" i="14"/>
  <c r="CA102" i="14"/>
  <c r="AO78" i="14"/>
  <c r="X95" i="14"/>
  <c r="CT94" i="14"/>
  <c r="AX50" i="14"/>
  <c r="AG86" i="14"/>
  <c r="CO91" i="14"/>
  <c r="BF72" i="14"/>
  <c r="BV72" i="14"/>
  <c r="B49" i="16"/>
  <c r="CZ77" i="14"/>
  <c r="CZ54" i="14"/>
  <c r="CU50" i="14"/>
  <c r="CM62" i="14"/>
  <c r="C43" i="14"/>
  <c r="J68" i="14"/>
  <c r="BY47" i="14"/>
  <c r="AJ74" i="14"/>
  <c r="CG88" i="14"/>
  <c r="L60" i="14"/>
  <c r="BF105" i="14"/>
  <c r="O73" i="14"/>
  <c r="AZ87" i="14"/>
  <c r="K19" i="14"/>
  <c r="V47" i="14"/>
  <c r="BZ62" i="14"/>
  <c r="BW74" i="14"/>
  <c r="S54" i="14"/>
  <c r="Z54" i="14"/>
  <c r="K84" i="14"/>
  <c r="CE65" i="14"/>
  <c r="BS49" i="14"/>
  <c r="Y68" i="14"/>
  <c r="BC74" i="14"/>
  <c r="BI76" i="14"/>
  <c r="AM85" i="14"/>
  <c r="BP100" i="14"/>
  <c r="BP45" i="14"/>
  <c r="CY105" i="14"/>
  <c r="K34" i="14"/>
  <c r="CZ67" i="14"/>
  <c r="BY45" i="14"/>
  <c r="BP75" i="14"/>
  <c r="DE80" i="15"/>
  <c r="AA81" i="14"/>
  <c r="AM46" i="14"/>
  <c r="AI51" i="14"/>
  <c r="CB49" i="14"/>
  <c r="BL46" i="14"/>
  <c r="O54" i="14"/>
  <c r="CC53" i="14"/>
  <c r="BP57" i="14"/>
  <c r="BA79" i="14"/>
  <c r="M94" i="14"/>
  <c r="AE56" i="14"/>
  <c r="AJ87" i="14"/>
  <c r="S74" i="14"/>
  <c r="AJ64" i="14"/>
  <c r="BL90" i="14"/>
  <c r="AU83" i="14"/>
  <c r="BG87" i="14"/>
  <c r="CT103" i="14"/>
  <c r="AZ101" i="14"/>
  <c r="AF74" i="14"/>
  <c r="BJ60" i="14"/>
  <c r="Z91" i="14"/>
  <c r="BR103" i="14"/>
  <c r="BV57" i="14"/>
  <c r="N101" i="14"/>
  <c r="P72" i="14"/>
  <c r="BO102" i="14"/>
  <c r="O76" i="14"/>
  <c r="BY83" i="14"/>
  <c r="BB60" i="14"/>
  <c r="W106" i="14"/>
  <c r="CY101" i="14"/>
  <c r="CS81" i="14"/>
  <c r="CE74" i="14"/>
  <c r="CL73" i="14"/>
  <c r="AF51" i="14"/>
  <c r="BS79" i="14"/>
  <c r="BZ66" i="14"/>
  <c r="P96" i="14"/>
  <c r="U84" i="14"/>
  <c r="CK96" i="14"/>
  <c r="DB87" i="14"/>
  <c r="BL85" i="14"/>
  <c r="BS76" i="14"/>
  <c r="B104" i="14"/>
  <c r="AG75" i="14"/>
  <c r="BL99" i="14"/>
  <c r="AE79" i="14"/>
  <c r="I56" i="14"/>
  <c r="BJ76" i="14"/>
  <c r="BY49" i="14"/>
  <c r="AV79" i="14"/>
  <c r="DE72" i="15"/>
  <c r="CC69" i="14"/>
  <c r="AT51" i="14"/>
  <c r="CY87" i="14"/>
  <c r="I77" i="14"/>
  <c r="AE94" i="14"/>
  <c r="CL105" i="14"/>
  <c r="B23" i="16"/>
  <c r="BQ101" i="14"/>
  <c r="BF95" i="14"/>
  <c r="BP65" i="14"/>
  <c r="BY72" i="14"/>
  <c r="AT73" i="14"/>
  <c r="BG56" i="14"/>
  <c r="DB101" i="14"/>
  <c r="AL85" i="14"/>
  <c r="AL92" i="14"/>
  <c r="BA63" i="14"/>
  <c r="CN79" i="14"/>
  <c r="V74" i="14"/>
  <c r="CI66" i="14"/>
  <c r="BJ64" i="14"/>
  <c r="BM55" i="14"/>
  <c r="CH79" i="14"/>
  <c r="BM63" i="14"/>
  <c r="BK81" i="14"/>
  <c r="AD90" i="14"/>
  <c r="B54" i="15"/>
  <c r="AN88" i="14"/>
  <c r="H57" i="14"/>
  <c r="BN79" i="14"/>
  <c r="CX58" i="14"/>
  <c r="CI104" i="14"/>
  <c r="CA50" i="14"/>
  <c r="F160" i="16"/>
  <c r="DE49" i="16"/>
  <c r="AS68" i="14"/>
  <c r="BG105" i="14"/>
  <c r="T101" i="14"/>
  <c r="AT105" i="14"/>
  <c r="CK90" i="14"/>
  <c r="AI60" i="14"/>
  <c r="AZ60" i="14"/>
  <c r="AP51" i="14"/>
  <c r="DE53" i="15"/>
  <c r="CZ60" i="14"/>
  <c r="J85" i="14"/>
  <c r="S100" i="14"/>
  <c r="CZ66" i="14"/>
  <c r="BA69" i="14"/>
  <c r="AL96" i="14"/>
  <c r="B101" i="14"/>
  <c r="H67" i="14"/>
  <c r="CN72" i="14"/>
  <c r="BV104" i="14"/>
  <c r="BT66" i="14"/>
  <c r="DC97" i="14"/>
  <c r="CR81" i="14"/>
  <c r="AF85" i="14"/>
  <c r="AV65" i="14"/>
  <c r="T88" i="14"/>
  <c r="BH87" i="14"/>
  <c r="AB60" i="14"/>
  <c r="X44" i="14"/>
  <c r="J65" i="14"/>
  <c r="V90" i="14"/>
  <c r="B53" i="16"/>
  <c r="DA82" i="14"/>
  <c r="BD57" i="14"/>
  <c r="CL81" i="14"/>
  <c r="AZ49" i="14"/>
  <c r="BB77" i="14"/>
  <c r="BI94" i="14"/>
  <c r="CV78" i="14"/>
  <c r="BS105" i="14"/>
  <c r="C61" i="14"/>
  <c r="AG44" i="14"/>
  <c r="AM100" i="14"/>
  <c r="AW66" i="14"/>
  <c r="AS60" i="14"/>
  <c r="CP78" i="14"/>
  <c r="K93" i="14"/>
  <c r="CT48" i="14"/>
  <c r="Q65" i="14"/>
  <c r="CW91" i="14"/>
  <c r="AZ78" i="14"/>
  <c r="BO63" i="14"/>
  <c r="BO51" i="14"/>
  <c r="U49" i="14"/>
  <c r="J59" i="14"/>
  <c r="CQ101" i="14"/>
  <c r="DC82" i="14"/>
  <c r="BA56" i="14"/>
  <c r="C100" i="14"/>
  <c r="DE85" i="16"/>
  <c r="DE58" i="16"/>
  <c r="CS69" i="14"/>
  <c r="BV69" i="14"/>
  <c r="CV100" i="14"/>
  <c r="S56" i="14"/>
  <c r="BC60" i="14"/>
  <c r="AN45" i="14"/>
  <c r="AU97" i="14"/>
  <c r="CH59" i="14"/>
  <c r="CD82" i="14"/>
  <c r="BT81" i="14"/>
  <c r="AF104" i="14"/>
  <c r="AL75" i="14"/>
  <c r="CK55" i="14"/>
  <c r="M96" i="14"/>
  <c r="CI91" i="14"/>
  <c r="AK48" i="14"/>
  <c r="BD77" i="14"/>
  <c r="AM75" i="14"/>
  <c r="BS51" i="14"/>
  <c r="BW75" i="14"/>
  <c r="BX73" i="14"/>
  <c r="CK66" i="14"/>
  <c r="BI72" i="14"/>
  <c r="AR100" i="14"/>
  <c r="AN56" i="14"/>
  <c r="BP78" i="14"/>
  <c r="BN78" i="14"/>
  <c r="CN45" i="14"/>
  <c r="CO77" i="14"/>
  <c r="CN75" i="14"/>
  <c r="BM74" i="14"/>
  <c r="BF66" i="14"/>
  <c r="N44" i="14"/>
  <c r="AT62" i="14"/>
  <c r="CQ78" i="14"/>
  <c r="BD99" i="14"/>
  <c r="CF106" i="14"/>
  <c r="BZ79" i="14"/>
  <c r="CD45" i="14"/>
  <c r="X101" i="14"/>
  <c r="AA54" i="14"/>
  <c r="I104" i="14"/>
  <c r="O83" i="14"/>
  <c r="B76" i="15"/>
  <c r="CC92" i="14"/>
  <c r="AW99" i="14"/>
  <c r="CM45" i="14"/>
  <c r="DC45" i="14"/>
  <c r="AV68" i="14"/>
  <c r="BF45" i="14"/>
  <c r="CZ81" i="14"/>
  <c r="BR92" i="14"/>
  <c r="CC64" i="14"/>
  <c r="AB84" i="14"/>
  <c r="CA94" i="14"/>
  <c r="AV91" i="14"/>
  <c r="AX45" i="14"/>
  <c r="BK79" i="14"/>
  <c r="AA73" i="14"/>
  <c r="T102" i="14"/>
  <c r="CK101" i="14"/>
  <c r="BT79" i="14"/>
  <c r="AO51" i="14"/>
  <c r="F159" i="16"/>
  <c r="AC65" i="14"/>
  <c r="CP65" i="14"/>
  <c r="CC66" i="14"/>
  <c r="Z92" i="14"/>
  <c r="AE72" i="14"/>
  <c r="BW91" i="14"/>
  <c r="BC67" i="14"/>
  <c r="CC91" i="14"/>
  <c r="BG93" i="14"/>
  <c r="CF93" i="14"/>
  <c r="AF81" i="14"/>
  <c r="CI48" i="14"/>
  <c r="AU105" i="14"/>
  <c r="Y101" i="14"/>
  <c r="DE82" i="15"/>
  <c r="AW92" i="14"/>
  <c r="CC79" i="14"/>
  <c r="X47" i="14"/>
  <c r="BO92" i="14"/>
  <c r="K54" i="14"/>
  <c r="CG45" i="14"/>
  <c r="BO58" i="14"/>
  <c r="AQ65" i="14"/>
  <c r="AP92" i="14"/>
  <c r="CH77" i="14"/>
  <c r="AK94" i="14"/>
  <c r="M45" i="14"/>
  <c r="AB50" i="14"/>
  <c r="CO48" i="14"/>
  <c r="AL76" i="14"/>
  <c r="J77" i="14"/>
  <c r="P91" i="14"/>
  <c r="S47" i="14"/>
  <c r="BV106" i="14"/>
  <c r="CG82" i="14"/>
  <c r="CI53" i="14"/>
  <c r="BE94" i="14"/>
  <c r="AA57" i="14"/>
  <c r="BQ34" i="14"/>
  <c r="BB58" i="14"/>
  <c r="BX58" i="14"/>
  <c r="BS81" i="14"/>
  <c r="B14" i="16"/>
  <c r="AU84" i="14"/>
  <c r="AI93" i="14"/>
  <c r="CX103" i="14"/>
  <c r="CO90" i="14"/>
  <c r="H54" i="14"/>
  <c r="X56" i="14"/>
  <c r="I62" i="14"/>
  <c r="AH54" i="14"/>
  <c r="BR85" i="14"/>
  <c r="AO55" i="14"/>
  <c r="CC62" i="14"/>
  <c r="M50" i="14"/>
  <c r="CL93" i="14"/>
  <c r="AU75" i="14"/>
  <c r="P73" i="14"/>
  <c r="BQ100" i="14"/>
  <c r="AN81" i="14"/>
  <c r="BX90" i="14"/>
  <c r="U59" i="14"/>
  <c r="AA79" i="14"/>
  <c r="BJ88" i="14"/>
  <c r="W79" i="14"/>
  <c r="O58" i="14"/>
  <c r="DE63" i="15"/>
  <c r="BL69" i="14"/>
  <c r="R73" i="14"/>
  <c r="X104" i="14"/>
  <c r="CT53" i="14"/>
  <c r="CU65" i="14"/>
  <c r="CV48" i="14"/>
  <c r="CQ105" i="14"/>
  <c r="BD75" i="14"/>
  <c r="BM47" i="14"/>
  <c r="CR92" i="14"/>
  <c r="M102" i="14"/>
  <c r="J47" i="14"/>
  <c r="CW45" i="14"/>
  <c r="AH50" i="14"/>
  <c r="CM51" i="14"/>
  <c r="L92" i="14"/>
  <c r="O67" i="14"/>
  <c r="S63" i="14"/>
  <c r="BR68" i="14"/>
  <c r="I65" i="14"/>
  <c r="CQ67" i="14"/>
  <c r="CU81" i="14"/>
  <c r="H82" i="14"/>
  <c r="R97" i="14"/>
  <c r="CR58" i="14"/>
  <c r="DB65" i="14"/>
  <c r="BA86" i="14"/>
  <c r="P83" i="14"/>
  <c r="U92" i="14"/>
  <c r="BP99" i="14"/>
  <c r="L106" i="14"/>
  <c r="AT72" i="14"/>
  <c r="CS50" i="14"/>
  <c r="BZ91" i="14"/>
  <c r="BK62" i="14"/>
  <c r="CA45" i="14"/>
  <c r="DA90" i="14"/>
  <c r="CL92" i="14"/>
  <c r="BV99" i="14"/>
  <c r="AC82" i="14"/>
  <c r="CI102" i="14"/>
  <c r="AY50" i="14"/>
  <c r="CR105" i="14"/>
  <c r="AG90" i="14"/>
  <c r="AK85" i="14"/>
  <c r="AP65" i="14"/>
  <c r="CK46" i="14"/>
  <c r="BS106" i="14"/>
  <c r="CM91" i="14"/>
  <c r="CN91" i="14"/>
  <c r="BW92" i="14"/>
  <c r="CJ82" i="14"/>
  <c r="CF49" i="14"/>
  <c r="AF34" i="14"/>
  <c r="X72" i="14"/>
  <c r="BH100" i="14"/>
  <c r="DB99" i="14"/>
  <c r="U50" i="14"/>
  <c r="BE48" i="14"/>
  <c r="CO81" i="14"/>
  <c r="AU59" i="14"/>
  <c r="X66" i="14"/>
  <c r="CQ69" i="14"/>
  <c r="CH84" i="14"/>
  <c r="BM92" i="14"/>
  <c r="CT81" i="14"/>
  <c r="AZ88" i="14"/>
  <c r="N85" i="14"/>
  <c r="BR46" i="14"/>
  <c r="CO45" i="14"/>
  <c r="BF56" i="14"/>
  <c r="AW73" i="14"/>
  <c r="AJ34" i="14"/>
  <c r="CC59" i="14"/>
  <c r="AV105" i="14"/>
  <c r="AK96" i="14"/>
  <c r="BK94" i="14"/>
  <c r="BM68" i="14"/>
  <c r="AG45" i="14"/>
  <c r="BO56" i="14"/>
  <c r="CU103" i="14"/>
  <c r="C52" i="14"/>
  <c r="DA91" i="14"/>
  <c r="DB34" i="14"/>
  <c r="CD65" i="14"/>
  <c r="B67" i="14"/>
  <c r="CO101" i="14"/>
  <c r="CA77" i="14"/>
  <c r="CG93" i="14"/>
  <c r="CG58" i="14"/>
  <c r="CN67" i="14"/>
  <c r="AU95" i="14"/>
  <c r="O75" i="14"/>
  <c r="BZ47" i="14"/>
  <c r="B19" i="15"/>
  <c r="BM72" i="14"/>
  <c r="B33" i="15"/>
  <c r="AG72" i="14"/>
  <c r="AV87" i="14"/>
  <c r="CV106" i="14"/>
  <c r="AG104" i="14"/>
  <c r="AA99" i="14"/>
  <c r="DC72" i="14"/>
  <c r="CV34" i="14"/>
  <c r="CS53" i="14"/>
  <c r="T49" i="14"/>
  <c r="V58" i="14"/>
  <c r="W85" i="14"/>
  <c r="B119" i="15"/>
  <c r="BH47" i="14"/>
  <c r="DE76" i="15"/>
  <c r="BV75" i="14"/>
  <c r="AY84" i="14"/>
  <c r="BE105" i="14"/>
  <c r="BS100" i="14"/>
  <c r="H63" i="14"/>
  <c r="CK81" i="14"/>
  <c r="BA78" i="14"/>
  <c r="M72" i="14"/>
  <c r="N65" i="14"/>
  <c r="BQ55" i="14"/>
  <c r="AZ66" i="14"/>
  <c r="Q94" i="14"/>
  <c r="BG91" i="14"/>
  <c r="AA100" i="14"/>
  <c r="DB83" i="14"/>
  <c r="DA45" i="14"/>
  <c r="L104" i="14"/>
  <c r="H58" i="14"/>
  <c r="H96" i="14"/>
  <c r="BZ51" i="14"/>
  <c r="CW83" i="14"/>
  <c r="CF85" i="14"/>
  <c r="BW49" i="14"/>
  <c r="T50" i="14"/>
  <c r="CX85" i="14"/>
  <c r="CS76" i="14"/>
  <c r="AS95" i="14"/>
  <c r="CL53" i="14"/>
  <c r="AP34" i="14"/>
  <c r="CI79" i="14"/>
  <c r="K68" i="14"/>
  <c r="CJ72" i="14"/>
  <c r="X63" i="14"/>
  <c r="BO79" i="14"/>
  <c r="I67" i="14"/>
  <c r="DE76" i="16"/>
  <c r="U99" i="14"/>
  <c r="DE81" i="15"/>
  <c r="CP91" i="14"/>
  <c r="Q99" i="14"/>
  <c r="Q60" i="14"/>
  <c r="CV56" i="14"/>
  <c r="P45" i="14"/>
  <c r="BE86" i="14"/>
  <c r="CR88" i="14"/>
  <c r="AS87" i="14"/>
  <c r="N76" i="14"/>
  <c r="CY92" i="14"/>
  <c r="BG67" i="14"/>
  <c r="BA99" i="14"/>
  <c r="CP104" i="14"/>
  <c r="BB94" i="14"/>
  <c r="AB81" i="14"/>
  <c r="CX106" i="14"/>
  <c r="BB65" i="14"/>
  <c r="CR65" i="14"/>
  <c r="CC96" i="14"/>
  <c r="B104" i="15"/>
  <c r="AL53" i="14"/>
  <c r="U94" i="14"/>
  <c r="AL50" i="14"/>
  <c r="AF90" i="14"/>
  <c r="CR77" i="14"/>
  <c r="DA46" i="14"/>
  <c r="AI53" i="14"/>
  <c r="AT93" i="14"/>
  <c r="CZ51" i="14"/>
  <c r="AA49" i="14"/>
  <c r="I49" i="14"/>
  <c r="AA65" i="14"/>
  <c r="M57" i="14"/>
  <c r="CR75" i="14"/>
  <c r="M34" i="14"/>
  <c r="V86" i="14"/>
  <c r="CO86" i="14"/>
  <c r="CI75" i="14"/>
  <c r="CR90" i="14"/>
  <c r="CL102" i="14"/>
  <c r="W49" i="14"/>
  <c r="AR86" i="14"/>
  <c r="CW59" i="14"/>
  <c r="AF76" i="14"/>
  <c r="BD100" i="14"/>
  <c r="BK87" i="14"/>
  <c r="CO74" i="14"/>
  <c r="BT58" i="14"/>
  <c r="AI48" i="14"/>
  <c r="BI82" i="14"/>
  <c r="AC34" i="14"/>
  <c r="CW34" i="14"/>
  <c r="DE63" i="16"/>
  <c r="AV76" i="14"/>
  <c r="BE91" i="14"/>
  <c r="O84" i="14"/>
  <c r="H95" i="14"/>
  <c r="AC63" i="14"/>
  <c r="AG68" i="14"/>
  <c r="AG55" i="14"/>
  <c r="CD50" i="14"/>
  <c r="DE128" i="15"/>
  <c r="AL100" i="14"/>
  <c r="CP88" i="14"/>
  <c r="AK72" i="14"/>
  <c r="B24" i="15"/>
  <c r="AV46" i="14"/>
  <c r="BK103" i="14"/>
  <c r="CD72" i="14"/>
  <c r="C80" i="14"/>
  <c r="CF50" i="14"/>
  <c r="BZ106" i="14"/>
  <c r="DE62" i="16"/>
  <c r="T66" i="14"/>
  <c r="DA75" i="14"/>
  <c r="BA82" i="14"/>
  <c r="CN58" i="14"/>
  <c r="AR34" i="14"/>
  <c r="T54" i="14"/>
  <c r="K56" i="14"/>
  <c r="DA57" i="14"/>
  <c r="BO50" i="14"/>
  <c r="I72" i="14"/>
  <c r="BD104" i="14"/>
  <c r="AH88" i="14"/>
  <c r="BS60" i="14"/>
  <c r="M55" i="14"/>
  <c r="N72" i="14"/>
  <c r="CC86" i="14"/>
  <c r="AR79" i="14"/>
  <c r="BO94" i="14"/>
  <c r="AL72" i="14"/>
  <c r="AB93" i="14"/>
  <c r="CB88" i="14"/>
  <c r="BQ88" i="14"/>
  <c r="AG105" i="14"/>
  <c r="CB103" i="14"/>
  <c r="BO105" i="14"/>
  <c r="BH77" i="14"/>
  <c r="CZ73" i="14"/>
  <c r="CJ63" i="14"/>
  <c r="CJ93" i="14"/>
  <c r="CH48" i="14"/>
  <c r="CD53" i="14"/>
  <c r="BK74" i="14"/>
  <c r="AZ65" i="14"/>
  <c r="CK100" i="14"/>
  <c r="Z81" i="14"/>
  <c r="DB76" i="14"/>
  <c r="CS100" i="14"/>
  <c r="AS97" i="14"/>
  <c r="AU44" i="14"/>
  <c r="T104" i="14"/>
  <c r="AL105" i="14"/>
  <c r="DE42" i="15"/>
  <c r="AX51" i="14"/>
  <c r="AP90" i="14"/>
  <c r="AN74" i="14"/>
  <c r="BZ75" i="14"/>
  <c r="C97" i="14"/>
  <c r="BZ69" i="14"/>
  <c r="CP86" i="14"/>
  <c r="DE40" i="15"/>
  <c r="AX101" i="14"/>
  <c r="CH46" i="14"/>
  <c r="CL48" i="14"/>
  <c r="CG92" i="14"/>
  <c r="AI106" i="14"/>
  <c r="DE17" i="15"/>
  <c r="CB45" i="14"/>
  <c r="CP68" i="14"/>
  <c r="AU57" i="14"/>
  <c r="BU100" i="14"/>
  <c r="AK58" i="14"/>
  <c r="AN76" i="14"/>
  <c r="T58" i="14"/>
  <c r="DA81" i="14"/>
  <c r="BN76" i="14"/>
  <c r="CG103" i="14"/>
  <c r="BA105" i="14"/>
  <c r="AZ84" i="14"/>
  <c r="CO97" i="14"/>
  <c r="AK76" i="14"/>
  <c r="BA59" i="14"/>
  <c r="R91" i="14"/>
  <c r="CF79" i="14"/>
  <c r="CD69" i="14"/>
  <c r="BI103" i="14"/>
  <c r="CV99" i="14"/>
  <c r="CQ62" i="14"/>
  <c r="CF68" i="14"/>
  <c r="BQ62" i="14"/>
  <c r="BQ91" i="14"/>
  <c r="CQ50" i="14"/>
  <c r="AY99" i="14"/>
  <c r="DC106" i="14"/>
  <c r="AZ62" i="14"/>
  <c r="Y58" i="14"/>
  <c r="B16" i="15"/>
  <c r="I101" i="14"/>
  <c r="BD91" i="14"/>
  <c r="S104" i="14"/>
  <c r="CD60" i="14"/>
  <c r="B64" i="16"/>
  <c r="B12" i="16"/>
  <c r="CF45" i="14"/>
  <c r="BG55" i="14"/>
  <c r="BN105" i="14"/>
  <c r="CK95" i="14"/>
  <c r="CR50" i="14"/>
  <c r="CI97" i="14"/>
  <c r="AR101" i="14"/>
  <c r="CJ60" i="14"/>
  <c r="CI44" i="14"/>
  <c r="CR100" i="14"/>
  <c r="BD55" i="14"/>
  <c r="AP73" i="14"/>
  <c r="BM45" i="14"/>
  <c r="BW77" i="14"/>
  <c r="CJ99" i="14"/>
  <c r="K63" i="14"/>
  <c r="BL48" i="14"/>
  <c r="Q82" i="14"/>
  <c r="BT90" i="14"/>
  <c r="H103" i="14"/>
  <c r="AM82" i="14"/>
  <c r="AS94" i="14"/>
  <c r="DA49" i="14"/>
  <c r="CP95" i="14"/>
  <c r="L94" i="14"/>
  <c r="CM78" i="14"/>
  <c r="CP62" i="14"/>
  <c r="DC87" i="14"/>
  <c r="BY88" i="14"/>
  <c r="BY46" i="14"/>
  <c r="CO56" i="14"/>
  <c r="C51" i="14"/>
  <c r="Z44" i="14"/>
  <c r="AR62" i="14"/>
  <c r="U67" i="14"/>
  <c r="BI51" i="14"/>
  <c r="AW48" i="14"/>
  <c r="BH72" i="14"/>
  <c r="L45" i="14"/>
  <c r="AS66" i="14"/>
  <c r="BK72" i="14"/>
  <c r="CL49" i="14"/>
  <c r="BX34" i="14"/>
  <c r="AK73" i="14"/>
  <c r="BH94" i="14"/>
  <c r="AS91" i="14"/>
  <c r="CJ58" i="14"/>
  <c r="B72" i="16"/>
  <c r="O68" i="14"/>
  <c r="CM49" i="14"/>
  <c r="CN90" i="14"/>
  <c r="BX95" i="14"/>
  <c r="DE94" i="15"/>
  <c r="DC81" i="14"/>
  <c r="BU82" i="14"/>
  <c r="BQ50" i="14"/>
  <c r="CD51" i="14"/>
  <c r="U88" i="14"/>
  <c r="AB45" i="14"/>
  <c r="AX75" i="14"/>
  <c r="BP58" i="14"/>
  <c r="CS96" i="14"/>
  <c r="O56" i="14"/>
  <c r="AZ44" i="14"/>
  <c r="DE80" i="16"/>
  <c r="AX58" i="14"/>
  <c r="L34" i="14"/>
  <c r="P79" i="14"/>
  <c r="CW102" i="14"/>
  <c r="AN91" i="14"/>
  <c r="L101" i="14"/>
  <c r="W102" i="14"/>
  <c r="BK84" i="14"/>
  <c r="BO97" i="14"/>
  <c r="AC86" i="14"/>
  <c r="AB55" i="14"/>
  <c r="AT101" i="14"/>
  <c r="CH81" i="14"/>
  <c r="CQ64" i="14"/>
  <c r="H53" i="14"/>
  <c r="CO44" i="14"/>
  <c r="CP56" i="14"/>
  <c r="C75" i="14"/>
  <c r="AM56" i="14"/>
  <c r="J62" i="14"/>
  <c r="BT74" i="14"/>
  <c r="CP67" i="14"/>
  <c r="CL76" i="14"/>
  <c r="BU65" i="14"/>
  <c r="CZ53" i="14"/>
  <c r="CS68" i="14"/>
  <c r="M73" i="14"/>
  <c r="X91" i="14"/>
  <c r="BM94" i="14"/>
  <c r="BI57" i="14"/>
  <c r="B70" i="16"/>
  <c r="DB58" i="14"/>
  <c r="CD101" i="14"/>
  <c r="BA95" i="14"/>
  <c r="CQ68" i="14"/>
  <c r="BY96" i="14"/>
  <c r="B21" i="15"/>
  <c r="CZ84" i="14"/>
  <c r="CV74" i="14"/>
  <c r="CI51" i="14"/>
  <c r="K97" i="14"/>
  <c r="BT75" i="14"/>
  <c r="BX97" i="14"/>
  <c r="CC88" i="14"/>
  <c r="V97" i="14"/>
  <c r="BK59" i="14"/>
  <c r="CD86" i="14"/>
  <c r="CU34" i="14"/>
  <c r="BC84" i="14"/>
  <c r="C81" i="14"/>
  <c r="CJ103" i="14"/>
  <c r="AH104" i="14"/>
  <c r="CE82" i="14"/>
  <c r="O57" i="14"/>
  <c r="AI78" i="14"/>
  <c r="AG79" i="14"/>
  <c r="CV72" i="14"/>
  <c r="BR44" i="14"/>
  <c r="AI105" i="14"/>
  <c r="CY56" i="14"/>
  <c r="AH83" i="14"/>
  <c r="AQ74" i="14"/>
  <c r="BT87" i="14"/>
  <c r="BV96" i="14"/>
  <c r="CM57" i="14"/>
  <c r="CW73" i="14"/>
  <c r="U79" i="14"/>
  <c r="J83" i="14"/>
  <c r="DC100" i="14"/>
  <c r="BV102" i="14"/>
  <c r="X55" i="14"/>
  <c r="CD94" i="14"/>
  <c r="CQ95" i="14"/>
  <c r="M103" i="14"/>
  <c r="BE90" i="14"/>
  <c r="AX87" i="14"/>
  <c r="AE81" i="14"/>
  <c r="BO66" i="14"/>
  <c r="F155" i="16"/>
  <c r="AN49" i="14"/>
  <c r="BO100" i="14"/>
  <c r="BC62" i="14"/>
  <c r="AY73" i="14"/>
  <c r="CG47" i="14"/>
  <c r="AM59" i="14"/>
  <c r="Y34" i="14"/>
  <c r="T95" i="14"/>
  <c r="BB50" i="14"/>
  <c r="DC64" i="14"/>
  <c r="BX63" i="14"/>
  <c r="BG59" i="14"/>
  <c r="U83" i="14"/>
  <c r="CZ91" i="14"/>
  <c r="K58" i="14"/>
  <c r="BS50" i="14"/>
  <c r="CN47" i="14"/>
  <c r="AH56" i="14"/>
  <c r="CO76" i="14"/>
  <c r="BM106" i="14"/>
  <c r="AE44" i="14"/>
  <c r="AK101" i="14"/>
  <c r="BN99" i="14"/>
  <c r="AJ101" i="14"/>
  <c r="BN51" i="14"/>
  <c r="BD86" i="14"/>
  <c r="AX54" i="14"/>
  <c r="BR48" i="14"/>
  <c r="U51" i="14"/>
  <c r="AC57" i="14"/>
  <c r="DE87" i="16"/>
  <c r="BJ69" i="14"/>
  <c r="CY46" i="14"/>
  <c r="S77" i="14"/>
  <c r="CB78" i="14"/>
  <c r="AO63" i="14"/>
  <c r="O64" i="14"/>
  <c r="X102" i="14"/>
  <c r="N48" i="14"/>
  <c r="BH92" i="14"/>
  <c r="AC47" i="14"/>
  <c r="AP94" i="14"/>
  <c r="AP62" i="14"/>
  <c r="CT47" i="14"/>
  <c r="BJ45" i="14"/>
  <c r="B35" i="16"/>
  <c r="AU79" i="14"/>
  <c r="AJ49" i="14"/>
  <c r="CE62" i="14"/>
  <c r="C49" i="14"/>
  <c r="J46" i="14"/>
  <c r="CH47" i="14"/>
  <c r="AQ85" i="14"/>
  <c r="CT56" i="14"/>
  <c r="CN99" i="14"/>
  <c r="AT78" i="14"/>
  <c r="CW97" i="14"/>
  <c r="BK106" i="14"/>
  <c r="CT85" i="14"/>
  <c r="BE78" i="14"/>
  <c r="AG88" i="14"/>
  <c r="CL65" i="14"/>
  <c r="BE59" i="14"/>
  <c r="R79" i="14"/>
  <c r="BN73" i="14"/>
  <c r="CR86" i="14"/>
  <c r="CC82" i="14"/>
  <c r="AT84" i="14"/>
  <c r="AH59" i="14"/>
  <c r="CP51" i="14"/>
  <c r="J49" i="14"/>
  <c r="CG69" i="14"/>
  <c r="AT76" i="14"/>
  <c r="AC75" i="14"/>
  <c r="CU74" i="14"/>
  <c r="CT97" i="14"/>
  <c r="BX82" i="14"/>
  <c r="BH58" i="14"/>
  <c r="CX65" i="14"/>
  <c r="B45" i="14"/>
  <c r="BL106" i="14"/>
  <c r="AP47" i="14"/>
  <c r="BU88" i="14"/>
  <c r="AB69" i="14"/>
  <c r="AA62" i="14"/>
  <c r="B91" i="15"/>
  <c r="BF63" i="14"/>
  <c r="CJ88" i="14"/>
  <c r="CR57" i="14"/>
  <c r="CS78" i="14"/>
  <c r="B68" i="16"/>
  <c r="CC34" i="14"/>
  <c r="C88" i="14"/>
  <c r="BR78" i="14"/>
  <c r="CU60" i="14"/>
  <c r="BE81" i="14"/>
  <c r="BZ44" i="14"/>
  <c r="I74" i="14"/>
  <c r="CF82" i="14"/>
  <c r="K55" i="14"/>
  <c r="AV90" i="14"/>
  <c r="BT47" i="14"/>
  <c r="BS57" i="14"/>
  <c r="AU103" i="14"/>
  <c r="AI77" i="14"/>
  <c r="BB55" i="14"/>
  <c r="CJ78" i="14"/>
  <c r="Y54" i="14"/>
  <c r="AQ84" i="14"/>
  <c r="BI93" i="14"/>
  <c r="CL44" i="14"/>
  <c r="BG63" i="14"/>
  <c r="AV72" i="14"/>
  <c r="BN50" i="14"/>
  <c r="BF48" i="14"/>
  <c r="BY99" i="14"/>
  <c r="AU45" i="14"/>
  <c r="AW86" i="14"/>
  <c r="CT87" i="14"/>
  <c r="AZ90" i="14"/>
  <c r="BY77" i="14"/>
  <c r="AY91" i="14"/>
  <c r="AJ94" i="14"/>
  <c r="AX93" i="14"/>
  <c r="T53" i="14"/>
  <c r="M51" i="14"/>
  <c r="CI73" i="14"/>
  <c r="CX51" i="14"/>
  <c r="CV79" i="14"/>
  <c r="L83" i="14"/>
  <c r="O86" i="14"/>
  <c r="AI56" i="14"/>
  <c r="K20" i="14"/>
  <c r="U72" i="14"/>
  <c r="P90" i="14"/>
  <c r="W88" i="14"/>
  <c r="CQ87" i="14"/>
  <c r="BQ45" i="14"/>
  <c r="BB76" i="14"/>
  <c r="BN88" i="14"/>
  <c r="AS102" i="14"/>
  <c r="BR65" i="14"/>
  <c r="BB56" i="14"/>
  <c r="AZ76" i="14"/>
  <c r="B59" i="15"/>
  <c r="CU72" i="14"/>
  <c r="CP87" i="14"/>
  <c r="T81" i="14"/>
  <c r="BU47" i="14"/>
  <c r="BI78" i="14"/>
  <c r="DC104" i="14"/>
  <c r="AN92" i="14"/>
  <c r="AR68" i="14"/>
  <c r="AP46" i="14"/>
  <c r="CV95" i="14"/>
  <c r="AZ104" i="14"/>
  <c r="BY105" i="14"/>
  <c r="CC81" i="14"/>
  <c r="AD64" i="14"/>
  <c r="AO72" i="14"/>
  <c r="O72" i="14"/>
  <c r="AO69" i="14"/>
  <c r="CY79" i="14"/>
  <c r="X87" i="14"/>
  <c r="AB94" i="14"/>
  <c r="BV68" i="14"/>
  <c r="AR73" i="14"/>
  <c r="CS64" i="14"/>
  <c r="CP73" i="14"/>
  <c r="AW47" i="14"/>
  <c r="CM100" i="14"/>
  <c r="BE69" i="14"/>
  <c r="CE86" i="14"/>
  <c r="BV86" i="14"/>
  <c r="AE91" i="14"/>
  <c r="DC73" i="14"/>
  <c r="AJ106" i="14"/>
  <c r="BX51" i="14"/>
  <c r="BI34" i="14"/>
  <c r="BE56" i="14"/>
  <c r="BI68" i="14"/>
  <c r="CZ101" i="14"/>
  <c r="CJ96" i="14"/>
  <c r="Z87" i="14"/>
  <c r="H64" i="14"/>
  <c r="AO50" i="14"/>
  <c r="CZ63" i="14"/>
  <c r="AN106" i="14"/>
  <c r="CW66" i="14"/>
  <c r="AL44" i="14"/>
  <c r="CY62" i="14"/>
  <c r="I103" i="14"/>
  <c r="DE13" i="15"/>
  <c r="DE18" i="16"/>
  <c r="BU94" i="14"/>
  <c r="Z83" i="14"/>
  <c r="BJ91" i="14"/>
  <c r="BX103" i="14"/>
  <c r="DA68" i="14"/>
  <c r="DA51" i="14"/>
  <c r="AR85" i="14"/>
  <c r="AE73" i="14"/>
  <c r="BZ63" i="14"/>
  <c r="AX81" i="14"/>
  <c r="CI65" i="14"/>
  <c r="CV65" i="14"/>
  <c r="AM90" i="14"/>
  <c r="DA53" i="14"/>
  <c r="BM97" i="14"/>
  <c r="BE102" i="14"/>
  <c r="BN84" i="14"/>
  <c r="AD65" i="14"/>
  <c r="BT82" i="14"/>
  <c r="CG75" i="14"/>
  <c r="BQ106" i="14"/>
  <c r="CX47" i="14"/>
  <c r="AZ59" i="14"/>
  <c r="BY100" i="14"/>
  <c r="BK78" i="14"/>
  <c r="CZ85" i="14"/>
  <c r="AP67" i="14"/>
  <c r="B123" i="15"/>
  <c r="CW79" i="14"/>
  <c r="CX57" i="14"/>
  <c r="AM93" i="14"/>
  <c r="BB84" i="14"/>
  <c r="CY68" i="14"/>
  <c r="AE48" i="14"/>
  <c r="CU53" i="14"/>
  <c r="CC50" i="14"/>
  <c r="BH57" i="14"/>
  <c r="BQ86" i="14"/>
  <c r="BA53" i="14"/>
  <c r="BJ86" i="14"/>
  <c r="Q91" i="14"/>
  <c r="BI53" i="14"/>
  <c r="CS106" i="14"/>
  <c r="CJ75" i="14"/>
  <c r="AF44" i="14"/>
  <c r="AW87" i="14"/>
  <c r="CG105" i="14"/>
  <c r="CC44" i="14"/>
  <c r="CA84" i="14"/>
  <c r="M54" i="14"/>
  <c r="AR47" i="14"/>
  <c r="CM44" i="14"/>
  <c r="CU99" i="14"/>
  <c r="CJ34" i="14"/>
  <c r="BP95" i="14"/>
  <c r="AD92" i="14"/>
  <c r="CO51" i="14"/>
  <c r="BH91" i="14"/>
  <c r="AE54" i="14"/>
  <c r="DA72" i="14"/>
  <c r="BA75" i="14"/>
  <c r="AJ85" i="14"/>
  <c r="CS84" i="14"/>
  <c r="AC62" i="14"/>
  <c r="T46" i="14"/>
  <c r="CT99" i="14"/>
  <c r="W96" i="14"/>
  <c r="BA87" i="14"/>
  <c r="DA66" i="14"/>
  <c r="CX93" i="14"/>
  <c r="BD64" i="14"/>
  <c r="K46" i="14"/>
  <c r="AL103" i="14"/>
  <c r="CF59" i="14"/>
  <c r="AE90" i="14"/>
  <c r="CQ85" i="14"/>
  <c r="BP103" i="14"/>
  <c r="CL106" i="14"/>
  <c r="BR100" i="14"/>
  <c r="CS88" i="14"/>
  <c r="BC92" i="14"/>
  <c r="BP85" i="14"/>
  <c r="AW49" i="14"/>
  <c r="AX62" i="14"/>
  <c r="AY106" i="14"/>
  <c r="I90" i="14"/>
  <c r="DE38" i="16"/>
  <c r="AS78" i="14"/>
  <c r="AK68" i="14"/>
  <c r="BO48" i="14"/>
  <c r="CF99" i="14"/>
  <c r="BV50" i="14"/>
  <c r="AE75" i="14"/>
  <c r="AX60" i="14"/>
  <c r="BP34" i="14"/>
  <c r="CP63" i="14"/>
  <c r="S66" i="14"/>
  <c r="AA94" i="14"/>
  <c r="BO95" i="14"/>
  <c r="B36" i="15"/>
  <c r="DE83" i="16"/>
  <c r="CY66" i="14"/>
  <c r="V83" i="14"/>
  <c r="W95" i="14"/>
  <c r="AM58" i="14"/>
  <c r="AH68" i="14"/>
  <c r="H85" i="14"/>
  <c r="AA97" i="14"/>
  <c r="BS92" i="14"/>
  <c r="BM58" i="14"/>
  <c r="R100" i="14"/>
  <c r="BM103" i="14"/>
  <c r="BQ47" i="14"/>
  <c r="CT77" i="14"/>
  <c r="BS104" i="14"/>
  <c r="BC77" i="14"/>
  <c r="H49" i="14"/>
  <c r="BS83" i="14"/>
  <c r="CJ77" i="14"/>
  <c r="B42" i="15"/>
  <c r="BM64" i="14"/>
  <c r="DB92" i="14"/>
  <c r="AQ62" i="14"/>
  <c r="CG104" i="14"/>
  <c r="AE97" i="14"/>
  <c r="BJ72" i="14"/>
  <c r="AZ45" i="14"/>
  <c r="I79" i="14"/>
  <c r="BT85" i="14"/>
  <c r="CU92" i="14"/>
  <c r="U93" i="14"/>
  <c r="AF91" i="14"/>
  <c r="W75" i="14"/>
  <c r="DA62" i="14"/>
  <c r="BV54" i="14"/>
  <c r="AR46" i="14"/>
  <c r="B75" i="14"/>
  <c r="I81" i="14"/>
  <c r="AB95" i="14"/>
  <c r="BU104" i="14"/>
  <c r="CD56" i="14"/>
  <c r="Q64" i="14"/>
  <c r="I64" i="14"/>
  <c r="BT46" i="14"/>
  <c r="AP91" i="14"/>
  <c r="F156" i="16"/>
  <c r="CG66" i="14"/>
  <c r="BB51" i="14"/>
  <c r="K101" i="14"/>
  <c r="L72" i="14"/>
  <c r="V56" i="14"/>
  <c r="BB105" i="14"/>
  <c r="B102" i="15"/>
  <c r="AE83" i="14"/>
  <c r="AD45" i="14"/>
  <c r="BP96" i="14"/>
  <c r="CW48" i="14"/>
  <c r="AA104" i="14"/>
  <c r="AG60" i="14"/>
  <c r="W45" i="14"/>
  <c r="CZ55" i="14"/>
  <c r="DE39" i="16"/>
  <c r="BO91" i="14"/>
  <c r="AA92" i="14"/>
  <c r="AO77" i="14"/>
  <c r="BA81" i="14"/>
  <c r="M48" i="14"/>
  <c r="BC87" i="14"/>
  <c r="AT106" i="14"/>
  <c r="X45" i="14"/>
  <c r="CY102" i="14"/>
  <c r="H83" i="14"/>
  <c r="AA64" i="14"/>
  <c r="BT68" i="14"/>
  <c r="BX46" i="14"/>
  <c r="CK104" i="14"/>
  <c r="AK46" i="14"/>
  <c r="AW82" i="14"/>
  <c r="BO81" i="14"/>
  <c r="BI45" i="14"/>
  <c r="X53" i="14"/>
  <c r="AS45" i="14"/>
  <c r="AT67" i="14"/>
  <c r="AG69" i="14"/>
  <c r="B82" i="15"/>
  <c r="CB64" i="14"/>
  <c r="DC54" i="14"/>
  <c r="AY67" i="14"/>
  <c r="L64" i="14"/>
  <c r="W53" i="14"/>
  <c r="I51" i="14"/>
  <c r="AE68" i="14"/>
  <c r="R60" i="14"/>
  <c r="BQ76" i="14"/>
  <c r="Q79" i="14"/>
  <c r="CR63" i="14"/>
  <c r="CJ94" i="14"/>
  <c r="AZ67" i="14"/>
  <c r="J19" i="14"/>
  <c r="AP81" i="14"/>
  <c r="AF106" i="14"/>
  <c r="CJ101" i="14"/>
  <c r="W63" i="14"/>
  <c r="CZ94" i="14"/>
  <c r="BJ81" i="14"/>
  <c r="R44" i="14"/>
  <c r="AT47" i="14"/>
  <c r="R105" i="14"/>
  <c r="Z94" i="14"/>
  <c r="F157" i="16"/>
  <c r="BU44" i="14"/>
  <c r="DE70" i="16"/>
  <c r="CH45" i="14"/>
  <c r="CE69" i="14"/>
  <c r="BK104" i="14"/>
  <c r="CR76" i="14"/>
  <c r="AS47" i="14"/>
  <c r="BF101" i="14"/>
  <c r="CE34" i="14"/>
  <c r="CJ95" i="14"/>
  <c r="B23" i="15"/>
  <c r="BM85" i="14"/>
  <c r="BN46" i="14"/>
  <c r="CQ84" i="14"/>
  <c r="AL94" i="14"/>
  <c r="W84" i="14"/>
  <c r="BQ93" i="14"/>
  <c r="V73" i="14"/>
  <c r="BQ84" i="14"/>
  <c r="CK94" i="14"/>
  <c r="Y87" i="14"/>
  <c r="BL64" i="14"/>
  <c r="BF65" i="14"/>
  <c r="BQ96" i="14"/>
  <c r="B31" i="15"/>
  <c r="S48" i="14"/>
  <c r="BG72" i="14"/>
  <c r="BD58" i="14"/>
  <c r="B107" i="15"/>
  <c r="CC76" i="14"/>
  <c r="CM67" i="14"/>
  <c r="BA85" i="14"/>
  <c r="H93" i="14"/>
  <c r="BK96" i="14"/>
  <c r="CV93" i="14"/>
  <c r="BK90" i="14"/>
  <c r="T90" i="14"/>
  <c r="BN94" i="14"/>
  <c r="BK67" i="14"/>
  <c r="CZ95" i="14"/>
  <c r="AA60" i="14"/>
  <c r="BQ65" i="14"/>
  <c r="BW48" i="14"/>
  <c r="BN81" i="14"/>
  <c r="AJ47" i="14"/>
  <c r="BZ95" i="14"/>
  <c r="AT104" i="14"/>
  <c r="T48" i="14"/>
  <c r="L46" i="14"/>
  <c r="Z46" i="14"/>
  <c r="AK47" i="14"/>
  <c r="B70" i="15"/>
  <c r="BV90" i="14"/>
  <c r="AS101" i="14"/>
  <c r="AD99" i="14"/>
  <c r="CM101" i="14"/>
  <c r="CX34" i="14"/>
  <c r="B29" i="15"/>
  <c r="BG79" i="14"/>
  <c r="BD68" i="14"/>
  <c r="BL53" i="14"/>
  <c r="BL74" i="14"/>
  <c r="Y104" i="14"/>
  <c r="AM55" i="14"/>
  <c r="CC94" i="14"/>
  <c r="CW86" i="14"/>
  <c r="DB67" i="14"/>
  <c r="B66" i="14"/>
  <c r="B85" i="16"/>
  <c r="CW47" i="14"/>
  <c r="BK83" i="14"/>
  <c r="BF55" i="14"/>
  <c r="DC34" i="14"/>
  <c r="B58" i="16"/>
  <c r="BE77" i="14"/>
  <c r="CW57" i="14"/>
  <c r="BU106" i="14"/>
  <c r="AZ85" i="14"/>
  <c r="Y75" i="14"/>
  <c r="CR78" i="14"/>
  <c r="M60" i="14"/>
  <c r="DB48" i="14"/>
  <c r="BZ64" i="14"/>
  <c r="B47" i="16"/>
  <c r="CU97" i="14"/>
  <c r="K87" i="14"/>
  <c r="CN74" i="14"/>
  <c r="BE63" i="14"/>
  <c r="H50" i="14"/>
  <c r="N50" i="14"/>
  <c r="AD74" i="14"/>
  <c r="K99" i="14"/>
  <c r="CI77" i="14"/>
  <c r="CG62" i="14"/>
  <c r="BD56" i="14"/>
  <c r="CV90" i="14"/>
  <c r="BJ78" i="14"/>
  <c r="U87" i="14"/>
  <c r="CD76" i="14"/>
  <c r="F154" i="16"/>
  <c r="CU67" i="14"/>
  <c r="BN60" i="14"/>
  <c r="CB46" i="14"/>
  <c r="CV50" i="14"/>
  <c r="BD34" i="14"/>
  <c r="W55" i="14"/>
  <c r="AU56" i="14"/>
  <c r="AK106" i="14"/>
  <c r="BO45" i="14"/>
  <c r="BH85" i="14"/>
  <c r="Q104" i="14"/>
  <c r="BK99" i="14"/>
  <c r="AM102" i="14"/>
  <c r="AP84" i="14"/>
  <c r="B52" i="15"/>
  <c r="F153" i="15"/>
  <c r="B79" i="15"/>
  <c r="B25" i="15"/>
  <c r="BF106" i="14"/>
  <c r="P47" i="14"/>
  <c r="Z50" i="14"/>
  <c r="AO106" i="14"/>
  <c r="AG48" i="14"/>
  <c r="H51" i="14"/>
  <c r="CM96" i="14"/>
  <c r="AH46" i="14"/>
  <c r="CL47" i="14"/>
  <c r="CH101" i="14"/>
  <c r="R74" i="14"/>
  <c r="BQ99" i="14"/>
  <c r="I59" i="14"/>
  <c r="AR97" i="14"/>
  <c r="CE45" i="14"/>
  <c r="CM84" i="14"/>
  <c r="AA91" i="14"/>
  <c r="K104" i="14"/>
  <c r="BO104" i="14"/>
  <c r="CN78" i="14"/>
  <c r="C67" i="14"/>
  <c r="CS62" i="14"/>
  <c r="BM67" i="14"/>
  <c r="CF62" i="14"/>
  <c r="C60" i="14"/>
  <c r="AZ103" i="14"/>
  <c r="DE16" i="15"/>
  <c r="CY103" i="14"/>
  <c r="CV105" i="14"/>
  <c r="CU102" i="14"/>
  <c r="O85" i="14"/>
  <c r="CN81" i="14"/>
  <c r="BH69" i="14"/>
  <c r="V102" i="14"/>
  <c r="CN95" i="14"/>
  <c r="AD102" i="14"/>
  <c r="Z100" i="14"/>
  <c r="CV51" i="14"/>
  <c r="CI58" i="14"/>
  <c r="AN34" i="14"/>
  <c r="CU47" i="14"/>
  <c r="CK65" i="14"/>
  <c r="CJ68" i="14"/>
  <c r="BC66" i="14"/>
  <c r="AE95" i="14"/>
  <c r="BQ92" i="14"/>
  <c r="CM102" i="14"/>
  <c r="AV44" i="14"/>
  <c r="CT68" i="14"/>
  <c r="AB85" i="14"/>
  <c r="CI60" i="14"/>
  <c r="J54" i="14"/>
  <c r="AH82" i="14"/>
  <c r="AZ64" i="14"/>
  <c r="BO44" i="14"/>
  <c r="BF86" i="14"/>
  <c r="BZ67" i="14"/>
  <c r="AY96" i="14"/>
  <c r="CI55" i="14"/>
  <c r="R63" i="14"/>
  <c r="DC90" i="14"/>
  <c r="H79" i="14"/>
  <c r="BK93" i="14"/>
  <c r="DE12" i="15"/>
  <c r="CO65" i="14"/>
  <c r="CT96" i="14"/>
  <c r="BG78" i="14"/>
  <c r="BX77" i="14"/>
  <c r="H72" i="14"/>
  <c r="BA97" i="14"/>
  <c r="BM93" i="14"/>
  <c r="AL73" i="14"/>
  <c r="M65" i="14"/>
  <c r="I106" i="14"/>
  <c r="BG48" i="14"/>
  <c r="AZ46" i="14"/>
  <c r="O99" i="14"/>
  <c r="I93" i="14"/>
  <c r="CW50" i="14"/>
  <c r="AA103" i="14"/>
  <c r="CN76" i="14"/>
  <c r="B65" i="15"/>
  <c r="CC56" i="14"/>
  <c r="W81" i="14"/>
  <c r="AJ58" i="14"/>
  <c r="Q95" i="14"/>
  <c r="C47" i="14"/>
  <c r="Q46" i="14"/>
  <c r="DE30" i="15"/>
  <c r="BT53" i="14"/>
  <c r="BH75" i="14"/>
  <c r="BU85" i="14"/>
  <c r="BR67" i="14"/>
  <c r="CH90" i="14"/>
  <c r="L76" i="14"/>
  <c r="T106" i="14"/>
  <c r="AI44" i="14"/>
  <c r="BS99" i="14"/>
  <c r="DE25" i="16"/>
  <c r="AM67" i="14"/>
  <c r="U60" i="14"/>
  <c r="AV47" i="14"/>
  <c r="AL81" i="14"/>
  <c r="BP46" i="14"/>
  <c r="AB77" i="14"/>
  <c r="CK103" i="14"/>
  <c r="W65" i="14"/>
  <c r="W86" i="14"/>
  <c r="CR79" i="14"/>
  <c r="J94" i="14"/>
  <c r="DE19" i="16"/>
  <c r="AC105" i="14"/>
  <c r="CL69" i="14"/>
  <c r="BG81" i="14"/>
  <c r="BC55" i="14"/>
  <c r="DC88" i="14"/>
  <c r="Q49" i="14"/>
  <c r="CQ46" i="14"/>
  <c r="AR96" i="14"/>
  <c r="CH103" i="14"/>
  <c r="CQ56" i="14"/>
  <c r="BR76" i="14"/>
  <c r="CI56" i="14"/>
  <c r="O91" i="14"/>
  <c r="CJ64" i="14"/>
  <c r="DA63" i="14"/>
  <c r="I68" i="14"/>
  <c r="BE67" i="14"/>
  <c r="I105" i="14"/>
  <c r="C55" i="14"/>
  <c r="C59" i="14"/>
  <c r="AI92" i="14"/>
  <c r="BS101" i="14"/>
  <c r="CU76" i="14"/>
  <c r="AV75" i="14"/>
  <c r="CY48" i="14"/>
  <c r="BE47" i="14"/>
  <c r="DE51" i="15"/>
  <c r="AW103" i="14"/>
  <c r="CE95" i="14"/>
  <c r="BB104" i="14"/>
  <c r="U69" i="14"/>
  <c r="CW60" i="14"/>
  <c r="AC74" i="14"/>
  <c r="Z67" i="14"/>
  <c r="CN104" i="14"/>
  <c r="CD96" i="14"/>
  <c r="BM86" i="14"/>
  <c r="P68" i="14"/>
  <c r="AT77" i="14"/>
  <c r="X34" i="14"/>
  <c r="AI85" i="14"/>
  <c r="CC67" i="14"/>
  <c r="CZ93" i="14"/>
  <c r="AQ87" i="14"/>
  <c r="AL57" i="14"/>
  <c r="V94" i="14"/>
  <c r="R64" i="14"/>
  <c r="AV94" i="14"/>
  <c r="CA44" i="14"/>
  <c r="P81" i="14"/>
  <c r="DE72" i="16"/>
  <c r="AD55" i="14"/>
  <c r="AC90" i="14"/>
  <c r="I97" i="14"/>
  <c r="AF96" i="14"/>
  <c r="BU60" i="14"/>
  <c r="CE100" i="14"/>
  <c r="B37" i="15"/>
  <c r="AY90" i="14"/>
  <c r="BD79" i="14"/>
  <c r="BX99" i="14"/>
  <c r="CY34" i="14"/>
  <c r="BG54" i="14"/>
  <c r="BS88" i="14"/>
  <c r="DE75" i="15"/>
  <c r="BV44" i="14"/>
  <c r="AF105" i="14"/>
  <c r="BW51" i="14"/>
  <c r="BU49" i="14"/>
  <c r="BU103" i="14"/>
  <c r="R57" i="14"/>
  <c r="X64" i="14"/>
  <c r="AY60" i="14"/>
  <c r="AF60" i="14"/>
  <c r="BK46" i="14"/>
  <c r="BK100" i="14"/>
  <c r="X82" i="14"/>
  <c r="CP57" i="14"/>
  <c r="R85" i="14"/>
  <c r="B129" i="15"/>
  <c r="AI68" i="14"/>
  <c r="BA92" i="14"/>
  <c r="CO54" i="14"/>
  <c r="CR85" i="14"/>
  <c r="BY56" i="14"/>
  <c r="AG97" i="14"/>
  <c r="O63" i="14"/>
  <c r="AJ67" i="14"/>
  <c r="S69" i="14"/>
  <c r="BA46" i="14"/>
  <c r="AD76" i="14"/>
  <c r="DA106" i="14"/>
  <c r="BO46" i="14"/>
  <c r="CB69" i="14"/>
  <c r="AQ47" i="14"/>
  <c r="BQ83" i="14"/>
  <c r="O47" i="14"/>
  <c r="L74" i="14"/>
  <c r="CP102" i="14"/>
  <c r="J67" i="14"/>
  <c r="AV54" i="14"/>
  <c r="P49" i="14"/>
  <c r="BJ77" i="14"/>
  <c r="AA76" i="14"/>
  <c r="BR74" i="14"/>
  <c r="AU94" i="14"/>
  <c r="BQ56" i="14"/>
  <c r="CR47" i="14"/>
  <c r="S59" i="14"/>
  <c r="BK55" i="14"/>
  <c r="AP102" i="14"/>
  <c r="BD74" i="14"/>
  <c r="AG46" i="14"/>
  <c r="V105" i="14"/>
  <c r="BT57" i="14"/>
  <c r="V99" i="14"/>
  <c r="CJ90" i="14"/>
  <c r="BA60" i="14"/>
  <c r="CP100" i="14"/>
  <c r="CR82" i="14"/>
  <c r="CH53" i="14"/>
  <c r="CF53" i="14"/>
  <c r="CF101" i="14"/>
  <c r="DC48" i="14"/>
  <c r="CQ72" i="14"/>
  <c r="C79" i="14"/>
  <c r="R86" i="14"/>
  <c r="BF74" i="14"/>
  <c r="B46" i="14"/>
  <c r="BS48" i="14"/>
  <c r="AA48" i="14"/>
  <c r="BY65" i="14"/>
  <c r="AP87" i="14"/>
  <c r="L56" i="14"/>
  <c r="BY97" i="14"/>
  <c r="AL34" i="14"/>
  <c r="AP103" i="14"/>
  <c r="CE87" i="14"/>
  <c r="CR34" i="14"/>
  <c r="B61" i="15"/>
  <c r="V101" i="14"/>
  <c r="U85" i="14"/>
  <c r="AW55" i="14"/>
  <c r="AN64" i="14"/>
  <c r="L81" i="14"/>
  <c r="J93" i="14"/>
  <c r="BM73" i="14"/>
  <c r="BK105" i="14"/>
  <c r="AV83" i="14"/>
  <c r="V53" i="14"/>
  <c r="S68" i="14"/>
  <c r="L84" i="14"/>
  <c r="AU85" i="14"/>
  <c r="U95" i="14"/>
  <c r="CT45" i="14"/>
  <c r="CW62" i="14"/>
  <c r="AU54" i="14"/>
  <c r="CR84" i="14"/>
  <c r="AU100" i="14"/>
  <c r="CX75" i="14"/>
  <c r="CO105" i="14"/>
  <c r="CA67" i="14"/>
  <c r="K102" i="14"/>
  <c r="DE17" i="16"/>
  <c r="AX84" i="14"/>
  <c r="T47" i="14"/>
  <c r="T83" i="14"/>
  <c r="BJ75" i="14"/>
  <c r="CL74" i="14"/>
  <c r="BV48" i="14"/>
  <c r="W56" i="14"/>
  <c r="CB72" i="14"/>
  <c r="W99" i="14"/>
  <c r="CA88" i="14"/>
  <c r="BA90" i="14"/>
  <c r="CM93" i="14"/>
  <c r="Z76" i="14"/>
  <c r="AX57" i="14"/>
  <c r="B54" i="14"/>
  <c r="BC64" i="14"/>
  <c r="BN53" i="14"/>
  <c r="BV45" i="14"/>
  <c r="BO76" i="14"/>
  <c r="AK59" i="14"/>
  <c r="BL105" i="14"/>
  <c r="CB93" i="14"/>
  <c r="I91" i="14"/>
  <c r="AB53" i="14"/>
  <c r="CO75" i="14"/>
  <c r="CP105" i="14"/>
  <c r="BW54" i="14"/>
  <c r="AP75" i="14"/>
  <c r="V75" i="14"/>
  <c r="AD86" i="14"/>
  <c r="CM104" i="14"/>
  <c r="U44" i="14"/>
  <c r="BQ73" i="14"/>
  <c r="CN51" i="14"/>
  <c r="AI49" i="14"/>
  <c r="AM97" i="14"/>
  <c r="CW49" i="14"/>
  <c r="AB65" i="14"/>
  <c r="AG87" i="14"/>
  <c r="J92" i="14"/>
  <c r="CE81" i="14"/>
  <c r="DA88" i="14"/>
  <c r="BZ93" i="14"/>
  <c r="BR69" i="14"/>
  <c r="CZ96" i="14"/>
  <c r="Y67" i="14"/>
  <c r="BI86" i="14"/>
  <c r="AD83" i="14"/>
  <c r="Z53" i="14"/>
  <c r="BR87" i="14"/>
  <c r="CZ72" i="14"/>
  <c r="T67" i="14"/>
  <c r="CC54" i="14"/>
  <c r="AQ59" i="14"/>
  <c r="AT88" i="14"/>
  <c r="AT83" i="14"/>
  <c r="O96" i="14"/>
  <c r="AF82" i="14"/>
  <c r="CE64" i="14"/>
  <c r="B80" i="16"/>
  <c r="BB79" i="14"/>
  <c r="DC57" i="14"/>
  <c r="T94" i="14"/>
  <c r="DC62" i="14"/>
  <c r="AA95" i="14"/>
  <c r="B84" i="15"/>
  <c r="AQ66" i="14"/>
  <c r="BR96" i="14"/>
  <c r="DE46" i="16"/>
  <c r="BJ106" i="14"/>
  <c r="BT51" i="14"/>
  <c r="C99" i="14"/>
  <c r="CJ73" i="14"/>
  <c r="CO88" i="14"/>
  <c r="AJ56" i="14"/>
  <c r="DE62" i="15"/>
  <c r="AN69" i="14"/>
  <c r="BT69" i="14"/>
  <c r="BC95" i="14"/>
  <c r="B100" i="15"/>
  <c r="DB88" i="14"/>
  <c r="T93" i="14"/>
  <c r="BS73" i="14"/>
  <c r="B92" i="15"/>
  <c r="AE46" i="14"/>
  <c r="AT87" i="14"/>
  <c r="Q83" i="14"/>
  <c r="AJ102" i="14"/>
  <c r="BY93" i="14"/>
  <c r="BB49" i="14"/>
  <c r="BZ56" i="14"/>
  <c r="CS58" i="14"/>
  <c r="CC75" i="14"/>
  <c r="BM87" i="14"/>
  <c r="S105" i="14"/>
  <c r="BP63" i="14"/>
  <c r="Z48" i="14"/>
  <c r="I57" i="14"/>
  <c r="B42" i="14"/>
  <c r="BC69" i="14"/>
  <c r="CA64" i="14"/>
  <c r="CZ49" i="14"/>
  <c r="CY47" i="14"/>
  <c r="CZ58" i="14"/>
  <c r="S64" i="14"/>
  <c r="AI73" i="14"/>
  <c r="DE69" i="16"/>
  <c r="X86" i="14"/>
  <c r="AC81" i="14"/>
  <c r="CY85" i="14"/>
  <c r="CD87" i="14"/>
  <c r="BT84" i="14"/>
  <c r="DE75" i="16"/>
  <c r="O55" i="14"/>
  <c r="M90" i="14"/>
  <c r="Y103" i="14"/>
  <c r="CG64" i="14"/>
  <c r="J55" i="14"/>
  <c r="B16" i="16"/>
  <c r="BE93" i="14"/>
  <c r="CA62" i="14"/>
  <c r="CP75" i="14"/>
  <c r="AQ76" i="14"/>
  <c r="R48" i="14"/>
  <c r="BE95" i="14"/>
  <c r="CA54" i="14"/>
  <c r="B32" i="15"/>
  <c r="CY72" i="14"/>
  <c r="CC93" i="14"/>
  <c r="BD90" i="14"/>
  <c r="AM47" i="14"/>
  <c r="AH48" i="14"/>
  <c r="B97" i="14"/>
  <c r="R47" i="14"/>
  <c r="BY57" i="14"/>
  <c r="Y56" i="14"/>
  <c r="Q73" i="14"/>
  <c r="AB91" i="14"/>
  <c r="AX105" i="14"/>
  <c r="W77" i="14"/>
  <c r="AY53" i="14"/>
  <c r="F160" i="15"/>
  <c r="BE96" i="14"/>
  <c r="BP81" i="14"/>
  <c r="CR73" i="14"/>
  <c r="BU86" i="14"/>
  <c r="S51" i="14"/>
  <c r="CN82" i="14"/>
  <c r="BM57" i="14"/>
  <c r="AQ97" i="14"/>
  <c r="BJ56" i="14"/>
  <c r="CW51" i="14"/>
  <c r="CO67" i="14"/>
  <c r="DE121" i="15"/>
  <c r="BO77" i="14"/>
  <c r="BI55" i="14"/>
  <c r="Y62" i="14"/>
  <c r="CC85" i="14"/>
  <c r="L85" i="14"/>
  <c r="BD85" i="14"/>
  <c r="AO44" i="14"/>
  <c r="BI92" i="14"/>
  <c r="AZ68" i="14"/>
  <c r="AU88" i="14"/>
  <c r="CV46" i="14"/>
  <c r="AG100" i="14"/>
  <c r="BE45" i="14"/>
  <c r="N64" i="14"/>
  <c r="BD78" i="14"/>
  <c r="BN102" i="14"/>
  <c r="BX92" i="14"/>
  <c r="BI100" i="14"/>
  <c r="CC101" i="14"/>
  <c r="CG73" i="14"/>
  <c r="BL59" i="14"/>
  <c r="AE69" i="14"/>
  <c r="BI84" i="14"/>
  <c r="AY55" i="14"/>
  <c r="AO58" i="14"/>
  <c r="O95" i="14"/>
  <c r="AJ76" i="14"/>
  <c r="AQ100" i="14"/>
  <c r="AK64" i="14"/>
  <c r="CD90" i="14"/>
  <c r="AG83" i="14"/>
  <c r="AS64" i="14"/>
  <c r="AB100" i="14"/>
  <c r="CL90" i="14"/>
  <c r="R90" i="14"/>
  <c r="BQ102" i="14"/>
  <c r="Z93" i="14"/>
  <c r="AH96" i="14"/>
  <c r="AY95" i="14"/>
  <c r="B46" i="15"/>
  <c r="CP94" i="14"/>
  <c r="B92" i="14"/>
  <c r="B40" i="15"/>
  <c r="AY44" i="14"/>
  <c r="DA94" i="14"/>
  <c r="CS99" i="14"/>
  <c r="AP93" i="14"/>
  <c r="C89" i="14"/>
  <c r="CQ47" i="14"/>
  <c r="CG87" i="14"/>
  <c r="BR66" i="14"/>
  <c r="T74" i="14"/>
  <c r="AX106" i="14"/>
  <c r="B17" i="16"/>
  <c r="BP44" i="14"/>
  <c r="BV85" i="14"/>
  <c r="AY48" i="14"/>
  <c r="AZ63" i="14"/>
  <c r="CB102" i="14"/>
  <c r="AW56" i="14"/>
  <c r="CM90" i="14"/>
  <c r="AI74" i="14"/>
  <c r="AX103" i="14"/>
  <c r="W92" i="14"/>
  <c r="BX56" i="14"/>
  <c r="CI95" i="14"/>
  <c r="P48" i="14"/>
  <c r="CT73" i="14"/>
  <c r="AA106" i="14"/>
  <c r="CA99" i="14"/>
  <c r="X92" i="14"/>
  <c r="CE68" i="14"/>
  <c r="BL88" i="14"/>
  <c r="CL55" i="14"/>
  <c r="CM85" i="14"/>
  <c r="B89" i="14"/>
  <c r="I87" i="14"/>
  <c r="CY76" i="14"/>
  <c r="BL84" i="14"/>
  <c r="BU83" i="14"/>
  <c r="N66" i="14"/>
  <c r="DE64" i="16"/>
  <c r="CE101" i="14"/>
  <c r="M85" i="14"/>
  <c r="AJ82" i="14"/>
  <c r="CA87" i="14"/>
  <c r="AX88" i="14"/>
  <c r="AU55" i="14"/>
  <c r="CU49" i="14"/>
  <c r="CH83" i="14"/>
  <c r="AT58" i="14"/>
  <c r="CJ79" i="14"/>
  <c r="Z78" i="14"/>
  <c r="BQ79" i="14"/>
  <c r="CO68" i="14"/>
  <c r="BN55" i="14"/>
  <c r="AS56" i="14"/>
  <c r="BK57" i="14"/>
  <c r="F158" i="16"/>
  <c r="AT60" i="14"/>
  <c r="AX64" i="14"/>
  <c r="BJ53" i="14"/>
  <c r="CD54" i="14"/>
  <c r="W48" i="14"/>
  <c r="Y65" i="14"/>
  <c r="BE51" i="14"/>
  <c r="AD72" i="14"/>
  <c r="CA75" i="14"/>
  <c r="AA90" i="14"/>
  <c r="BE46" i="14"/>
  <c r="BS87" i="14"/>
  <c r="AZ54" i="14"/>
  <c r="AC87" i="14"/>
  <c r="BR104" i="14"/>
  <c r="CE106" i="14"/>
  <c r="CT74" i="14"/>
  <c r="L77" i="14"/>
  <c r="AD51" i="14"/>
  <c r="CW46" i="14"/>
  <c r="W69" i="14"/>
  <c r="CY73" i="14"/>
  <c r="AG99" i="14"/>
  <c r="CW65" i="14"/>
  <c r="CD99" i="14"/>
  <c r="BV79" i="14"/>
  <c r="BL68" i="14"/>
  <c r="H105" i="14"/>
  <c r="DE79" i="16"/>
  <c r="AR82" i="14"/>
  <c r="AH58" i="14"/>
  <c r="CY69" i="14"/>
  <c r="W57" i="14"/>
  <c r="AI34" i="14"/>
  <c r="CI49" i="14"/>
  <c r="AK60" i="14"/>
  <c r="BR105" i="14"/>
  <c r="Z58" i="14"/>
  <c r="CM46" i="14"/>
  <c r="CY75" i="14"/>
  <c r="J90" i="14"/>
  <c r="AG78" i="14"/>
  <c r="AC53" i="14"/>
  <c r="CV68" i="14"/>
  <c r="L120" i="15"/>
  <c r="CH82" i="14"/>
  <c r="AN95" i="14"/>
  <c r="BY55" i="14"/>
  <c r="AI58" i="14"/>
  <c r="CH68" i="14"/>
  <c r="BG49" i="14"/>
  <c r="BV97" i="14"/>
  <c r="BJ79" i="14"/>
  <c r="CR68" i="14"/>
  <c r="BH81" i="14"/>
  <c r="AO62" i="14"/>
  <c r="BP59" i="14"/>
  <c r="CL86" i="14"/>
  <c r="AQ45" i="14"/>
  <c r="BW56" i="14"/>
  <c r="BW79" i="14"/>
  <c r="CH88" i="14"/>
  <c r="BP47" i="14"/>
  <c r="BS74" i="14"/>
  <c r="CT60" i="14"/>
  <c r="AX97" i="14"/>
  <c r="BI59" i="14"/>
  <c r="H91" i="14"/>
  <c r="AJ91" i="14"/>
  <c r="DB105" i="14"/>
  <c r="CH49" i="14"/>
  <c r="BJ62" i="14"/>
  <c r="Q78" i="14"/>
  <c r="CR44" i="14"/>
  <c r="DB93" i="14"/>
  <c r="BW57" i="14"/>
  <c r="AS81" i="14"/>
  <c r="CW69" i="14"/>
  <c r="AJ78" i="14"/>
  <c r="BE101" i="14"/>
  <c r="DE26" i="15"/>
  <c r="AC55" i="14"/>
  <c r="S93" i="14"/>
  <c r="BH53" i="14"/>
  <c r="CT49" i="14"/>
  <c r="O104" i="14"/>
  <c r="BS44" i="14"/>
  <c r="O82" i="14"/>
  <c r="BD44" i="14"/>
  <c r="AM106" i="14"/>
  <c r="AM87" i="14"/>
  <c r="CW76" i="14"/>
  <c r="T96" i="14"/>
  <c r="DE38" i="15"/>
  <c r="DA102" i="14"/>
  <c r="M49" i="14"/>
  <c r="AB106" i="14"/>
  <c r="AH100" i="14"/>
  <c r="CS59" i="14"/>
  <c r="BF94" i="14"/>
  <c r="K44" i="14"/>
  <c r="CX99" i="14"/>
  <c r="AA105" i="14"/>
  <c r="AL102" i="14"/>
  <c r="Q59" i="14"/>
  <c r="BS94" i="14"/>
  <c r="CX62" i="14"/>
  <c r="B60" i="15"/>
  <c r="S53" i="14"/>
  <c r="BP87" i="14"/>
  <c r="N67" i="14"/>
  <c r="CO34" i="14"/>
  <c r="BZ45" i="14"/>
  <c r="DA59" i="14"/>
  <c r="CJ81" i="14"/>
  <c r="BG84" i="14"/>
  <c r="DE29" i="16"/>
  <c r="AS79" i="14"/>
  <c r="CL64" i="14"/>
  <c r="W91" i="14"/>
  <c r="AT66" i="14"/>
  <c r="R75" i="14"/>
  <c r="BW83" i="14"/>
  <c r="AS51" i="14"/>
  <c r="BW44" i="14"/>
  <c r="BQ103" i="14"/>
  <c r="AV74" i="14"/>
  <c r="U34" i="14"/>
  <c r="DE27" i="15"/>
  <c r="B80" i="14"/>
  <c r="CY53" i="14"/>
  <c r="AW101" i="14"/>
  <c r="B126" i="15"/>
  <c r="AD67" i="14"/>
  <c r="I54" i="14"/>
  <c r="DB54" i="14"/>
  <c r="CK91" i="14"/>
  <c r="AB82" i="14"/>
  <c r="CH51" i="14"/>
  <c r="U73" i="14"/>
  <c r="AR77" i="14"/>
  <c r="BU76" i="14"/>
  <c r="BU56" i="14"/>
  <c r="Y88" i="14"/>
  <c r="BL92" i="14"/>
  <c r="CJ105" i="14"/>
  <c r="C103" i="14"/>
  <c r="CC47" i="14"/>
  <c r="CA73" i="14"/>
  <c r="CO78" i="14"/>
  <c r="CM69" i="14"/>
  <c r="W103" i="14"/>
  <c r="AM79" i="14"/>
  <c r="Z51" i="14"/>
  <c r="J60" i="14"/>
  <c r="AO92" i="14"/>
  <c r="BP82" i="14"/>
  <c r="R45" i="14"/>
  <c r="J100" i="14"/>
  <c r="CJ62" i="14"/>
  <c r="BN75" i="14"/>
  <c r="R78" i="14"/>
  <c r="AI100" i="14"/>
  <c r="AP44" i="14"/>
  <c r="CV81" i="14"/>
  <c r="V34" i="14"/>
  <c r="BN72" i="14"/>
  <c r="C105" i="14"/>
  <c r="AE63" i="14"/>
  <c r="AV56" i="14"/>
  <c r="N69" i="14"/>
  <c r="Z62" i="14"/>
  <c r="AI86" i="14"/>
  <c r="X100" i="14"/>
  <c r="CV91" i="14"/>
  <c r="DA56" i="14"/>
  <c r="BG92" i="14"/>
  <c r="CG74" i="14"/>
  <c r="AY68" i="14"/>
  <c r="CQ54" i="14"/>
  <c r="AO56" i="14"/>
  <c r="CY83" i="14"/>
  <c r="Q96" i="14"/>
  <c r="BU62" i="14"/>
  <c r="DE23" i="15"/>
  <c r="BA62" i="14"/>
  <c r="C84" i="14"/>
  <c r="N90" i="14"/>
  <c r="BT78" i="14"/>
  <c r="CQ75" i="14"/>
  <c r="BI56" i="14"/>
  <c r="CZ97" i="14"/>
  <c r="CW75" i="14"/>
  <c r="AN53" i="14"/>
  <c r="BN69" i="14"/>
  <c r="M79" i="14"/>
  <c r="AV95" i="14"/>
  <c r="BX87" i="14"/>
  <c r="BA64" i="14"/>
  <c r="BV87" i="14"/>
  <c r="BF78" i="14"/>
  <c r="AQ58" i="14"/>
  <c r="F158" i="15"/>
  <c r="CD62" i="14"/>
  <c r="B63" i="16"/>
  <c r="CL57" i="14"/>
  <c r="CT75" i="14"/>
  <c r="AR104" i="14"/>
  <c r="AH97" i="14"/>
  <c r="CU82" i="14"/>
  <c r="CH93" i="14"/>
  <c r="CN62" i="14"/>
  <c r="CA91" i="14"/>
  <c r="CW78" i="14"/>
  <c r="DC60" i="14"/>
  <c r="B94" i="14"/>
  <c r="CG100" i="14"/>
  <c r="BQ54" i="14"/>
  <c r="AT85" i="14"/>
  <c r="CX54" i="14"/>
  <c r="BA100" i="14"/>
  <c r="CB74" i="14"/>
  <c r="B90" i="15"/>
  <c r="CX81" i="14"/>
  <c r="DE32" i="15"/>
  <c r="CG65" i="14"/>
  <c r="AD87" i="14"/>
  <c r="H47" i="14"/>
  <c r="BT102" i="14"/>
  <c r="Y99" i="14"/>
  <c r="B57" i="16"/>
  <c r="B53" i="14"/>
  <c r="DA79" i="14"/>
  <c r="BZ60" i="14"/>
  <c r="V96" i="14"/>
  <c r="V50" i="14"/>
  <c r="P58" i="14"/>
  <c r="BI62" i="14"/>
  <c r="BX104" i="14"/>
  <c r="AX91" i="14"/>
  <c r="AW45" i="14"/>
  <c r="S106" i="14"/>
  <c r="AJ103" i="14"/>
  <c r="AA102" i="14"/>
  <c r="CV76" i="14"/>
  <c r="BR34" i="14"/>
  <c r="DE119" i="15"/>
  <c r="W73" i="14"/>
  <c r="AT81" i="14"/>
  <c r="BE64" i="14"/>
  <c r="BH96" i="14"/>
  <c r="S97" i="14"/>
  <c r="CK56" i="14"/>
  <c r="AH93" i="14"/>
  <c r="AO102" i="14"/>
  <c r="V68" i="14"/>
  <c r="CB34" i="14"/>
  <c r="BS97" i="14"/>
  <c r="Z63" i="14"/>
  <c r="BM83" i="14"/>
  <c r="CG49" i="14"/>
  <c r="CQ97" i="14"/>
  <c r="DE77" i="15"/>
  <c r="S49" i="14"/>
  <c r="BU54" i="14"/>
  <c r="AY75" i="14"/>
  <c r="BC50" i="14"/>
  <c r="CR55" i="14"/>
  <c r="CB57" i="14"/>
  <c r="AU106" i="14"/>
  <c r="BS34" i="14"/>
  <c r="CB44" i="14"/>
  <c r="CJ44" i="14"/>
  <c r="BC34" i="14"/>
  <c r="DE25" i="15"/>
  <c r="AQ63" i="14"/>
  <c r="BW104" i="14"/>
  <c r="BO85" i="14"/>
  <c r="AH79" i="14"/>
  <c r="Y53" i="14"/>
  <c r="BY85" i="14"/>
  <c r="B43" i="15"/>
  <c r="CX53" i="14"/>
  <c r="CO106" i="14"/>
  <c r="DC66" i="14"/>
  <c r="AX79" i="14"/>
  <c r="AN47" i="14"/>
  <c r="DC101" i="14"/>
  <c r="AO82" i="14"/>
  <c r="DB64" i="14"/>
  <c r="AZ99" i="14"/>
  <c r="AB83" i="14"/>
  <c r="DA67" i="14"/>
  <c r="CF72" i="14"/>
  <c r="BK82" i="14"/>
  <c r="BH64" i="14"/>
  <c r="CL63" i="14"/>
  <c r="AQ96" i="14"/>
  <c r="CF104" i="14"/>
  <c r="BR91" i="14"/>
  <c r="AZ53" i="14"/>
  <c r="AK53" i="14"/>
  <c r="AQ86" i="14"/>
  <c r="CY44" i="14"/>
  <c r="BH106" i="14"/>
  <c r="U86" i="14"/>
  <c r="BG64" i="14"/>
  <c r="Y45" i="14"/>
  <c r="M63" i="14"/>
  <c r="BI105" i="14"/>
  <c r="CS56" i="14"/>
  <c r="M59" i="14"/>
  <c r="CA86" i="14"/>
  <c r="BC72" i="14"/>
  <c r="AI104" i="14"/>
  <c r="AV50" i="14"/>
  <c r="AN94" i="14"/>
  <c r="B97" i="15"/>
  <c r="B84" i="14"/>
  <c r="O101" i="14"/>
  <c r="CX66" i="14"/>
  <c r="DE124" i="15"/>
  <c r="B41" i="14"/>
  <c r="BU34" i="14"/>
  <c r="AF73" i="14"/>
  <c r="DE91" i="15"/>
  <c r="B90" i="14"/>
  <c r="BQ53" i="14"/>
  <c r="DE59" i="16"/>
  <c r="AN87" i="14"/>
  <c r="CU51" i="14"/>
  <c r="BR82" i="14"/>
  <c r="CK84" i="14"/>
  <c r="CU106" i="14"/>
  <c r="AS90" i="14"/>
  <c r="BA94" i="14"/>
  <c r="Q85" i="14"/>
  <c r="BQ90" i="14"/>
  <c r="AL65" i="14"/>
  <c r="BM101" i="14"/>
  <c r="CI81" i="14"/>
  <c r="BR97" i="14"/>
  <c r="F154" i="15"/>
  <c r="Y55" i="14"/>
  <c r="AE86" i="14"/>
  <c r="AJ69" i="14"/>
  <c r="AS69" i="14"/>
  <c r="P77" i="14"/>
  <c r="CD73" i="14"/>
  <c r="BI90" i="14"/>
  <c r="CK105" i="14"/>
  <c r="DC105" i="14"/>
  <c r="CL58" i="14"/>
  <c r="AD103" i="14"/>
  <c r="BQ63" i="14"/>
  <c r="BI104" i="14"/>
  <c r="M101" i="14"/>
  <c r="BM44" i="14"/>
  <c r="BF79" i="14"/>
  <c r="CB65" i="14"/>
  <c r="CH75" i="14"/>
  <c r="AS92" i="14"/>
  <c r="C54" i="14"/>
  <c r="I99" i="14"/>
  <c r="CM99" i="14"/>
  <c r="Q69" i="14"/>
  <c r="CM92" i="14"/>
  <c r="X88" i="14"/>
  <c r="CB95" i="14"/>
  <c r="DE60" i="15"/>
  <c r="AJ46" i="14"/>
  <c r="CJ51" i="14"/>
  <c r="X60" i="14"/>
  <c r="BM105" i="14"/>
  <c r="CN56" i="14"/>
  <c r="BK102" i="14"/>
  <c r="BT44" i="14"/>
  <c r="BL96" i="14"/>
  <c r="CS92" i="14"/>
  <c r="BH60" i="14"/>
  <c r="CF67" i="14"/>
  <c r="CT50" i="14"/>
  <c r="BH44" i="14"/>
  <c r="AN86" i="14"/>
  <c r="AD106" i="14"/>
  <c r="BI49" i="14"/>
  <c r="CL97" i="14"/>
  <c r="BM100" i="14"/>
  <c r="BK56" i="14"/>
  <c r="CM75" i="14"/>
  <c r="CO79" i="14"/>
  <c r="CV44" i="14"/>
  <c r="CO57" i="14"/>
  <c r="BL86" i="14"/>
  <c r="CR103" i="14"/>
  <c r="AN82" i="14"/>
  <c r="AK65" i="14"/>
  <c r="J91" i="14"/>
  <c r="AP48" i="14"/>
  <c r="AM49" i="14"/>
  <c r="CJ104" i="14"/>
  <c r="BA106" i="14"/>
  <c r="DE37" i="15"/>
  <c r="W78" i="14"/>
  <c r="BP104" i="14"/>
  <c r="BA68" i="14"/>
  <c r="CG81" i="14"/>
  <c r="DB51" i="14"/>
  <c r="BC82" i="14"/>
  <c r="X78" i="14"/>
  <c r="V45" i="14"/>
  <c r="CD59" i="14"/>
  <c r="AQ78" i="14"/>
  <c r="CD102" i="14"/>
  <c r="AQ53" i="14"/>
  <c r="BF75" i="14"/>
  <c r="I92" i="14"/>
  <c r="CM74" i="14"/>
  <c r="AL49" i="14"/>
  <c r="CC45" i="14"/>
  <c r="BE57" i="14"/>
  <c r="Q56" i="14"/>
  <c r="BJ47" i="14"/>
  <c r="B20" i="15"/>
  <c r="B86" i="14"/>
  <c r="BJ66" i="14"/>
  <c r="CI85" i="14"/>
  <c r="AU92" i="14"/>
  <c r="CD85" i="14"/>
  <c r="BG102" i="14"/>
  <c r="BF69" i="14"/>
  <c r="N103" i="14"/>
  <c r="AV64" i="14"/>
  <c r="BO68" i="14"/>
  <c r="CA34" i="14"/>
  <c r="K51" i="14"/>
  <c r="O34" i="14"/>
  <c r="CK85" i="14"/>
  <c r="BE53" i="14"/>
  <c r="M68" i="14"/>
  <c r="CY90" i="14"/>
  <c r="H104" i="14"/>
  <c r="AN54" i="14"/>
  <c r="AD58" i="14"/>
  <c r="BK92" i="14"/>
  <c r="AT55" i="14"/>
  <c r="CJ56" i="14"/>
  <c r="AM50" i="14"/>
  <c r="BJ50" i="14"/>
  <c r="CG90" i="14"/>
  <c r="CP103" i="14"/>
  <c r="CZ47" i="14"/>
  <c r="CA53" i="14"/>
  <c r="R58" i="14"/>
  <c r="CK54" i="14"/>
  <c r="CO58" i="14"/>
  <c r="AW100" i="14"/>
  <c r="BG69" i="14"/>
  <c r="B115" i="15"/>
  <c r="BH83" i="14"/>
  <c r="B84" i="16"/>
  <c r="BX94" i="14"/>
  <c r="BS82" i="14"/>
  <c r="DE43" i="15"/>
  <c r="V87" i="14"/>
  <c r="BC93" i="14"/>
  <c r="CZ48" i="14"/>
  <c r="AP101" i="14"/>
  <c r="AA82" i="14"/>
  <c r="AD79" i="14"/>
  <c r="BO90" i="14"/>
  <c r="B76" i="14"/>
  <c r="BI96" i="14"/>
  <c r="BG101" i="14"/>
  <c r="BS55" i="14"/>
  <c r="AB51" i="14"/>
  <c r="CQ48" i="14"/>
  <c r="I75" i="14"/>
  <c r="BN63" i="14"/>
  <c r="R101" i="14"/>
  <c r="AY64" i="14"/>
  <c r="CI68" i="14"/>
  <c r="DE50" i="15"/>
  <c r="BG51" i="14"/>
  <c r="CD68" i="14"/>
  <c r="CJ54" i="14"/>
  <c r="CN46" i="14"/>
  <c r="C71" i="14"/>
  <c r="CG106" i="14"/>
  <c r="V100" i="14"/>
  <c r="AZ102" i="14"/>
  <c r="CT54" i="14"/>
  <c r="AH64" i="14"/>
  <c r="CN84" i="14"/>
  <c r="AM54" i="14"/>
  <c r="X75" i="14"/>
  <c r="AU81" i="14"/>
  <c r="AP55" i="14"/>
  <c r="AJ68" i="14"/>
  <c r="CX79" i="14"/>
  <c r="CW94" i="14"/>
  <c r="CN103" i="14"/>
  <c r="B99" i="14"/>
  <c r="AY56" i="14"/>
  <c r="B14" i="15"/>
  <c r="M91" i="14"/>
  <c r="AE59" i="14"/>
  <c r="CU46" i="14"/>
  <c r="CL103" i="14"/>
  <c r="CP44" i="14"/>
  <c r="CW92" i="14"/>
  <c r="AW64" i="14"/>
  <c r="BI106" i="14"/>
  <c r="BY94" i="14"/>
  <c r="AK49" i="14"/>
  <c r="Y85" i="14"/>
  <c r="CM50" i="14"/>
  <c r="S50" i="14"/>
  <c r="O46" i="14"/>
  <c r="BT91" i="14"/>
  <c r="BF91" i="14"/>
  <c r="DE36" i="15"/>
  <c r="AH72" i="14"/>
  <c r="AI65" i="14"/>
  <c r="T76" i="14"/>
  <c r="CC103" i="14"/>
  <c r="N91" i="14"/>
  <c r="AZ47" i="14"/>
  <c r="AI95" i="14"/>
  <c r="BS53" i="14"/>
  <c r="R62" i="14"/>
  <c r="BO54" i="14"/>
  <c r="CH74" i="14"/>
  <c r="CS102" i="14"/>
  <c r="F153" i="16"/>
  <c r="CN86" i="14"/>
  <c r="N51" i="14"/>
  <c r="BQ64" i="14"/>
  <c r="CD74" i="14"/>
  <c r="AD85" i="14"/>
  <c r="CY51" i="14"/>
  <c r="AS88" i="14"/>
  <c r="C53" i="14"/>
  <c r="BG77" i="14"/>
  <c r="BD94" i="14"/>
  <c r="CZ59" i="14"/>
  <c r="BY79" i="14"/>
  <c r="W105" i="14"/>
  <c r="AN60" i="14"/>
  <c r="AC101" i="14"/>
  <c r="AM64" i="14"/>
  <c r="CZ102" i="14"/>
  <c r="AY51" i="14"/>
  <c r="AM91" i="14"/>
  <c r="CE56" i="14"/>
  <c r="AU104" i="14"/>
  <c r="AU86" i="14"/>
  <c r="CM47" i="14"/>
  <c r="BF54" i="14"/>
  <c r="AC100" i="14"/>
  <c r="BO84" i="14"/>
  <c r="R59" i="14"/>
  <c r="BL50" i="14"/>
  <c r="AK104" i="14"/>
  <c r="AB87" i="14"/>
  <c r="BX96" i="14"/>
  <c r="C63" i="14"/>
  <c r="AV59" i="14"/>
  <c r="CP81" i="14"/>
  <c r="CS104" i="14"/>
  <c r="DE61" i="15"/>
  <c r="BW68" i="14"/>
  <c r="Y60" i="14"/>
  <c r="CB101" i="14"/>
  <c r="AF53" i="14"/>
  <c r="N95" i="14"/>
  <c r="J44" i="14"/>
  <c r="AI97" i="14"/>
  <c r="H66" i="14"/>
  <c r="AX34" i="14"/>
  <c r="AF55" i="14"/>
  <c r="AH78" i="14"/>
  <c r="Y51" i="14"/>
  <c r="BY34" i="14"/>
  <c r="CM65" i="14"/>
  <c r="CD75" i="14"/>
  <c r="AR76" i="14"/>
  <c r="BA51" i="14"/>
  <c r="BI101" i="14"/>
  <c r="B54" i="16"/>
  <c r="AL82" i="14"/>
  <c r="B83" i="15"/>
  <c r="CV92" i="14"/>
  <c r="AQ103" i="14"/>
  <c r="P53" i="14"/>
  <c r="AR106" i="14"/>
  <c r="DC85" i="14"/>
  <c r="BS68" i="14"/>
  <c r="BU48" i="14"/>
  <c r="CN64" i="14"/>
  <c r="CX92" i="14"/>
  <c r="CU93" i="14"/>
  <c r="DC74" i="14"/>
  <c r="AS103" i="14"/>
  <c r="BI85" i="14"/>
  <c r="K100" i="14"/>
  <c r="AH101" i="14"/>
  <c r="AX65" i="14"/>
  <c r="BH67" i="14"/>
  <c r="CV49" i="14"/>
  <c r="O87" i="14"/>
  <c r="B75" i="15"/>
  <c r="DB63" i="14"/>
  <c r="AJ60" i="14"/>
  <c r="CU105" i="14"/>
  <c r="CU95" i="14"/>
  <c r="CW85" i="14"/>
  <c r="AJ48" i="14"/>
  <c r="BZ68" i="14"/>
  <c r="O45" i="14"/>
  <c r="W54" i="14"/>
  <c r="P101" i="14"/>
  <c r="BC79" i="14"/>
  <c r="AS99" i="14"/>
  <c r="N68" i="14"/>
  <c r="CL66" i="14"/>
  <c r="BH103" i="14"/>
  <c r="B121" i="15"/>
  <c r="DC84" i="14"/>
  <c r="CR74" i="14"/>
  <c r="J51" i="14"/>
  <c r="BN77" i="14"/>
  <c r="BO74" i="14"/>
  <c r="BD63" i="14"/>
  <c r="R96" i="14"/>
  <c r="Q88" i="14"/>
  <c r="CR93" i="14"/>
  <c r="BP88" i="14"/>
  <c r="O77" i="14"/>
  <c r="BQ72" i="14"/>
  <c r="BL73" i="14"/>
  <c r="AP78" i="14"/>
  <c r="CR54" i="14"/>
  <c r="L62" i="14"/>
  <c r="V46" i="14"/>
  <c r="AA46" i="14"/>
  <c r="AA85" i="14"/>
  <c r="AU68" i="14"/>
  <c r="BN64" i="14"/>
  <c r="CI100" i="14"/>
  <c r="AL86" i="14"/>
  <c r="R102" i="14"/>
  <c r="BH84" i="14"/>
  <c r="CT82" i="14"/>
  <c r="AL55" i="14"/>
  <c r="C85" i="14"/>
  <c r="BJ102" i="14"/>
  <c r="V95" i="14"/>
  <c r="CP99" i="14"/>
  <c r="BJ99" i="14"/>
  <c r="BA91" i="14"/>
  <c r="BG34" i="14"/>
  <c r="AL88" i="14"/>
  <c r="AJ100" i="14"/>
  <c r="T56" i="14"/>
  <c r="DE64" i="15"/>
  <c r="DC58" i="14"/>
  <c r="B64" i="14"/>
  <c r="BN67" i="14"/>
  <c r="AK62" i="14"/>
  <c r="BW67" i="14"/>
  <c r="BQ69" i="14"/>
  <c r="BI95" i="14"/>
  <c r="CK63" i="14"/>
  <c r="BN87" i="14"/>
  <c r="J53" i="14"/>
  <c r="CQ94" i="14"/>
  <c r="Z34" i="14"/>
  <c r="X105" i="14"/>
  <c r="AB79" i="14"/>
  <c r="BV60" i="14"/>
  <c r="AE55" i="14"/>
  <c r="CE77" i="14"/>
  <c r="CK58" i="14"/>
  <c r="Y49" i="14"/>
  <c r="CX74" i="14"/>
  <c r="CF73" i="14"/>
  <c r="N34" i="14"/>
  <c r="BM51" i="14"/>
  <c r="CT72" i="14"/>
  <c r="BE54" i="14"/>
  <c r="AT75" i="14"/>
  <c r="AQ99" i="14"/>
  <c r="DB91" i="14"/>
  <c r="BV62" i="14"/>
  <c r="BN57" i="14"/>
  <c r="BD81" i="14"/>
  <c r="CY106" i="14"/>
  <c r="B87" i="14"/>
  <c r="B56" i="14"/>
  <c r="BQ66" i="14"/>
  <c r="BE79" i="14"/>
  <c r="CE105" i="14"/>
  <c r="BN104" i="14"/>
  <c r="BA45" i="14"/>
  <c r="C50" i="14"/>
  <c r="AT57" i="14"/>
  <c r="AK87" i="14"/>
  <c r="DC68" i="14"/>
  <c r="CG72" i="14"/>
  <c r="J34" i="14"/>
  <c r="CZ56" i="14"/>
  <c r="CM73" i="14"/>
  <c r="BC65" i="14"/>
  <c r="AN44" i="14"/>
  <c r="V103" i="14"/>
  <c r="BA88" i="14"/>
  <c r="CY94" i="14"/>
  <c r="CQ73" i="14"/>
  <c r="CK75" i="14"/>
  <c r="CS67" i="14"/>
  <c r="I76" i="14"/>
  <c r="BW47" i="14"/>
  <c r="CF90" i="14"/>
  <c r="AS65" i="14"/>
  <c r="BP56" i="14"/>
  <c r="Z79" i="14"/>
  <c r="K92" i="14"/>
  <c r="CI74" i="14"/>
  <c r="CN102" i="14"/>
  <c r="BP105" i="14"/>
  <c r="AE88" i="14"/>
  <c r="BM69" i="14"/>
  <c r="X67" i="14"/>
  <c r="Z73" i="14"/>
  <c r="DA54" i="14"/>
  <c r="BN48" i="14"/>
  <c r="BZ86" i="14"/>
  <c r="AC93" i="14"/>
  <c r="CW101" i="14"/>
  <c r="CO92" i="14"/>
  <c r="V85" i="14"/>
  <c r="AA67" i="14"/>
  <c r="P51" i="14"/>
  <c r="AO101" i="14"/>
  <c r="AO76" i="14"/>
  <c r="CL51" i="14"/>
  <c r="AQ44" i="14"/>
  <c r="BN90" i="14"/>
  <c r="CC84" i="14"/>
  <c r="CB54" i="14"/>
  <c r="CN54" i="14"/>
  <c r="AH53" i="14"/>
  <c r="CZ65" i="14"/>
  <c r="BF84" i="14"/>
  <c r="B86" i="15"/>
  <c r="S86" i="14"/>
  <c r="BU72" i="14"/>
  <c r="AC68" i="14"/>
  <c r="BE44" i="14"/>
  <c r="B82" i="16"/>
  <c r="AR56" i="14"/>
  <c r="CS60" i="14"/>
  <c r="BF83" i="14"/>
  <c r="I73" i="14"/>
  <c r="BL63" i="14"/>
  <c r="AN100" i="14"/>
  <c r="N63" i="14"/>
  <c r="Z85" i="14"/>
  <c r="DA44" i="14"/>
  <c r="N82" i="14"/>
  <c r="BQ48" i="14"/>
  <c r="CO69" i="14"/>
  <c r="BI83" i="14"/>
  <c r="BQ78" i="14"/>
  <c r="AC50" i="14"/>
  <c r="AN57" i="14"/>
  <c r="AZ96" i="14"/>
  <c r="T57" i="14"/>
  <c r="CI54" i="14"/>
  <c r="AS106" i="14"/>
  <c r="AX100" i="14"/>
  <c r="S79" i="14"/>
  <c r="BK44" i="14"/>
  <c r="CE99" i="14"/>
  <c r="Y84" i="14"/>
  <c r="CF94" i="14"/>
  <c r="BD95" i="14"/>
  <c r="BN45" i="14"/>
  <c r="BN65" i="14"/>
  <c r="AI69" i="14"/>
  <c r="AH85" i="14"/>
  <c r="AQ55" i="14"/>
  <c r="BI47" i="14"/>
  <c r="BJ87" i="14"/>
  <c r="BX85" i="14"/>
  <c r="AQ83" i="14"/>
  <c r="AG49" i="14"/>
  <c r="K85" i="14"/>
  <c r="DE14" i="16"/>
  <c r="BO83" i="14"/>
  <c r="AM86" i="14"/>
  <c r="AP59" i="14"/>
  <c r="BU105" i="14"/>
  <c r="DB77" i="14"/>
  <c r="V81" i="14"/>
  <c r="L20" i="14"/>
  <c r="BW106" i="14"/>
  <c r="B78" i="15"/>
  <c r="AK74" i="14"/>
  <c r="AN84" i="14"/>
  <c r="Q103" i="14"/>
  <c r="CU59" i="14"/>
  <c r="AM78" i="14"/>
  <c r="AX99" i="14"/>
  <c r="AP88" i="14"/>
  <c r="AY63" i="14"/>
  <c r="Q54" i="14"/>
  <c r="AZ81" i="14"/>
  <c r="H69" i="14"/>
  <c r="B75" i="16"/>
  <c r="AA44" i="14"/>
  <c r="N58" i="14"/>
  <c r="AG74" i="14"/>
  <c r="BF93" i="14"/>
  <c r="N49" i="14"/>
  <c r="B48" i="14"/>
  <c r="CP45" i="14"/>
  <c r="BO103" i="14"/>
  <c r="B50" i="14"/>
  <c r="CS57" i="14"/>
  <c r="CQ58" i="14"/>
  <c r="AP57" i="14"/>
  <c r="BP48" i="14"/>
  <c r="AW88" i="14"/>
  <c r="AH73" i="14"/>
  <c r="L87" i="14"/>
  <c r="BW101" i="14"/>
  <c r="CC68" i="14"/>
  <c r="CH95" i="14"/>
  <c r="DB94" i="14"/>
  <c r="B19" i="16"/>
  <c r="AK79" i="14"/>
  <c r="CN34" i="14"/>
  <c r="BK69" i="14"/>
  <c r="V60" i="14"/>
  <c r="C77" i="14"/>
  <c r="L67" i="14"/>
  <c r="CA103" i="14"/>
  <c r="P100" i="14"/>
  <c r="BL45" i="14"/>
  <c r="BM78" i="14"/>
  <c r="AD44" i="14"/>
  <c r="AE67" i="14"/>
  <c r="Z72" i="14"/>
  <c r="X81" i="14"/>
  <c r="CX90" i="14"/>
  <c r="AR103" i="14"/>
  <c r="BP101" i="14"/>
  <c r="AI99" i="14"/>
  <c r="DC83" i="14"/>
  <c r="AO49" i="14"/>
  <c r="AC88" i="14"/>
  <c r="CY65" i="14"/>
  <c r="CR59" i="14"/>
  <c r="CS101" i="14"/>
  <c r="BX75" i="14"/>
  <c r="AD66" i="14"/>
  <c r="CF69" i="14"/>
  <c r="V69" i="14"/>
  <c r="AK66" i="14"/>
  <c r="DC63" i="14"/>
  <c r="AS54" i="14"/>
  <c r="AN51" i="14"/>
  <c r="CQ86" i="14"/>
  <c r="DA55" i="14"/>
  <c r="V93" i="14"/>
  <c r="BY92" i="14"/>
  <c r="AH62" i="14"/>
  <c r="DE101" i="15"/>
  <c r="AV82" i="14"/>
  <c r="AB66" i="14"/>
  <c r="BK60" i="14"/>
  <c r="B78" i="14"/>
  <c r="CE102" i="14"/>
  <c r="AE34" i="14"/>
  <c r="CO103" i="14"/>
  <c r="BC97" i="14"/>
  <c r="Y106" i="14"/>
  <c r="DA77" i="14"/>
  <c r="CG54" i="14"/>
  <c r="AJ50" i="14"/>
  <c r="AX63" i="14"/>
  <c r="BA49" i="14"/>
  <c r="CL62" i="14"/>
  <c r="AH87" i="14"/>
  <c r="AH91" i="14"/>
  <c r="BS58" i="14"/>
  <c r="DC55" i="14"/>
  <c r="X54" i="14"/>
  <c r="AC84" i="14"/>
  <c r="B77" i="15"/>
  <c r="C68" i="14"/>
  <c r="CU79" i="14"/>
  <c r="I48" i="14"/>
  <c r="CW105" i="14"/>
  <c r="CL101" i="14"/>
  <c r="AD54" i="14"/>
  <c r="AZ86" i="14"/>
  <c r="Z90" i="14"/>
  <c r="I78" i="14"/>
  <c r="AA86" i="14"/>
  <c r="Z55" i="14"/>
  <c r="BU55" i="14"/>
  <c r="DA58" i="14"/>
  <c r="BX72" i="14"/>
  <c r="AJ83" i="14"/>
  <c r="AU49" i="14"/>
  <c r="BL103" i="14"/>
  <c r="BI64" i="14"/>
  <c r="DA92" i="14"/>
  <c r="AV45" i="14"/>
  <c r="BZ96" i="14"/>
  <c r="CQ106" i="14"/>
  <c r="AR94" i="14"/>
  <c r="CI88" i="14"/>
  <c r="I86" i="14"/>
  <c r="CC58" i="14"/>
  <c r="BW84" i="14"/>
  <c r="CO83" i="14"/>
  <c r="BV65" i="14"/>
  <c r="BG95" i="14"/>
  <c r="Z74" i="14"/>
  <c r="R51" i="14"/>
  <c r="BX105" i="14"/>
  <c r="AS63" i="14"/>
  <c r="B87" i="16"/>
  <c r="I88" i="14"/>
  <c r="CF103" i="14"/>
  <c r="AQ106" i="14"/>
  <c r="CH67" i="14"/>
  <c r="BN86" i="14"/>
  <c r="BC78" i="14"/>
  <c r="CD92" i="14"/>
  <c r="AC64" i="14"/>
  <c r="Z102" i="14"/>
  <c r="AA75" i="14"/>
  <c r="AS75" i="14"/>
  <c r="BU96" i="14"/>
  <c r="CB79" i="14"/>
  <c r="BW66" i="14"/>
  <c r="J72" i="14"/>
  <c r="CF34" i="14"/>
  <c r="CP82" i="14"/>
  <c r="AB96" i="14"/>
  <c r="AD78" i="14"/>
  <c r="BP69" i="14"/>
  <c r="AG77" i="14"/>
  <c r="AQ79" i="14"/>
  <c r="BI88" i="14"/>
  <c r="CV102" i="14"/>
  <c r="BR90" i="14"/>
  <c r="AG94" i="14"/>
  <c r="H77" i="14"/>
  <c r="Y64" i="14"/>
  <c r="C44" i="14"/>
  <c r="BU87" i="14"/>
  <c r="AT49" i="14"/>
  <c r="BD83" i="14"/>
  <c r="C45" i="14"/>
  <c r="AR50" i="14"/>
  <c r="W46" i="14"/>
  <c r="BM95" i="14"/>
  <c r="CZ104" i="14"/>
  <c r="BE62" i="14"/>
  <c r="CG63" i="14"/>
  <c r="DE65" i="16"/>
  <c r="AJ53" i="14"/>
  <c r="BB101" i="14"/>
  <c r="AU46" i="14"/>
  <c r="BP73" i="14"/>
  <c r="N81" i="14"/>
  <c r="CA65" i="14"/>
  <c r="CL104" i="14"/>
  <c r="AT68" i="14"/>
  <c r="BP67" i="14"/>
  <c r="CF65" i="14"/>
  <c r="B47" i="15"/>
  <c r="X49" i="14"/>
  <c r="CC102" i="14"/>
  <c r="CW82" i="14"/>
  <c r="H100" i="14"/>
  <c r="Q86" i="14"/>
  <c r="DE87" i="15"/>
  <c r="DC94" i="14"/>
  <c r="AO66" i="14"/>
  <c r="CL67" i="14"/>
  <c r="AR84" i="14"/>
  <c r="CY55" i="14"/>
  <c r="BT73" i="14"/>
  <c r="CO95" i="14"/>
  <c r="BG104" i="14"/>
  <c r="BS93" i="14"/>
  <c r="BJ44" i="14"/>
  <c r="BU66" i="14"/>
  <c r="CV60" i="14"/>
  <c r="J97" i="14"/>
  <c r="P66" i="14"/>
  <c r="BF51" i="14"/>
  <c r="BX81" i="14"/>
  <c r="AB99" i="14"/>
  <c r="CA97" i="14"/>
  <c r="AG85" i="14"/>
  <c r="AK95" i="14"/>
  <c r="AZ50" i="14"/>
  <c r="AD101" i="14"/>
  <c r="CV57" i="14"/>
  <c r="AW96" i="14"/>
  <c r="AO67" i="14"/>
  <c r="BC53" i="14"/>
  <c r="CB83" i="14"/>
  <c r="BD53" i="14"/>
  <c r="J66" i="14"/>
  <c r="P55" i="14"/>
  <c r="CN57" i="14"/>
  <c r="BC88" i="14"/>
  <c r="AO84" i="14"/>
  <c r="BE50" i="14"/>
  <c r="N73" i="14"/>
  <c r="F155" i="15"/>
  <c r="BB106" i="14"/>
  <c r="H86" i="14"/>
  <c r="AH84" i="14"/>
  <c r="BZ57" i="14"/>
  <c r="AR53" i="14"/>
  <c r="T62" i="14"/>
  <c r="CK77" i="14"/>
  <c r="BN34" i="14"/>
  <c r="CE66" i="14"/>
  <c r="BM60" i="14"/>
  <c r="AW74" i="14"/>
  <c r="P94" i="14"/>
  <c r="BR95" i="14"/>
  <c r="AD82" i="14"/>
  <c r="DA74" i="14"/>
  <c r="AF62" i="14"/>
  <c r="AJ63" i="14"/>
  <c r="B30" i="16"/>
  <c r="AI64" i="14"/>
  <c r="U78" i="14"/>
  <c r="B69" i="16"/>
  <c r="M106" i="14"/>
  <c r="CN68" i="14"/>
  <c r="AE62" i="14"/>
  <c r="BY48" i="14"/>
  <c r="N79" i="14"/>
  <c r="BR47" i="14"/>
  <c r="BC56" i="14"/>
  <c r="CY60" i="14"/>
  <c r="DB73" i="14"/>
  <c r="BD106" i="14"/>
  <c r="I95" i="14"/>
  <c r="CO62" i="14"/>
  <c r="AN65" i="14"/>
  <c r="AJ95" i="14"/>
  <c r="AH67" i="14"/>
  <c r="BQ94" i="14"/>
  <c r="AZ95" i="14"/>
  <c r="C70" i="14"/>
  <c r="AA53" i="14"/>
  <c r="AW76" i="14"/>
  <c r="AV78" i="14"/>
  <c r="AQ90" i="14"/>
  <c r="CK53" i="14"/>
  <c r="BV64" i="14"/>
  <c r="AF99" i="14"/>
  <c r="DE35" i="16"/>
  <c r="BM66" i="14"/>
  <c r="BY58" i="14"/>
  <c r="AO48" i="14"/>
  <c r="CR67" i="14"/>
  <c r="BR75" i="14"/>
  <c r="BH45" i="14"/>
  <c r="DA84" i="14"/>
  <c r="CA82" i="14"/>
  <c r="U66" i="14"/>
  <c r="AW83" i="14"/>
  <c r="CV104" i="14"/>
  <c r="DB85" i="14"/>
  <c r="T45" i="14"/>
  <c r="N94" i="14"/>
  <c r="AE104" i="14"/>
  <c r="CC83" i="14"/>
  <c r="AE85" i="14"/>
  <c r="CC65" i="14"/>
  <c r="CH102" i="14"/>
  <c r="BQ67" i="14"/>
  <c r="I84" i="14"/>
  <c r="BF77" i="14"/>
  <c r="CH106" i="14"/>
  <c r="CA90" i="14"/>
  <c r="B38" i="16"/>
  <c r="BG83" i="14"/>
  <c r="AS93" i="14"/>
  <c r="CN97" i="14"/>
  <c r="CC106" i="14"/>
  <c r="AT46" i="14"/>
  <c r="B57" i="14"/>
  <c r="CQ83" i="14"/>
  <c r="U53" i="14"/>
  <c r="CU78" i="14"/>
  <c r="Q53" i="14"/>
  <c r="AP97" i="14"/>
  <c r="DE123" i="15"/>
  <c r="CU100" i="14"/>
  <c r="AU69" i="14"/>
  <c r="Q102" i="14"/>
  <c r="J87" i="14"/>
  <c r="DA73" i="14"/>
  <c r="C91" i="14"/>
  <c r="AO86" i="14"/>
  <c r="CQ79" i="14"/>
  <c r="DC67" i="14"/>
  <c r="BQ58" i="14"/>
  <c r="BQ74" i="14"/>
  <c r="CK72" i="14"/>
  <c r="L48" i="14"/>
  <c r="CQ65" i="14"/>
  <c r="CJ76" i="14"/>
  <c r="BW72" i="14"/>
  <c r="AU34" i="14"/>
  <c r="BW103" i="14"/>
  <c r="AN75" i="14"/>
  <c r="AW106" i="14"/>
  <c r="CB97" i="14"/>
  <c r="BA102" i="14"/>
  <c r="B48" i="15"/>
  <c r="CB84" i="14"/>
  <c r="AV53" i="14"/>
  <c r="CR69" i="14"/>
  <c r="AQ68" i="14"/>
  <c r="H76" i="14"/>
  <c r="DE129" i="15"/>
  <c r="J79" i="14"/>
  <c r="CG79" i="14"/>
  <c r="S76" i="14"/>
  <c r="Y95" i="14"/>
  <c r="AA51" i="14"/>
  <c r="DE31" i="16"/>
  <c r="C87" i="14"/>
  <c r="AG81" i="14"/>
  <c r="BT100" i="14"/>
  <c r="AS105" i="14"/>
  <c r="DE86" i="15"/>
  <c r="CR83" i="14"/>
  <c r="B27" i="15"/>
  <c r="DC69" i="14"/>
  <c r="B30" i="15"/>
  <c r="CQ57" i="14"/>
  <c r="BV51" i="14"/>
  <c r="BK63" i="14"/>
  <c r="CV77" i="14"/>
  <c r="BT101" i="14"/>
  <c r="BA72" i="14"/>
  <c r="BS45" i="14"/>
  <c r="CT46" i="14"/>
  <c r="Y76" i="14"/>
  <c r="AQ102" i="14"/>
  <c r="BI46" i="14"/>
  <c r="BB72" i="14"/>
  <c r="DB50" i="14"/>
  <c r="I60" i="14"/>
  <c r="AR51" i="14"/>
  <c r="CU45" i="14"/>
  <c r="BX50" i="14"/>
  <c r="BB90" i="14"/>
  <c r="AG59" i="14"/>
  <c r="CW55" i="14"/>
  <c r="AM65" i="14"/>
  <c r="DE73" i="16"/>
  <c r="BX93" i="14"/>
  <c r="O78" i="14"/>
  <c r="BA34" i="14"/>
  <c r="CL77" i="14"/>
  <c r="DC44" i="14"/>
  <c r="AP77" i="14"/>
  <c r="CN93" i="14"/>
  <c r="DE42" i="16"/>
  <c r="DE37" i="16"/>
  <c r="AD100" i="14"/>
  <c r="X94" i="14"/>
  <c r="S81" i="14"/>
  <c r="V77" i="14"/>
  <c r="CR95" i="14"/>
  <c r="AD57" i="14"/>
  <c r="AV69" i="14"/>
  <c r="U55" i="14"/>
  <c r="AV49" i="14"/>
  <c r="X79" i="14"/>
  <c r="AZ93" i="14"/>
  <c r="CG56" i="14"/>
  <c r="AG53" i="14"/>
  <c r="BZ90" i="14"/>
  <c r="BG58" i="14"/>
  <c r="CK106" i="14"/>
  <c r="BE49" i="14"/>
  <c r="AM104" i="14"/>
  <c r="BH99" i="14"/>
  <c r="CY57" i="14"/>
  <c r="Q34" i="14"/>
  <c r="CN49" i="14"/>
  <c r="CP58" i="14"/>
  <c r="CL60" i="14"/>
  <c r="DE102" i="15"/>
  <c r="BN49" i="14"/>
  <c r="CA47" i="14"/>
  <c r="BM88" i="14"/>
  <c r="AL104" i="14"/>
  <c r="BI73" i="14"/>
  <c r="BN74" i="14"/>
  <c r="BD101" i="14"/>
  <c r="AE93" i="14"/>
  <c r="DA105" i="14"/>
  <c r="CY104" i="14"/>
  <c r="B69" i="15"/>
  <c r="J56" i="14"/>
  <c r="AY93" i="14"/>
  <c r="AP99" i="14"/>
  <c r="BI102" i="14"/>
  <c r="CB75" i="14"/>
  <c r="B26" i="15"/>
  <c r="CR91" i="14"/>
  <c r="CU96" i="14"/>
  <c r="BX100" i="14"/>
  <c r="B29" i="16"/>
  <c r="AU91" i="14"/>
  <c r="AC83" i="14"/>
  <c r="AT48" i="14"/>
  <c r="AK91" i="14"/>
  <c r="AA96" i="14"/>
  <c r="B96" i="14"/>
  <c r="CT100" i="14"/>
  <c r="CA60" i="14"/>
  <c r="P99" i="14"/>
  <c r="BZ104" i="14"/>
  <c r="X65" i="14"/>
  <c r="R54" i="14"/>
  <c r="DE70" i="15"/>
  <c r="AC103" i="14"/>
  <c r="AO91" i="14"/>
  <c r="CS97" i="14"/>
  <c r="BO75" i="14"/>
  <c r="BD67" i="14"/>
  <c r="BM79" i="14"/>
  <c r="AP58" i="14"/>
  <c r="AB75" i="14"/>
  <c r="X69" i="14"/>
  <c r="BL54" i="14"/>
  <c r="AC73" i="14"/>
  <c r="BA73" i="14"/>
  <c r="CU87" i="14"/>
  <c r="CG76" i="14"/>
  <c r="BH66" i="14"/>
  <c r="H48" i="14"/>
  <c r="C102" i="14"/>
  <c r="BX68" i="14"/>
  <c r="AQ105" i="14"/>
  <c r="B76" i="16"/>
  <c r="S90" i="14"/>
  <c r="CG94" i="14"/>
  <c r="AF45" i="14"/>
  <c r="Y83" i="14"/>
  <c r="AK90" i="14"/>
  <c r="AY76" i="14"/>
  <c r="CJ59" i="14"/>
  <c r="B41" i="16"/>
  <c r="CA69" i="14"/>
  <c r="Z103" i="14"/>
  <c r="AT53" i="14"/>
  <c r="CE57" i="14"/>
  <c r="AD105" i="14"/>
  <c r="AM101" i="14"/>
  <c r="BT63" i="14"/>
  <c r="K78" i="14"/>
  <c r="BU78" i="14"/>
  <c r="Z88" i="14"/>
  <c r="U47" i="14"/>
  <c r="CO93" i="14"/>
  <c r="CP77" i="14"/>
  <c r="X106" i="14"/>
  <c r="CB66" i="14"/>
  <c r="Y81" i="14"/>
  <c r="AW69" i="14"/>
  <c r="CO99" i="14"/>
  <c r="AR99" i="14"/>
  <c r="AE58" i="14"/>
  <c r="AU67" i="14"/>
  <c r="CP84" i="14"/>
  <c r="AZ97" i="14"/>
  <c r="CT59" i="14"/>
  <c r="L93" i="14"/>
  <c r="Q92" i="14"/>
  <c r="BF103" i="14"/>
  <c r="BU59" i="14"/>
  <c r="AD95" i="14"/>
  <c r="BN83" i="14"/>
  <c r="BG96" i="14"/>
  <c r="AC60" i="14"/>
  <c r="AH92" i="14"/>
  <c r="C65" i="14"/>
  <c r="BI48" i="14"/>
  <c r="AY49" i="14"/>
  <c r="Q93" i="14"/>
  <c r="BL65" i="14"/>
  <c r="P60" i="14"/>
  <c r="DE86" i="16"/>
  <c r="AM76" i="14"/>
  <c r="B88" i="15"/>
  <c r="J45" i="14"/>
  <c r="CQ104" i="14"/>
  <c r="DE88" i="15"/>
  <c r="AE100" i="14"/>
  <c r="DE81" i="16"/>
  <c r="AF65" i="14"/>
  <c r="B81" i="15"/>
  <c r="AL87" i="14"/>
  <c r="AG58" i="14"/>
  <c r="AY86" i="14"/>
  <c r="BC104" i="14"/>
  <c r="CM66" i="14"/>
  <c r="CE103" i="14"/>
  <c r="CA83" i="14"/>
  <c r="BR77" i="14"/>
  <c r="U100" i="14"/>
  <c r="BB73" i="14"/>
  <c r="CX101" i="14"/>
  <c r="AF78" i="14"/>
  <c r="AT45" i="14"/>
  <c r="AA59" i="14"/>
  <c r="BR94" i="14"/>
  <c r="CL68" i="14"/>
  <c r="B55" i="14"/>
  <c r="CW44" i="14"/>
  <c r="L108" i="14"/>
  <c r="BA101" i="14"/>
  <c r="Z56" i="14"/>
  <c r="BI65" i="14"/>
  <c r="M64" i="14"/>
  <c r="AD81" i="14"/>
  <c r="Q72" i="14"/>
  <c r="CE48" i="14"/>
  <c r="CZ83" i="14"/>
  <c r="BG47" i="14"/>
  <c r="V49" i="14"/>
  <c r="CG46" i="14"/>
  <c r="B93" i="14"/>
  <c r="DC103" i="14"/>
  <c r="J86" i="14"/>
  <c r="T72" i="14"/>
  <c r="AL59" i="14"/>
  <c r="AS72" i="14"/>
  <c r="C98" i="14"/>
  <c r="AC76" i="14"/>
  <c r="CL99" i="14"/>
  <c r="AK54" i="14"/>
  <c r="CH99" i="14"/>
  <c r="AT90" i="14"/>
  <c r="BK66" i="14"/>
  <c r="BT55" i="14"/>
  <c r="AC79" i="14"/>
  <c r="BK86" i="14"/>
  <c r="BU74" i="14"/>
  <c r="BT67" i="14"/>
  <c r="CW63" i="14"/>
  <c r="K60" i="14"/>
  <c r="CK45" i="14"/>
  <c r="BB87" i="14"/>
  <c r="P46" i="14"/>
  <c r="BQ51" i="14"/>
  <c r="CR56" i="14"/>
  <c r="CH69" i="14"/>
  <c r="AT99" i="14"/>
  <c r="BY67" i="14"/>
  <c r="BK65" i="14"/>
  <c r="AW105" i="14"/>
  <c r="J58" i="14"/>
  <c r="AD50" i="14"/>
  <c r="Z47" i="14"/>
  <c r="DB102" i="14"/>
  <c r="AX95" i="14"/>
  <c r="DE69" i="15"/>
  <c r="AN68" i="14"/>
  <c r="M87" i="14"/>
  <c r="BS75" i="14"/>
  <c r="L59" i="14"/>
  <c r="BB86" i="14"/>
  <c r="AJ96" i="14"/>
  <c r="AI47" i="14"/>
  <c r="CT101" i="14"/>
  <c r="X83" i="14"/>
  <c r="AW68" i="14"/>
  <c r="AA87" i="14"/>
  <c r="BG106" i="14"/>
  <c r="CH65" i="14"/>
  <c r="K90" i="14"/>
  <c r="AV67" i="14"/>
  <c r="DB81" i="14"/>
  <c r="CA85" i="14"/>
  <c r="U97" i="14"/>
  <c r="AF86" i="14"/>
  <c r="BX53" i="14"/>
  <c r="AU77" i="14"/>
  <c r="CO46" i="14"/>
  <c r="DB45" i="14"/>
  <c r="CD78" i="14"/>
  <c r="AU50" i="14"/>
  <c r="BE73" i="14"/>
  <c r="CI82" i="14"/>
  <c r="BE66" i="14"/>
  <c r="BV34" i="14"/>
  <c r="N59" i="14"/>
  <c r="AV34" i="14"/>
  <c r="CT84" i="14"/>
  <c r="BH55" i="14"/>
  <c r="Z68" i="14"/>
  <c r="CM95" i="14"/>
  <c r="CB50" i="14"/>
  <c r="BX102" i="14"/>
  <c r="BQ82" i="14"/>
  <c r="BE106" i="14"/>
  <c r="AG66" i="14"/>
  <c r="BO53" i="14"/>
  <c r="T64" i="14"/>
  <c r="DC59" i="14"/>
  <c r="BY81" i="14"/>
  <c r="AG103" i="14"/>
  <c r="CX45" i="14"/>
  <c r="BU50" i="14"/>
  <c r="AH81" i="14"/>
  <c r="AA101" i="14"/>
  <c r="AX73" i="14"/>
  <c r="AH49" i="14"/>
  <c r="AU82" i="14"/>
  <c r="C93" i="14"/>
  <c r="BY51" i="14"/>
  <c r="P95" i="14"/>
  <c r="AL62" i="14"/>
  <c r="BY86" i="14"/>
  <c r="CM86" i="14"/>
  <c r="CK68" i="14"/>
  <c r="BD65" i="14"/>
  <c r="S60" i="14"/>
  <c r="BT105" i="14"/>
  <c r="CF78" i="14"/>
  <c r="CY54" i="14"/>
  <c r="B98" i="14"/>
  <c r="BI99" i="14"/>
  <c r="BG88" i="14"/>
  <c r="CZ79" i="14"/>
  <c r="M53" i="14"/>
  <c r="O50" i="14"/>
  <c r="B94" i="15"/>
  <c r="CB96" i="14"/>
  <c r="DE23" i="16"/>
  <c r="AJ104" i="14"/>
  <c r="J64" i="14"/>
  <c r="J50" i="14"/>
  <c r="N96" i="14"/>
  <c r="B127" i="15"/>
  <c r="AZ57" i="14"/>
  <c r="V63" i="14"/>
  <c r="AB102" i="14"/>
  <c r="BC51" i="14"/>
  <c r="CD81" i="14"/>
  <c r="BS103" i="14"/>
  <c r="O100" i="14"/>
  <c r="B18" i="16"/>
  <c r="BY54" i="14"/>
  <c r="BL93" i="14"/>
  <c r="CQ81" i="14"/>
  <c r="BM77" i="14"/>
  <c r="BZ78" i="14"/>
  <c r="BT56" i="14"/>
  <c r="DE21" i="15"/>
  <c r="CD49" i="14"/>
  <c r="CX87" i="14"/>
  <c r="BT88" i="14"/>
  <c r="B62" i="16"/>
  <c r="AG64" i="14"/>
  <c r="CI90" i="14"/>
  <c r="CU94" i="14"/>
  <c r="CL75" i="14"/>
  <c r="BR45" i="14"/>
  <c r="CO104" i="14"/>
  <c r="DE50" i="16"/>
  <c r="BE72" i="14"/>
  <c r="AZ91" i="14"/>
  <c r="AW102" i="14"/>
  <c r="Z105" i="14"/>
  <c r="CB55" i="14"/>
  <c r="Z96" i="14"/>
  <c r="AO100" i="14"/>
  <c r="CF66" i="14"/>
  <c r="CZ64" i="14"/>
  <c r="BC76" i="14"/>
  <c r="T55" i="14"/>
  <c r="W44" i="14"/>
  <c r="CD106" i="14"/>
  <c r="BY90" i="14"/>
  <c r="BB96" i="14"/>
  <c r="CG51" i="14"/>
  <c r="AC48" i="14"/>
  <c r="AU73" i="14"/>
  <c r="W51" i="14"/>
  <c r="M69" i="14"/>
  <c r="BS63" i="14"/>
  <c r="B64" i="15"/>
  <c r="S73" i="14"/>
  <c r="CI50" i="14"/>
  <c r="Z99" i="14"/>
  <c r="X77" i="14"/>
  <c r="BM90" i="14"/>
  <c r="L91" i="14"/>
  <c r="AQ64" i="14"/>
  <c r="BT62" i="14"/>
  <c r="CG96" i="14"/>
  <c r="BV93" i="14"/>
  <c r="CE78" i="14"/>
  <c r="AT64" i="14"/>
  <c r="BX65" i="14"/>
  <c r="BC63" i="14"/>
  <c r="CV53" i="14"/>
  <c r="AR69" i="14"/>
  <c r="DE66" i="15"/>
  <c r="AF46" i="14"/>
  <c r="AD69" i="14"/>
  <c r="CU85" i="14"/>
  <c r="CJ66" i="14"/>
  <c r="DA47" i="14"/>
  <c r="BN47" i="14"/>
  <c r="B100" i="14"/>
  <c r="CE46" i="14"/>
  <c r="CU69" i="14"/>
  <c r="AV86" i="14"/>
  <c r="J74" i="14"/>
  <c r="CA79" i="14"/>
  <c r="BK97" i="14"/>
  <c r="CJ92" i="14"/>
  <c r="BU53" i="14"/>
  <c r="BE65" i="14"/>
  <c r="CR94" i="14"/>
  <c r="BW87" i="14"/>
  <c r="CW90" i="14"/>
  <c r="BV105" i="14"/>
  <c r="AZ73" i="14"/>
  <c r="AJ59" i="14"/>
  <c r="AU62" i="14"/>
  <c r="BJ97" i="14"/>
  <c r="CL94" i="14"/>
  <c r="S92" i="14"/>
  <c r="BH76" i="14"/>
  <c r="BC45" i="14"/>
  <c r="AQ46" i="14"/>
  <c r="CT34" i="14"/>
  <c r="AN67" i="14"/>
  <c r="AR45" i="14"/>
  <c r="B73" i="15"/>
  <c r="AD84" i="14"/>
  <c r="L73" i="14"/>
  <c r="BN66" i="14"/>
  <c r="BM65" i="14"/>
  <c r="C46" i="14"/>
  <c r="B58" i="14"/>
  <c r="W72" i="14"/>
  <c r="AI87" i="14"/>
  <c r="AP100" i="14"/>
  <c r="AE66" i="14"/>
  <c r="AG51" i="14"/>
  <c r="BD82" i="14"/>
  <c r="CP97" i="14"/>
  <c r="U76" i="14"/>
  <c r="BQ97" i="14"/>
  <c r="CV47" i="14"/>
  <c r="AQ60" i="14"/>
  <c r="CV54" i="14"/>
  <c r="CG99" i="14"/>
  <c r="Y78" i="14"/>
  <c r="S45" i="14"/>
  <c r="AD60" i="14"/>
  <c r="BR53" i="14"/>
  <c r="AE65" i="14"/>
  <c r="BR51" i="14"/>
  <c r="BW90" i="14"/>
  <c r="DE34" i="16"/>
  <c r="AD91" i="14"/>
  <c r="CL50" i="14"/>
  <c r="AH60" i="14"/>
  <c r="CZ62" i="14"/>
  <c r="BZ83" i="14"/>
  <c r="BC49" i="14"/>
  <c r="B83" i="14"/>
  <c r="AQ104" i="14"/>
  <c r="AJ99" i="14"/>
  <c r="AY34" i="14"/>
  <c r="AU47" i="14"/>
  <c r="CP55" i="14"/>
  <c r="W101" i="14"/>
  <c r="AE99" i="14"/>
  <c r="AT50" i="14"/>
  <c r="S102" i="14"/>
  <c r="DE74" i="16"/>
  <c r="AC51" i="14"/>
  <c r="BI44" i="14"/>
  <c r="CP66" i="14"/>
  <c r="AM72" i="14"/>
  <c r="C90" i="14"/>
  <c r="DA48" i="14"/>
  <c r="BB75" i="14"/>
  <c r="DA78" i="14"/>
  <c r="B39" i="15"/>
  <c r="BR50" i="14"/>
  <c r="CO59" i="14"/>
  <c r="CD104" i="14"/>
  <c r="DB47" i="14"/>
  <c r="H87" i="14"/>
  <c r="AU58" i="14"/>
  <c r="B128" i="15"/>
  <c r="AX82" i="14"/>
  <c r="AS49" i="14"/>
  <c r="Z84" i="14"/>
  <c r="AU48" i="14"/>
  <c r="T85" i="14"/>
  <c r="AA56" i="14"/>
  <c r="U74" i="14"/>
  <c r="CY81" i="14"/>
  <c r="AA72" i="14"/>
  <c r="BL104" i="14"/>
  <c r="M86" i="14"/>
  <c r="AI46" i="14"/>
  <c r="AT63" i="14"/>
  <c r="BY78" i="14"/>
  <c r="BU75" i="14"/>
  <c r="AY78" i="14"/>
  <c r="CX77" i="14"/>
  <c r="BU58" i="14"/>
  <c r="CP76" i="14"/>
  <c r="DB68" i="14"/>
  <c r="L120" i="16"/>
  <c r="CE91" i="14"/>
  <c r="B68" i="14"/>
  <c r="DE41" i="15"/>
  <c r="AK81" i="14"/>
  <c r="K120" i="16"/>
  <c r="BW88" i="14"/>
  <c r="BH51" i="14"/>
  <c r="AG92" i="14"/>
  <c r="P97" i="14"/>
  <c r="BE97" i="14"/>
  <c r="AH65" i="14"/>
  <c r="BO72" i="14"/>
  <c r="CB92" i="14"/>
  <c r="CJ74" i="14"/>
  <c r="BT97" i="14"/>
  <c r="DA76" i="14"/>
  <c r="BE58" i="14"/>
  <c r="X59" i="14"/>
  <c r="AJ105" i="14"/>
  <c r="CD105" i="14"/>
  <c r="M44" i="14"/>
  <c r="CA106" i="14"/>
  <c r="BS64" i="14"/>
  <c r="CG85" i="14"/>
  <c r="J88" i="14"/>
  <c r="AL97" i="14"/>
  <c r="BH34" i="14"/>
  <c r="BP76" i="14"/>
  <c r="AL99" i="14"/>
  <c r="AB34" i="14"/>
  <c r="Q62" i="14"/>
  <c r="K66" i="14"/>
  <c r="BA50" i="14"/>
  <c r="DE55" i="15"/>
  <c r="DE34" i="15"/>
  <c r="CC51" i="14"/>
  <c r="AG34" i="14"/>
  <c r="AT44" i="14"/>
  <c r="L68" i="14"/>
  <c r="AG106" i="14"/>
  <c r="DE83" i="15"/>
  <c r="CJ55" i="14"/>
  <c r="DE84" i="15"/>
  <c r="AK103" i="14"/>
  <c r="AN97" i="14"/>
  <c r="CA81" i="14"/>
  <c r="S65" i="14"/>
  <c r="AH74" i="14"/>
  <c r="Y69" i="14"/>
  <c r="BX86" i="14"/>
  <c r="AA45" i="14"/>
  <c r="AK78" i="14"/>
  <c r="DB46" i="14"/>
  <c r="BG60" i="14"/>
  <c r="AF56" i="14"/>
  <c r="BM102" i="14"/>
  <c r="AV81" i="14"/>
  <c r="AL46" i="14"/>
  <c r="CI69" i="14"/>
  <c r="CZ86" i="14"/>
  <c r="K72" i="14"/>
  <c r="CB105" i="14"/>
  <c r="BI60" i="14"/>
  <c r="P88" i="14"/>
  <c r="DA104" i="14"/>
  <c r="BP93" i="14"/>
  <c r="AD88" i="14"/>
  <c r="AW94" i="14"/>
  <c r="BJ48" i="14"/>
  <c r="AS53" i="14"/>
  <c r="AL93" i="14"/>
  <c r="BZ54" i="14"/>
  <c r="N84" i="14"/>
  <c r="U90" i="14"/>
  <c r="Y57" i="14"/>
  <c r="BQ81" i="14"/>
  <c r="AJ73" i="14"/>
  <c r="CL83" i="14"/>
  <c r="AJ51" i="14"/>
  <c r="AR57" i="14"/>
  <c r="Q81" i="14"/>
  <c r="AE101" i="14"/>
  <c r="AI91" i="14"/>
  <c r="AB78" i="14"/>
  <c r="AC67" i="14"/>
  <c r="BK49" i="14"/>
  <c r="J81" i="14"/>
  <c r="CI99" i="14"/>
  <c r="B38" i="15"/>
  <c r="K103" i="14"/>
  <c r="BU93" i="14"/>
  <c r="CC100" i="14"/>
  <c r="AF68" i="14"/>
  <c r="U45" i="14"/>
  <c r="CE47" i="14"/>
  <c r="AL84" i="14"/>
  <c r="AT102" i="14"/>
  <c r="AC95" i="14"/>
  <c r="CX50" i="14"/>
  <c r="BK50" i="14"/>
  <c r="BQ104" i="14"/>
  <c r="J69" i="14"/>
  <c r="CU83" i="14"/>
  <c r="AY92" i="14"/>
  <c r="X58" i="14"/>
  <c r="K49" i="14"/>
  <c r="C82" i="14"/>
  <c r="BK34" i="14"/>
  <c r="AY85" i="14"/>
  <c r="CN48" i="14"/>
  <c r="AT79" i="14"/>
  <c r="CU86" i="14"/>
  <c r="CR104" i="14"/>
  <c r="CR60" i="14"/>
  <c r="CW68" i="14"/>
  <c r="CD103" i="14"/>
  <c r="AX77" i="14"/>
  <c r="N99" i="14"/>
  <c r="BE82" i="14"/>
  <c r="AW63" i="14"/>
  <c r="AK77" i="14"/>
  <c r="DE30" i="16"/>
  <c r="BI87" i="14"/>
  <c r="AF79" i="14"/>
  <c r="CH85" i="14"/>
  <c r="K88" i="14"/>
  <c r="AM44" i="14"/>
  <c r="AD73" i="14"/>
  <c r="CV66" i="14"/>
  <c r="AT94" i="14"/>
  <c r="AW51" i="14"/>
  <c r="B77" i="14"/>
  <c r="CL45" i="14"/>
  <c r="AY65" i="14"/>
  <c r="K59" i="14"/>
  <c r="BL82" i="14"/>
  <c r="P86" i="14"/>
  <c r="BL55" i="14"/>
  <c r="B73" i="16"/>
  <c r="CN55" i="14"/>
  <c r="BZ87" i="14"/>
  <c r="AB57" i="14"/>
  <c r="AG65" i="14"/>
  <c r="CH91" i="14"/>
  <c r="AC72" i="14"/>
  <c r="AD46" i="14"/>
  <c r="CR87" i="14"/>
  <c r="AG91" i="14"/>
  <c r="AG73" i="14"/>
  <c r="CG95" i="14"/>
  <c r="CS95" i="14"/>
  <c r="L53" i="14"/>
  <c r="BW69" i="14"/>
  <c r="BX55" i="14"/>
  <c r="DB60" i="14"/>
  <c r="AS96" i="14"/>
  <c r="B62" i="15"/>
  <c r="CO100" i="14"/>
  <c r="CF46" i="14"/>
  <c r="B105" i="15"/>
  <c r="AM60" i="14"/>
  <c r="AY77" i="14"/>
  <c r="CT58" i="14"/>
  <c r="CX76" i="14"/>
  <c r="BT103" i="14"/>
  <c r="AZ74" i="14"/>
  <c r="I50" i="14"/>
  <c r="U46" i="14"/>
  <c r="CN63" i="14"/>
  <c r="CG57" i="14"/>
  <c r="BV88" i="14"/>
  <c r="BR73" i="14"/>
  <c r="CK93" i="14"/>
  <c r="H97" i="14"/>
  <c r="AO73" i="14"/>
  <c r="AC92" i="14"/>
  <c r="BC68" i="14"/>
  <c r="CV96" i="14"/>
  <c r="DC79" i="14"/>
  <c r="BS47" i="14"/>
  <c r="AR78" i="14"/>
  <c r="AR105" i="14"/>
  <c r="BU90" i="14"/>
  <c r="AW67" i="14"/>
  <c r="BW99" i="14"/>
  <c r="B60" i="16"/>
  <c r="BX84" i="14"/>
  <c r="DE19" i="15"/>
  <c r="CU64" i="14"/>
  <c r="CU56" i="14"/>
  <c r="BE100" i="14"/>
  <c r="BC94" i="14"/>
  <c r="CH62" i="14"/>
  <c r="AL66" i="14"/>
  <c r="K91" i="14"/>
  <c r="BI81" i="14"/>
  <c r="BW78" i="14"/>
  <c r="CK44" i="14"/>
  <c r="AS85" i="14"/>
  <c r="DE104" i="15"/>
  <c r="BL51" i="14"/>
  <c r="AH94" i="14"/>
  <c r="B120" i="15"/>
  <c r="CV75" i="14"/>
  <c r="AI84" i="14"/>
  <c r="CP60" i="14"/>
  <c r="DC56" i="14"/>
  <c r="AA88" i="14"/>
  <c r="W64" i="14"/>
  <c r="AZ72" i="14"/>
  <c r="BX66" i="14"/>
  <c r="AT74" i="14"/>
  <c r="N78" i="14"/>
  <c r="BL97" i="14"/>
  <c r="AO94" i="14"/>
  <c r="CG59" i="14"/>
  <c r="CP64" i="14"/>
  <c r="CP106" i="14"/>
  <c r="CG68" i="14"/>
  <c r="AJ62" i="14"/>
  <c r="AX44" i="14"/>
  <c r="BS86" i="14"/>
  <c r="BX106" i="14"/>
  <c r="DA50" i="14"/>
  <c r="M88" i="14"/>
  <c r="BY91" i="14"/>
  <c r="I69" i="14"/>
  <c r="BM56" i="14"/>
  <c r="CE72" i="14"/>
  <c r="R65" i="14"/>
  <c r="CT67" i="14"/>
  <c r="AF69" i="14"/>
  <c r="AT82" i="14"/>
  <c r="CY59" i="14"/>
  <c r="AU66" i="14"/>
  <c r="AS55" i="14"/>
  <c r="BT86" i="14"/>
  <c r="CD100" i="14"/>
  <c r="AO65" i="14"/>
  <c r="CI87" i="14"/>
  <c r="BB45" i="14"/>
  <c r="K74" i="14"/>
  <c r="BH97" i="14"/>
  <c r="P84" i="14"/>
  <c r="BB48" i="14"/>
  <c r="AP83" i="14"/>
  <c r="BV58" i="14"/>
  <c r="BI58" i="14"/>
  <c r="R104" i="14"/>
  <c r="BL57" i="14"/>
  <c r="AD59" i="14"/>
  <c r="Q74" i="14"/>
  <c r="C92" i="14"/>
  <c r="AX83" i="14"/>
  <c r="AO83" i="14"/>
  <c r="BN96" i="14"/>
  <c r="AI96" i="14"/>
  <c r="AC102" i="14"/>
  <c r="CT102" i="14"/>
  <c r="Q67" i="14"/>
  <c r="CS47" i="14"/>
  <c r="AU93" i="14"/>
  <c r="S94" i="14"/>
  <c r="BU97" i="14"/>
  <c r="B122" i="15"/>
  <c r="CD46" i="14"/>
  <c r="AX48" i="14"/>
  <c r="BX57" i="14"/>
  <c r="M97" i="14"/>
  <c r="CB85" i="14"/>
  <c r="AF93" i="14"/>
  <c r="BY75" i="14"/>
  <c r="BE88" i="14"/>
  <c r="BF67" i="14"/>
  <c r="BD54" i="14"/>
  <c r="BJ54" i="14"/>
  <c r="AP104" i="14"/>
  <c r="AH44" i="14"/>
  <c r="CN50" i="14"/>
  <c r="DE46" i="15"/>
  <c r="AO59" i="14"/>
  <c r="B25" i="16"/>
  <c r="AP69" i="14"/>
  <c r="DE41" i="16"/>
  <c r="AI90" i="14"/>
  <c r="AO103" i="14"/>
  <c r="BL47" i="14"/>
  <c r="BF44" i="14"/>
  <c r="AB101" i="14"/>
  <c r="BG68" i="14"/>
  <c r="BM82" i="14"/>
  <c r="AH105" i="14"/>
  <c r="BW100" i="14"/>
  <c r="CU66" i="14"/>
  <c r="AN93" i="14"/>
  <c r="CM48" i="14"/>
  <c r="BR55" i="14"/>
  <c r="AQ91" i="14"/>
  <c r="AN62" i="14"/>
  <c r="BZ53" i="14"/>
  <c r="AP85" i="14"/>
  <c r="BF73" i="14"/>
  <c r="B74" i="14"/>
  <c r="BM48" i="14"/>
  <c r="B81" i="16"/>
  <c r="AI45" i="14"/>
  <c r="AJ66" i="14"/>
  <c r="CX86" i="14"/>
  <c r="BJ65" i="14"/>
  <c r="Y92" i="14"/>
  <c r="P82" i="14"/>
  <c r="BA54" i="14"/>
  <c r="X76" i="14"/>
  <c r="R68" i="14"/>
  <c r="BI97" i="14"/>
  <c r="AB59" i="14"/>
  <c r="BL94" i="14"/>
  <c r="AR48" i="14"/>
  <c r="BO106" i="14"/>
  <c r="BF49" i="14"/>
  <c r="BT48" i="14"/>
  <c r="AF97" i="14"/>
  <c r="CE73" i="14"/>
  <c r="CU75" i="14"/>
  <c r="CA74" i="14"/>
  <c r="B15" i="15"/>
  <c r="BH88" i="14"/>
  <c r="CA57" i="14"/>
  <c r="V54" i="14"/>
  <c r="CA66" i="14"/>
  <c r="S44" i="14"/>
  <c r="AV57" i="14"/>
  <c r="CH57" i="14"/>
  <c r="AE106" i="14"/>
  <c r="AQ95" i="14"/>
  <c r="AM81" i="14"/>
  <c r="CO47" i="14"/>
  <c r="CG83" i="14"/>
  <c r="CS75" i="14"/>
  <c r="BD97" i="14"/>
  <c r="CV87" i="14"/>
  <c r="BW102" i="14"/>
  <c r="S95" i="14"/>
  <c r="N104" i="14"/>
  <c r="T68" i="14"/>
  <c r="CL72" i="14"/>
  <c r="AW34" i="14"/>
  <c r="B82" i="14"/>
  <c r="BP50" i="14"/>
  <c r="J108" i="14"/>
  <c r="BA74" i="14"/>
  <c r="CR62" i="14"/>
  <c r="CA58" i="14"/>
  <c r="CI84" i="14"/>
  <c r="CN105" i="14"/>
  <c r="CB82" i="14"/>
  <c r="BC102" i="14"/>
  <c r="B110" i="15"/>
  <c r="AB49" i="14"/>
  <c r="CD95" i="14"/>
  <c r="CQ93" i="14"/>
  <c r="N45" i="14"/>
  <c r="Q55" i="14"/>
  <c r="BJ105" i="14"/>
  <c r="AB73" i="14"/>
  <c r="CF95" i="14"/>
  <c r="M81" i="14"/>
  <c r="CO73" i="14"/>
  <c r="AC77" i="14"/>
  <c r="CU62" i="14"/>
  <c r="BM96" i="14"/>
  <c r="BW93" i="14"/>
  <c r="AK102" i="14"/>
  <c r="BH104" i="14"/>
  <c r="CN60" i="14"/>
  <c r="AT91" i="14"/>
  <c r="BE83" i="14"/>
  <c r="CF75" i="14"/>
  <c r="BR84" i="14"/>
  <c r="AZ51" i="14"/>
  <c r="B106" i="15"/>
  <c r="CE96" i="14"/>
  <c r="AY101" i="14"/>
  <c r="CV63" i="14"/>
  <c r="BV76" i="14"/>
  <c r="AC46" i="14"/>
  <c r="BK68" i="14"/>
  <c r="CP59" i="14"/>
  <c r="AM66" i="14"/>
  <c r="AL79" i="14"/>
  <c r="BY76" i="14"/>
  <c r="CL87" i="14"/>
  <c r="CJ50" i="14"/>
  <c r="CF91" i="14"/>
  <c r="BA83" i="14"/>
  <c r="CE92" i="14"/>
  <c r="L78" i="14"/>
  <c r="BR58" i="14"/>
  <c r="AK56" i="14"/>
  <c r="AO85" i="14"/>
  <c r="CD47" i="14"/>
  <c r="U63" i="14"/>
  <c r="AL90" i="14"/>
  <c r="B50" i="16"/>
  <c r="CB60" i="14"/>
  <c r="AI59" i="14"/>
  <c r="L102" i="14"/>
  <c r="P75" i="14"/>
  <c r="T63" i="14"/>
  <c r="U54" i="14"/>
  <c r="DA85" i="14"/>
  <c r="BS90" i="14"/>
  <c r="BS96" i="14"/>
  <c r="AY57" i="14"/>
  <c r="BX101" i="14"/>
  <c r="M56" i="14"/>
  <c r="AX94" i="14"/>
  <c r="L79" i="14"/>
  <c r="B15" i="16"/>
  <c r="DE47" i="16"/>
  <c r="BO88" i="14"/>
  <c r="CN100" i="14"/>
  <c r="T87" i="14"/>
  <c r="CH92" i="14"/>
  <c r="BU57" i="14"/>
  <c r="BW82" i="14"/>
  <c r="AH69" i="14"/>
  <c r="I63" i="14"/>
  <c r="CV101" i="14"/>
  <c r="I82" i="14"/>
  <c r="BC81" i="14"/>
  <c r="L65" i="14"/>
  <c r="AP66" i="14"/>
  <c r="AG82" i="14"/>
  <c r="AG67" i="14"/>
  <c r="M74" i="14"/>
  <c r="M99" i="14"/>
  <c r="AX68" i="14"/>
  <c r="CE60" i="14"/>
  <c r="DB72" i="14"/>
  <c r="CR101" i="14"/>
  <c r="W100" i="14"/>
  <c r="CY91" i="14"/>
  <c r="K67" i="14"/>
  <c r="CL82" i="14"/>
  <c r="DE28" i="15"/>
  <c r="P44" i="14"/>
  <c r="S34" i="14"/>
  <c r="AJ88" i="14"/>
  <c r="U58" i="14"/>
  <c r="CP46" i="14"/>
  <c r="AR95" i="14"/>
  <c r="CW58" i="14"/>
  <c r="CH78" i="14"/>
  <c r="CC60" i="14"/>
  <c r="BE85" i="14"/>
  <c r="DA69" i="14"/>
  <c r="CT62" i="14"/>
  <c r="BN91" i="14"/>
  <c r="BG85" i="14"/>
  <c r="U68" i="14"/>
  <c r="BQ44" i="14"/>
  <c r="BC73" i="14"/>
  <c r="BG100" i="14"/>
  <c r="B27" i="16"/>
  <c r="B71" i="16"/>
  <c r="AP49" i="14"/>
  <c r="AO93" i="14"/>
  <c r="CD83" i="14"/>
  <c r="CW84" i="14"/>
  <c r="Z95" i="14"/>
  <c r="CP72" i="14"/>
  <c r="CI57" i="14"/>
  <c r="DE71" i="15"/>
  <c r="AI76" i="14"/>
  <c r="B65" i="16"/>
  <c r="AK34" i="14"/>
  <c r="W47" i="14"/>
  <c r="AU74" i="14"/>
  <c r="L49" i="14"/>
  <c r="CM103" i="14"/>
  <c r="AO105" i="14"/>
  <c r="CB63" i="14"/>
  <c r="AS46" i="14"/>
  <c r="CA72" i="14"/>
  <c r="BM75" i="14"/>
  <c r="B71" i="15"/>
  <c r="BH48" i="14"/>
  <c r="DC47" i="14"/>
  <c r="B85" i="15"/>
  <c r="DE35" i="15"/>
  <c r="AY102" i="14"/>
  <c r="CG102" i="14"/>
  <c r="AS86" i="14"/>
  <c r="BJ58" i="14"/>
  <c r="L55" i="14"/>
  <c r="BD96" i="14"/>
  <c r="AP105" i="14"/>
  <c r="BL75" i="14"/>
  <c r="DB78" i="14"/>
  <c r="AO97" i="14"/>
  <c r="BD60" i="14"/>
  <c r="DC96" i="14"/>
  <c r="CB51" i="14"/>
  <c r="CT86" i="14"/>
  <c r="Y82" i="14"/>
  <c r="CU88" i="14"/>
  <c r="AM77" i="14"/>
  <c r="B87" i="15"/>
  <c r="CI47" i="14"/>
  <c r="AU53" i="14"/>
  <c r="CQ51" i="14"/>
  <c r="CB94" i="14"/>
  <c r="R34" i="14"/>
  <c r="AO88" i="14"/>
  <c r="BV94" i="14"/>
  <c r="BZ34" i="14"/>
  <c r="CY50" i="14"/>
  <c r="BP86" i="14"/>
  <c r="AT86" i="14"/>
  <c r="CO102" i="14"/>
  <c r="AT97" i="14"/>
  <c r="DB82" i="14"/>
  <c r="Y50" i="14"/>
  <c r="DE68" i="15"/>
  <c r="CE58" i="14"/>
  <c r="Q48" i="14"/>
  <c r="CM83" i="14"/>
  <c r="DE48" i="15"/>
  <c r="BY95" i="14"/>
  <c r="CJ46" i="14"/>
  <c r="BR59" i="14"/>
  <c r="CO60" i="14"/>
  <c r="AW78" i="14"/>
  <c r="AY94" i="14"/>
  <c r="CN94" i="14"/>
  <c r="DC99" i="14"/>
  <c r="BV81" i="14"/>
  <c r="BZ76" i="14"/>
  <c r="CQ63" i="14"/>
  <c r="CH94" i="14"/>
  <c r="CI64" i="14"/>
  <c r="AQ69" i="14"/>
  <c r="BF82" i="14"/>
  <c r="AW57" i="14"/>
  <c r="BJ101" i="14"/>
  <c r="BH78" i="14"/>
  <c r="CF105" i="14"/>
  <c r="BK54" i="14"/>
  <c r="BW55" i="14"/>
  <c r="AU102" i="14"/>
  <c r="AA69" i="14"/>
  <c r="AB64" i="14"/>
  <c r="BJ90" i="14"/>
  <c r="AA77" i="14"/>
  <c r="B39" i="16"/>
  <c r="AC78" i="14"/>
  <c r="BA93" i="14"/>
  <c r="CJ48" i="14"/>
  <c r="DE65" i="15"/>
  <c r="J120" i="15"/>
  <c r="CO64" i="14"/>
  <c r="CJ57" i="14"/>
  <c r="CF102" i="14"/>
  <c r="AR91" i="14"/>
  <c r="P54" i="14"/>
  <c r="L63" i="14"/>
  <c r="AP53" i="14"/>
  <c r="X48" i="14"/>
  <c r="CZ78" i="14"/>
  <c r="AC94" i="14"/>
  <c r="BO78" i="14"/>
  <c r="BL72" i="14"/>
  <c r="DB106" i="14"/>
  <c r="CG44" i="14"/>
  <c r="AY74" i="14"/>
  <c r="X93" i="14"/>
  <c r="CQ74" i="14"/>
  <c r="AD93" i="14"/>
  <c r="DB90" i="14"/>
  <c r="BH54" i="14"/>
  <c r="BC99" i="14"/>
  <c r="BH73" i="14"/>
  <c r="CW103" i="14"/>
  <c r="W66" i="14"/>
  <c r="AY88" i="14"/>
  <c r="AO46" i="14"/>
  <c r="AR66" i="14"/>
  <c r="BL100" i="14"/>
  <c r="BU79" i="14"/>
  <c r="CT69" i="14"/>
  <c r="CJ67" i="14"/>
  <c r="AC44" i="14"/>
  <c r="CJ65" i="14"/>
  <c r="CI63" i="14"/>
  <c r="AI103" i="14"/>
  <c r="AB58" i="14"/>
  <c r="AQ34" i="14"/>
  <c r="AX92" i="14"/>
  <c r="P105" i="14"/>
  <c r="BG76" i="14"/>
  <c r="CM106" i="14"/>
  <c r="CY88" i="14"/>
  <c r="B57" i="15"/>
  <c r="BQ68" i="14"/>
  <c r="BX88" i="14"/>
  <c r="AC97" i="14"/>
  <c r="CS49" i="14"/>
  <c r="AE76" i="14"/>
  <c r="AD34" i="14"/>
  <c r="Y63" i="14"/>
  <c r="CF100" i="14"/>
  <c r="BT59" i="14"/>
  <c r="N100" i="14"/>
  <c r="BD105" i="14"/>
  <c r="BJ46" i="14"/>
  <c r="AY79" i="14"/>
  <c r="AS76" i="14"/>
  <c r="B70" i="14"/>
  <c r="CX102" i="14"/>
  <c r="AW95" i="14"/>
  <c r="AW93" i="14"/>
  <c r="CT90" i="14"/>
  <c r="CH55" i="14"/>
  <c r="CX55" i="14"/>
  <c r="I55" i="14"/>
  <c r="CL34" i="14"/>
  <c r="V55" i="14"/>
  <c r="CA59" i="14"/>
  <c r="DE73" i="15"/>
  <c r="B93" i="15"/>
  <c r="CT65" i="14"/>
  <c r="S72" i="14"/>
  <c r="S46" i="14"/>
  <c r="BB83" i="14"/>
  <c r="AU76" i="14"/>
  <c r="BF92" i="14"/>
  <c r="AX78" i="14"/>
  <c r="CE44" i="14"/>
  <c r="BA96" i="14"/>
  <c r="DE61" i="16"/>
  <c r="BW63" i="14"/>
  <c r="CD48" i="14"/>
  <c r="DE52" i="16"/>
  <c r="BY103" i="14"/>
  <c r="N55" i="14"/>
  <c r="BD62" i="14"/>
  <c r="BU68" i="14"/>
  <c r="BB44" i="14"/>
  <c r="CC55" i="14"/>
  <c r="K86" i="14"/>
  <c r="DE120" i="15"/>
  <c r="CJ106" i="14"/>
  <c r="BG50" i="14"/>
  <c r="BO55" i="14"/>
  <c r="T92" i="14"/>
  <c r="M77" i="14"/>
  <c r="M95" i="14"/>
  <c r="DB95" i="14"/>
  <c r="AK50" i="14"/>
  <c r="DE59" i="15"/>
  <c r="BU99" i="14"/>
  <c r="CH34" i="14"/>
  <c r="CB90" i="14"/>
  <c r="AM62" i="14"/>
  <c r="R67" i="14"/>
  <c r="CB76" i="14"/>
  <c r="BT96" i="14"/>
  <c r="DE49" i="15"/>
  <c r="K96" i="14"/>
  <c r="BB82" i="14"/>
  <c r="CT83" i="14"/>
  <c r="T79" i="14"/>
  <c r="AF49" i="14"/>
  <c r="AV48" i="14"/>
  <c r="CL78" i="14"/>
  <c r="BP94" i="14"/>
  <c r="DE60" i="16"/>
  <c r="BN103" i="14"/>
  <c r="N86" i="14"/>
  <c r="O106" i="14"/>
  <c r="BX54" i="14"/>
  <c r="CC72" i="14"/>
  <c r="BH93" i="14"/>
  <c r="B96" i="15"/>
  <c r="AD94" i="14"/>
  <c r="J96" i="14"/>
  <c r="AQ82" i="14"/>
  <c r="AU87" i="14"/>
  <c r="BE55" i="14"/>
  <c r="B18" i="15"/>
  <c r="T84" i="14"/>
  <c r="CP49" i="14"/>
  <c r="T103" i="14"/>
  <c r="BD102" i="14"/>
  <c r="BQ59" i="14"/>
  <c r="AI57" i="14"/>
  <c r="CM63" i="14"/>
  <c r="C96" i="14"/>
  <c r="CK64" i="14"/>
  <c r="AJ44" i="14"/>
  <c r="CZ106" i="14"/>
  <c r="V84" i="14"/>
  <c r="BW96" i="14"/>
  <c r="CI45" i="14"/>
  <c r="BV49" i="14"/>
  <c r="BO69" i="14"/>
  <c r="BW76" i="14"/>
  <c r="BQ105" i="14"/>
  <c r="CM53" i="14"/>
  <c r="AT103" i="14"/>
  <c r="M92" i="14"/>
  <c r="CA76" i="14"/>
  <c r="CL100" i="14"/>
  <c r="BB63" i="14"/>
  <c r="BP97" i="14"/>
  <c r="Q63" i="14"/>
  <c r="X62" i="14"/>
  <c r="BF104" i="14"/>
  <c r="BW94" i="14"/>
  <c r="DC78" i="14"/>
  <c r="BQ46" i="14"/>
  <c r="BG45" i="14"/>
  <c r="X57" i="14"/>
  <c r="V79" i="14"/>
  <c r="BM53" i="14"/>
  <c r="AY66" i="14"/>
  <c r="BT92" i="14"/>
  <c r="BO60" i="14"/>
  <c r="AV92" i="14"/>
  <c r="CK74" i="14"/>
  <c r="BA103" i="14"/>
  <c r="AP63" i="14"/>
  <c r="BD93" i="14"/>
  <c r="AJ75" i="14"/>
  <c r="CX104" i="14"/>
  <c r="BO86" i="14"/>
  <c r="T75" i="14"/>
  <c r="AR92" i="14"/>
  <c r="CQ59" i="14"/>
  <c r="B112" i="15"/>
  <c r="BB34" i="14"/>
  <c r="CC78" i="14"/>
  <c r="B114" i="15"/>
  <c r="BF85" i="14"/>
  <c r="AD63" i="14"/>
  <c r="BJ85" i="14"/>
  <c r="AI62" i="14"/>
  <c r="AC49" i="14"/>
  <c r="BM76" i="14"/>
  <c r="BJ55" i="14"/>
  <c r="CF81" i="14"/>
  <c r="BG99" i="14"/>
  <c r="CL95" i="14"/>
  <c r="V44" i="14"/>
  <c r="AB97" i="14"/>
  <c r="CH66" i="14"/>
  <c r="AR87" i="14"/>
  <c r="B28" i="15"/>
  <c r="CH96" i="14"/>
  <c r="L97" i="14"/>
  <c r="CE88" i="14"/>
  <c r="BV74" i="14"/>
  <c r="BR79" i="14"/>
  <c r="CD77" i="14"/>
  <c r="M66" i="14"/>
  <c r="J104" i="14"/>
  <c r="Z86" i="14"/>
  <c r="BA44" i="14"/>
  <c r="CP48" i="14"/>
  <c r="BZ49" i="14"/>
  <c r="AF57" i="14"/>
  <c r="AT100" i="14"/>
  <c r="CS48" i="14"/>
  <c r="B36" i="16"/>
  <c r="P92" i="14"/>
  <c r="AY83" i="14"/>
  <c r="BP77" i="14"/>
  <c r="AY47" i="14"/>
  <c r="Q44" i="14"/>
  <c r="CY49" i="14"/>
  <c r="AE50" i="14"/>
  <c r="BF99" i="14"/>
  <c r="CK87" i="14"/>
  <c r="CD91" i="14"/>
  <c r="BK51" i="14"/>
  <c r="CV82" i="14"/>
  <c r="BM50" i="14"/>
  <c r="BQ95" i="14"/>
  <c r="B22" i="15"/>
  <c r="C78" i="14"/>
  <c r="R99" i="14"/>
  <c r="AZ34" i="14"/>
  <c r="B17" i="15"/>
  <c r="CU58" i="14"/>
  <c r="O51" i="14"/>
  <c r="CS86" i="14"/>
  <c r="L66" i="14"/>
  <c r="AV101" i="14"/>
  <c r="BK58" i="14"/>
  <c r="BU92" i="14"/>
  <c r="Q68" i="14"/>
  <c r="BV103" i="14"/>
  <c r="CQ76" i="14"/>
  <c r="C74" i="14"/>
  <c r="C56" i="14"/>
  <c r="H81" i="14"/>
  <c r="DE122" i="15"/>
  <c r="AW91" i="14"/>
  <c r="CK59" i="14"/>
  <c r="CI72" i="14"/>
  <c r="O103" i="14"/>
  <c r="BZ55" i="14"/>
  <c r="Y72" i="14"/>
  <c r="B66" i="15"/>
  <c r="O102" i="14"/>
  <c r="B95" i="14"/>
  <c r="J105" i="14"/>
  <c r="CH105" i="14"/>
  <c r="CU63" i="14"/>
  <c r="AV97" i="14"/>
  <c r="DE71" i="16"/>
  <c r="W58" i="14"/>
  <c r="BL95" i="14"/>
  <c r="AP74" i="14"/>
  <c r="I96" i="14"/>
  <c r="B44" i="15"/>
  <c r="CB48" i="14"/>
  <c r="Z82" i="14"/>
  <c r="AB62" i="14"/>
  <c r="K106" i="14"/>
  <c r="J73" i="14"/>
  <c r="CH100" i="14"/>
  <c r="AX67" i="14"/>
  <c r="Q45" i="14"/>
  <c r="CO84" i="14"/>
  <c r="O48" i="14"/>
  <c r="BD92" i="14"/>
  <c r="F156" i="15"/>
  <c r="Q58" i="14"/>
  <c r="DB66" i="14"/>
  <c r="AL91" i="14"/>
  <c r="AZ56" i="14"/>
  <c r="BK45" i="14"/>
  <c r="BE87" i="14"/>
  <c r="DB86" i="14"/>
  <c r="BL44" i="14"/>
  <c r="CS44" i="14"/>
  <c r="CE83" i="14"/>
  <c r="BC85" i="14"/>
  <c r="X46" i="14"/>
  <c r="BK95" i="14"/>
  <c r="CW72" i="14"/>
  <c r="AE78" i="14"/>
  <c r="R88" i="14"/>
  <c r="CB58" i="14"/>
  <c r="AI66" i="14"/>
  <c r="BS85" i="14"/>
  <c r="AY46" i="14"/>
  <c r="V76" i="14"/>
  <c r="N74" i="14"/>
  <c r="BS54" i="14"/>
  <c r="CW104" i="14"/>
  <c r="CQ66" i="14"/>
  <c r="CZ68" i="14"/>
  <c r="BT104" i="14"/>
  <c r="AS67" i="14"/>
  <c r="B113" i="15"/>
  <c r="I83" i="14"/>
  <c r="BS69" i="14"/>
  <c r="P56" i="14"/>
  <c r="DE29" i="15"/>
  <c r="BO47" i="14"/>
  <c r="AH103" i="14"/>
  <c r="AM51" i="14"/>
  <c r="Z60" i="14"/>
  <c r="BX64" i="14"/>
  <c r="P57" i="14"/>
  <c r="DE15" i="15"/>
  <c r="AZ48" i="14"/>
  <c r="S99" i="14"/>
  <c r="AM84" i="14"/>
  <c r="L51" i="14"/>
  <c r="BX44" i="14"/>
  <c r="AD53" i="14"/>
  <c r="BF100" i="14"/>
  <c r="CS46" i="14"/>
  <c r="CP79" i="14"/>
  <c r="AX102" i="14"/>
  <c r="B74" i="15"/>
  <c r="CR97" i="14"/>
  <c r="BN68" i="14"/>
  <c r="BZ73" i="14"/>
  <c r="AI50" i="14"/>
  <c r="I47" i="14"/>
  <c r="AZ105" i="14"/>
  <c r="BS59" i="14"/>
  <c r="BG57" i="14"/>
  <c r="BH56" i="14"/>
  <c r="AM57" i="14"/>
  <c r="Y86" i="14"/>
  <c r="U81" i="14"/>
  <c r="DE40" i="16"/>
  <c r="CM105" i="14"/>
  <c r="BL78" i="14"/>
  <c r="BT49" i="14"/>
  <c r="AS57" i="14"/>
  <c r="AR58" i="14"/>
  <c r="B28" i="16"/>
  <c r="CW64" i="14"/>
  <c r="DC65" i="14"/>
  <c r="BF47" i="14"/>
  <c r="R69" i="14"/>
  <c r="CF60" i="14"/>
  <c r="BZ74" i="14"/>
  <c r="DC95" i="14"/>
  <c r="AG57" i="14"/>
  <c r="CF48" i="14"/>
  <c r="CW95" i="14"/>
  <c r="K83" i="14"/>
  <c r="V66" i="14"/>
  <c r="BM34" i="14"/>
  <c r="CX83" i="14"/>
  <c r="CQ34" i="14"/>
  <c r="CU101" i="14"/>
  <c r="AV60" i="14"/>
  <c r="AR55" i="14"/>
  <c r="CB68" i="14"/>
  <c r="CD55" i="14"/>
  <c r="AQ72" i="14"/>
  <c r="AT96" i="14"/>
  <c r="BU51" i="14"/>
  <c r="AL47" i="14"/>
  <c r="AQ101" i="14"/>
  <c r="CE79" i="14"/>
  <c r="AD47" i="14"/>
  <c r="BT34" i="14"/>
  <c r="BU73" i="14"/>
  <c r="AZ94" i="14"/>
  <c r="AH99" i="14"/>
  <c r="CT55" i="14"/>
  <c r="BB102" i="14"/>
  <c r="B101" i="15"/>
  <c r="CL56" i="14"/>
  <c r="CC104" i="14"/>
  <c r="BO59" i="14"/>
  <c r="B79" i="14"/>
  <c r="CD57" i="14"/>
  <c r="AB103" i="14"/>
  <c r="B74" i="16"/>
  <c r="AM53" i="14"/>
  <c r="CB77" i="14"/>
  <c r="CJ91" i="14"/>
  <c r="CF77" i="14"/>
  <c r="AJ93" i="14"/>
  <c r="AY62" i="14"/>
  <c r="CK47" i="14"/>
  <c r="BP54" i="14"/>
  <c r="CA92" i="14"/>
  <c r="CX91" i="14"/>
  <c r="CM60" i="14"/>
  <c r="AR49" i="14"/>
  <c r="DB49" i="14"/>
  <c r="S96" i="14"/>
  <c r="CO66" i="14"/>
  <c r="B59" i="14"/>
  <c r="CU55" i="14"/>
  <c r="B95" i="15"/>
  <c r="L105" i="14"/>
  <c r="CX96" i="14"/>
  <c r="N75" i="14"/>
  <c r="CE85" i="14"/>
  <c r="AF84" i="14"/>
  <c r="M47" i="14"/>
  <c r="DE90" i="15"/>
  <c r="BC57" i="14"/>
  <c r="BS67" i="14"/>
  <c r="CH72" i="14"/>
  <c r="CZ103" i="14"/>
  <c r="BJ103" i="14"/>
  <c r="AX55" i="14"/>
  <c r="BL56" i="14"/>
  <c r="CH56" i="14"/>
  <c r="CP83" i="14"/>
  <c r="BP68" i="14"/>
  <c r="AX47" i="14"/>
  <c r="AB44" i="14"/>
  <c r="H55" i="14"/>
  <c r="BC48" i="14"/>
  <c r="AL51" i="14"/>
  <c r="CC99" i="14"/>
  <c r="BL77" i="14"/>
  <c r="BV84" i="14"/>
  <c r="BK53" i="14"/>
  <c r="B103" i="15"/>
  <c r="BB54" i="14"/>
  <c r="CS34" i="14"/>
  <c r="N87" i="14"/>
  <c r="B20" i="16"/>
  <c r="N97" i="14"/>
  <c r="Q77" i="14"/>
  <c r="CF64" i="14"/>
  <c r="AN99" i="14"/>
  <c r="BY62" i="14"/>
  <c r="CZ46" i="14"/>
  <c r="BV82" i="14"/>
  <c r="CJ47" i="14"/>
  <c r="AQ48" i="14"/>
  <c r="B49" i="14"/>
  <c r="DE58" i="15"/>
  <c r="BP92" i="14"/>
  <c r="B50" i="15"/>
  <c r="CH86" i="14"/>
  <c r="BR83" i="14"/>
  <c r="K76" i="14"/>
  <c r="N53" i="14"/>
  <c r="CC87" i="14"/>
  <c r="CQ82" i="14"/>
  <c r="BP90" i="14"/>
  <c r="CF55" i="14"/>
  <c r="CO50" i="14"/>
  <c r="BL91" i="14"/>
  <c r="CO63" i="14"/>
  <c r="BD48" i="14"/>
  <c r="CI105" i="14"/>
  <c r="AX86" i="14"/>
  <c r="W62" i="14"/>
  <c r="BG62" i="14"/>
  <c r="B56" i="15"/>
  <c r="B108" i="15"/>
  <c r="AX74" i="14"/>
  <c r="H46" i="14"/>
  <c r="Q51" i="14"/>
  <c r="AT34" i="14"/>
  <c r="M78" i="14"/>
  <c r="CD84" i="14"/>
  <c r="BK76" i="14"/>
  <c r="K120" i="15"/>
  <c r="AA78" i="14"/>
  <c r="BS46" i="14"/>
  <c r="BZ97" i="14"/>
  <c r="X85" i="14"/>
  <c r="Q50" i="14"/>
  <c r="W94" i="14"/>
  <c r="AR83" i="14"/>
  <c r="C101" i="14"/>
  <c r="V72" i="14"/>
  <c r="BV63" i="14"/>
  <c r="CJ84" i="14"/>
  <c r="BK75" i="14"/>
  <c r="CL91" i="14"/>
  <c r="BP55" i="14"/>
  <c r="R95" i="14"/>
  <c r="AR64" i="14"/>
  <c r="CE84" i="14"/>
  <c r="W68" i="14"/>
  <c r="C72" i="14"/>
  <c r="T44" i="14"/>
  <c r="BA67" i="14"/>
  <c r="BX59" i="14"/>
  <c r="B72" i="14"/>
  <c r="CI94" i="14"/>
  <c r="CK78" i="14"/>
  <c r="CA93" i="14"/>
  <c r="P50" i="14"/>
  <c r="CU90" i="14"/>
  <c r="BT65" i="14"/>
  <c r="BF102" i="14"/>
  <c r="AA58" i="14"/>
  <c r="AP106" i="14"/>
  <c r="BZ72" i="14"/>
  <c r="BB93" i="14"/>
  <c r="C73" i="14"/>
  <c r="BH46" i="14"/>
  <c r="CR49" i="14"/>
  <c r="BY44" i="14"/>
  <c r="AS50" i="14"/>
  <c r="BU67" i="14"/>
  <c r="CM64" i="14"/>
  <c r="AX46" i="14"/>
  <c r="CS90" i="14"/>
  <c r="Y46" i="14"/>
  <c r="R94" i="14"/>
  <c r="L82" i="14"/>
  <c r="BJ49" i="14"/>
  <c r="J95" i="14"/>
  <c r="AF63" i="14"/>
  <c r="BS77" i="14"/>
  <c r="BY68" i="14"/>
  <c r="AK97" i="14"/>
  <c r="CE67" i="14"/>
  <c r="C48" i="14"/>
  <c r="CX100" i="14"/>
  <c r="AL68" i="14"/>
  <c r="CV67" i="14"/>
  <c r="BW45" i="14"/>
  <c r="AE92" i="14"/>
  <c r="CG84" i="14"/>
  <c r="BG90" i="14"/>
  <c r="J75" i="14"/>
  <c r="CW88" i="14"/>
  <c r="AI67" i="14"/>
  <c r="AA50" i="14"/>
  <c r="AE47" i="14"/>
  <c r="S83" i="14"/>
  <c r="B44" i="14"/>
  <c r="L54" i="14"/>
  <c r="R82" i="14"/>
  <c r="DB56" i="14"/>
  <c r="AW81" i="14"/>
  <c r="BE92" i="14"/>
  <c r="CS82" i="14"/>
  <c r="AB92" i="14"/>
  <c r="AM94" i="14"/>
  <c r="U48" i="14"/>
  <c r="P69" i="14"/>
  <c r="T91" i="14"/>
  <c r="DB57" i="14"/>
  <c r="J120" i="16"/>
  <c r="BZ77" i="14"/>
  <c r="W59" i="14"/>
  <c r="AS44" i="14"/>
  <c r="BR57" i="14"/>
  <c r="BM49" i="14"/>
  <c r="BP64" i="14"/>
  <c r="K108" i="14"/>
  <c r="S75" i="14"/>
  <c r="CI92" i="14"/>
  <c r="AU101" i="14"/>
  <c r="AO74" i="14"/>
  <c r="CP47" i="14"/>
  <c r="AR88" i="14"/>
  <c r="R55" i="14"/>
  <c r="I45" i="14"/>
  <c r="CW106" i="14"/>
  <c r="CW100" i="14"/>
  <c r="AQ49" i="14"/>
  <c r="BZ100" i="14"/>
  <c r="P87" i="14"/>
  <c r="DE79" i="15"/>
  <c r="W60" i="14"/>
  <c r="BF62" i="14"/>
  <c r="J57" i="14"/>
  <c r="AC104" i="14"/>
  <c r="B99" i="15"/>
  <c r="AP56" i="14"/>
  <c r="BG46" i="14"/>
  <c r="CB99" i="14"/>
  <c r="AQ81" i="14"/>
  <c r="CS66" i="14"/>
  <c r="BY101" i="14"/>
  <c r="AI102" i="14"/>
  <c r="AA66" i="14"/>
  <c r="BF90" i="14"/>
  <c r="Z66" i="14"/>
  <c r="BB74" i="14"/>
  <c r="DA65" i="14"/>
  <c r="BA66" i="14"/>
  <c r="BJ93" i="14"/>
  <c r="DC49" i="14"/>
  <c r="R87" i="14"/>
  <c r="AF92" i="14"/>
  <c r="CK69" i="14"/>
  <c r="BE103" i="14"/>
  <c r="B89" i="15"/>
  <c r="CU57" i="14"/>
  <c r="CI83" i="14"/>
  <c r="CX56" i="14"/>
  <c r="CP54" i="14"/>
  <c r="BW58" i="14"/>
  <c r="BX60" i="14"/>
  <c r="BL101" i="14"/>
  <c r="AI54" i="14"/>
  <c r="BZ59" i="14"/>
  <c r="BD88" i="14"/>
  <c r="B61" i="14"/>
  <c r="BD45" i="14"/>
  <c r="BS102" i="14"/>
  <c r="BX83" i="14"/>
  <c r="CG97" i="14"/>
  <c r="BP91" i="14"/>
  <c r="AW62" i="14"/>
  <c r="CZ99" i="14"/>
  <c r="CW74" i="14"/>
  <c r="BW73" i="14"/>
  <c r="J99" i="14"/>
  <c r="BW64" i="14"/>
  <c r="AW46" i="14"/>
  <c r="AI94" i="14"/>
  <c r="AY59" i="14"/>
  <c r="CN44" i="14"/>
  <c r="CB47" i="14"/>
  <c r="AW77" i="14"/>
  <c r="BZ84" i="14"/>
  <c r="B116" i="15"/>
  <c r="V67" i="14"/>
  <c r="CW96" i="14"/>
  <c r="AZ106" i="14"/>
  <c r="Y96" i="14"/>
  <c r="AU65" i="14"/>
  <c r="BN106" i="14"/>
  <c r="CX59" i="14"/>
  <c r="AU51" i="14"/>
  <c r="AM34" i="14"/>
  <c r="AO96" i="14"/>
  <c r="CR102" i="14"/>
  <c r="CA56" i="14"/>
  <c r="K94" i="14"/>
  <c r="AJ84" i="14"/>
  <c r="CA48" i="14"/>
  <c r="AI88" i="14"/>
  <c r="AG50" i="14"/>
  <c r="Q66" i="14"/>
  <c r="AA47" i="14"/>
  <c r="W87" i="14"/>
  <c r="CI106" i="14"/>
  <c r="CV83" i="14"/>
  <c r="B79" i="16"/>
  <c r="C104" i="14"/>
  <c r="AJ97" i="14"/>
  <c r="CJ45" i="14"/>
  <c r="B118" i="15"/>
  <c r="H34" i="14"/>
  <c r="AK92" i="14"/>
  <c r="BC83" i="14"/>
  <c r="AL58" i="14"/>
  <c r="CH50" i="14"/>
  <c r="U56" i="14"/>
  <c r="R50" i="14"/>
  <c r="M93" i="14"/>
  <c r="AJ55" i="14"/>
  <c r="M82" i="14"/>
  <c r="CS77" i="14"/>
  <c r="AV58" i="14"/>
  <c r="CU84" i="14"/>
  <c r="BO57" i="14"/>
  <c r="W82" i="14"/>
  <c r="W83" i="14"/>
  <c r="CJ83" i="14"/>
  <c r="AY45" i="14"/>
  <c r="K73" i="14"/>
  <c r="CK83" i="14"/>
  <c r="CF88" i="14"/>
  <c r="BB92" i="14"/>
  <c r="BN101" i="14"/>
  <c r="P67" i="14"/>
  <c r="BY73" i="14"/>
  <c r="AU96" i="14"/>
  <c r="O53" i="14"/>
  <c r="BF57" i="14"/>
  <c r="BV92" i="14"/>
  <c r="N88" i="14"/>
  <c r="U96" i="14"/>
  <c r="O93" i="14"/>
  <c r="P59" i="14"/>
  <c r="AX56" i="14"/>
  <c r="BZ92" i="14"/>
  <c r="CD67" i="14"/>
  <c r="CW56" i="14"/>
  <c r="BL66" i="14"/>
  <c r="CK49" i="14"/>
  <c r="AG95" i="14"/>
  <c r="B80" i="15"/>
  <c r="AK67" i="14"/>
  <c r="DE28" i="16"/>
  <c r="BH49" i="14"/>
  <c r="DC46" i="14"/>
  <c r="AL60" i="14"/>
  <c r="I102" i="14"/>
  <c r="B71" i="14"/>
  <c r="CW99" i="14"/>
  <c r="CG34" i="14"/>
  <c r="S67" i="14"/>
  <c r="L96" i="14"/>
  <c r="Y94" i="14"/>
  <c r="BR88" i="14"/>
  <c r="DE31" i="15"/>
  <c r="CR106" i="14"/>
  <c r="AC106" i="14"/>
  <c r="CN87" i="14"/>
  <c r="CZ74" i="14"/>
  <c r="AN96" i="14"/>
  <c r="W34" i="14"/>
  <c r="CP90" i="14"/>
  <c r="BK101" i="14"/>
  <c r="DB96" i="14"/>
  <c r="U101" i="14"/>
  <c r="BY84" i="14"/>
  <c r="BO65" i="14"/>
  <c r="BO64" i="14"/>
  <c r="L44" i="14"/>
  <c r="B91" i="14"/>
  <c r="DB79" i="14"/>
  <c r="Z101" i="14"/>
  <c r="CT76" i="14"/>
  <c r="B65" i="14"/>
  <c r="AN101" i="14"/>
  <c r="AH57" i="14"/>
  <c r="P102" i="14"/>
  <c r="CE97" i="14"/>
  <c r="C83" i="14"/>
  <c r="DE48" i="16"/>
  <c r="CF63" i="14"/>
  <c r="CC74" i="14"/>
  <c r="BB97" i="14"/>
  <c r="AH63" i="14"/>
  <c r="H88" i="14"/>
  <c r="BQ60" i="14"/>
  <c r="CF74" i="14"/>
  <c r="CD66" i="14"/>
  <c r="DC76" i="14"/>
  <c r="N106" i="14"/>
  <c r="CU91" i="14"/>
  <c r="CV69" i="14"/>
  <c r="BH65" i="14"/>
  <c r="CS79" i="14"/>
  <c r="CE50" i="14"/>
  <c r="CB62" i="14"/>
  <c r="BF34" i="14"/>
  <c r="DC92" i="14"/>
  <c r="Q105" i="14"/>
  <c r="AV62" i="14"/>
  <c r="Q87" i="14"/>
  <c r="AB74" i="14"/>
  <c r="BN59" i="14"/>
  <c r="BI77" i="14"/>
  <c r="CJ100" i="14"/>
  <c r="BY60" i="14"/>
  <c r="CY45" i="14"/>
  <c r="BJ34" i="14"/>
  <c r="BR72" i="14"/>
  <c r="I58" i="14"/>
  <c r="R46" i="14"/>
  <c r="S103" i="14"/>
  <c r="L99" i="14"/>
  <c r="AF64" i="14"/>
  <c r="DA99" i="14"/>
  <c r="C64" i="14"/>
  <c r="BC47" i="14"/>
  <c r="B59" i="16"/>
  <c r="U105" i="14"/>
  <c r="CH104" i="14"/>
  <c r="BI74" i="14"/>
  <c r="AF59" i="14"/>
  <c r="BB68" i="14"/>
  <c r="BD50" i="14"/>
  <c r="AL48" i="14"/>
  <c r="AZ100" i="14"/>
  <c r="DB74" i="14"/>
  <c r="CS51" i="14"/>
  <c r="AY54" i="14"/>
  <c r="CV62" i="14"/>
  <c r="BF68" i="14"/>
  <c r="CP92" i="14"/>
  <c r="AA74" i="14"/>
  <c r="BG97" i="14"/>
  <c r="J20" i="14"/>
  <c r="N47" i="14"/>
  <c r="CP85" i="14"/>
  <c r="CH73" i="14"/>
  <c r="K79" i="14"/>
  <c r="AZ77" i="14"/>
  <c r="CL96" i="14"/>
  <c r="DB55" i="14"/>
  <c r="R83" i="14"/>
  <c r="CQ55" i="14"/>
  <c r="CY100" i="14"/>
  <c r="Z77" i="14"/>
  <c r="AE103" i="14"/>
  <c r="B58" i="15"/>
  <c r="AP79" i="14"/>
  <c r="CB81" i="14"/>
  <c r="AG101" i="14"/>
  <c r="AK75" i="14"/>
  <c r="CK88" i="14"/>
  <c r="DB100" i="14"/>
  <c r="BX47" i="14"/>
  <c r="CM58" i="14"/>
  <c r="AV102" i="14"/>
  <c r="AQ57" i="14"/>
  <c r="BW97" i="14"/>
  <c r="AZ83" i="14"/>
  <c r="BM99" i="14"/>
  <c r="AO53" i="14"/>
  <c r="CN73" i="14"/>
  <c r="AK45" i="14"/>
  <c r="CB104" i="14"/>
  <c r="AZ55" i="14"/>
  <c r="AH75" i="14"/>
  <c r="BE60" i="14"/>
  <c r="L86" i="14"/>
  <c r="AS77" i="14"/>
  <c r="H99" i="14"/>
  <c r="X73" i="14"/>
  <c r="AD68" i="14"/>
  <c r="AM48" i="14"/>
  <c r="AL77" i="14"/>
  <c r="AB105" i="14"/>
  <c r="BV77" i="14"/>
  <c r="CL84" i="14"/>
  <c r="X99" i="14"/>
  <c r="BR64" i="14"/>
  <c r="CK82" i="14"/>
  <c r="O62" i="14"/>
  <c r="I100" i="14"/>
  <c r="AT69" i="14"/>
  <c r="BF53" i="14"/>
  <c r="U57" i="14"/>
  <c r="CR64" i="14"/>
  <c r="Z75" i="14"/>
  <c r="AI72" i="14"/>
  <c r="CY93" i="14"/>
  <c r="BB57" i="14"/>
  <c r="BP53" i="14"/>
  <c r="CS55" i="14"/>
  <c r="AG54" i="14"/>
  <c r="AR81" i="14"/>
  <c r="AP86" i="14"/>
  <c r="CD44" i="14"/>
  <c r="AX85" i="14"/>
  <c r="CD58" i="14"/>
  <c r="AX49" i="14"/>
  <c r="BW60" i="14"/>
  <c r="CC73" i="14"/>
  <c r="BQ75" i="14"/>
  <c r="AN73" i="14"/>
  <c r="CW53" i="14"/>
  <c r="CF47" i="14"/>
  <c r="R93" i="14"/>
  <c r="AT92" i="14"/>
  <c r="T34" i="14"/>
  <c r="CV97" i="14"/>
  <c r="AL67" i="14"/>
  <c r="BW81" i="14"/>
  <c r="AR59" i="14"/>
  <c r="P34" i="14"/>
  <c r="CB53" i="14"/>
  <c r="CL79" i="14"/>
  <c r="AP45" i="14"/>
  <c r="AB76" i="14"/>
  <c r="CB73" i="14"/>
  <c r="H56" i="14"/>
  <c r="AF66" i="14"/>
  <c r="V106" i="14"/>
  <c r="CP74" i="14"/>
  <c r="AB54" i="14"/>
  <c r="B62" i="14"/>
  <c r="CI46" i="14"/>
  <c r="BX69" i="14"/>
  <c r="AK99" i="14"/>
  <c r="BS78" i="14"/>
  <c r="CC48" i="14"/>
  <c r="S78" i="14"/>
  <c r="CM68" i="14"/>
  <c r="AN48" i="14"/>
  <c r="CW93" i="14"/>
  <c r="DE84" i="16"/>
  <c r="M62" i="14"/>
  <c r="CA101" i="14"/>
  <c r="BB78" i="14"/>
  <c r="DB75" i="14"/>
  <c r="J82" i="14"/>
  <c r="AP68" i="14"/>
  <c r="I94" i="14"/>
  <c r="V88" i="14"/>
  <c r="BB67" i="14"/>
  <c r="AW90" i="14"/>
  <c r="BU81" i="14"/>
  <c r="CK34" i="14"/>
  <c r="B124" i="15"/>
  <c r="DE24" i="15"/>
  <c r="CU68" i="14"/>
  <c r="M84" i="14"/>
  <c r="K48" i="14"/>
  <c r="C62" i="14"/>
  <c r="CZ87" i="14"/>
  <c r="H59" i="14"/>
  <c r="AN55" i="14"/>
  <c r="BD72" i="14"/>
  <c r="CV73" i="14"/>
  <c r="AV51" i="14"/>
  <c r="AY105" i="14"/>
  <c r="BP79" i="14"/>
  <c r="BM46" i="14"/>
  <c r="Y100" i="14"/>
  <c r="Z49" i="14"/>
  <c r="BM81" i="14"/>
  <c r="AV96" i="14"/>
  <c r="CV59" i="14"/>
  <c r="CX72" i="14"/>
  <c r="CF84" i="14"/>
  <c r="AE84" i="14"/>
  <c r="CN66" i="14"/>
  <c r="T65" i="14"/>
  <c r="B117" i="15"/>
  <c r="BO101" i="14"/>
  <c r="BD69" i="14"/>
  <c r="AC96" i="14"/>
  <c r="CU48" i="14"/>
  <c r="BP51" i="14"/>
  <c r="AK105" i="14"/>
  <c r="AQ73" i="14"/>
  <c r="BA55" i="14"/>
  <c r="AF88" i="14"/>
  <c r="DE92" i="15"/>
  <c r="AD97" i="14"/>
  <c r="CH60" i="14"/>
  <c r="V78" i="14"/>
  <c r="I34" i="14"/>
  <c r="W74" i="14"/>
  <c r="U62" i="14"/>
  <c r="AO75" i="14"/>
  <c r="BC91" i="14"/>
  <c r="DB103" i="14"/>
  <c r="AM69" i="14"/>
  <c r="AO95" i="14"/>
  <c r="BI91" i="14"/>
  <c r="BA77" i="14"/>
  <c r="BF46" i="14"/>
  <c r="J103" i="14"/>
  <c r="R76" i="14"/>
  <c r="P104" i="14"/>
  <c r="V65" i="14"/>
  <c r="BR93" i="14"/>
  <c r="I85" i="14"/>
  <c r="CT91" i="14"/>
  <c r="BB62" i="14"/>
  <c r="CK86" i="14"/>
  <c r="BU69" i="14"/>
  <c r="BR106" i="14"/>
  <c r="AF67" i="14"/>
  <c r="BD49" i="14"/>
  <c r="AY97" i="14"/>
  <c r="BY87" i="14"/>
  <c r="BX49" i="14"/>
  <c r="BS91" i="14"/>
  <c r="AR93" i="14"/>
  <c r="B111" i="15"/>
  <c r="CQ77" i="14"/>
  <c r="DE16" i="16"/>
  <c r="AN63" i="14"/>
  <c r="AF47" i="14"/>
  <c r="DF16" i="16" l="1"/>
  <c r="BB61" i="14"/>
  <c r="U61" i="14"/>
  <c r="J79" i="19"/>
  <c r="CX71" i="14"/>
  <c r="BM80" i="14"/>
  <c r="BD71" i="14"/>
  <c r="G59" i="14"/>
  <c r="BU80" i="14"/>
  <c r="AW89" i="14"/>
  <c r="M61" i="14"/>
  <c r="DF84" i="16"/>
  <c r="AK98" i="14"/>
  <c r="G56" i="14"/>
  <c r="CB52" i="14"/>
  <c r="AL79" i="19"/>
  <c r="BW80" i="14"/>
  <c r="BB79" i="19"/>
  <c r="CW52" i="14"/>
  <c r="CD43" i="14"/>
  <c r="AR80" i="14"/>
  <c r="BP52" i="14"/>
  <c r="AI71" i="14"/>
  <c r="BF52" i="14"/>
  <c r="O61" i="14"/>
  <c r="X98" i="14"/>
  <c r="H98" i="14"/>
  <c r="G99" i="14"/>
  <c r="AO52" i="14"/>
  <c r="BM98" i="14"/>
  <c r="CB80" i="14"/>
  <c r="CV61" i="14"/>
  <c r="DA98" i="14"/>
  <c r="L98" i="14"/>
  <c r="BR71" i="14"/>
  <c r="HN79" i="19"/>
  <c r="AV61" i="14"/>
  <c r="GX79" i="19"/>
  <c r="CB61" i="14"/>
  <c r="G88" i="14"/>
  <c r="DF48" i="16"/>
  <c r="L43" i="14"/>
  <c r="CP89" i="14"/>
  <c r="BN79" i="19"/>
  <c r="LB79" i="19"/>
  <c r="CW98" i="14"/>
  <c r="DF28" i="16"/>
  <c r="O52" i="14"/>
  <c r="G34" i="14"/>
  <c r="DZ79" i="19"/>
  <c r="CN43" i="14"/>
  <c r="J98" i="14"/>
  <c r="CZ98" i="14"/>
  <c r="AW61" i="14"/>
  <c r="BF89" i="14"/>
  <c r="AQ80" i="14"/>
  <c r="CB98" i="14"/>
  <c r="BF61" i="14"/>
  <c r="AS43" i="14"/>
  <c r="J118" i="16"/>
  <c r="J117" i="16" s="1"/>
  <c r="AW80" i="14"/>
  <c r="C47" i="19"/>
  <c r="C68" i="19"/>
  <c r="C71" i="19"/>
  <c r="C29" i="19"/>
  <c r="C36" i="19"/>
  <c r="C57" i="19"/>
  <c r="C69" i="19"/>
  <c r="C74" i="19"/>
  <c r="C39" i="19"/>
  <c r="C21" i="19"/>
  <c r="C63" i="19"/>
  <c r="C56" i="19"/>
  <c r="C49" i="19"/>
  <c r="C35" i="19"/>
  <c r="C16" i="19"/>
  <c r="C70" i="19"/>
  <c r="C40" i="19"/>
  <c r="C17" i="19"/>
  <c r="C84" i="19"/>
  <c r="C20" i="19"/>
  <c r="C37" i="19"/>
  <c r="C65" i="19"/>
  <c r="C75" i="19"/>
  <c r="C33" i="19"/>
  <c r="C73" i="19"/>
  <c r="C18" i="19"/>
  <c r="C38" i="19"/>
  <c r="C44" i="19"/>
  <c r="C87" i="19"/>
  <c r="C32" i="19"/>
  <c r="C53" i="19"/>
  <c r="C52" i="19"/>
  <c r="C25" i="19"/>
  <c r="C72" i="19"/>
  <c r="C76" i="19"/>
  <c r="C64" i="19"/>
  <c r="C45" i="19"/>
  <c r="C54" i="19"/>
  <c r="C24" i="19"/>
  <c r="C86" i="19"/>
  <c r="C23" i="19"/>
  <c r="C85" i="19"/>
  <c r="C27" i="19"/>
  <c r="C67" i="19"/>
  <c r="C43" i="19"/>
  <c r="C82" i="19"/>
  <c r="C34" i="19"/>
  <c r="C51" i="19"/>
  <c r="C42" i="19"/>
  <c r="C60" i="19"/>
  <c r="C22" i="19"/>
  <c r="C59" i="19"/>
  <c r="C46" i="19"/>
  <c r="C28" i="19"/>
  <c r="C19" i="19"/>
  <c r="C30" i="19"/>
  <c r="C58" i="19"/>
  <c r="C48" i="19"/>
  <c r="C61" i="19"/>
  <c r="C77" i="19"/>
  <c r="C50" i="19"/>
  <c r="C66" i="19"/>
  <c r="C83" i="19"/>
  <c r="C55" i="19"/>
  <c r="C26" i="19"/>
  <c r="C41" i="19"/>
  <c r="BG89" i="14"/>
  <c r="CS89" i="14"/>
  <c r="BY43" i="14"/>
  <c r="BZ71" i="14"/>
  <c r="CU89" i="14"/>
  <c r="T43" i="14"/>
  <c r="V71" i="14"/>
  <c r="K118" i="15"/>
  <c r="K117" i="15" s="1"/>
  <c r="K134" i="15" s="1"/>
  <c r="FB79" i="19"/>
  <c r="G46" i="14"/>
  <c r="BG61" i="14"/>
  <c r="W61" i="14"/>
  <c r="BP89" i="14"/>
  <c r="N52" i="14"/>
  <c r="BY61" i="14"/>
  <c r="AN98" i="14"/>
  <c r="BK52" i="14"/>
  <c r="CC98" i="14"/>
  <c r="G55" i="14"/>
  <c r="AB43" i="14"/>
  <c r="CH71" i="14"/>
  <c r="AY61" i="14"/>
  <c r="AM52" i="14"/>
  <c r="AH98" i="14"/>
  <c r="JB79" i="19"/>
  <c r="AQ71" i="14"/>
  <c r="HZ79" i="19"/>
  <c r="DF40" i="16"/>
  <c r="U80" i="14"/>
  <c r="AD52" i="14"/>
  <c r="BX43" i="14"/>
  <c r="S98" i="14"/>
  <c r="CW71" i="14"/>
  <c r="CS43" i="14"/>
  <c r="BL43" i="14"/>
  <c r="AB61" i="14"/>
  <c r="DF71" i="16"/>
  <c r="Y71" i="14"/>
  <c r="CI71" i="14"/>
  <c r="H80" i="14"/>
  <c r="G81" i="14"/>
  <c r="FZ79" i="19"/>
  <c r="R98" i="14"/>
  <c r="BF98" i="14"/>
  <c r="Q43" i="14"/>
  <c r="BA43" i="14"/>
  <c r="V43" i="14"/>
  <c r="BG98" i="14"/>
  <c r="CF80" i="14"/>
  <c r="AI61" i="14"/>
  <c r="GH79" i="19"/>
  <c r="BM52" i="14"/>
  <c r="X61" i="14"/>
  <c r="CM52" i="14"/>
  <c r="AJ43" i="14"/>
  <c r="CC71" i="14"/>
  <c r="DF60" i="16"/>
  <c r="AM61" i="14"/>
  <c r="CB89" i="14"/>
  <c r="LF79" i="19"/>
  <c r="BU98" i="14"/>
  <c r="BB43" i="14"/>
  <c r="BD61" i="14"/>
  <c r="DF52" i="16"/>
  <c r="DF61" i="16"/>
  <c r="CE43" i="14"/>
  <c r="S71" i="14"/>
  <c r="CT89" i="14"/>
  <c r="CP79" i="19"/>
  <c r="EP79" i="19"/>
  <c r="AC43" i="14"/>
  <c r="BC98" i="14"/>
  <c r="DB89" i="14"/>
  <c r="CG43" i="14"/>
  <c r="BL71" i="14"/>
  <c r="AP52" i="14"/>
  <c r="J118" i="15"/>
  <c r="J117" i="15" s="1"/>
  <c r="J134" i="15" s="1"/>
  <c r="BJ89" i="14"/>
  <c r="BV80" i="14"/>
  <c r="DC98" i="14"/>
  <c r="JZ79" i="19"/>
  <c r="AT79" i="19"/>
  <c r="AU52" i="14"/>
  <c r="CA71" i="14"/>
  <c r="DR79" i="19"/>
  <c r="CP71" i="14"/>
  <c r="BQ43" i="14"/>
  <c r="CT61" i="14"/>
  <c r="AX79" i="19"/>
  <c r="P43" i="14"/>
  <c r="DB71" i="14"/>
  <c r="DB70" i="14" s="1"/>
  <c r="M98" i="14"/>
  <c r="BC80" i="14"/>
  <c r="DF47" i="16"/>
  <c r="BS89" i="14"/>
  <c r="AL89" i="14"/>
  <c r="CU61" i="14"/>
  <c r="M80" i="14"/>
  <c r="CR61" i="14"/>
  <c r="FN79" i="19"/>
  <c r="CL71" i="14"/>
  <c r="AM80" i="14"/>
  <c r="S43" i="14"/>
  <c r="BZ52" i="14"/>
  <c r="AN61" i="14"/>
  <c r="BF43" i="14"/>
  <c r="BF42" i="14" s="1"/>
  <c r="AI89" i="14"/>
  <c r="DF41" i="16"/>
  <c r="AH43" i="14"/>
  <c r="CE71" i="14"/>
  <c r="AX43" i="14"/>
  <c r="AJ61" i="14"/>
  <c r="AZ71" i="14"/>
  <c r="CK43" i="14"/>
  <c r="BI80" i="14"/>
  <c r="CH61" i="14"/>
  <c r="BW98" i="14"/>
  <c r="BU89" i="14"/>
  <c r="G97" i="14"/>
  <c r="L52" i="14"/>
  <c r="AC71" i="14"/>
  <c r="AM43" i="14"/>
  <c r="AM42" i="14" s="1"/>
  <c r="DF30" i="16"/>
  <c r="N98" i="14"/>
  <c r="HR79" i="19"/>
  <c r="CI98" i="14"/>
  <c r="J80" i="14"/>
  <c r="Q80" i="14"/>
  <c r="BQ80" i="14"/>
  <c r="U89" i="14"/>
  <c r="AS52" i="14"/>
  <c r="K71" i="14"/>
  <c r="AV80" i="14"/>
  <c r="CA80" i="14"/>
  <c r="AT43" i="14"/>
  <c r="DB79" i="19"/>
  <c r="Q61" i="14"/>
  <c r="CH79" i="19"/>
  <c r="AL98" i="14"/>
  <c r="HF79" i="19"/>
  <c r="M43" i="14"/>
  <c r="BO71" i="14"/>
  <c r="K118" i="16"/>
  <c r="K117" i="16" s="1"/>
  <c r="AK80" i="14"/>
  <c r="L118" i="16"/>
  <c r="L117" i="16" s="1"/>
  <c r="AA71" i="14"/>
  <c r="CY80" i="14"/>
  <c r="G87" i="14"/>
  <c r="AM71" i="14"/>
  <c r="BI43" i="14"/>
  <c r="DF74" i="16"/>
  <c r="AE98" i="14"/>
  <c r="FV79" i="19"/>
  <c r="AJ98" i="14"/>
  <c r="CZ61" i="14"/>
  <c r="DF34" i="16"/>
  <c r="BW89" i="14"/>
  <c r="BR52" i="14"/>
  <c r="CG98" i="14"/>
  <c r="W71" i="14"/>
  <c r="AU61" i="14"/>
  <c r="CW89" i="14"/>
  <c r="BU52" i="14"/>
  <c r="CV52" i="14"/>
  <c r="BT61" i="14"/>
  <c r="BM89" i="14"/>
  <c r="Z98" i="14"/>
  <c r="BY89" i="14"/>
  <c r="W43" i="14"/>
  <c r="BE71" i="14"/>
  <c r="DF50" i="16"/>
  <c r="CI89" i="14"/>
  <c r="CQ80" i="14"/>
  <c r="CD80" i="14"/>
  <c r="DF23" i="16"/>
  <c r="M52" i="14"/>
  <c r="BI98" i="14"/>
  <c r="AL61" i="14"/>
  <c r="AH80" i="14"/>
  <c r="BY80" i="14"/>
  <c r="BO52" i="14"/>
  <c r="FJ79" i="19"/>
  <c r="JJ79" i="19"/>
  <c r="BX52" i="14"/>
  <c r="DB80" i="14"/>
  <c r="K89" i="14"/>
  <c r="AT98" i="14"/>
  <c r="AT89" i="14"/>
  <c r="CH98" i="14"/>
  <c r="CL98" i="14"/>
  <c r="AS71" i="14"/>
  <c r="T71" i="14"/>
  <c r="Q71" i="14"/>
  <c r="AD80" i="14"/>
  <c r="CW43" i="14"/>
  <c r="DF81" i="16"/>
  <c r="DF86" i="16"/>
  <c r="AR98" i="14"/>
  <c r="CO98" i="14"/>
  <c r="Y80" i="14"/>
  <c r="AT52" i="14"/>
  <c r="AK89" i="14"/>
  <c r="S89" i="14"/>
  <c r="G48" i="14"/>
  <c r="P98" i="14"/>
  <c r="AP98" i="14"/>
  <c r="AP79" i="19"/>
  <c r="BH98" i="14"/>
  <c r="BZ89" i="14"/>
  <c r="AG52" i="14"/>
  <c r="S80" i="14"/>
  <c r="DF37" i="16"/>
  <c r="DF42" i="16"/>
  <c r="DC43" i="14"/>
  <c r="GD79" i="19"/>
  <c r="DF73" i="16"/>
  <c r="BB89" i="14"/>
  <c r="BB71" i="14"/>
  <c r="BA71" i="14"/>
  <c r="AG80" i="14"/>
  <c r="DF31" i="16"/>
  <c r="G76" i="14"/>
  <c r="AV52" i="14"/>
  <c r="FF79" i="19"/>
  <c r="BW71" i="14"/>
  <c r="CK71" i="14"/>
  <c r="Q52" i="14"/>
  <c r="U52" i="14"/>
  <c r="CA89" i="14"/>
  <c r="DF35" i="16"/>
  <c r="AF98" i="14"/>
  <c r="CK52" i="14"/>
  <c r="AQ89" i="14"/>
  <c r="AA52" i="14"/>
  <c r="CO61" i="14"/>
  <c r="AE61" i="14"/>
  <c r="AF61" i="14"/>
  <c r="ID79" i="19"/>
  <c r="T61" i="14"/>
  <c r="AR52" i="14"/>
  <c r="G86" i="14"/>
  <c r="BD52" i="14"/>
  <c r="BC52" i="14"/>
  <c r="AB98" i="14"/>
  <c r="BX80" i="14"/>
  <c r="BJ43" i="14"/>
  <c r="G100" i="14"/>
  <c r="N80" i="14"/>
  <c r="AJ52" i="14"/>
  <c r="DF65" i="16"/>
  <c r="BE61" i="14"/>
  <c r="G77" i="14"/>
  <c r="BR89" i="14"/>
  <c r="KX79" i="19"/>
  <c r="J71" i="14"/>
  <c r="BX71" i="14"/>
  <c r="Z89" i="14"/>
  <c r="CL61" i="14"/>
  <c r="CT79" i="19"/>
  <c r="AH61" i="14"/>
  <c r="AI98" i="14"/>
  <c r="CX89" i="14"/>
  <c r="X80" i="14"/>
  <c r="Z71" i="14"/>
  <c r="AD43" i="14"/>
  <c r="AA43" i="14"/>
  <c r="G69" i="14"/>
  <c r="AZ80" i="14"/>
  <c r="AX98" i="14"/>
  <c r="V80" i="14"/>
  <c r="DF14" i="16"/>
  <c r="CE98" i="14"/>
  <c r="BK43" i="14"/>
  <c r="DA43" i="14"/>
  <c r="BE43" i="14"/>
  <c r="BU71" i="14"/>
  <c r="BU70" i="14" s="1"/>
  <c r="AH52" i="14"/>
  <c r="BN89" i="14"/>
  <c r="AQ43" i="14"/>
  <c r="CF89" i="14"/>
  <c r="AN43" i="14"/>
  <c r="N79" i="19"/>
  <c r="CG71" i="14"/>
  <c r="BD80" i="14"/>
  <c r="BV61" i="14"/>
  <c r="AQ98" i="14"/>
  <c r="CT71" i="14"/>
  <c r="AD79" i="19"/>
  <c r="BZ79" i="19"/>
  <c r="J52" i="14"/>
  <c r="AK61" i="14"/>
  <c r="HB79" i="19"/>
  <c r="BJ98" i="14"/>
  <c r="CP98" i="14"/>
  <c r="L61" i="14"/>
  <c r="BQ71" i="14"/>
  <c r="AS98" i="14"/>
  <c r="P52" i="14"/>
  <c r="JV79" i="19"/>
  <c r="FR79" i="19"/>
  <c r="G66" i="14"/>
  <c r="J43" i="14"/>
  <c r="AF52" i="14"/>
  <c r="CP80" i="14"/>
  <c r="R61" i="14"/>
  <c r="BS52" i="14"/>
  <c r="AH71" i="14"/>
  <c r="CP43" i="14"/>
  <c r="AU80" i="14"/>
  <c r="BO89" i="14"/>
  <c r="CA52" i="14"/>
  <c r="CG89" i="14"/>
  <c r="G104" i="14"/>
  <c r="CY89" i="14"/>
  <c r="BE52" i="14"/>
  <c r="AH79" i="19"/>
  <c r="KD79" i="19"/>
  <c r="AQ52" i="14"/>
  <c r="CG80" i="14"/>
  <c r="CV43" i="14"/>
  <c r="CV42" i="14" s="1"/>
  <c r="BH43" i="14"/>
  <c r="BT43" i="14"/>
  <c r="CM98" i="14"/>
  <c r="I98" i="14"/>
  <c r="BM43" i="14"/>
  <c r="BI89" i="14"/>
  <c r="CI80" i="14"/>
  <c r="BQ89" i="14"/>
  <c r="AS89" i="14"/>
  <c r="DF59" i="16"/>
  <c r="BQ52" i="14"/>
  <c r="JF79" i="19"/>
  <c r="EP83" i="19"/>
  <c r="JZ82" i="19"/>
  <c r="ED86" i="19"/>
  <c r="KH82" i="19"/>
  <c r="JF86" i="19"/>
  <c r="EL87" i="19"/>
  <c r="ET86" i="19"/>
  <c r="GL86" i="19"/>
  <c r="DJ84" i="19"/>
  <c r="DV87" i="19"/>
  <c r="GX83" i="19"/>
  <c r="BN86" i="19"/>
  <c r="HV82" i="19"/>
  <c r="FN84" i="19"/>
  <c r="V87" i="19"/>
  <c r="FR85" i="19"/>
  <c r="ID83" i="19"/>
  <c r="HN85" i="19"/>
  <c r="J83" i="19"/>
  <c r="HZ87" i="19"/>
  <c r="CP82" i="19"/>
  <c r="ID86" i="19"/>
  <c r="HV83" i="19"/>
  <c r="HN84" i="19"/>
  <c r="BJ86" i="19"/>
  <c r="KT83" i="19"/>
  <c r="CP86" i="19"/>
  <c r="AL86" i="19"/>
  <c r="F82" i="19"/>
  <c r="EX82" i="19"/>
  <c r="KX84" i="19"/>
  <c r="GX84" i="19"/>
  <c r="KT82" i="19"/>
  <c r="DF85" i="19"/>
  <c r="ED87" i="19"/>
  <c r="FB85" i="19"/>
  <c r="EP82" i="19"/>
  <c r="CL86" i="19"/>
  <c r="DR87" i="19"/>
  <c r="KP86" i="19"/>
  <c r="CH84" i="19"/>
  <c r="JV84" i="19"/>
  <c r="GX85" i="19"/>
  <c r="GX82" i="19"/>
  <c r="DF87" i="19"/>
  <c r="DJ83" i="19"/>
  <c r="KL85" i="19"/>
  <c r="CP83" i="19"/>
  <c r="IT85" i="19"/>
  <c r="KD84" i="19"/>
  <c r="AX86" i="19"/>
  <c r="JN83" i="19"/>
  <c r="BZ87" i="19"/>
  <c r="HR83" i="19"/>
  <c r="JZ84" i="19"/>
  <c r="GH82" i="19"/>
  <c r="FB82" i="19"/>
  <c r="FZ86" i="19"/>
  <c r="DN86" i="19"/>
  <c r="DJ85" i="19"/>
  <c r="FJ83" i="19"/>
  <c r="JZ86" i="19"/>
  <c r="JF87" i="19"/>
  <c r="N86" i="19"/>
  <c r="IX85" i="19"/>
  <c r="LJ84" i="19"/>
  <c r="IP84" i="19"/>
  <c r="J84" i="19"/>
  <c r="J86" i="19"/>
  <c r="BR84" i="19"/>
  <c r="GT87" i="19"/>
  <c r="CD85" i="19"/>
  <c r="FJ82" i="19"/>
  <c r="AD82" i="19"/>
  <c r="DF83" i="19"/>
  <c r="KX87" i="19"/>
  <c r="CD86" i="19"/>
  <c r="BR85" i="19"/>
  <c r="HB86" i="19"/>
  <c r="IP82" i="19"/>
  <c r="HN82" i="19"/>
  <c r="HV86" i="19"/>
  <c r="BF85" i="19"/>
  <c r="KX83" i="19"/>
  <c r="GH83" i="19"/>
  <c r="BJ84" i="19"/>
  <c r="DN85" i="19"/>
  <c r="LJ87" i="19"/>
  <c r="EL83" i="19"/>
  <c r="HJ86" i="19"/>
  <c r="JV86" i="19"/>
  <c r="EP86" i="19"/>
  <c r="AH86" i="19"/>
  <c r="LF83" i="19"/>
  <c r="GD87" i="19"/>
  <c r="BF86" i="19"/>
  <c r="N82" i="19"/>
  <c r="AL82" i="19"/>
  <c r="LF84" i="19"/>
  <c r="IH82" i="19"/>
  <c r="CH87" i="19"/>
  <c r="GP85" i="19"/>
  <c r="V84" i="19"/>
  <c r="AH85" i="19"/>
  <c r="BJ87" i="19"/>
  <c r="HR85" i="19"/>
  <c r="AT86" i="19"/>
  <c r="JF85" i="19"/>
  <c r="R82" i="19"/>
  <c r="AP84" i="19"/>
  <c r="JB86" i="19"/>
  <c r="IX86" i="19"/>
  <c r="FN82" i="19"/>
  <c r="JZ87" i="19"/>
  <c r="CP85" i="19"/>
  <c r="EP84" i="19"/>
  <c r="DZ85" i="19"/>
  <c r="IP87" i="19"/>
  <c r="JJ84" i="19"/>
  <c r="JZ85" i="19"/>
  <c r="GL84" i="19"/>
  <c r="HJ82" i="19"/>
  <c r="ID84" i="19"/>
  <c r="IX87" i="19"/>
  <c r="N83" i="19"/>
  <c r="ET84" i="19"/>
  <c r="ED84" i="19"/>
  <c r="GH85" i="19"/>
  <c r="BZ85" i="19"/>
  <c r="HB82" i="19"/>
  <c r="FB87" i="19"/>
  <c r="GT84" i="19"/>
  <c r="JR82" i="19"/>
  <c r="IH86" i="19"/>
  <c r="KD87" i="19"/>
  <c r="KL86" i="19"/>
  <c r="DR82" i="19"/>
  <c r="FV82" i="19"/>
  <c r="HR87" i="19"/>
  <c r="KT87" i="19"/>
  <c r="JZ83" i="19"/>
  <c r="IL86" i="19"/>
  <c r="GD82" i="19"/>
  <c r="GD83" i="19"/>
  <c r="EP87" i="19"/>
  <c r="FB84" i="19"/>
  <c r="GT83" i="19"/>
  <c r="Z84" i="19"/>
  <c r="FR84" i="19"/>
  <c r="BF82" i="19"/>
  <c r="CX85" i="19"/>
  <c r="JV87" i="19"/>
  <c r="IH87" i="19"/>
  <c r="ED83" i="19"/>
  <c r="DR85" i="19"/>
  <c r="FR83" i="19"/>
  <c r="GL82" i="19"/>
  <c r="F85" i="19"/>
  <c r="FR87" i="19"/>
  <c r="EH85" i="19"/>
  <c r="FB83" i="19"/>
  <c r="KP85" i="19"/>
  <c r="EX87" i="19"/>
  <c r="HZ82" i="19"/>
  <c r="LJ82" i="19"/>
  <c r="BN87" i="19"/>
  <c r="FJ87" i="19"/>
  <c r="GD84" i="19"/>
  <c r="R85" i="19"/>
  <c r="GX86" i="19"/>
  <c r="GL83" i="19"/>
  <c r="DZ84" i="19"/>
  <c r="JR83" i="19"/>
  <c r="DN87" i="19"/>
  <c r="JR87" i="19"/>
  <c r="AD87" i="19"/>
  <c r="DB85" i="19"/>
  <c r="JF82" i="19"/>
  <c r="KD83" i="19"/>
  <c r="ED85" i="19"/>
  <c r="CH86" i="19"/>
  <c r="HB83" i="19"/>
  <c r="DR83" i="19"/>
  <c r="BV82" i="19"/>
  <c r="AX84" i="19"/>
  <c r="KL84" i="19"/>
  <c r="HF84" i="19"/>
  <c r="DF82" i="19"/>
  <c r="V83" i="19"/>
  <c r="AP82" i="19"/>
  <c r="EH87" i="19"/>
  <c r="FR86" i="19"/>
  <c r="HR82" i="19"/>
  <c r="ET82" i="19"/>
  <c r="CX83" i="19"/>
  <c r="AL85" i="19"/>
  <c r="BN85" i="19"/>
  <c r="JB85" i="19"/>
  <c r="HJ84" i="19"/>
  <c r="GP87" i="19"/>
  <c r="Z86" i="19"/>
  <c r="AD85" i="19"/>
  <c r="FZ85" i="19"/>
  <c r="IT86" i="19"/>
  <c r="KL83" i="19"/>
  <c r="KH84" i="19"/>
  <c r="CD84" i="19"/>
  <c r="EL86" i="19"/>
  <c r="CX84" i="19"/>
  <c r="GH86" i="19"/>
  <c r="JB83" i="19"/>
  <c r="CP84" i="19"/>
  <c r="FV87" i="19"/>
  <c r="ID85" i="19"/>
  <c r="EH83" i="19"/>
  <c r="IH83" i="19"/>
  <c r="DB86" i="19"/>
  <c r="JN84" i="19"/>
  <c r="BV87" i="19"/>
  <c r="HF82" i="19"/>
  <c r="EL82" i="19"/>
  <c r="AT87" i="19"/>
  <c r="CX86" i="19"/>
  <c r="GL85" i="19"/>
  <c r="JR84" i="19"/>
  <c r="HR86" i="19"/>
  <c r="AD86" i="19"/>
  <c r="AT84" i="19"/>
  <c r="FF85" i="19"/>
  <c r="N84" i="19"/>
  <c r="EX83" i="19"/>
  <c r="LJ86" i="19"/>
  <c r="GT85" i="19"/>
  <c r="ET87" i="19"/>
  <c r="FZ84" i="19"/>
  <c r="FZ83" i="19"/>
  <c r="JN82" i="19"/>
  <c r="GP83" i="19"/>
  <c r="LB82" i="19"/>
  <c r="LB87" i="19"/>
  <c r="GP82" i="19"/>
  <c r="CT82" i="19"/>
  <c r="KP87" i="19"/>
  <c r="JR85" i="19"/>
  <c r="FF84" i="19"/>
  <c r="AH84" i="19"/>
  <c r="KH86" i="19"/>
  <c r="FN85" i="19"/>
  <c r="FN86" i="19"/>
  <c r="FF86" i="19"/>
  <c r="KP83" i="19"/>
  <c r="ED82" i="19"/>
  <c r="N87" i="19"/>
  <c r="DV84" i="19"/>
  <c r="JN87" i="19"/>
  <c r="KT85" i="19"/>
  <c r="BB85" i="19"/>
  <c r="CT86" i="19"/>
  <c r="IX82" i="19"/>
  <c r="EH86" i="19"/>
  <c r="CH82" i="19"/>
  <c r="JB84" i="19"/>
  <c r="KH87" i="19"/>
  <c r="R86" i="19"/>
  <c r="IT87" i="19"/>
  <c r="AT85" i="19"/>
  <c r="CX82" i="19"/>
  <c r="DN83" i="19"/>
  <c r="AD84" i="19"/>
  <c r="EX84" i="19"/>
  <c r="DJ86" i="19"/>
  <c r="FJ86" i="19"/>
  <c r="IT84" i="19"/>
  <c r="J87" i="19"/>
  <c r="BB86" i="19"/>
  <c r="DB87" i="19"/>
  <c r="AX87" i="19"/>
  <c r="AH87" i="19"/>
  <c r="CT83" i="19"/>
  <c r="KL82" i="19"/>
  <c r="EH82" i="19"/>
  <c r="JJ82" i="19"/>
  <c r="FR82" i="19"/>
  <c r="IH85" i="19"/>
  <c r="FZ87" i="19"/>
  <c r="FJ84" i="19"/>
  <c r="LF87" i="19"/>
  <c r="CD87" i="19"/>
  <c r="DZ82" i="19"/>
  <c r="KP82" i="19"/>
  <c r="HN87" i="19"/>
  <c r="DZ86" i="19"/>
  <c r="IH84" i="19"/>
  <c r="IL85" i="19"/>
  <c r="CD82" i="19"/>
  <c r="Z85" i="19"/>
  <c r="CX87" i="19"/>
  <c r="KD82" i="19"/>
  <c r="JJ83" i="19"/>
  <c r="DV82" i="19"/>
  <c r="IT82" i="19"/>
  <c r="BJ85" i="19"/>
  <c r="HJ85" i="19"/>
  <c r="FF83" i="19"/>
  <c r="HJ87" i="19"/>
  <c r="FV86" i="19"/>
  <c r="EP85" i="19"/>
  <c r="IL82" i="19"/>
  <c r="BV86" i="19"/>
  <c r="DB83" i="19"/>
  <c r="EX86" i="19"/>
  <c r="CL83" i="19"/>
  <c r="CL87" i="19"/>
  <c r="DJ82" i="19"/>
  <c r="R87" i="19"/>
  <c r="CL85" i="19"/>
  <c r="DF86" i="19"/>
  <c r="KD86" i="19"/>
  <c r="Z87" i="19"/>
  <c r="DF84" i="19"/>
  <c r="GH84" i="19"/>
  <c r="DN82" i="19"/>
  <c r="HF87" i="19"/>
  <c r="Z82" i="19"/>
  <c r="HF85" i="19"/>
  <c r="HZ86" i="19"/>
  <c r="BB87" i="19"/>
  <c r="BR86" i="19"/>
  <c r="GP86" i="19"/>
  <c r="HV84" i="19"/>
  <c r="EL85" i="19"/>
  <c r="IL83" i="19"/>
  <c r="JF83" i="19"/>
  <c r="DR86" i="19"/>
  <c r="CT87" i="19"/>
  <c r="LF86" i="19"/>
  <c r="IP83" i="19"/>
  <c r="FN87" i="19"/>
  <c r="BF87" i="19"/>
  <c r="LB86" i="19"/>
  <c r="ET85" i="19"/>
  <c r="HZ84" i="19"/>
  <c r="CH85" i="19"/>
  <c r="BR87" i="19"/>
  <c r="DZ87" i="19"/>
  <c r="GD85" i="19"/>
  <c r="BV85" i="19"/>
  <c r="KX85" i="19"/>
  <c r="JJ86" i="19"/>
  <c r="KP84" i="19"/>
  <c r="F86" i="19"/>
  <c r="AX85" i="19"/>
  <c r="DJ87" i="19"/>
  <c r="HV85" i="19"/>
  <c r="AL87" i="19"/>
  <c r="KH85" i="19"/>
  <c r="DV85" i="19"/>
  <c r="BJ82" i="19"/>
  <c r="BZ86" i="19"/>
  <c r="FV84" i="19"/>
  <c r="AT82" i="19"/>
  <c r="IL87" i="19"/>
  <c r="ID82" i="19"/>
  <c r="HN83" i="19"/>
  <c r="BZ84" i="19"/>
  <c r="LB84" i="19"/>
  <c r="CT85" i="19"/>
  <c r="KT86" i="19"/>
  <c r="KX82" i="19"/>
  <c r="F84" i="19"/>
  <c r="DV83" i="19"/>
  <c r="JJ85" i="19"/>
  <c r="GL87" i="19"/>
  <c r="BB84" i="19"/>
  <c r="J85" i="19"/>
  <c r="BF84" i="19"/>
  <c r="IP86" i="19"/>
  <c r="V86" i="19"/>
  <c r="JB82" i="19"/>
  <c r="LJ85" i="19"/>
  <c r="BZ82" i="19"/>
  <c r="BR82" i="19"/>
  <c r="F87" i="19"/>
  <c r="FV85" i="19"/>
  <c r="JV82" i="19"/>
  <c r="FJ85" i="19"/>
  <c r="HZ83" i="19"/>
  <c r="R83" i="19"/>
  <c r="BV84" i="19"/>
  <c r="LB85" i="19"/>
  <c r="FF82" i="19"/>
  <c r="CL82" i="19"/>
  <c r="R84" i="19"/>
  <c r="J82" i="19"/>
  <c r="JN86" i="19"/>
  <c r="IX84" i="19"/>
  <c r="AP87" i="19"/>
  <c r="V82" i="19"/>
  <c r="DB82" i="19"/>
  <c r="AP86" i="19"/>
  <c r="JV85" i="19"/>
  <c r="F83" i="19"/>
  <c r="HB87" i="19"/>
  <c r="JN85" i="19"/>
  <c r="GT82" i="19"/>
  <c r="HF83" i="19"/>
  <c r="JJ87" i="19"/>
  <c r="HB85" i="19"/>
  <c r="N85" i="19"/>
  <c r="LF82" i="19"/>
  <c r="JB87" i="19"/>
  <c r="BN82" i="19"/>
  <c r="AX82" i="19"/>
  <c r="BC71" i="14"/>
  <c r="CY43" i="14"/>
  <c r="AK52" i="14"/>
  <c r="AZ52" i="14"/>
  <c r="CF71" i="14"/>
  <c r="CF70" i="14" s="1"/>
  <c r="AZ98" i="14"/>
  <c r="CX52" i="14"/>
  <c r="Y52" i="14"/>
  <c r="GL79" i="19"/>
  <c r="CJ43" i="14"/>
  <c r="CB43" i="14"/>
  <c r="CB42" i="14" s="1"/>
  <c r="IX79" i="19"/>
  <c r="KH79" i="19"/>
  <c r="AT80" i="14"/>
  <c r="IT79" i="19"/>
  <c r="BI61" i="14"/>
  <c r="Y98" i="14"/>
  <c r="G47" i="14"/>
  <c r="CX80" i="14"/>
  <c r="CN61" i="14"/>
  <c r="CD61" i="14"/>
  <c r="AN52" i="14"/>
  <c r="N89" i="14"/>
  <c r="BA61" i="14"/>
  <c r="BU61" i="14"/>
  <c r="Z61" i="14"/>
  <c r="BN71" i="14"/>
  <c r="BJ79" i="19"/>
  <c r="CV80" i="14"/>
  <c r="AP43" i="14"/>
  <c r="CJ61" i="14"/>
  <c r="CY52" i="14"/>
  <c r="BF79" i="19"/>
  <c r="BW43" i="14"/>
  <c r="DF29" i="16"/>
  <c r="CJ80" i="14"/>
  <c r="S52" i="14"/>
  <c r="CX61" i="14"/>
  <c r="CX98" i="14"/>
  <c r="K43" i="14"/>
  <c r="BD43" i="14"/>
  <c r="BD42" i="14" s="1"/>
  <c r="BS43" i="14"/>
  <c r="BH52" i="14"/>
  <c r="AS80" i="14"/>
  <c r="CR43" i="14"/>
  <c r="BJ61" i="14"/>
  <c r="G91" i="14"/>
  <c r="AO61" i="14"/>
  <c r="BH80" i="14"/>
  <c r="L118" i="15"/>
  <c r="L117" i="15" s="1"/>
  <c r="L134" i="15" s="1"/>
  <c r="AC52" i="14"/>
  <c r="J89" i="14"/>
  <c r="DJ79" i="19"/>
  <c r="DF79" i="16"/>
  <c r="G105" i="14"/>
  <c r="CD98" i="14"/>
  <c r="AG98" i="14"/>
  <c r="AA89" i="14"/>
  <c r="AD71" i="14"/>
  <c r="BJ52" i="14"/>
  <c r="DF64" i="16"/>
  <c r="CA98" i="14"/>
  <c r="CM89" i="14"/>
  <c r="BP43" i="14"/>
  <c r="CS98" i="14"/>
  <c r="AY43" i="14"/>
  <c r="R89" i="14"/>
  <c r="CL89" i="14"/>
  <c r="CD89" i="14"/>
  <c r="AO43" i="14"/>
  <c r="Y61" i="14"/>
  <c r="BP80" i="14"/>
  <c r="AY52" i="14"/>
  <c r="BD89" i="14"/>
  <c r="CY71" i="14"/>
  <c r="CA61" i="14"/>
  <c r="M89" i="14"/>
  <c r="DF75" i="16"/>
  <c r="AC80" i="14"/>
  <c r="DF69" i="16"/>
  <c r="DF46" i="16"/>
  <c r="DC61" i="14"/>
  <c r="CZ71" i="14"/>
  <c r="Z52" i="14"/>
  <c r="CE80" i="14"/>
  <c r="U43" i="14"/>
  <c r="U42" i="14" s="1"/>
  <c r="AB52" i="14"/>
  <c r="BN52" i="14"/>
  <c r="BA89" i="14"/>
  <c r="W98" i="14"/>
  <c r="CB71" i="14"/>
  <c r="CB70" i="14" s="1"/>
  <c r="CB41" i="14" s="1"/>
  <c r="KH83" i="19" s="1"/>
  <c r="DF17" i="16"/>
  <c r="CW61" i="14"/>
  <c r="V52" i="14"/>
  <c r="L80" i="14"/>
  <c r="DV79" i="19"/>
  <c r="CQ71" i="14"/>
  <c r="CF52" i="14"/>
  <c r="CH52" i="14"/>
  <c r="CJ89" i="14"/>
  <c r="V98" i="14"/>
  <c r="BV43" i="14"/>
  <c r="BX98" i="14"/>
  <c r="AY89" i="14"/>
  <c r="AC89" i="14"/>
  <c r="DF72" i="16"/>
  <c r="P80" i="14"/>
  <c r="CA43" i="14"/>
  <c r="CA42" i="14" s="1"/>
  <c r="BR79" i="19"/>
  <c r="BG80" i="14"/>
  <c r="DF19" i="16"/>
  <c r="AL80" i="14"/>
  <c r="DF25" i="16"/>
  <c r="BS98" i="14"/>
  <c r="AI43" i="14"/>
  <c r="CH89" i="14"/>
  <c r="BT52" i="14"/>
  <c r="W80" i="14"/>
  <c r="O98" i="14"/>
  <c r="G106" i="14"/>
  <c r="G72" i="14"/>
  <c r="H71" i="14"/>
  <c r="G79" i="14"/>
  <c r="DC89" i="14"/>
  <c r="BO43" i="14"/>
  <c r="AV43" i="14"/>
  <c r="AV42" i="14" s="1"/>
  <c r="ED79" i="19"/>
  <c r="CN80" i="14"/>
  <c r="CF61" i="14"/>
  <c r="CS61" i="14"/>
  <c r="BQ98" i="14"/>
  <c r="G51" i="14"/>
  <c r="BK98" i="14"/>
  <c r="GP79" i="19"/>
  <c r="CV89" i="14"/>
  <c r="CG61" i="14"/>
  <c r="K98" i="14"/>
  <c r="G50" i="14"/>
  <c r="BL52" i="14"/>
  <c r="AD98" i="14"/>
  <c r="BV89" i="14"/>
  <c r="BN80" i="14"/>
  <c r="T89" i="14"/>
  <c r="BK89" i="14"/>
  <c r="G93" i="14"/>
  <c r="BG71" i="14"/>
  <c r="KT79" i="19"/>
  <c r="DF70" i="16"/>
  <c r="BU43" i="14"/>
  <c r="BU42" i="14" s="1"/>
  <c r="BU41" i="14" s="1"/>
  <c r="JF84" i="19" s="1"/>
  <c r="R43" i="14"/>
  <c r="BJ80" i="14"/>
  <c r="AP80" i="14"/>
  <c r="W52" i="14"/>
  <c r="X52" i="14"/>
  <c r="BO80" i="14"/>
  <c r="G83" i="14"/>
  <c r="BA80" i="14"/>
  <c r="DF39" i="16"/>
  <c r="L71" i="14"/>
  <c r="I80" i="14"/>
  <c r="DA61" i="14"/>
  <c r="BJ71" i="14"/>
  <c r="AQ61" i="14"/>
  <c r="G49" i="14"/>
  <c r="G85" i="14"/>
  <c r="DF83" i="16"/>
  <c r="IL79" i="19"/>
  <c r="CF98" i="14"/>
  <c r="DF38" i="16"/>
  <c r="I89" i="14"/>
  <c r="AX61" i="14"/>
  <c r="AE89" i="14"/>
  <c r="CT98" i="14"/>
  <c r="AC61" i="14"/>
  <c r="DA71" i="14"/>
  <c r="CU98" i="14"/>
  <c r="CM43" i="14"/>
  <c r="CC43" i="14"/>
  <c r="AF43" i="14"/>
  <c r="BI52" i="14"/>
  <c r="BA52" i="14"/>
  <c r="CU52" i="14"/>
  <c r="DA52" i="14"/>
  <c r="AM89" i="14"/>
  <c r="AM70" i="14" s="1"/>
  <c r="AX80" i="14"/>
  <c r="DF18" i="16"/>
  <c r="CY61" i="14"/>
  <c r="AL43" i="14"/>
  <c r="G64" i="14"/>
  <c r="HJ79" i="19"/>
  <c r="O71" i="14"/>
  <c r="AO71" i="14"/>
  <c r="CC80" i="14"/>
  <c r="T80" i="14"/>
  <c r="CU71" i="14"/>
  <c r="P89" i="14"/>
  <c r="U71" i="14"/>
  <c r="U70" i="14" s="1"/>
  <c r="T52" i="14"/>
  <c r="AZ89" i="14"/>
  <c r="BY98" i="14"/>
  <c r="AV71" i="14"/>
  <c r="CL43" i="14"/>
  <c r="AV89" i="14"/>
  <c r="BZ43" i="14"/>
  <c r="BE80" i="14"/>
  <c r="KL79" i="19"/>
  <c r="AA61" i="14"/>
  <c r="CN98" i="14"/>
  <c r="CE61" i="14"/>
  <c r="AP61" i="14"/>
  <c r="DF87" i="16"/>
  <c r="BN98" i="14"/>
  <c r="AE43" i="14"/>
  <c r="BV79" i="19"/>
  <c r="BC61" i="14"/>
  <c r="AE80" i="14"/>
  <c r="BE89" i="14"/>
  <c r="BR43" i="14"/>
  <c r="CV71" i="14"/>
  <c r="CZ52" i="14"/>
  <c r="J61" i="14"/>
  <c r="CO43" i="14"/>
  <c r="H52" i="14"/>
  <c r="G53" i="14"/>
  <c r="CH80" i="14"/>
  <c r="V79" i="19"/>
  <c r="DF80" i="16"/>
  <c r="AZ43" i="14"/>
  <c r="DC80" i="14"/>
  <c r="CN89" i="14"/>
  <c r="JR79" i="19"/>
  <c r="BK71" i="14"/>
  <c r="BH71" i="14"/>
  <c r="AR61" i="14"/>
  <c r="Z43" i="14"/>
  <c r="CP61" i="14"/>
  <c r="G103" i="14"/>
  <c r="BT89" i="14"/>
  <c r="CJ98" i="14"/>
  <c r="CI43" i="14"/>
  <c r="C197" i="16"/>
  <c r="D245" i="16"/>
  <c r="D265" i="16"/>
  <c r="D257" i="16"/>
  <c r="C263" i="16"/>
  <c r="C188" i="16"/>
  <c r="D166" i="16"/>
  <c r="C202" i="16"/>
  <c r="D247" i="16"/>
  <c r="C256" i="16"/>
  <c r="C261" i="16"/>
  <c r="C239" i="16"/>
  <c r="C215" i="16"/>
  <c r="D263" i="16"/>
  <c r="C233" i="16"/>
  <c r="C166" i="16"/>
  <c r="C200" i="16"/>
  <c r="C210" i="16"/>
  <c r="C207" i="16"/>
  <c r="C262" i="16"/>
  <c r="D264" i="16"/>
  <c r="C187" i="16"/>
  <c r="C225" i="16"/>
  <c r="C226" i="16"/>
  <c r="C169" i="16"/>
  <c r="C179" i="16"/>
  <c r="D253" i="16"/>
  <c r="C201" i="16"/>
  <c r="C243" i="16"/>
  <c r="D246" i="16"/>
  <c r="D252" i="16"/>
  <c r="C235" i="16"/>
  <c r="C247" i="16"/>
  <c r="C251" i="16"/>
  <c r="C192" i="16"/>
  <c r="C240" i="16"/>
  <c r="D262" i="16"/>
  <c r="C237" i="16"/>
  <c r="C204" i="16"/>
  <c r="C234" i="16"/>
  <c r="D250" i="16"/>
  <c r="C259" i="16"/>
  <c r="C212" i="16"/>
  <c r="C208" i="16"/>
  <c r="D242" i="16"/>
  <c r="D258" i="16"/>
  <c r="C174" i="16"/>
  <c r="C173" i="16"/>
  <c r="C214" i="16"/>
  <c r="C229" i="16"/>
  <c r="D236" i="16"/>
  <c r="C236" i="16"/>
  <c r="C190" i="16"/>
  <c r="C257" i="16"/>
  <c r="C186" i="16"/>
  <c r="C231" i="16"/>
  <c r="C213" i="16"/>
  <c r="C177" i="16"/>
  <c r="C238" i="16"/>
  <c r="C246" i="16"/>
  <c r="C203" i="16"/>
  <c r="D240" i="16"/>
  <c r="C183" i="16"/>
  <c r="C206" i="16"/>
  <c r="D251" i="16"/>
  <c r="D225" i="16"/>
  <c r="C176" i="16"/>
  <c r="C220" i="16"/>
  <c r="D243" i="16"/>
  <c r="C241" i="16"/>
  <c r="C222" i="16"/>
  <c r="C230" i="16"/>
  <c r="C198" i="16"/>
  <c r="C171" i="16"/>
  <c r="C253" i="16"/>
  <c r="D260" i="16"/>
  <c r="C242" i="16"/>
  <c r="D167" i="16"/>
  <c r="C196" i="16"/>
  <c r="C167" i="16"/>
  <c r="C199" i="16"/>
  <c r="D175" i="16"/>
  <c r="C175" i="16"/>
  <c r="C223" i="16"/>
  <c r="C244" i="16"/>
  <c r="C249" i="16"/>
  <c r="C211" i="16"/>
  <c r="C184" i="16"/>
  <c r="C267" i="16"/>
  <c r="D248" i="16"/>
  <c r="C194" i="16"/>
  <c r="C195" i="16"/>
  <c r="C227" i="16"/>
  <c r="C189" i="16"/>
  <c r="D241" i="16"/>
  <c r="C209" i="16"/>
  <c r="D249" i="16"/>
  <c r="D261" i="16"/>
  <c r="C180" i="16"/>
  <c r="D215" i="16"/>
  <c r="D237" i="16"/>
  <c r="C248" i="16"/>
  <c r="C245" i="16"/>
  <c r="C260" i="16"/>
  <c r="D266" i="16"/>
  <c r="C255" i="16"/>
  <c r="D254" i="16"/>
  <c r="C205" i="16"/>
  <c r="C191" i="16"/>
  <c r="C250" i="16"/>
  <c r="C254" i="16"/>
  <c r="C265" i="16"/>
  <c r="D205" i="16"/>
  <c r="D195" i="16"/>
  <c r="C178" i="16"/>
  <c r="C258" i="16"/>
  <c r="C266" i="16"/>
  <c r="C172" i="16"/>
  <c r="D267" i="16"/>
  <c r="C232" i="16"/>
  <c r="C252" i="16"/>
  <c r="D256" i="16"/>
  <c r="C170" i="16"/>
  <c r="D238" i="16"/>
  <c r="C218" i="16"/>
  <c r="D255" i="16"/>
  <c r="C264" i="16"/>
  <c r="C217" i="16"/>
  <c r="C224" i="16"/>
  <c r="D244" i="16"/>
  <c r="C216" i="16"/>
  <c r="C219" i="16"/>
  <c r="C193" i="16"/>
  <c r="D185" i="16"/>
  <c r="D235" i="16"/>
  <c r="D239" i="16"/>
  <c r="C185" i="16"/>
  <c r="C221" i="16"/>
  <c r="C228" i="16"/>
  <c r="C168" i="16"/>
  <c r="C182" i="16"/>
  <c r="C181" i="16"/>
  <c r="AZ61" i="14"/>
  <c r="AY98" i="14"/>
  <c r="BQ61" i="14"/>
  <c r="CQ61" i="14"/>
  <c r="CV98" i="14"/>
  <c r="DA80" i="14"/>
  <c r="AP89" i="14"/>
  <c r="AU43" i="14"/>
  <c r="AU42" i="14" s="1"/>
  <c r="Z80" i="14"/>
  <c r="Z70" i="14" s="1"/>
  <c r="CD52" i="14"/>
  <c r="AL71" i="14"/>
  <c r="AL70" i="14" s="1"/>
  <c r="N71" i="14"/>
  <c r="N70" i="14" s="1"/>
  <c r="I71" i="14"/>
  <c r="I70" i="14" s="1"/>
  <c r="ET79" i="19"/>
  <c r="DF62" i="16"/>
  <c r="CD71" i="14"/>
  <c r="AK71" i="14"/>
  <c r="AK70" i="14" s="1"/>
  <c r="G95" i="14"/>
  <c r="DF63" i="16"/>
  <c r="CL79" i="19"/>
  <c r="CR89" i="14"/>
  <c r="Z79" i="19"/>
  <c r="AI52" i="14"/>
  <c r="AF89" i="14"/>
  <c r="AL52" i="14"/>
  <c r="AB80" i="14"/>
  <c r="BA98" i="14"/>
  <c r="Q98" i="14"/>
  <c r="U98" i="14"/>
  <c r="DF76" i="16"/>
  <c r="CJ71" i="14"/>
  <c r="CJ70" i="14" s="1"/>
  <c r="EL79" i="19"/>
  <c r="CL52" i="14"/>
  <c r="G96" i="14"/>
  <c r="G58" i="14"/>
  <c r="M71" i="14"/>
  <c r="M70" i="14" s="1"/>
  <c r="CK80" i="14"/>
  <c r="G63" i="14"/>
  <c r="CS52" i="14"/>
  <c r="DC71" i="14"/>
  <c r="DC70" i="14" s="1"/>
  <c r="AA98" i="14"/>
  <c r="AG71" i="14"/>
  <c r="BM71" i="14"/>
  <c r="BM70" i="14" s="1"/>
  <c r="DN79" i="19"/>
  <c r="CT80" i="14"/>
  <c r="CT70" i="14" s="1"/>
  <c r="CO80" i="14"/>
  <c r="DB98" i="14"/>
  <c r="X71" i="14"/>
  <c r="X70" i="14" s="1"/>
  <c r="X41" i="14" s="1"/>
  <c r="CX79" i="19"/>
  <c r="AG89" i="14"/>
  <c r="BV98" i="14"/>
  <c r="DA89" i="14"/>
  <c r="BK61" i="14"/>
  <c r="AT71" i="14"/>
  <c r="AT70" i="14" s="1"/>
  <c r="AT41" i="14" s="1"/>
  <c r="FB86" i="19" s="1"/>
  <c r="BP98" i="14"/>
  <c r="G82" i="14"/>
  <c r="CU80" i="14"/>
  <c r="CT52" i="14"/>
  <c r="BX89" i="14"/>
  <c r="AN80" i="14"/>
  <c r="CC61" i="14"/>
  <c r="I61" i="14"/>
  <c r="G54" i="14"/>
  <c r="CO89" i="14"/>
  <c r="BS80" i="14"/>
  <c r="IP79" i="19"/>
  <c r="CI52" i="14"/>
  <c r="AF80" i="14"/>
  <c r="AE71" i="14"/>
  <c r="CZ80" i="14"/>
  <c r="AW98" i="14"/>
  <c r="BD98" i="14"/>
  <c r="AT61" i="14"/>
  <c r="AT42" i="14" s="1"/>
  <c r="N43" i="14"/>
  <c r="BI71" i="14"/>
  <c r="BI70" i="14" s="1"/>
  <c r="BT80" i="14"/>
  <c r="DF58" i="16"/>
  <c r="DF85" i="16"/>
  <c r="AG43" i="14"/>
  <c r="AG42" i="14" s="1"/>
  <c r="CL80" i="14"/>
  <c r="V89" i="14"/>
  <c r="V70" i="14" s="1"/>
  <c r="X43" i="14"/>
  <c r="X42" i="14" s="1"/>
  <c r="CR80" i="14"/>
  <c r="CN71" i="14"/>
  <c r="CN70" i="14" s="1"/>
  <c r="G67" i="14"/>
  <c r="CK89" i="14"/>
  <c r="DF49" i="16"/>
  <c r="G57" i="14"/>
  <c r="AD89" i="14"/>
  <c r="AD70" i="14" s="1"/>
  <c r="BK80" i="14"/>
  <c r="BK70" i="14" s="1"/>
  <c r="BY71" i="14"/>
  <c r="BY70" i="14" s="1"/>
  <c r="BL98" i="14"/>
  <c r="CS80" i="14"/>
  <c r="P71" i="14"/>
  <c r="P70" i="14" s="1"/>
  <c r="BL89" i="14"/>
  <c r="CC52" i="14"/>
  <c r="AA80" i="14"/>
  <c r="AA70" i="14" s="1"/>
  <c r="R79" i="19"/>
  <c r="BZ61" i="14"/>
  <c r="CM61" i="14"/>
  <c r="BV71" i="14"/>
  <c r="BV70" i="14" s="1"/>
  <c r="BF71" i="14"/>
  <c r="W89" i="14"/>
  <c r="BT71" i="14"/>
  <c r="CO52" i="14"/>
  <c r="AJ71" i="14"/>
  <c r="EH79" i="19"/>
  <c r="CI61" i="14"/>
  <c r="G60" i="14"/>
  <c r="BR98" i="14"/>
  <c r="AX71" i="14"/>
  <c r="AJ80" i="14"/>
  <c r="G68" i="14"/>
  <c r="G84" i="14"/>
  <c r="DF24" i="16"/>
  <c r="CY98" i="14"/>
  <c r="KP79" i="19"/>
  <c r="AR71" i="14"/>
  <c r="AR70" i="14" s="1"/>
  <c r="G65" i="14"/>
  <c r="BR80" i="14"/>
  <c r="BR70" i="14" s="1"/>
  <c r="O43" i="14"/>
  <c r="O42" i="14" s="1"/>
  <c r="CT43" i="14"/>
  <c r="AN89" i="14"/>
  <c r="CQ98" i="14"/>
  <c r="R71" i="14"/>
  <c r="CE89" i="14"/>
  <c r="BF80" i="14"/>
  <c r="DC52" i="14"/>
  <c r="K80" i="14"/>
  <c r="K70" i="14" s="1"/>
  <c r="BL80" i="14"/>
  <c r="P61" i="14"/>
  <c r="BB52" i="14"/>
  <c r="CW80" i="14"/>
  <c r="AO89" i="14"/>
  <c r="AB89" i="14"/>
  <c r="BP61" i="14"/>
  <c r="CD79" i="19"/>
  <c r="CQ43" i="14"/>
  <c r="JN79" i="19"/>
  <c r="CR98" i="14"/>
  <c r="CM71" i="14"/>
  <c r="BL61" i="14"/>
  <c r="AS61" i="14"/>
  <c r="BW61" i="14"/>
  <c r="DF53" i="16"/>
  <c r="CR71" i="14"/>
  <c r="CR70" i="14" s="1"/>
  <c r="AO98" i="14"/>
  <c r="CJ52" i="14"/>
  <c r="DF79" i="19"/>
  <c r="BO98" i="14"/>
  <c r="BH89" i="14"/>
  <c r="AI80" i="14"/>
  <c r="AX89" i="14"/>
  <c r="G73" i="14"/>
  <c r="CX43" i="14"/>
  <c r="CX42" i="14" s="1"/>
  <c r="AE52" i="14"/>
  <c r="AE42" i="14" s="1"/>
  <c r="BZ98" i="14"/>
  <c r="BG52" i="14"/>
  <c r="DF51" i="16"/>
  <c r="V61" i="14"/>
  <c r="AU89" i="14"/>
  <c r="K61" i="14"/>
  <c r="CS71" i="14"/>
  <c r="T98" i="14"/>
  <c r="AW71" i="14"/>
  <c r="AW70" i="14" s="1"/>
  <c r="CK98" i="14"/>
  <c r="CP52" i="14"/>
  <c r="BB98" i="14"/>
  <c r="CF43" i="14"/>
  <c r="CF42" i="14" s="1"/>
  <c r="CF41" i="14" s="1"/>
  <c r="KX86" i="19" s="1"/>
  <c r="AP71" i="14"/>
  <c r="DB52" i="14"/>
  <c r="DF68" i="16"/>
  <c r="AY71" i="14"/>
  <c r="CG52" i="14"/>
  <c r="G75" i="14"/>
  <c r="AV98" i="14"/>
  <c r="BW52" i="14"/>
  <c r="BN61" i="14"/>
  <c r="BZ80" i="14"/>
  <c r="BZ70" i="14" s="1"/>
  <c r="BM61" i="14"/>
  <c r="G92" i="14"/>
  <c r="AR43" i="14"/>
  <c r="AR42" i="14" s="1"/>
  <c r="AR41" i="14" s="1"/>
  <c r="ET83" i="19" s="1"/>
  <c r="AH89" i="14"/>
  <c r="I43" i="14"/>
  <c r="G44" i="14"/>
  <c r="BN43" i="14"/>
  <c r="BN42" i="14" s="1"/>
  <c r="G101" i="14"/>
  <c r="AB71" i="14"/>
  <c r="CQ52" i="14"/>
  <c r="R52" i="14"/>
  <c r="R42" i="14" s="1"/>
  <c r="Q89" i="14"/>
  <c r="Q70" i="14" s="1"/>
  <c r="CR52" i="14"/>
  <c r="CR42" i="14" s="1"/>
  <c r="O80" i="14"/>
  <c r="S61" i="14"/>
  <c r="Y89" i="14"/>
  <c r="CU43" i="14"/>
  <c r="CU42" i="14" s="1"/>
  <c r="DF57" i="16"/>
  <c r="R80" i="14"/>
  <c r="G80" i="14" s="1"/>
  <c r="N61" i="14"/>
  <c r="N42" i="14" s="1"/>
  <c r="BG43" i="14"/>
  <c r="HV79" i="19"/>
  <c r="AG61" i="14"/>
  <c r="DB43" i="14"/>
  <c r="AK43" i="14"/>
  <c r="AK42" i="14" s="1"/>
  <c r="BC43" i="14"/>
  <c r="BC42" i="14" s="1"/>
  <c r="LJ79" i="19"/>
  <c r="CE52" i="14"/>
  <c r="DF26" i="16"/>
  <c r="I52" i="14"/>
  <c r="AJ89" i="14"/>
  <c r="BT98" i="14"/>
  <c r="AM98" i="14"/>
  <c r="BS61" i="14"/>
  <c r="DF15" i="16"/>
  <c r="O89" i="14"/>
  <c r="DF54" i="16"/>
  <c r="H61" i="14"/>
  <c r="G62" i="14"/>
  <c r="AY80" i="14"/>
  <c r="BR61" i="14"/>
  <c r="EX79" i="19"/>
  <c r="G78" i="14"/>
  <c r="BX61" i="14"/>
  <c r="AU71" i="14"/>
  <c r="DF27" i="16"/>
  <c r="H89" i="14"/>
  <c r="H70" i="14" s="1"/>
  <c r="G90" i="14"/>
  <c r="DF20" i="16"/>
  <c r="CK61" i="14"/>
  <c r="CK42" i="14" s="1"/>
  <c r="CC89" i="14"/>
  <c r="CC70" i="14" s="1"/>
  <c r="K52" i="14"/>
  <c r="K42" i="14" s="1"/>
  <c r="K41" i="14" s="1"/>
  <c r="G45" i="14"/>
  <c r="H43" i="14"/>
  <c r="BY52" i="14"/>
  <c r="AN71" i="14"/>
  <c r="AN70" i="14" s="1"/>
  <c r="AC98" i="14"/>
  <c r="BO61" i="14"/>
  <c r="G74" i="14"/>
  <c r="GT79" i="19"/>
  <c r="DF36" i="16"/>
  <c r="AX52" i="14"/>
  <c r="AX42" i="14" s="1"/>
  <c r="AR89" i="14"/>
  <c r="CO71" i="14"/>
  <c r="X89" i="14"/>
  <c r="C320" i="15"/>
  <c r="C251" i="15"/>
  <c r="C182" i="15"/>
  <c r="C315" i="15"/>
  <c r="C237" i="15"/>
  <c r="C195" i="15"/>
  <c r="C332" i="15"/>
  <c r="C351" i="15"/>
  <c r="C308" i="15"/>
  <c r="C288" i="15"/>
  <c r="C223" i="15"/>
  <c r="C253" i="15"/>
  <c r="C359" i="15"/>
  <c r="C217" i="15"/>
  <c r="C310" i="15"/>
  <c r="C216" i="15"/>
  <c r="C221" i="15"/>
  <c r="C265" i="15"/>
  <c r="C173" i="15"/>
  <c r="C201" i="15"/>
  <c r="C172" i="15"/>
  <c r="C240" i="15"/>
  <c r="C206" i="15"/>
  <c r="C285" i="15"/>
  <c r="C354" i="15"/>
  <c r="C369" i="15"/>
  <c r="C326" i="15"/>
  <c r="C366" i="15"/>
  <c r="C282" i="15"/>
  <c r="C203" i="15"/>
  <c r="C219" i="15"/>
  <c r="C224" i="15"/>
  <c r="C356" i="15"/>
  <c r="C344" i="15"/>
  <c r="C234" i="15"/>
  <c r="C170" i="15"/>
  <c r="C191" i="15"/>
  <c r="C244" i="15"/>
  <c r="C222" i="15"/>
  <c r="C254" i="15"/>
  <c r="C297" i="15"/>
  <c r="C330" i="15"/>
  <c r="C176" i="15"/>
  <c r="C314" i="15"/>
  <c r="C227" i="15"/>
  <c r="C367" i="15"/>
  <c r="C281" i="15"/>
  <c r="C296" i="15"/>
  <c r="C298" i="15"/>
  <c r="C333" i="15"/>
  <c r="C352" i="15"/>
  <c r="C355" i="15"/>
  <c r="C232" i="15"/>
  <c r="C321" i="15"/>
  <c r="C318" i="15"/>
  <c r="C231" i="15"/>
  <c r="C340" i="15"/>
  <c r="C194" i="15"/>
  <c r="C192" i="15"/>
  <c r="C207" i="15"/>
  <c r="C193" i="15"/>
  <c r="C256" i="15"/>
  <c r="C218" i="15"/>
  <c r="C263" i="15"/>
  <c r="C378" i="15"/>
  <c r="C248" i="15"/>
  <c r="C178" i="15"/>
  <c r="C188" i="15"/>
  <c r="C373" i="15"/>
  <c r="C204" i="15"/>
  <c r="C169" i="15"/>
  <c r="C215" i="15"/>
  <c r="C210" i="15"/>
  <c r="C322" i="15"/>
  <c r="C299" i="15"/>
  <c r="C311" i="15"/>
  <c r="C306" i="15"/>
  <c r="C361" i="15"/>
  <c r="C175" i="15"/>
  <c r="C238" i="15"/>
  <c r="C327" i="15"/>
  <c r="C362" i="15"/>
  <c r="C242" i="15"/>
  <c r="C257" i="15"/>
  <c r="C339" i="15"/>
  <c r="C190" i="15"/>
  <c r="C293" i="15"/>
  <c r="C278" i="15"/>
  <c r="C199" i="15"/>
  <c r="C229" i="15"/>
  <c r="C348" i="15"/>
  <c r="C233" i="15"/>
  <c r="C336" i="15"/>
  <c r="C312" i="15"/>
  <c r="C325" i="15"/>
  <c r="C174" i="15"/>
  <c r="C317" i="15"/>
  <c r="C228" i="15"/>
  <c r="C287" i="15"/>
  <c r="C375" i="15"/>
  <c r="C324" i="15"/>
  <c r="C260" i="15"/>
  <c r="C294" i="15"/>
  <c r="C280" i="15"/>
  <c r="C377" i="15"/>
  <c r="C319" i="15"/>
  <c r="C360" i="15"/>
  <c r="C364" i="15"/>
  <c r="C211" i="15"/>
  <c r="C235" i="15"/>
  <c r="C372" i="15"/>
  <c r="C302" i="15"/>
  <c r="C303" i="15"/>
  <c r="C181" i="15"/>
  <c r="C247" i="15"/>
  <c r="C266" i="15"/>
  <c r="C180" i="15"/>
  <c r="C267" i="15"/>
  <c r="C179" i="15"/>
  <c r="C168" i="15"/>
  <c r="C307" i="15"/>
  <c r="C300" i="15"/>
  <c r="C357" i="15"/>
  <c r="C197" i="15"/>
  <c r="C236" i="15"/>
  <c r="C338" i="15"/>
  <c r="C213" i="15"/>
  <c r="C261" i="15"/>
  <c r="C258" i="15"/>
  <c r="C214" i="15"/>
  <c r="C345" i="15"/>
  <c r="C376" i="15"/>
  <c r="C292" i="15"/>
  <c r="C264" i="15"/>
  <c r="C347" i="15"/>
  <c r="C350" i="15"/>
  <c r="C283" i="15"/>
  <c r="C358" i="15"/>
  <c r="C304" i="15"/>
  <c r="C363" i="15"/>
  <c r="C205" i="15"/>
  <c r="C374" i="15"/>
  <c r="C291" i="15"/>
  <c r="C301" i="15"/>
  <c r="C343" i="15"/>
  <c r="C226" i="15"/>
  <c r="C268" i="15"/>
  <c r="C200" i="15"/>
  <c r="C365" i="15"/>
  <c r="C202" i="15"/>
  <c r="C246" i="15"/>
  <c r="C184" i="15"/>
  <c r="C349" i="15"/>
  <c r="C342" i="15"/>
  <c r="C313" i="15"/>
  <c r="C250" i="15"/>
  <c r="C289" i="15"/>
  <c r="C198" i="15"/>
  <c r="C331" i="15"/>
  <c r="C368" i="15"/>
  <c r="C255" i="15"/>
  <c r="C245" i="15"/>
  <c r="C241" i="15"/>
  <c r="C262" i="15"/>
  <c r="C353" i="15"/>
  <c r="C284" i="15"/>
  <c r="C185" i="15"/>
  <c r="C290" i="15"/>
  <c r="C187" i="15"/>
  <c r="C337" i="15"/>
  <c r="C323" i="15"/>
  <c r="C286" i="15"/>
  <c r="C279" i="15"/>
  <c r="C259" i="15"/>
  <c r="C295" i="15"/>
  <c r="C371" i="15"/>
  <c r="C305" i="15"/>
  <c r="C309" i="15"/>
  <c r="C208" i="15"/>
  <c r="C171" i="15"/>
  <c r="C269" i="15"/>
  <c r="C252" i="15"/>
  <c r="C277" i="15"/>
  <c r="C212" i="15"/>
  <c r="C230" i="15"/>
  <c r="C329" i="15"/>
  <c r="C346" i="15"/>
  <c r="C177" i="15"/>
  <c r="C328" i="15"/>
  <c r="C196" i="15"/>
  <c r="C335" i="15"/>
  <c r="C220" i="15"/>
  <c r="C341" i="15"/>
  <c r="C316" i="15"/>
  <c r="C334" i="15"/>
  <c r="C370" i="15"/>
  <c r="C243" i="15"/>
  <c r="C183" i="15"/>
  <c r="C239" i="15"/>
  <c r="C225" i="15"/>
  <c r="C186" i="15"/>
  <c r="C249" i="15"/>
  <c r="C189" i="15"/>
  <c r="C209" i="15"/>
  <c r="G94" i="14"/>
  <c r="CM80" i="14"/>
  <c r="CM70" i="14" s="1"/>
  <c r="BS71" i="14"/>
  <c r="BS70" i="14" s="1"/>
  <c r="CQ89" i="14"/>
  <c r="AF71" i="14"/>
  <c r="AF70" i="14" s="1"/>
  <c r="BC89" i="14"/>
  <c r="CZ89" i="14"/>
  <c r="DB61" i="14"/>
  <c r="CN52" i="14"/>
  <c r="BE98" i="14"/>
  <c r="IH79" i="19"/>
  <c r="BB80" i="14"/>
  <c r="AD61" i="14"/>
  <c r="AW52" i="14"/>
  <c r="L89" i="14"/>
  <c r="L70" i="14" s="1"/>
  <c r="BH61" i="14"/>
  <c r="AO80" i="14"/>
  <c r="DF82" i="16"/>
  <c r="AU98" i="14"/>
  <c r="CH43" i="14"/>
  <c r="CH42" i="14" s="1"/>
  <c r="BV52" i="14"/>
  <c r="BV42" i="14" s="1"/>
  <c r="BP71" i="14"/>
  <c r="BP70" i="14" s="1"/>
  <c r="Y43" i="14"/>
  <c r="Y42" i="14" s="1"/>
  <c r="AW43" i="14"/>
  <c r="G102" i="14"/>
  <c r="CZ43" i="14"/>
  <c r="CZ42" i="14" s="1"/>
  <c r="U41" i="14"/>
  <c r="CQ70" i="14"/>
  <c r="T42" i="14"/>
  <c r="Y70" i="14"/>
  <c r="BH70" i="14"/>
  <c r="AY42" i="14"/>
  <c r="BA42" i="14"/>
  <c r="CO70" i="14"/>
  <c r="DA42" i="14"/>
  <c r="BQ42" i="14"/>
  <c r="AM41" i="14"/>
  <c r="DZ83" i="19" s="1"/>
  <c r="CP42" i="14"/>
  <c r="AE70" i="14"/>
  <c r="AE41" i="14" s="1"/>
  <c r="CT84" i="19" s="1"/>
  <c r="AZ42" i="14"/>
  <c r="BO42" i="14"/>
  <c r="AI70" i="14"/>
  <c r="AH70" i="14"/>
  <c r="BG70" i="14"/>
  <c r="AF42" i="14"/>
  <c r="AF41" i="14" s="1"/>
  <c r="AN42" i="14"/>
  <c r="AN41" i="14" s="1"/>
  <c r="BE70" i="14"/>
  <c r="AS42" i="14"/>
  <c r="G71" i="14"/>
  <c r="BR42" i="14"/>
  <c r="BR41" i="14" s="1"/>
  <c r="IT83" i="19" s="1"/>
  <c r="AP42" i="14"/>
  <c r="T70" i="14"/>
  <c r="DC42" i="14"/>
  <c r="DC41" i="14" s="1"/>
  <c r="CU70" i="14"/>
  <c r="CU41" i="14" s="1"/>
  <c r="AC42" i="14"/>
  <c r="BP42" i="14"/>
  <c r="BZ42" i="14"/>
  <c r="BZ41" i="14" s="1"/>
  <c r="O118" i="4"/>
  <c r="O117" i="4" s="1"/>
  <c r="O8" i="10" s="1"/>
  <c r="O13" i="10" s="1"/>
  <c r="N276" i="9"/>
  <c r="N277" i="9" s="1"/>
  <c r="N284" i="9" s="1"/>
  <c r="O275" i="9"/>
  <c r="O118" i="6"/>
  <c r="O117" i="6" s="1"/>
  <c r="O44" i="10" s="1"/>
  <c r="O49" i="10" s="1"/>
  <c r="N354" i="9"/>
  <c r="P120" i="5" s="1"/>
  <c r="N355" i="9"/>
  <c r="P120" i="6" s="1"/>
  <c r="N353" i="9"/>
  <c r="P120" i="4" s="1"/>
  <c r="M44" i="10"/>
  <c r="N117" i="5"/>
  <c r="O118" i="5"/>
  <c r="O117" i="5" s="1"/>
  <c r="O26" i="10" s="1"/>
  <c r="O31" i="10" s="1"/>
  <c r="M8" i="10"/>
  <c r="BL35" i="16"/>
  <c r="AG73" i="16"/>
  <c r="CW63" i="16"/>
  <c r="AV23" i="16"/>
  <c r="AG84" i="16"/>
  <c r="CH24" i="16"/>
  <c r="BO63" i="16"/>
  <c r="N63" i="16"/>
  <c r="AN35" i="16"/>
  <c r="BS58" i="16"/>
  <c r="CE79" i="16"/>
  <c r="BK50" i="16"/>
  <c r="AV18" i="16"/>
  <c r="AK53" i="16"/>
  <c r="BS80" i="16"/>
  <c r="DC80" i="16"/>
  <c r="BI75" i="16"/>
  <c r="BR58" i="16"/>
  <c r="CJ35" i="16"/>
  <c r="CA50" i="16"/>
  <c r="CP15" i="16"/>
  <c r="CX15" i="16"/>
  <c r="AX84" i="16"/>
  <c r="S74" i="16"/>
  <c r="O24" i="16"/>
  <c r="DC18" i="16"/>
  <c r="J28" i="16"/>
  <c r="CI68" i="16"/>
  <c r="AB61" i="16"/>
  <c r="BE28" i="16"/>
  <c r="AS75" i="16"/>
  <c r="CH28" i="16"/>
  <c r="BZ61" i="16"/>
  <c r="BZ47" i="16"/>
  <c r="CE39" i="16"/>
  <c r="BR39" i="16"/>
  <c r="CI16" i="16"/>
  <c r="BB30" i="16"/>
  <c r="CM53" i="16"/>
  <c r="CW40" i="16"/>
  <c r="DB28" i="16"/>
  <c r="BA68" i="16"/>
  <c r="AE38" i="16"/>
  <c r="AT48" i="16"/>
  <c r="Z84" i="16"/>
  <c r="BK83" i="16"/>
  <c r="CJ84" i="16"/>
  <c r="CQ46" i="16"/>
  <c r="BN76" i="16"/>
  <c r="AW61" i="16"/>
  <c r="CD80" i="16"/>
  <c r="AX80" i="16"/>
  <c r="BN61" i="16"/>
  <c r="CD35" i="16"/>
  <c r="X23" i="16"/>
  <c r="AZ16" i="16"/>
  <c r="AM35" i="16"/>
  <c r="CF61" i="16"/>
  <c r="U49" i="16"/>
  <c r="AW35" i="16"/>
  <c r="BK19" i="16"/>
  <c r="BI50" i="16"/>
  <c r="S24" i="16"/>
  <c r="CU30" i="16"/>
  <c r="T23" i="16"/>
  <c r="J73" i="16"/>
  <c r="AQ35" i="16"/>
  <c r="AY83" i="16"/>
  <c r="Y53" i="16"/>
  <c r="W40" i="16"/>
  <c r="I50" i="16"/>
  <c r="AW46" i="16"/>
  <c r="CC29" i="16"/>
  <c r="CE23" i="16"/>
  <c r="M24" i="16"/>
  <c r="CN49" i="16"/>
  <c r="CV58" i="16"/>
  <c r="BB76" i="16"/>
  <c r="BB28" i="16"/>
  <c r="BI58" i="16"/>
  <c r="CY42" i="16"/>
  <c r="AR18" i="16"/>
  <c r="DB15" i="16"/>
  <c r="CJ73" i="16"/>
  <c r="K37" i="16"/>
  <c r="AH61" i="16"/>
  <c r="S47" i="16"/>
  <c r="CT50" i="16"/>
  <c r="AB35" i="16"/>
  <c r="BV18" i="16"/>
  <c r="AM82" i="16"/>
  <c r="T82" i="16"/>
  <c r="BO58" i="16"/>
  <c r="CA39" i="16"/>
  <c r="BQ27" i="16"/>
  <c r="R58" i="16"/>
  <c r="T83" i="16"/>
  <c r="AN53" i="16"/>
  <c r="AH46" i="16"/>
  <c r="BZ53" i="16"/>
  <c r="AI63" i="16"/>
  <c r="BV54" i="16"/>
  <c r="CU46" i="16"/>
  <c r="AB28" i="16"/>
  <c r="CV70" i="16"/>
  <c r="L23" i="16"/>
  <c r="R42" i="16"/>
  <c r="AO61" i="16"/>
  <c r="CO16" i="16"/>
  <c r="R14" i="16"/>
  <c r="BU15" i="16"/>
  <c r="M47" i="16"/>
  <c r="Q47" i="16"/>
  <c r="CL79" i="16"/>
  <c r="DB29" i="16"/>
  <c r="M29" i="16"/>
  <c r="AN39" i="16"/>
  <c r="AK63" i="16"/>
  <c r="CK28" i="16"/>
  <c r="AB30" i="16"/>
  <c r="CM15" i="16"/>
  <c r="AP40" i="16"/>
  <c r="AM23" i="16"/>
  <c r="BA23" i="16"/>
  <c r="CA63" i="16"/>
  <c r="AJ23" i="16"/>
  <c r="AW50" i="16"/>
  <c r="CU82" i="16"/>
  <c r="AE46" i="16"/>
  <c r="AK30" i="16"/>
  <c r="AX35" i="16"/>
  <c r="AS37" i="16"/>
  <c r="BW24" i="16"/>
  <c r="AS60" i="16"/>
  <c r="BN79" i="16"/>
  <c r="BZ39" i="16"/>
  <c r="T68" i="16"/>
  <c r="BZ16" i="16"/>
  <c r="CX53" i="16"/>
  <c r="AG75" i="16"/>
  <c r="DC16" i="16"/>
  <c r="CQ30" i="16"/>
  <c r="CY30" i="16"/>
  <c r="CS73" i="16"/>
  <c r="O83" i="16"/>
  <c r="CR75" i="16"/>
  <c r="BH75" i="16"/>
  <c r="BZ68" i="16"/>
  <c r="CD79" i="16"/>
  <c r="CP29" i="16"/>
  <c r="BL68" i="16"/>
  <c r="CE16" i="16"/>
  <c r="AE80" i="16"/>
  <c r="BP82" i="16"/>
  <c r="AI46" i="16"/>
  <c r="CE80" i="16"/>
  <c r="CC18" i="16"/>
  <c r="Z46" i="16"/>
  <c r="AC65" i="16"/>
  <c r="R16" i="16"/>
  <c r="CV35" i="16"/>
  <c r="AL28" i="16"/>
  <c r="BF40" i="16"/>
  <c r="AQ47" i="16"/>
  <c r="AR40" i="16"/>
  <c r="AI80" i="16"/>
  <c r="BL58" i="16"/>
  <c r="AR16" i="16"/>
  <c r="AK16" i="16"/>
  <c r="BV79" i="16"/>
  <c r="CT35" i="16"/>
  <c r="CR39" i="16"/>
  <c r="BR79" i="16"/>
  <c r="CI80" i="16"/>
  <c r="AM73" i="16"/>
  <c r="H29" i="16"/>
  <c r="BM82" i="16"/>
  <c r="CJ75" i="16"/>
  <c r="CM75" i="16"/>
  <c r="BW28" i="16"/>
  <c r="AM30" i="16"/>
  <c r="AS24" i="16"/>
  <c r="L58" i="16"/>
  <c r="R73" i="16"/>
  <c r="AF35" i="16"/>
  <c r="AF47" i="16"/>
  <c r="BT47" i="16"/>
  <c r="BC53" i="16"/>
  <c r="AR39" i="16"/>
  <c r="DA47" i="16"/>
  <c r="AE53" i="16"/>
  <c r="CQ16" i="16"/>
  <c r="CI73" i="16"/>
  <c r="BX23" i="16"/>
  <c r="AN41" i="16"/>
  <c r="Y18" i="16"/>
  <c r="CM40" i="16"/>
  <c r="BX50" i="16"/>
  <c r="BC24" i="16"/>
  <c r="V79" i="16"/>
  <c r="BT69" i="16"/>
  <c r="CR47" i="16"/>
  <c r="M82" i="16"/>
  <c r="CD23" i="16"/>
  <c r="Q82" i="16"/>
  <c r="BG29" i="16"/>
  <c r="CD63" i="16"/>
  <c r="CW75" i="16"/>
  <c r="BS83" i="16"/>
  <c r="AU79" i="16"/>
  <c r="AO63" i="16"/>
  <c r="BF82" i="16"/>
  <c r="CP35" i="16"/>
  <c r="CP14" i="16"/>
  <c r="V60" i="16"/>
  <c r="Q40" i="16"/>
  <c r="CF52" i="16"/>
  <c r="CZ46" i="16"/>
  <c r="CV15" i="16"/>
  <c r="Q19" i="16"/>
  <c r="J18" i="16"/>
  <c r="BT76" i="16"/>
  <c r="Q35" i="16"/>
  <c r="K27" i="16"/>
  <c r="V24" i="16"/>
  <c r="Y60" i="16"/>
  <c r="CF16" i="16"/>
  <c r="BH84" i="16"/>
  <c r="DB60" i="16"/>
  <c r="DB24" i="16"/>
  <c r="H61" i="16"/>
  <c r="K28" i="16"/>
  <c r="AW15" i="16"/>
  <c r="AC40" i="16"/>
  <c r="BO74" i="16"/>
  <c r="AL40" i="16"/>
  <c r="CH23" i="16"/>
  <c r="BT83" i="16"/>
  <c r="BN20" i="16"/>
  <c r="U42" i="16"/>
  <c r="R80" i="16"/>
  <c r="Z17" i="16"/>
  <c r="I68" i="16"/>
  <c r="BS60" i="16"/>
  <c r="AM76" i="16"/>
  <c r="CY64" i="16"/>
  <c r="T72" i="16"/>
  <c r="CA83" i="16"/>
  <c r="AG87" i="16"/>
  <c r="V82" i="16"/>
  <c r="CT79" i="16"/>
  <c r="AC84" i="16"/>
  <c r="DA42" i="16"/>
  <c r="BM34" i="16"/>
  <c r="BX18" i="16"/>
  <c r="CX39" i="16"/>
  <c r="AD51" i="16"/>
  <c r="BN35" i="16"/>
  <c r="AL84" i="16"/>
  <c r="R18" i="16"/>
  <c r="AY53" i="16"/>
  <c r="BK75" i="16"/>
  <c r="CY83" i="16"/>
  <c r="AC73" i="16"/>
  <c r="BB63" i="16"/>
  <c r="AO24" i="16"/>
  <c r="Q26" i="16"/>
  <c r="CS23" i="16"/>
  <c r="Y86" i="16"/>
  <c r="BK42" i="16"/>
  <c r="DA31" i="16"/>
  <c r="BY86" i="16"/>
  <c r="CH68" i="16"/>
  <c r="CW20" i="16"/>
  <c r="BI17" i="16"/>
  <c r="BU51" i="16"/>
  <c r="AG35" i="16"/>
  <c r="AT83" i="16"/>
  <c r="Q68" i="16"/>
  <c r="BB29" i="16"/>
  <c r="AV62" i="16"/>
  <c r="J30" i="16"/>
  <c r="CC40" i="16"/>
  <c r="H75" i="16"/>
  <c r="CW24" i="16"/>
  <c r="M58" i="16"/>
  <c r="AT18" i="16"/>
  <c r="AB29" i="16"/>
  <c r="BK28" i="16"/>
  <c r="BX35" i="16"/>
  <c r="AB68" i="16"/>
  <c r="AG51" i="16"/>
  <c r="BY87" i="16"/>
  <c r="AJ84" i="16"/>
  <c r="AQ87" i="16"/>
  <c r="CP41" i="16"/>
  <c r="AX86" i="16"/>
  <c r="AZ71" i="16"/>
  <c r="AU57" i="16"/>
  <c r="AB26" i="16"/>
  <c r="BA48" i="16"/>
  <c r="CG72" i="16"/>
  <c r="AJ42" i="16"/>
  <c r="CB84" i="16"/>
  <c r="BZ35" i="16"/>
  <c r="CJ31" i="16"/>
  <c r="BO76" i="16"/>
  <c r="CE35" i="16"/>
  <c r="AL83" i="16"/>
  <c r="L29" i="16"/>
  <c r="CV30" i="16"/>
  <c r="CS83" i="16"/>
  <c r="AA63" i="16"/>
  <c r="BF41" i="16"/>
  <c r="CM47" i="16"/>
  <c r="CU57" i="16"/>
  <c r="BT65" i="16"/>
  <c r="DB27" i="16"/>
  <c r="CH16" i="16"/>
  <c r="CS62" i="16"/>
  <c r="AO71" i="16"/>
  <c r="CW81" i="16"/>
  <c r="CV23" i="16"/>
  <c r="BJ34" i="16"/>
  <c r="CG52" i="16"/>
  <c r="AF51" i="16"/>
  <c r="BZ52" i="16"/>
  <c r="AU72" i="16"/>
  <c r="CG69" i="16"/>
  <c r="AU83" i="16"/>
  <c r="DC79" i="16"/>
  <c r="AN82" i="16"/>
  <c r="AQ80" i="16"/>
  <c r="BO68" i="16"/>
  <c r="AN15" i="16"/>
  <c r="Q51" i="16"/>
  <c r="AX18" i="16"/>
  <c r="BQ80" i="16"/>
  <c r="CE51" i="16"/>
  <c r="K29" i="16"/>
  <c r="M87" i="16"/>
  <c r="BY50" i="16"/>
  <c r="CU18" i="16"/>
  <c r="AN16" i="16"/>
  <c r="U51" i="16"/>
  <c r="Y35" i="16"/>
  <c r="CE28" i="16"/>
  <c r="M76" i="16"/>
  <c r="CL23" i="16"/>
  <c r="AN83" i="16"/>
  <c r="BF14" i="16"/>
  <c r="CT64" i="16"/>
  <c r="AR86" i="16"/>
  <c r="AO64" i="16"/>
  <c r="AD70" i="16"/>
  <c r="N64" i="16"/>
  <c r="AM84" i="16"/>
  <c r="BY17" i="16"/>
  <c r="CH49" i="16"/>
  <c r="CS60" i="16"/>
  <c r="AE76" i="16"/>
  <c r="CA27" i="16"/>
  <c r="P75" i="16"/>
  <c r="T87" i="16"/>
  <c r="I72" i="16"/>
  <c r="CJ18" i="16"/>
  <c r="BA26" i="16"/>
  <c r="V62" i="16"/>
  <c r="N16" i="16"/>
  <c r="CS52" i="16"/>
  <c r="CK75" i="16"/>
  <c r="CV64" i="16"/>
  <c r="H74" i="16"/>
  <c r="CT75" i="16"/>
  <c r="CU47" i="16"/>
  <c r="BH42" i="16"/>
  <c r="BA82" i="16"/>
  <c r="CM57" i="16"/>
  <c r="M31" i="16"/>
  <c r="O27" i="16"/>
  <c r="CM37" i="16"/>
  <c r="BL27" i="16"/>
  <c r="O15" i="16"/>
  <c r="P37" i="16"/>
  <c r="T80" i="16"/>
  <c r="BI69" i="16"/>
  <c r="BZ58" i="16"/>
  <c r="BM58" i="16"/>
  <c r="AD81" i="16"/>
  <c r="AN54" i="16"/>
  <c r="BX30" i="16"/>
  <c r="CG54" i="16"/>
  <c r="K14" i="16"/>
  <c r="BJ24" i="16"/>
  <c r="K87" i="16"/>
  <c r="CR37" i="16"/>
  <c r="AY35" i="16"/>
  <c r="R71" i="16"/>
  <c r="CN29" i="16"/>
  <c r="CZ47" i="16"/>
  <c r="CH58" i="16"/>
  <c r="CO14" i="16"/>
  <c r="BN68" i="16"/>
  <c r="AK46" i="16"/>
  <c r="BZ26" i="16"/>
  <c r="W82" i="16"/>
  <c r="CM69" i="16"/>
  <c r="AQ38" i="16"/>
  <c r="CP48" i="16"/>
  <c r="CK70" i="16"/>
  <c r="AQ42" i="16"/>
  <c r="BQ31" i="16"/>
  <c r="BQ42" i="16"/>
  <c r="M46" i="16"/>
  <c r="U57" i="16"/>
  <c r="BW87" i="16"/>
  <c r="AZ27" i="16"/>
  <c r="BO51" i="16"/>
  <c r="CR81" i="16"/>
  <c r="AB23" i="16"/>
  <c r="BW38" i="16"/>
  <c r="T74" i="16"/>
  <c r="AM63" i="16"/>
  <c r="O59" i="16"/>
  <c r="M27" i="16"/>
  <c r="CX23" i="16"/>
  <c r="CG74" i="16"/>
  <c r="BX54" i="16"/>
  <c r="AL68" i="16"/>
  <c r="AT17" i="16"/>
  <c r="BN47" i="16"/>
  <c r="BN53" i="16"/>
  <c r="BP84" i="16"/>
  <c r="AE35" i="16"/>
  <c r="DC50" i="16"/>
  <c r="BP63" i="16"/>
  <c r="BG69" i="16"/>
  <c r="BP49" i="16"/>
  <c r="AO48" i="16"/>
  <c r="BO62" i="16"/>
  <c r="BV26" i="16"/>
  <c r="CY68" i="16"/>
  <c r="CT48" i="16"/>
  <c r="BC87" i="16"/>
  <c r="AT57" i="16"/>
  <c r="CP50" i="16"/>
  <c r="U38" i="16"/>
  <c r="N69" i="16"/>
  <c r="CA65" i="16"/>
  <c r="AR42" i="16"/>
  <c r="BL71" i="16"/>
  <c r="BU54" i="16"/>
  <c r="AD19" i="16"/>
  <c r="BS15" i="16"/>
  <c r="BN42" i="16"/>
  <c r="BG86" i="16"/>
  <c r="CW71" i="16"/>
  <c r="AF17" i="16"/>
  <c r="DA64" i="16"/>
  <c r="CG39" i="16"/>
  <c r="AP62" i="16"/>
  <c r="CB19" i="16"/>
  <c r="M72" i="16"/>
  <c r="CM38" i="16"/>
  <c r="BF69" i="16"/>
  <c r="BI52" i="16"/>
  <c r="AL85" i="16"/>
  <c r="T86" i="16"/>
  <c r="CO48" i="16"/>
  <c r="CM51" i="16"/>
  <c r="BZ76" i="16"/>
  <c r="CE59" i="16"/>
  <c r="CM17" i="16"/>
  <c r="CM71" i="16"/>
  <c r="BF34" i="16"/>
  <c r="BE69" i="16"/>
  <c r="BY26" i="16"/>
  <c r="DC70" i="16"/>
  <c r="BL20" i="16"/>
  <c r="BJ25" i="16"/>
  <c r="DC85" i="16"/>
  <c r="CE37" i="16"/>
  <c r="AI70" i="16"/>
  <c r="BE27" i="16"/>
  <c r="AG38" i="16"/>
  <c r="DA86" i="16"/>
  <c r="BO75" i="16"/>
  <c r="AZ46" i="16"/>
  <c r="CW49" i="16"/>
  <c r="BF63" i="16"/>
  <c r="CT30" i="16"/>
  <c r="BV35" i="16"/>
  <c r="M68" i="16"/>
  <c r="BM15" i="16"/>
  <c r="AJ61" i="16"/>
  <c r="AH39" i="16"/>
  <c r="AP50" i="16"/>
  <c r="CP53" i="16"/>
  <c r="CK79" i="16"/>
  <c r="W68" i="16"/>
  <c r="CO28" i="16"/>
  <c r="BP28" i="16"/>
  <c r="AO16" i="16"/>
  <c r="P73" i="16"/>
  <c r="Q83" i="16"/>
  <c r="H58" i="16"/>
  <c r="CG16" i="16"/>
  <c r="BT40" i="16"/>
  <c r="O16" i="16"/>
  <c r="AM47" i="16"/>
  <c r="AK68" i="16"/>
  <c r="U84" i="16"/>
  <c r="BR16" i="16"/>
  <c r="AB73" i="16"/>
  <c r="DB16" i="16"/>
  <c r="BP46" i="16"/>
  <c r="AR47" i="16"/>
  <c r="BV23" i="16"/>
  <c r="M35" i="16"/>
  <c r="T15" i="16"/>
  <c r="AQ50" i="16"/>
  <c r="CN46" i="16"/>
  <c r="T50" i="16"/>
  <c r="CR24" i="16"/>
  <c r="BH23" i="16"/>
  <c r="BZ50" i="16"/>
  <c r="BC39" i="16"/>
  <c r="CJ34" i="16"/>
  <c r="BM50" i="16"/>
  <c r="CQ68" i="16"/>
  <c r="CV73" i="16"/>
  <c r="CY47" i="16"/>
  <c r="CG46" i="16"/>
  <c r="CT16" i="16"/>
  <c r="BJ28" i="16"/>
  <c r="BE73" i="16"/>
  <c r="BK73" i="16"/>
  <c r="BT35" i="16"/>
  <c r="BA63" i="16"/>
  <c r="AI75" i="16"/>
  <c r="T75" i="16"/>
  <c r="CE29" i="16"/>
  <c r="CK30" i="16"/>
  <c r="AY23" i="16"/>
  <c r="BS34" i="16"/>
  <c r="AL24" i="16"/>
  <c r="BG75" i="16"/>
  <c r="CI63" i="16"/>
  <c r="BF75" i="16"/>
  <c r="DA15" i="16"/>
  <c r="CO82" i="16"/>
  <c r="BY46" i="16"/>
  <c r="AN57" i="16"/>
  <c r="I79" i="16"/>
  <c r="BC30" i="16"/>
  <c r="CJ80" i="16"/>
  <c r="I63" i="16"/>
  <c r="P50" i="16"/>
  <c r="BZ14" i="16"/>
  <c r="CA70" i="16"/>
  <c r="CD65" i="16"/>
  <c r="Z14" i="16"/>
  <c r="U15" i="16"/>
  <c r="AV59" i="16"/>
  <c r="R37" i="16"/>
  <c r="CH46" i="16"/>
  <c r="BK84" i="16"/>
  <c r="AG28" i="16"/>
  <c r="BF31" i="16"/>
  <c r="M63" i="16"/>
  <c r="P63" i="16"/>
  <c r="AB50" i="16"/>
  <c r="AS15" i="16"/>
  <c r="AB15" i="16"/>
  <c r="T53" i="16"/>
  <c r="AJ18" i="16"/>
  <c r="AV53" i="16"/>
  <c r="P47" i="16"/>
  <c r="BU30" i="16"/>
  <c r="CO83" i="16"/>
  <c r="BS47" i="16"/>
  <c r="BB49" i="16"/>
  <c r="CW30" i="16"/>
  <c r="CW73" i="16"/>
  <c r="BL73" i="16"/>
  <c r="AC29" i="16"/>
  <c r="AY62" i="16"/>
  <c r="X37" i="16"/>
  <c r="Q17" i="16"/>
  <c r="AP47" i="16"/>
  <c r="BK65" i="16"/>
  <c r="Y50" i="16"/>
  <c r="S18" i="16"/>
  <c r="AZ74" i="16"/>
  <c r="CI82" i="16"/>
  <c r="DB18" i="16"/>
  <c r="BJ29" i="16"/>
  <c r="CZ29" i="16"/>
  <c r="AD50" i="16"/>
  <c r="W29" i="16"/>
  <c r="AV47" i="16"/>
  <c r="AL30" i="16"/>
  <c r="M18" i="16"/>
  <c r="X75" i="16"/>
  <c r="AP82" i="16"/>
  <c r="BK39" i="16"/>
  <c r="T35" i="16"/>
  <c r="AT80" i="16"/>
  <c r="H24" i="16"/>
  <c r="BQ83" i="16"/>
  <c r="AS61" i="16"/>
  <c r="AN61" i="16"/>
  <c r="CK40" i="16"/>
  <c r="CZ84" i="16"/>
  <c r="AO82" i="16"/>
  <c r="DA46" i="16"/>
  <c r="BV75" i="16"/>
  <c r="BA80" i="16"/>
  <c r="BC82" i="16"/>
  <c r="I58" i="16"/>
  <c r="CB68" i="16"/>
  <c r="CF50" i="16"/>
  <c r="AW79" i="16"/>
  <c r="CM46" i="16"/>
  <c r="CU50" i="16"/>
  <c r="K30" i="16"/>
  <c r="CH75" i="16"/>
  <c r="L75" i="16"/>
  <c r="X68" i="16"/>
  <c r="AP58" i="16"/>
  <c r="AG39" i="16"/>
  <c r="BW63" i="16"/>
  <c r="AI47" i="16"/>
  <c r="CX18" i="16"/>
  <c r="AK80" i="16"/>
  <c r="BR31" i="16"/>
  <c r="CL50" i="16"/>
  <c r="H39" i="16"/>
  <c r="CL15" i="16"/>
  <c r="DB39" i="16"/>
  <c r="AD84" i="16"/>
  <c r="M53" i="16"/>
  <c r="CN40" i="16"/>
  <c r="AU47" i="16"/>
  <c r="CM80" i="16"/>
  <c r="BX75" i="16"/>
  <c r="BW35" i="16"/>
  <c r="AI58" i="16"/>
  <c r="AW23" i="16"/>
  <c r="AX87" i="16"/>
  <c r="BV39" i="16"/>
  <c r="BG24" i="16"/>
  <c r="AA29" i="16"/>
  <c r="V29" i="16"/>
  <c r="R46" i="16"/>
  <c r="AU73" i="16"/>
  <c r="CJ79" i="16"/>
  <c r="BG53" i="16"/>
  <c r="BA28" i="16"/>
  <c r="BH79" i="16"/>
  <c r="CW68" i="16"/>
  <c r="BW15" i="16"/>
  <c r="BE39" i="16"/>
  <c r="AV61" i="16"/>
  <c r="AC82" i="16"/>
  <c r="BD63" i="16"/>
  <c r="CG30" i="16"/>
  <c r="CU61" i="16"/>
  <c r="P79" i="16"/>
  <c r="DB42" i="16"/>
  <c r="CG29" i="16"/>
  <c r="H27" i="16"/>
  <c r="BD42" i="16"/>
  <c r="AK35" i="16"/>
  <c r="AB27" i="16"/>
  <c r="CW14" i="16"/>
  <c r="CK18" i="16"/>
  <c r="AW63" i="16"/>
  <c r="V75" i="16"/>
  <c r="AW18" i="16"/>
  <c r="L24" i="16"/>
  <c r="BU23" i="16"/>
  <c r="BE75" i="16"/>
  <c r="CY75" i="16"/>
  <c r="BY18" i="16"/>
  <c r="BU28" i="16"/>
  <c r="AS82" i="16"/>
  <c r="AG68" i="16"/>
  <c r="AN80" i="16"/>
  <c r="CF82" i="16"/>
  <c r="CI61" i="16"/>
  <c r="BU84" i="16"/>
  <c r="AF61" i="16"/>
  <c r="AE40" i="16"/>
  <c r="AF18" i="16"/>
  <c r="AM68" i="16"/>
  <c r="H28" i="16"/>
  <c r="BW29" i="16"/>
  <c r="AV26" i="16"/>
  <c r="BZ28" i="16"/>
  <c r="BS29" i="16"/>
  <c r="AA83" i="16"/>
  <c r="BR50" i="16"/>
  <c r="AH23" i="16"/>
  <c r="BS46" i="16"/>
  <c r="CC82" i="16"/>
  <c r="AR49" i="16"/>
  <c r="BT57" i="16"/>
  <c r="U72" i="16"/>
  <c r="Y23" i="16"/>
  <c r="CL35" i="16"/>
  <c r="AH30" i="16"/>
  <c r="CJ30" i="16"/>
  <c r="CQ23" i="16"/>
  <c r="DB73" i="16"/>
  <c r="CY40" i="16"/>
  <c r="BA35" i="16"/>
  <c r="CV84" i="16"/>
  <c r="AZ86" i="16"/>
  <c r="CV26" i="16"/>
  <c r="CR63" i="16"/>
  <c r="CB14" i="16"/>
  <c r="BM54" i="16"/>
  <c r="CX14" i="16"/>
  <c r="AT15" i="16"/>
  <c r="CE71" i="16"/>
  <c r="CF31" i="16"/>
  <c r="AC54" i="16"/>
  <c r="CU31" i="16"/>
  <c r="AO60" i="16"/>
  <c r="CZ76" i="16"/>
  <c r="BS20" i="16"/>
  <c r="CQ51" i="16"/>
  <c r="CU37" i="16"/>
  <c r="R52" i="16"/>
  <c r="CB53" i="16"/>
  <c r="CH39" i="16"/>
  <c r="BH26" i="16"/>
  <c r="CG24" i="16"/>
  <c r="BE53" i="16"/>
  <c r="CB47" i="16"/>
  <c r="CP47" i="16"/>
  <c r="CW58" i="16"/>
  <c r="CU28" i="16"/>
  <c r="AP30" i="16"/>
  <c r="AJ39" i="16"/>
  <c r="BU69" i="16"/>
  <c r="BC54" i="16"/>
  <c r="BU18" i="16"/>
  <c r="CJ76" i="16"/>
  <c r="AK70" i="16"/>
  <c r="BO52" i="16"/>
  <c r="M84" i="16"/>
  <c r="BJ30" i="16"/>
  <c r="CA57" i="16"/>
  <c r="CQ87" i="16"/>
  <c r="BJ57" i="16"/>
  <c r="T65" i="16"/>
  <c r="N14" i="16"/>
  <c r="BE48" i="16"/>
  <c r="AK42" i="16"/>
  <c r="CO60" i="16"/>
  <c r="CU27" i="16"/>
  <c r="AB82" i="16"/>
  <c r="AX46" i="16"/>
  <c r="BF25" i="16"/>
  <c r="AC68" i="16"/>
  <c r="U61" i="16"/>
  <c r="O46" i="16"/>
  <c r="O76" i="16"/>
  <c r="M61" i="16"/>
  <c r="CC75" i="16"/>
  <c r="BV80" i="16"/>
  <c r="AE29" i="16"/>
  <c r="AV42" i="16"/>
  <c r="CX27" i="16"/>
  <c r="T42" i="16"/>
  <c r="BB82" i="16"/>
  <c r="BM38" i="16"/>
  <c r="DC81" i="16"/>
  <c r="AY65" i="16"/>
  <c r="BI84" i="16"/>
  <c r="BO59" i="16"/>
  <c r="BG74" i="16"/>
  <c r="CJ52" i="16"/>
  <c r="AT74" i="16"/>
  <c r="AH87" i="16"/>
  <c r="BR87" i="16"/>
  <c r="AI35" i="16"/>
  <c r="CD84" i="16"/>
  <c r="CF79" i="16"/>
  <c r="CM20" i="16"/>
  <c r="DA18" i="16"/>
  <c r="Q58" i="16"/>
  <c r="H52" i="16"/>
  <c r="AX29" i="16"/>
  <c r="BF58" i="16"/>
  <c r="BG52" i="16"/>
  <c r="P49" i="16"/>
  <c r="BA42" i="16"/>
  <c r="BD69" i="16"/>
  <c r="CC15" i="16"/>
  <c r="Y75" i="16"/>
  <c r="CG62" i="16"/>
  <c r="CS40" i="16"/>
  <c r="CS79" i="16"/>
  <c r="CO70" i="16"/>
  <c r="X15" i="16"/>
  <c r="AL64" i="16"/>
  <c r="DB17" i="16"/>
  <c r="K58" i="16"/>
  <c r="AM62" i="16"/>
  <c r="AH62" i="16"/>
  <c r="CJ19" i="16"/>
  <c r="BJ63" i="16"/>
  <c r="CQ24" i="16"/>
  <c r="S73" i="16"/>
  <c r="AW27" i="16"/>
  <c r="AN40" i="16"/>
  <c r="AC27" i="16"/>
  <c r="AU30" i="16"/>
  <c r="L61" i="16"/>
  <c r="R54" i="16"/>
  <c r="CB73" i="16"/>
  <c r="BS68" i="16"/>
  <c r="CL47" i="16"/>
  <c r="BK58" i="16"/>
  <c r="AX75" i="16"/>
  <c r="CQ84" i="16"/>
  <c r="BC50" i="16"/>
  <c r="CK63" i="16"/>
  <c r="K16" i="16"/>
  <c r="BH63" i="16"/>
  <c r="R60" i="16"/>
  <c r="BG83" i="16"/>
  <c r="R26" i="16"/>
  <c r="CC31" i="16"/>
  <c r="BN84" i="16"/>
  <c r="BW76" i="16"/>
  <c r="AG37" i="16"/>
  <c r="CS17" i="16"/>
  <c r="CE72" i="16"/>
  <c r="BV48" i="16"/>
  <c r="O50" i="16"/>
  <c r="AZ69" i="16"/>
  <c r="CF53" i="16"/>
  <c r="AP39" i="16"/>
  <c r="CJ57" i="16"/>
  <c r="AO39" i="16"/>
  <c r="AF36" i="16"/>
  <c r="N27" i="16"/>
  <c r="CO68" i="16"/>
  <c r="AV75" i="16"/>
  <c r="CZ35" i="16"/>
  <c r="BO82" i="16"/>
  <c r="AF46" i="16"/>
  <c r="AM83" i="16"/>
  <c r="AW29" i="16"/>
  <c r="CZ39" i="16"/>
  <c r="O73" i="16"/>
  <c r="AM26" i="16"/>
  <c r="AD18" i="16"/>
  <c r="AH18" i="16"/>
  <c r="CH59" i="16"/>
  <c r="CW72" i="16"/>
  <c r="AM65" i="16"/>
  <c r="AX27" i="16"/>
  <c r="BM27" i="16"/>
  <c r="BF76" i="16"/>
  <c r="CL54" i="16"/>
  <c r="BM62" i="16"/>
  <c r="CA16" i="16"/>
  <c r="M80" i="16"/>
  <c r="DC51" i="16"/>
  <c r="CO81" i="16"/>
  <c r="AK23" i="16"/>
  <c r="BA62" i="16"/>
  <c r="BQ76" i="16"/>
  <c r="BV73" i="16"/>
  <c r="BF81" i="16"/>
  <c r="CA46" i="16"/>
  <c r="BM40" i="16"/>
  <c r="BT18" i="16"/>
  <c r="BR63" i="16"/>
  <c r="CM73" i="16"/>
  <c r="BR30" i="16"/>
  <c r="N28" i="16"/>
  <c r="BA39" i="16"/>
  <c r="M15" i="16"/>
  <c r="CF28" i="16"/>
  <c r="CZ38" i="16"/>
  <c r="AB65" i="16"/>
  <c r="V19" i="16"/>
  <c r="AX74" i="16"/>
  <c r="CE50" i="16"/>
  <c r="AE87" i="16"/>
  <c r="BG59" i="16"/>
  <c r="CW54" i="16"/>
  <c r="BQ46" i="16"/>
  <c r="CY69" i="16"/>
  <c r="CM81" i="16"/>
  <c r="BD74" i="16"/>
  <c r="BU52" i="16"/>
  <c r="AU84" i="16"/>
  <c r="CY48" i="16"/>
  <c r="AM16" i="16"/>
  <c r="AJ64" i="16"/>
  <c r="BY15" i="16"/>
  <c r="AC64" i="16"/>
  <c r="H63" i="16"/>
  <c r="CT80" i="16"/>
  <c r="AI71" i="16"/>
  <c r="AT63" i="16"/>
  <c r="CA24" i="16"/>
  <c r="CA23" i="16"/>
  <c r="AX16" i="16"/>
  <c r="BI40" i="16"/>
  <c r="BJ82" i="16"/>
  <c r="CN58" i="16"/>
  <c r="CG18" i="16"/>
  <c r="CF76" i="16"/>
  <c r="CY63" i="16"/>
  <c r="CB81" i="16"/>
  <c r="CB49" i="16"/>
  <c r="U20" i="16"/>
  <c r="AK52" i="16"/>
  <c r="V58" i="16"/>
  <c r="CK69" i="16"/>
  <c r="AF81" i="16"/>
  <c r="AN74" i="16"/>
  <c r="CW15" i="16"/>
  <c r="AF19" i="16"/>
  <c r="CD71" i="16"/>
  <c r="BE52" i="16"/>
  <c r="AH37" i="16"/>
  <c r="CJ46" i="16"/>
  <c r="AX57" i="16"/>
  <c r="CF34" i="16"/>
  <c r="CQ57" i="16"/>
  <c r="BJ26" i="16"/>
  <c r="AJ57" i="16"/>
  <c r="BT17" i="16"/>
  <c r="CA14" i="16"/>
  <c r="AR83" i="16"/>
  <c r="R61" i="16"/>
  <c r="N70" i="16"/>
  <c r="CB70" i="16"/>
  <c r="I20" i="16"/>
  <c r="BR61" i="16"/>
  <c r="BM51" i="16"/>
  <c r="H60" i="16"/>
  <c r="DB87" i="16"/>
  <c r="DA52" i="16"/>
  <c r="N120" i="15"/>
  <c r="CD34" i="16"/>
  <c r="J34" i="16"/>
  <c r="BX62" i="16"/>
  <c r="J71" i="16"/>
  <c r="CE17" i="16"/>
  <c r="W17" i="16"/>
  <c r="CX57" i="16"/>
  <c r="Z27" i="16"/>
  <c r="CK64" i="16"/>
  <c r="AU60" i="16"/>
  <c r="BY59" i="16"/>
  <c r="BL25" i="16"/>
  <c r="AM25" i="16"/>
  <c r="AM59" i="16"/>
  <c r="P70" i="16"/>
  <c r="AY37" i="16"/>
  <c r="CW39" i="16"/>
  <c r="X63" i="16"/>
  <c r="O53" i="16"/>
  <c r="BB19" i="16"/>
  <c r="AL80" i="16"/>
  <c r="I28" i="16"/>
  <c r="CY28" i="16"/>
  <c r="AW30" i="16"/>
  <c r="CS35" i="16"/>
  <c r="AM61" i="16"/>
  <c r="CJ29" i="16"/>
  <c r="CQ18" i="16"/>
  <c r="AA61" i="16"/>
  <c r="AR29" i="16"/>
  <c r="BO79" i="16"/>
  <c r="U30" i="16"/>
  <c r="BI73" i="16"/>
  <c r="L63" i="16"/>
  <c r="BR29" i="16"/>
  <c r="CU16" i="16"/>
  <c r="AU16" i="16"/>
  <c r="AP28" i="16"/>
  <c r="CY24" i="16"/>
  <c r="M50" i="16"/>
  <c r="AE18" i="16"/>
  <c r="AA80" i="16"/>
  <c r="AT68" i="16"/>
  <c r="BN23" i="16"/>
  <c r="CX75" i="16"/>
  <c r="X47" i="16"/>
  <c r="O18" i="16"/>
  <c r="R53" i="16"/>
  <c r="AH53" i="16"/>
  <c r="CK39" i="16"/>
  <c r="CQ40" i="16"/>
  <c r="AZ82" i="16"/>
  <c r="AB18" i="16"/>
  <c r="BZ82" i="16"/>
  <c r="BB73" i="16"/>
  <c r="DA63" i="16"/>
  <c r="CZ18" i="16"/>
  <c r="AH82" i="16"/>
  <c r="T79" i="16"/>
  <c r="CM27" i="16"/>
  <c r="N35" i="16"/>
  <c r="CD30" i="16"/>
  <c r="BA54" i="16"/>
  <c r="BL82" i="16"/>
  <c r="BB50" i="16"/>
  <c r="AC80" i="16"/>
  <c r="BU75" i="16"/>
  <c r="T84" i="16"/>
  <c r="L35" i="16"/>
  <c r="P58" i="16"/>
  <c r="BH82" i="16"/>
  <c r="BU80" i="16"/>
  <c r="U63" i="16"/>
  <c r="CL63" i="16"/>
  <c r="AA53" i="16"/>
  <c r="AH80" i="16"/>
  <c r="CS61" i="16"/>
  <c r="K68" i="16"/>
  <c r="AI15" i="16"/>
  <c r="DC39" i="16"/>
  <c r="CV28" i="16"/>
  <c r="CK46" i="16"/>
  <c r="BI15" i="16"/>
  <c r="CW53" i="16"/>
  <c r="BW61" i="16"/>
  <c r="AE72" i="16"/>
  <c r="DA26" i="16"/>
  <c r="X29" i="16"/>
  <c r="BM63" i="16"/>
  <c r="DC76" i="16"/>
  <c r="AL35" i="16"/>
  <c r="CN73" i="16"/>
  <c r="BX46" i="16"/>
  <c r="CH50" i="16"/>
  <c r="BX73" i="16"/>
  <c r="K35" i="16"/>
  <c r="AF59" i="16"/>
  <c r="CD68" i="16"/>
  <c r="AQ15" i="16"/>
  <c r="CK61" i="16"/>
  <c r="BK24" i="16"/>
  <c r="W18" i="16"/>
  <c r="AU28" i="16"/>
  <c r="BU72" i="16"/>
  <c r="BT24" i="16"/>
  <c r="BF18" i="16"/>
  <c r="DB50" i="16"/>
  <c r="AK40" i="16"/>
  <c r="Y46" i="16"/>
  <c r="CJ53" i="16"/>
  <c r="N79" i="16"/>
  <c r="CR18" i="16"/>
  <c r="CH29" i="16"/>
  <c r="BK81" i="16"/>
  <c r="BE24" i="16"/>
  <c r="BQ68" i="16"/>
  <c r="AS39" i="16"/>
  <c r="CJ15" i="16"/>
  <c r="AR30" i="16"/>
  <c r="BE82" i="16"/>
  <c r="CR80" i="16"/>
  <c r="AY16" i="16"/>
  <c r="AK29" i="16"/>
  <c r="CA80" i="16"/>
  <c r="CB15" i="16"/>
  <c r="AW73" i="16"/>
  <c r="P15" i="16"/>
  <c r="AJ83" i="16"/>
  <c r="BY35" i="16"/>
  <c r="CO50" i="16"/>
  <c r="BZ84" i="16"/>
  <c r="CU84" i="16"/>
  <c r="BM28" i="16"/>
  <c r="CA26" i="16"/>
  <c r="S68" i="16"/>
  <c r="CB30" i="16"/>
  <c r="CV82" i="16"/>
  <c r="AU61" i="16"/>
  <c r="CR16" i="16"/>
  <c r="V16" i="16"/>
  <c r="BH35" i="16"/>
  <c r="X79" i="16"/>
  <c r="BR53" i="16"/>
  <c r="BD84" i="16"/>
  <c r="AT46" i="16"/>
  <c r="P61" i="16"/>
  <c r="AG80" i="16"/>
  <c r="BR84" i="16"/>
  <c r="DC84" i="16"/>
  <c r="CT83" i="16"/>
  <c r="DC64" i="16"/>
  <c r="S58" i="16"/>
  <c r="CR83" i="16"/>
  <c r="CI71" i="16"/>
  <c r="AI61" i="16"/>
  <c r="CN61" i="16"/>
  <c r="AA47" i="16"/>
  <c r="BS49" i="16"/>
  <c r="N50" i="16"/>
  <c r="BB15" i="16"/>
  <c r="AQ16" i="16"/>
  <c r="AJ53" i="16"/>
  <c r="M28" i="16"/>
  <c r="K50" i="16"/>
  <c r="AH15" i="16"/>
  <c r="X24" i="16"/>
  <c r="I24" i="16"/>
  <c r="BP73" i="16"/>
  <c r="CY50" i="16"/>
  <c r="BC23" i="16"/>
  <c r="CW79" i="16"/>
  <c r="J29" i="16"/>
  <c r="BY28" i="16"/>
  <c r="CM16" i="16"/>
  <c r="AX39" i="16"/>
  <c r="AD16" i="16"/>
  <c r="CP63" i="16"/>
  <c r="CV63" i="16"/>
  <c r="BV29" i="16"/>
  <c r="S63" i="16"/>
  <c r="BE61" i="16"/>
  <c r="V68" i="16"/>
  <c r="V84" i="16"/>
  <c r="CN15" i="16"/>
  <c r="BF53" i="16"/>
  <c r="CZ73" i="16"/>
  <c r="Y30" i="16"/>
  <c r="O64" i="16"/>
  <c r="CK47" i="16"/>
  <c r="R47" i="16"/>
  <c r="U16" i="16"/>
  <c r="BK40" i="16"/>
  <c r="CL30" i="16"/>
  <c r="X80" i="16"/>
  <c r="AB71" i="16"/>
  <c r="BY79" i="16"/>
  <c r="BH37" i="16"/>
  <c r="AS87" i="16"/>
  <c r="AH29" i="16"/>
  <c r="DB72" i="16"/>
  <c r="CO80" i="16"/>
  <c r="AA35" i="16"/>
  <c r="AI62" i="16"/>
  <c r="M83" i="16"/>
  <c r="AS58" i="16"/>
  <c r="CC58" i="16"/>
  <c r="BS61" i="16"/>
  <c r="AW75" i="16"/>
  <c r="CE82" i="16"/>
  <c r="L18" i="16"/>
  <c r="DA39" i="16"/>
  <c r="CF39" i="16"/>
  <c r="AK47" i="16"/>
  <c r="AT16" i="16"/>
  <c r="BR68" i="16"/>
  <c r="CV47" i="16"/>
  <c r="AV50" i="16"/>
  <c r="BB39" i="16"/>
  <c r="AT30" i="16"/>
  <c r="CC30" i="16"/>
  <c r="BY63" i="16"/>
  <c r="BL63" i="16"/>
  <c r="BJ53" i="16"/>
  <c r="V28" i="16"/>
  <c r="AK61" i="16"/>
  <c r="M79" i="16"/>
  <c r="CB61" i="16"/>
  <c r="BT16" i="16"/>
  <c r="Y73" i="16"/>
  <c r="CO61" i="16"/>
  <c r="BL83" i="16"/>
  <c r="BU47" i="16"/>
  <c r="BX53" i="16"/>
  <c r="BP30" i="16"/>
  <c r="BW18" i="16"/>
  <c r="AM70" i="16"/>
  <c r="CJ26" i="16"/>
  <c r="AN47" i="16"/>
  <c r="AL29" i="16"/>
  <c r="BM41" i="16"/>
  <c r="BV40" i="16"/>
  <c r="AE63" i="16"/>
  <c r="U31" i="16"/>
  <c r="S86" i="16"/>
  <c r="U27" i="16"/>
  <c r="AG76" i="16"/>
  <c r="BO16" i="16"/>
  <c r="BB75" i="16"/>
  <c r="M20" i="16"/>
  <c r="BF26" i="16"/>
  <c r="AH47" i="16"/>
  <c r="CL38" i="16"/>
  <c r="AZ23" i="16"/>
  <c r="N58" i="16"/>
  <c r="N59" i="16"/>
  <c r="Z62" i="16"/>
  <c r="U59" i="16"/>
  <c r="BY14" i="16"/>
  <c r="BY48" i="16"/>
  <c r="CH37" i="16"/>
  <c r="BG87" i="16"/>
  <c r="AM27" i="16"/>
  <c r="X76" i="16"/>
  <c r="L39" i="16"/>
  <c r="BU64" i="16"/>
  <c r="CZ52" i="16"/>
  <c r="BY82" i="16"/>
  <c r="CO39" i="16"/>
  <c r="AC60" i="16"/>
  <c r="CF63" i="16"/>
  <c r="BQ39" i="16"/>
  <c r="CP17" i="16"/>
  <c r="AT28" i="16"/>
  <c r="BJ15" i="16"/>
  <c r="I23" i="16"/>
  <c r="Q42" i="16"/>
  <c r="AB83" i="16"/>
  <c r="AW87" i="16"/>
  <c r="CN24" i="16"/>
  <c r="P65" i="16"/>
  <c r="BE80" i="16"/>
  <c r="CG47" i="16"/>
  <c r="AR69" i="16"/>
  <c r="N81" i="16"/>
  <c r="AC72" i="16"/>
  <c r="BF48" i="16"/>
  <c r="AI87" i="16"/>
  <c r="AK74" i="16"/>
  <c r="AC26" i="16"/>
  <c r="BJ74" i="16"/>
  <c r="U35" i="16"/>
  <c r="AY18" i="16"/>
  <c r="BZ63" i="16"/>
  <c r="AH19" i="16"/>
  <c r="CI29" i="16"/>
  <c r="BD28" i="16"/>
  <c r="BU74" i="16"/>
  <c r="BD23" i="16"/>
  <c r="BD40" i="16"/>
  <c r="BB74" i="16"/>
  <c r="BQ58" i="16"/>
  <c r="BC51" i="16"/>
  <c r="CY26" i="16"/>
  <c r="AF24" i="16"/>
  <c r="CF30" i="16"/>
  <c r="BL26" i="16"/>
  <c r="BE23" i="16"/>
  <c r="BP50" i="16"/>
  <c r="X34" i="16"/>
  <c r="L30" i="16"/>
  <c r="CE74" i="16"/>
  <c r="AL71" i="16"/>
  <c r="CP60" i="16"/>
  <c r="AJ71" i="16"/>
  <c r="AU65" i="16"/>
  <c r="AO69" i="16"/>
  <c r="BM68" i="16"/>
  <c r="CL37" i="16"/>
  <c r="BA40" i="16"/>
  <c r="AO37" i="16"/>
  <c r="CU40" i="16"/>
  <c r="BL14" i="16"/>
  <c r="CT46" i="16"/>
  <c r="BH58" i="16"/>
  <c r="CV37" i="16"/>
  <c r="Z18" i="16"/>
  <c r="BZ18" i="16"/>
  <c r="Y29" i="16"/>
  <c r="CF47" i="16"/>
  <c r="CG40" i="16"/>
  <c r="AB58" i="16"/>
  <c r="BI68" i="16"/>
  <c r="K75" i="16"/>
  <c r="BC35" i="16"/>
  <c r="AY28" i="16"/>
  <c r="BU81" i="16"/>
  <c r="T51" i="16"/>
  <c r="O48" i="16"/>
  <c r="CJ83" i="16"/>
  <c r="AB80" i="16"/>
  <c r="CF70" i="16"/>
  <c r="AI86" i="16"/>
  <c r="BZ83" i="16"/>
  <c r="X82" i="16"/>
  <c r="X83" i="16"/>
  <c r="BJ72" i="16"/>
  <c r="W39" i="16"/>
  <c r="CX47" i="16"/>
  <c r="K79" i="16"/>
  <c r="BV68" i="16"/>
  <c r="BQ28" i="16"/>
  <c r="T30" i="16"/>
  <c r="CR82" i="16"/>
  <c r="DA73" i="16"/>
  <c r="CQ39" i="16"/>
  <c r="CJ74" i="16"/>
  <c r="AZ75" i="16"/>
  <c r="AK18" i="16"/>
  <c r="CX76" i="16"/>
  <c r="BT20" i="16"/>
  <c r="Q16" i="16"/>
  <c r="AO84" i="16"/>
  <c r="BD34" i="16"/>
  <c r="CM52" i="16"/>
  <c r="H59" i="16"/>
  <c r="AX28" i="16"/>
  <c r="CU54" i="16"/>
  <c r="CE38" i="16"/>
  <c r="AA27" i="16"/>
  <c r="AJ35" i="16"/>
  <c r="AY74" i="16"/>
  <c r="AI68" i="16"/>
  <c r="BQ16" i="16"/>
  <c r="CO42" i="16"/>
  <c r="CG84" i="16"/>
  <c r="AF16" i="16"/>
  <c r="CM61" i="16"/>
  <c r="AM53" i="16"/>
  <c r="AX24" i="16"/>
  <c r="BW53" i="16"/>
  <c r="AP46" i="16"/>
  <c r="Z58" i="16"/>
  <c r="V50" i="16"/>
  <c r="BZ74" i="16"/>
  <c r="AG54" i="16"/>
  <c r="DA68" i="16"/>
  <c r="DC47" i="16"/>
  <c r="CT51" i="16"/>
  <c r="AM52" i="16"/>
  <c r="BB35" i="16"/>
  <c r="N19" i="16"/>
  <c r="AA81" i="16"/>
  <c r="V20" i="16"/>
  <c r="AC34" i="16"/>
  <c r="V27" i="16"/>
  <c r="V72" i="16"/>
  <c r="AF26" i="16"/>
  <c r="N17" i="16"/>
  <c r="BI74" i="16"/>
  <c r="CQ65" i="16"/>
  <c r="AS62" i="16"/>
  <c r="BE17" i="16"/>
  <c r="CU34" i="16"/>
  <c r="N82" i="16"/>
  <c r="BG18" i="16"/>
  <c r="CE61" i="16"/>
  <c r="CR29" i="16"/>
  <c r="CB50" i="16"/>
  <c r="AS46" i="16"/>
  <c r="W15" i="16"/>
  <c r="AF75" i="16"/>
  <c r="CA76" i="16"/>
  <c r="AY51" i="16"/>
  <c r="AY39" i="16"/>
  <c r="CB16" i="16"/>
  <c r="AA26" i="16"/>
  <c r="CT41" i="16"/>
  <c r="CI50" i="16"/>
  <c r="AB40" i="16"/>
  <c r="AF48" i="16"/>
  <c r="R19" i="16"/>
  <c r="CA71" i="16"/>
  <c r="O61" i="16"/>
  <c r="L81" i="16"/>
  <c r="BI86" i="16"/>
  <c r="BB62" i="16"/>
  <c r="CH47" i="16"/>
  <c r="CZ51" i="16"/>
  <c r="AK71" i="16"/>
  <c r="BE71" i="16"/>
  <c r="AV64" i="16"/>
  <c r="CQ80" i="16"/>
  <c r="CX38" i="16"/>
  <c r="V57" i="16"/>
  <c r="CG80" i="16"/>
  <c r="V40" i="16"/>
  <c r="R23" i="16"/>
  <c r="CS82" i="16"/>
  <c r="AI39" i="16"/>
  <c r="DB79" i="16"/>
  <c r="AD29" i="16"/>
  <c r="AE61" i="16"/>
  <c r="CZ63" i="16"/>
  <c r="T31" i="16"/>
  <c r="BE86" i="16"/>
  <c r="AN24" i="16"/>
  <c r="BT39" i="16"/>
  <c r="CS69" i="16"/>
  <c r="J87" i="16"/>
  <c r="AM46" i="16"/>
  <c r="BB80" i="16"/>
  <c r="CB71" i="16"/>
  <c r="BC15" i="16"/>
  <c r="AA17" i="16"/>
  <c r="AA24" i="16"/>
  <c r="N71" i="16"/>
  <c r="AF34" i="16"/>
  <c r="AT64" i="16"/>
  <c r="BT42" i="16"/>
  <c r="P86" i="16"/>
  <c r="CU76" i="16"/>
  <c r="AV17" i="16"/>
  <c r="BU17" i="16"/>
  <c r="AP70" i="16"/>
  <c r="AY20" i="16"/>
  <c r="BG72" i="16"/>
  <c r="CD69" i="16"/>
  <c r="BW52" i="16"/>
  <c r="BT84" i="16"/>
  <c r="AH27" i="16"/>
  <c r="BK38" i="16"/>
  <c r="CT54" i="16"/>
  <c r="CZ81" i="16"/>
  <c r="AM14" i="16"/>
  <c r="BL57" i="16"/>
  <c r="CN37" i="16"/>
  <c r="CD39" i="16"/>
  <c r="AW14" i="16"/>
  <c r="BO31" i="16"/>
  <c r="BY42" i="16"/>
  <c r="AT14" i="16"/>
  <c r="AU42" i="16"/>
  <c r="CZ59" i="16"/>
  <c r="CP87" i="16"/>
  <c r="BF65" i="16"/>
  <c r="BW64" i="16"/>
  <c r="AI65" i="16"/>
  <c r="CJ17" i="16"/>
  <c r="CL70" i="16"/>
  <c r="BP54" i="16"/>
  <c r="BI14" i="16"/>
  <c r="N51" i="16"/>
  <c r="BQ36" i="16"/>
  <c r="AS36" i="16"/>
  <c r="AB39" i="16"/>
  <c r="CQ38" i="16"/>
  <c r="CT63" i="16"/>
  <c r="AZ38" i="16"/>
  <c r="CX50" i="16"/>
  <c r="L68" i="16"/>
  <c r="BY40" i="16"/>
  <c r="CO40" i="16"/>
  <c r="CX40" i="16"/>
  <c r="AF39" i="16"/>
  <c r="AG63" i="16"/>
  <c r="BU35" i="16"/>
  <c r="DC29" i="16"/>
  <c r="CI35" i="16"/>
  <c r="AM29" i="16"/>
  <c r="BT15" i="16"/>
  <c r="J53" i="16"/>
  <c r="AZ42" i="16"/>
  <c r="Z80" i="16"/>
  <c r="AS80" i="16"/>
  <c r="BK79" i="16"/>
  <c r="AN50" i="16"/>
  <c r="CK53" i="16"/>
  <c r="BE30" i="16"/>
  <c r="CR15" i="16"/>
  <c r="AH73" i="16"/>
  <c r="BK46" i="16"/>
  <c r="L20" i="16"/>
  <c r="AF79" i="16"/>
  <c r="BR82" i="16"/>
  <c r="AZ58" i="16"/>
  <c r="CU58" i="16"/>
  <c r="AC28" i="16"/>
  <c r="I40" i="16"/>
  <c r="BT75" i="16"/>
  <c r="CQ73" i="16"/>
  <c r="S35" i="16"/>
  <c r="Q80" i="16"/>
  <c r="AJ30" i="16"/>
  <c r="BF47" i="16"/>
  <c r="BK30" i="16"/>
  <c r="W28" i="16"/>
  <c r="CC79" i="16"/>
  <c r="CQ53" i="16"/>
  <c r="AN58" i="16"/>
  <c r="AT50" i="16"/>
  <c r="O29" i="16"/>
  <c r="CE85" i="16"/>
  <c r="AQ61" i="16"/>
  <c r="AD64" i="16"/>
  <c r="BJ68" i="16"/>
  <c r="CM58" i="16"/>
  <c r="AR71" i="16"/>
  <c r="AY50" i="16"/>
  <c r="P39" i="16"/>
  <c r="AU58" i="16"/>
  <c r="CM39" i="16"/>
  <c r="AX53" i="16"/>
  <c r="W50" i="16"/>
  <c r="CF46" i="16"/>
  <c r="AL39" i="16"/>
  <c r="BR40" i="16"/>
  <c r="CV39" i="16"/>
  <c r="CH63" i="16"/>
  <c r="CD61" i="16"/>
  <c r="BM47" i="16"/>
  <c r="CS50" i="16"/>
  <c r="BE79" i="16"/>
  <c r="R79" i="16"/>
  <c r="CG79" i="16"/>
  <c r="AC63" i="16"/>
  <c r="AU23" i="16"/>
  <c r="W84" i="16"/>
  <c r="BH24" i="16"/>
  <c r="AT73" i="16"/>
  <c r="BP41" i="16"/>
  <c r="AG70" i="16"/>
  <c r="AI79" i="16"/>
  <c r="AQ84" i="16"/>
  <c r="CI39" i="16"/>
  <c r="BB61" i="16"/>
  <c r="AS53" i="16"/>
  <c r="H84" i="16"/>
  <c r="CV46" i="16"/>
  <c r="BN46" i="16"/>
  <c r="BL46" i="16"/>
  <c r="J46" i="16"/>
  <c r="CJ24" i="16"/>
  <c r="AD24" i="16"/>
  <c r="AM39" i="16"/>
  <c r="BA16" i="16"/>
  <c r="DB80" i="16"/>
  <c r="N84" i="16"/>
  <c r="K24" i="16"/>
  <c r="CH18" i="16"/>
  <c r="DB23" i="16"/>
  <c r="K84" i="16"/>
  <c r="BI28" i="16"/>
  <c r="BQ49" i="16"/>
  <c r="CI40" i="16"/>
  <c r="BR24" i="16"/>
  <c r="I37" i="16"/>
  <c r="CA18" i="16"/>
  <c r="AR15" i="16"/>
  <c r="O75" i="16"/>
  <c r="DC58" i="16"/>
  <c r="AJ73" i="16"/>
  <c r="CE49" i="16"/>
  <c r="AH84" i="16"/>
  <c r="CG83" i="16"/>
  <c r="BE68" i="16"/>
  <c r="J48" i="16"/>
  <c r="BR46" i="16"/>
  <c r="V83" i="16"/>
  <c r="T48" i="16"/>
  <c r="CA35" i="16"/>
  <c r="P18" i="16"/>
  <c r="Y40" i="16"/>
  <c r="CP54" i="16"/>
  <c r="AP83" i="16"/>
  <c r="CQ61" i="16"/>
  <c r="M23" i="16"/>
  <c r="AL16" i="16"/>
  <c r="AP35" i="16"/>
  <c r="BG30" i="16"/>
  <c r="O79" i="16"/>
  <c r="BR75" i="16"/>
  <c r="AP68" i="16"/>
  <c r="BU65" i="16"/>
  <c r="H50" i="16"/>
  <c r="BF50" i="16"/>
  <c r="CO75" i="16"/>
  <c r="AY29" i="16"/>
  <c r="BA46" i="16"/>
  <c r="CZ24" i="16"/>
  <c r="CT59" i="16"/>
  <c r="BL16" i="16"/>
  <c r="P53" i="16"/>
  <c r="AZ83" i="16"/>
  <c r="DC30" i="16"/>
  <c r="BK57" i="16"/>
  <c r="S23" i="16"/>
  <c r="CE24" i="16"/>
  <c r="BP57" i="16"/>
  <c r="BJ79" i="16"/>
  <c r="BF73" i="16"/>
  <c r="BZ73" i="16"/>
  <c r="CU23" i="16"/>
  <c r="CH73" i="16"/>
  <c r="N61" i="16"/>
  <c r="CL28" i="16"/>
  <c r="AH35" i="16"/>
  <c r="BG35" i="16"/>
  <c r="AR82" i="16"/>
  <c r="AI18" i="16"/>
  <c r="AI16" i="16"/>
  <c r="CZ82" i="16"/>
  <c r="BV84" i="16"/>
  <c r="AP29" i="16"/>
  <c r="BB83" i="16"/>
  <c r="BO80" i="16"/>
  <c r="AR58" i="16"/>
  <c r="BM46" i="16"/>
  <c r="AV30" i="16"/>
  <c r="CY29" i="16"/>
  <c r="AT79" i="16"/>
  <c r="DC35" i="16"/>
  <c r="AU52" i="16"/>
  <c r="AD15" i="16"/>
  <c r="BH15" i="16"/>
  <c r="BX84" i="16"/>
  <c r="CO24" i="16"/>
  <c r="BB18" i="16"/>
  <c r="W35" i="16"/>
  <c r="BB84" i="16"/>
  <c r="CF73" i="16"/>
  <c r="AV63" i="16"/>
  <c r="DB75" i="16"/>
  <c r="CK23" i="16"/>
  <c r="AT29" i="16"/>
  <c r="BQ61" i="16"/>
  <c r="CJ63" i="16"/>
  <c r="CZ75" i="16"/>
  <c r="BD50" i="16"/>
  <c r="CB58" i="16"/>
  <c r="BN73" i="16"/>
  <c r="CG60" i="16"/>
  <c r="CT65" i="16"/>
  <c r="CZ40" i="16"/>
  <c r="AO75" i="16"/>
  <c r="J75" i="16"/>
  <c r="AT84" i="16"/>
  <c r="AU18" i="16"/>
  <c r="CE18" i="16"/>
  <c r="BK61" i="16"/>
  <c r="BI16" i="16"/>
  <c r="BN75" i="16"/>
  <c r="BY47" i="16"/>
  <c r="BH69" i="16"/>
  <c r="BZ15" i="16"/>
  <c r="O84" i="16"/>
  <c r="AC30" i="16"/>
  <c r="CE30" i="16"/>
  <c r="BY29" i="16"/>
  <c r="I84" i="16"/>
  <c r="BH47" i="16"/>
  <c r="AB46" i="16"/>
  <c r="I53" i="16"/>
  <c r="BX47" i="16"/>
  <c r="AN46" i="16"/>
  <c r="BV82" i="16"/>
  <c r="AD68" i="16"/>
  <c r="CO29" i="16"/>
  <c r="AY79" i="16"/>
  <c r="BQ18" i="16"/>
  <c r="BO28" i="16"/>
  <c r="CR14" i="16"/>
  <c r="Z28" i="16"/>
  <c r="AD48" i="16"/>
  <c r="AK75" i="16"/>
  <c r="N65" i="16"/>
  <c r="CD57" i="16"/>
  <c r="AL50" i="16"/>
  <c r="BC59" i="16"/>
  <c r="AF14" i="16"/>
  <c r="AY48" i="16"/>
  <c r="AM60" i="16"/>
  <c r="AY52" i="16"/>
  <c r="AE50" i="16"/>
  <c r="CV81" i="16"/>
  <c r="BH65" i="16"/>
  <c r="Q63" i="16"/>
  <c r="BY52" i="16"/>
  <c r="CQ59" i="16"/>
  <c r="CE40" i="16"/>
  <c r="AR14" i="16"/>
  <c r="K15" i="16"/>
  <c r="CS46" i="16"/>
  <c r="CO79" i="16"/>
  <c r="J40" i="16"/>
  <c r="DA79" i="16"/>
  <c r="BK16" i="16"/>
  <c r="L19" i="16"/>
  <c r="AT58" i="16"/>
  <c r="Q86" i="16"/>
  <c r="CW34" i="16"/>
  <c r="CX72" i="16"/>
  <c r="P68" i="16"/>
  <c r="CY38" i="16"/>
  <c r="AA74" i="16"/>
  <c r="CU38" i="16"/>
  <c r="BR83" i="16"/>
  <c r="CA72" i="16"/>
  <c r="W57" i="16"/>
  <c r="AU24" i="16"/>
  <c r="J61" i="16"/>
  <c r="BN17" i="16"/>
  <c r="AF57" i="16"/>
  <c r="CU68" i="16"/>
  <c r="AH63" i="16"/>
  <c r="AF27" i="16"/>
  <c r="BC83" i="16"/>
  <c r="AA79" i="16"/>
  <c r="CW27" i="16"/>
  <c r="CV61" i="16"/>
  <c r="CT39" i="16"/>
  <c r="CE53" i="16"/>
  <c r="P35" i="16"/>
  <c r="BP35" i="16"/>
  <c r="O82" i="16"/>
  <c r="AZ68" i="16"/>
  <c r="BB16" i="16"/>
  <c r="AV68" i="16"/>
  <c r="AW42" i="16"/>
  <c r="AJ58" i="16"/>
  <c r="AQ40" i="16"/>
  <c r="BR73" i="16"/>
  <c r="BD80" i="16"/>
  <c r="BC28" i="16"/>
  <c r="S82" i="16"/>
  <c r="BO84" i="16"/>
  <c r="BJ16" i="16"/>
  <c r="BM24" i="16"/>
  <c r="BT37" i="16"/>
  <c r="BK23" i="16"/>
  <c r="Z82" i="16"/>
  <c r="R15" i="16"/>
  <c r="CE58" i="16"/>
  <c r="CJ58" i="16"/>
  <c r="BX15" i="16"/>
  <c r="BH16" i="16"/>
  <c r="BM16" i="16"/>
  <c r="AF30" i="16"/>
  <c r="AV24" i="16"/>
  <c r="I30" i="16"/>
  <c r="CJ50" i="16"/>
  <c r="BI46" i="16"/>
  <c r="AM48" i="16"/>
  <c r="AA82" i="16"/>
  <c r="CN50" i="16"/>
  <c r="CN18" i="16"/>
  <c r="BW75" i="16"/>
  <c r="CE46" i="16"/>
  <c r="AF28" i="16"/>
  <c r="CG27" i="16"/>
  <c r="L47" i="16"/>
  <c r="BL81" i="16"/>
  <c r="CY20" i="16"/>
  <c r="M52" i="16"/>
  <c r="U39" i="16"/>
  <c r="BG40" i="16"/>
  <c r="AL19" i="16"/>
  <c r="BQ15" i="16"/>
  <c r="I39" i="16"/>
  <c r="BS73" i="16"/>
  <c r="CD46" i="16"/>
  <c r="I29" i="16"/>
  <c r="AA39" i="16"/>
  <c r="CL53" i="16"/>
  <c r="BM84" i="16"/>
  <c r="BB23" i="16"/>
  <c r="BF35" i="16"/>
  <c r="CG82" i="16"/>
  <c r="AN76" i="16"/>
  <c r="AI24" i="16"/>
  <c r="AO46" i="16"/>
  <c r="BG61" i="16"/>
  <c r="CN23" i="16"/>
  <c r="BE18" i="16"/>
  <c r="BJ18" i="16"/>
  <c r="Y15" i="16"/>
  <c r="AF58" i="16"/>
  <c r="J79" i="16"/>
  <c r="R35" i="16"/>
  <c r="BL30" i="16"/>
  <c r="CV68" i="16"/>
  <c r="AW16" i="16"/>
  <c r="CU35" i="16"/>
  <c r="K46" i="16"/>
  <c r="CO47" i="16"/>
  <c r="AQ65" i="16"/>
  <c r="CQ50" i="16"/>
  <c r="BL28" i="16"/>
  <c r="BX59" i="16"/>
  <c r="L40" i="16"/>
  <c r="AI40" i="16"/>
  <c r="DA24" i="16"/>
  <c r="AX73" i="16"/>
  <c r="BE63" i="16"/>
  <c r="AL63" i="16"/>
  <c r="AE47" i="16"/>
  <c r="AZ28" i="16"/>
  <c r="AR24" i="16"/>
  <c r="M70" i="16"/>
  <c r="R84" i="16"/>
  <c r="W63" i="16"/>
  <c r="CD73" i="16"/>
  <c r="AB63" i="16"/>
  <c r="AX68" i="16"/>
  <c r="CM79" i="16"/>
  <c r="BU29" i="16"/>
  <c r="BW82" i="16"/>
  <c r="Y47" i="16"/>
  <c r="L28" i="16"/>
  <c r="BE50" i="16"/>
  <c r="T18" i="16"/>
  <c r="AF23" i="16"/>
  <c r="AR57" i="16"/>
  <c r="CL46" i="16"/>
  <c r="CK19" i="16"/>
  <c r="AO27" i="16"/>
  <c r="CB29" i="16"/>
  <c r="DC34" i="16"/>
  <c r="BJ54" i="16"/>
  <c r="H30" i="16"/>
  <c r="BH80" i="16"/>
  <c r="BA53" i="16"/>
  <c r="S87" i="16"/>
  <c r="AS16" i="16"/>
  <c r="CY73" i="16"/>
  <c r="AL23" i="16"/>
  <c r="AM18" i="16"/>
  <c r="Q75" i="16"/>
  <c r="CH30" i="16"/>
  <c r="AT23" i="16"/>
  <c r="H46" i="16"/>
  <c r="Z61" i="16"/>
  <c r="AM28" i="16"/>
  <c r="X40" i="16"/>
  <c r="CR61" i="16"/>
  <c r="BL79" i="16"/>
  <c r="BJ84" i="16"/>
  <c r="Z40" i="16"/>
  <c r="CV40" i="16"/>
  <c r="BQ30" i="16"/>
  <c r="BX64" i="16"/>
  <c r="AX38" i="16"/>
  <c r="CG14" i="16"/>
  <c r="CV53" i="16"/>
  <c r="CN35" i="16"/>
  <c r="BY16" i="16"/>
  <c r="O35" i="16"/>
  <c r="CC16" i="16"/>
  <c r="AK24" i="16"/>
  <c r="BF23" i="16"/>
  <c r="CP18" i="16"/>
  <c r="AX40" i="16"/>
  <c r="CI18" i="16"/>
  <c r="CA31" i="16"/>
  <c r="AV16" i="16"/>
  <c r="CM23" i="16"/>
  <c r="CX46" i="16"/>
  <c r="U46" i="16"/>
  <c r="CD53" i="16"/>
  <c r="AS69" i="16"/>
  <c r="AI50" i="16"/>
  <c r="CW28" i="16"/>
  <c r="BM30" i="16"/>
  <c r="BK82" i="16"/>
  <c r="O39" i="16"/>
  <c r="M39" i="16"/>
  <c r="BP16" i="16"/>
  <c r="AD47" i="16"/>
  <c r="CN83" i="16"/>
  <c r="BB47" i="16"/>
  <c r="BH50" i="16"/>
  <c r="R68" i="16"/>
  <c r="AW82" i="16"/>
  <c r="CR28" i="16"/>
  <c r="CN47" i="16"/>
  <c r="AD30" i="16"/>
  <c r="BQ29" i="16"/>
  <c r="BG84" i="16"/>
  <c r="AO35" i="16"/>
  <c r="AO83" i="16"/>
  <c r="DC23" i="16"/>
  <c r="S84" i="16"/>
  <c r="CH84" i="16"/>
  <c r="N23" i="16"/>
  <c r="BW40" i="16"/>
  <c r="O30" i="16"/>
  <c r="DA82" i="16"/>
  <c r="CY84" i="16"/>
  <c r="O58" i="16"/>
  <c r="S14" i="16"/>
  <c r="BD47" i="16"/>
  <c r="BA58" i="16"/>
  <c r="AQ73" i="16"/>
  <c r="N24" i="16"/>
  <c r="CA59" i="16"/>
  <c r="CW46" i="16"/>
  <c r="O38" i="16"/>
  <c r="BN69" i="16"/>
  <c r="CL75" i="16"/>
  <c r="CY65" i="16"/>
  <c r="Z68" i="16"/>
  <c r="R39" i="16"/>
  <c r="CO73" i="16"/>
  <c r="H73" i="16"/>
  <c r="CX73" i="16"/>
  <c r="CE73" i="16"/>
  <c r="R75" i="16"/>
  <c r="BS18" i="16"/>
  <c r="BF68" i="16"/>
  <c r="AE75" i="16"/>
  <c r="CA36" i="16"/>
  <c r="DA40" i="16"/>
  <c r="AA28" i="16"/>
  <c r="BH60" i="16"/>
  <c r="S61" i="16"/>
  <c r="BF61" i="16"/>
  <c r="AU39" i="16"/>
  <c r="AC58" i="16"/>
  <c r="DC28" i="16"/>
  <c r="CY82" i="16"/>
  <c r="CY17" i="16"/>
  <c r="J84" i="16"/>
  <c r="CH54" i="16"/>
  <c r="J74" i="16"/>
  <c r="AA84" i="16"/>
  <c r="L34" i="16"/>
  <c r="BX82" i="16"/>
  <c r="AV58" i="16"/>
  <c r="M64" i="16"/>
  <c r="V18" i="16"/>
  <c r="CE70" i="16"/>
  <c r="AY73" i="16"/>
  <c r="O17" i="16"/>
  <c r="AN87" i="16"/>
  <c r="BK60" i="16"/>
  <c r="AG16" i="16"/>
  <c r="T26" i="16"/>
  <c r="BB17" i="16"/>
  <c r="CP16" i="16"/>
  <c r="AU35" i="16"/>
  <c r="CJ47" i="16"/>
  <c r="J39" i="16"/>
  <c r="BR15" i="16"/>
  <c r="CA28" i="16"/>
  <c r="BL75" i="16"/>
  <c r="BE35" i="16"/>
  <c r="AK48" i="16"/>
  <c r="BI39" i="16"/>
  <c r="CC51" i="16"/>
  <c r="AZ70" i="16"/>
  <c r="Z83" i="16"/>
  <c r="R51" i="16"/>
  <c r="BS39" i="16"/>
  <c r="AS49" i="16"/>
  <c r="BH71" i="16"/>
  <c r="BB52" i="16"/>
  <c r="AA41" i="16"/>
  <c r="AG20" i="16"/>
  <c r="CB40" i="16"/>
  <c r="CN28" i="16"/>
  <c r="M65" i="16"/>
  <c r="AI29" i="16"/>
  <c r="V76" i="16"/>
  <c r="CI53" i="16"/>
  <c r="K73" i="16"/>
  <c r="CV42" i="16"/>
  <c r="T58" i="16"/>
  <c r="AD83" i="16"/>
  <c r="CL29" i="16"/>
  <c r="CQ75" i="16"/>
  <c r="AQ58" i="16"/>
  <c r="BK52" i="16"/>
  <c r="DC83" i="16"/>
  <c r="AH24" i="16"/>
  <c r="AN31" i="16"/>
  <c r="BX80" i="16"/>
  <c r="CB69" i="16"/>
  <c r="DB26" i="16"/>
  <c r="AJ14" i="16"/>
  <c r="CG31" i="16"/>
  <c r="CT42" i="16"/>
  <c r="BS87" i="16"/>
  <c r="N60" i="16"/>
  <c r="CX34" i="16"/>
  <c r="T57" i="16"/>
  <c r="Q81" i="16"/>
  <c r="BL50" i="16"/>
  <c r="BM29" i="16"/>
  <c r="X30" i="16"/>
  <c r="P57" i="16"/>
  <c r="CI41" i="16"/>
  <c r="BI24" i="16"/>
  <c r="BB68" i="16"/>
  <c r="DB48" i="16"/>
  <c r="T40" i="16"/>
  <c r="AW80" i="16"/>
  <c r="AT24" i="16"/>
  <c r="L46" i="16"/>
  <c r="AT35" i="16"/>
  <c r="BB31" i="16"/>
  <c r="AJ63" i="16"/>
  <c r="BX16" i="16"/>
  <c r="BD39" i="16"/>
  <c r="BQ69" i="16"/>
  <c r="AD46" i="16"/>
  <c r="AA37" i="16"/>
  <c r="BR54" i="16"/>
  <c r="H87" i="16"/>
  <c r="AL37" i="16"/>
  <c r="N39" i="16"/>
  <c r="AP15" i="16"/>
  <c r="J14" i="16"/>
  <c r="CN39" i="16"/>
  <c r="AO28" i="16"/>
  <c r="U73" i="16"/>
  <c r="K19" i="16"/>
  <c r="AZ24" i="16"/>
  <c r="CX63" i="16"/>
  <c r="BF83" i="16"/>
  <c r="AY47" i="16"/>
  <c r="T63" i="16"/>
  <c r="CC83" i="16"/>
  <c r="CA82" i="16"/>
  <c r="CH76" i="16"/>
  <c r="BC20" i="16"/>
  <c r="V81" i="16"/>
  <c r="CT84" i="16"/>
  <c r="L26" i="16"/>
  <c r="AS31" i="16"/>
  <c r="CO86" i="16"/>
  <c r="X35" i="16"/>
  <c r="AX15" i="16"/>
  <c r="AC62" i="16"/>
  <c r="BR19" i="16"/>
  <c r="AJ62" i="16"/>
  <c r="AY31" i="16"/>
  <c r="AW65" i="16"/>
  <c r="BK69" i="16"/>
  <c r="BD46" i="16"/>
  <c r="CJ14" i="16"/>
  <c r="BJ23" i="16"/>
  <c r="CP37" i="16"/>
  <c r="BB24" i="16"/>
  <c r="AK31" i="16"/>
  <c r="BU38" i="16"/>
  <c r="U47" i="16"/>
  <c r="BT48" i="16"/>
  <c r="J65" i="16"/>
  <c r="P84" i="16"/>
  <c r="DA74" i="16"/>
  <c r="DA53" i="16"/>
  <c r="BC62" i="16"/>
  <c r="BY76" i="16"/>
  <c r="AN51" i="16"/>
  <c r="BR23" i="16"/>
  <c r="BO17" i="16"/>
  <c r="BF24" i="16"/>
  <c r="BL24" i="16"/>
  <c r="K83" i="16"/>
  <c r="BU14" i="16"/>
  <c r="AE60" i="16"/>
  <c r="N53" i="16"/>
  <c r="J20" i="16"/>
  <c r="CF86" i="16"/>
  <c r="AF20" i="16"/>
  <c r="AR27" i="16"/>
  <c r="N29" i="16"/>
  <c r="AI30" i="16"/>
  <c r="AV37" i="16"/>
  <c r="H41" i="16"/>
  <c r="BS28" i="16"/>
  <c r="DA41" i="16"/>
  <c r="O86" i="16"/>
  <c r="V39" i="16"/>
  <c r="CW31" i="16"/>
  <c r="CQ86" i="16"/>
  <c r="CP58" i="16"/>
  <c r="BZ72" i="16"/>
  <c r="BW47" i="16"/>
  <c r="AI23" i="16"/>
  <c r="CZ50" i="16"/>
  <c r="AH86" i="16"/>
  <c r="BG28" i="16"/>
  <c r="CO58" i="16"/>
  <c r="AI48" i="16"/>
  <c r="BU39" i="16"/>
  <c r="Y27" i="16"/>
  <c r="S57" i="16"/>
  <c r="BD83" i="16"/>
  <c r="CT24" i="16"/>
  <c r="BX60" i="16"/>
  <c r="BV83" i="16"/>
  <c r="DC17" i="16"/>
  <c r="S76" i="16"/>
  <c r="CC42" i="16"/>
  <c r="BZ46" i="16"/>
  <c r="BF38" i="16"/>
  <c r="W16" i="16"/>
  <c r="CB65" i="16"/>
  <c r="AN79" i="16"/>
  <c r="AA69" i="16"/>
  <c r="W34" i="16"/>
  <c r="V30" i="16"/>
  <c r="AX69" i="16"/>
  <c r="BQ64" i="16"/>
  <c r="CW80" i="16"/>
  <c r="AC51" i="16"/>
  <c r="Z35" i="16"/>
  <c r="BE60" i="16"/>
  <c r="CI70" i="16"/>
  <c r="CS84" i="16"/>
  <c r="AB53" i="16"/>
  <c r="BI57" i="16"/>
  <c r="CI46" i="16"/>
  <c r="DB69" i="16"/>
  <c r="BL87" i="16"/>
  <c r="BL65" i="16"/>
  <c r="AY54" i="16"/>
  <c r="P74" i="16"/>
  <c r="BA37" i="16"/>
  <c r="M54" i="16"/>
  <c r="BT41" i="16"/>
  <c r="CY71" i="16"/>
  <c r="CW87" i="16"/>
  <c r="BA74" i="16"/>
  <c r="AG30" i="16"/>
  <c r="BJ27" i="16"/>
  <c r="CP83" i="16"/>
  <c r="AA40" i="16"/>
  <c r="AZ39" i="16"/>
  <c r="CK24" i="16"/>
  <c r="CI23" i="16"/>
  <c r="BN58" i="16"/>
  <c r="AP18" i="16"/>
  <c r="W75" i="16"/>
  <c r="BL53" i="16"/>
  <c r="O23" i="16"/>
  <c r="BT50" i="16"/>
  <c r="BX39" i="16"/>
  <c r="U87" i="16"/>
  <c r="AP84" i="16"/>
  <c r="AM50" i="16"/>
  <c r="DB46" i="16"/>
  <c r="AI84" i="16"/>
  <c r="CE75" i="16"/>
  <c r="BX58" i="16"/>
  <c r="U28" i="16"/>
  <c r="CP30" i="16"/>
  <c r="AQ63" i="16"/>
  <c r="BO65" i="16"/>
  <c r="AY75" i="16"/>
  <c r="AL15" i="16"/>
  <c r="CJ37" i="16"/>
  <c r="J24" i="16"/>
  <c r="BC16" i="16"/>
  <c r="BF79" i="16"/>
  <c r="CD50" i="16"/>
  <c r="CL39" i="16"/>
  <c r="CJ82" i="16"/>
  <c r="BO48" i="16"/>
  <c r="AC50" i="16"/>
  <c r="AE58" i="16"/>
  <c r="AM40" i="16"/>
  <c r="J82" i="16"/>
  <c r="BD53" i="16"/>
  <c r="AK79" i="16"/>
  <c r="BN80" i="16"/>
  <c r="CP39" i="16"/>
  <c r="AV84" i="16"/>
  <c r="X54" i="16"/>
  <c r="AV73" i="16"/>
  <c r="CA52" i="16"/>
  <c r="J15" i="16"/>
  <c r="CS30" i="16"/>
  <c r="BT30" i="16"/>
  <c r="CG61" i="16"/>
  <c r="CB24" i="16"/>
  <c r="CG73" i="16"/>
  <c r="CY53" i="16"/>
  <c r="BE47" i="16"/>
  <c r="P82" i="16"/>
  <c r="BQ40" i="16"/>
  <c r="S29" i="16"/>
  <c r="DB58" i="16"/>
  <c r="BL47" i="16"/>
  <c r="BC79" i="16"/>
  <c r="I18" i="16"/>
  <c r="CS18" i="16"/>
  <c r="AK58" i="16"/>
  <c r="I80" i="16"/>
  <c r="CS63" i="16"/>
  <c r="AJ40" i="16"/>
  <c r="CX16" i="16"/>
  <c r="AZ14" i="16"/>
  <c r="CI28" i="16"/>
  <c r="I61" i="16"/>
  <c r="T28" i="16"/>
  <c r="W53" i="16"/>
  <c r="V47" i="16"/>
  <c r="BH46" i="16"/>
  <c r="AU37" i="16"/>
  <c r="BI30" i="16"/>
  <c r="R30" i="16"/>
  <c r="AV19" i="16"/>
  <c r="BH40" i="16"/>
  <c r="AH60" i="16"/>
  <c r="T47" i="16"/>
  <c r="BE84" i="16"/>
  <c r="L17" i="16"/>
  <c r="AC61" i="16"/>
  <c r="AP79" i="16"/>
  <c r="BX79" i="16"/>
  <c r="AL82" i="16"/>
  <c r="BS16" i="16"/>
  <c r="AF68" i="16"/>
  <c r="CD16" i="16"/>
  <c r="AU46" i="16"/>
  <c r="AS30" i="16"/>
  <c r="BG82" i="16"/>
  <c r="I47" i="16"/>
  <c r="BH73" i="16"/>
  <c r="U50" i="16"/>
  <c r="L50" i="16"/>
  <c r="M75" i="16"/>
  <c r="AH50" i="16"/>
  <c r="I75" i="16"/>
  <c r="BP15" i="16"/>
  <c r="BO53" i="16"/>
  <c r="CD29" i="16"/>
  <c r="AZ18" i="16"/>
  <c r="BI83" i="16"/>
  <c r="H40" i="16"/>
  <c r="BT64" i="16"/>
  <c r="CO72" i="16"/>
  <c r="BB46" i="16"/>
  <c r="AK15" i="16"/>
  <c r="BX63" i="16"/>
  <c r="AO18" i="16"/>
  <c r="CL82" i="16"/>
  <c r="Z63" i="16"/>
  <c r="AG79" i="16"/>
  <c r="AW40" i="16"/>
  <c r="Q24" i="16"/>
  <c r="BY53" i="16"/>
  <c r="CM82" i="16"/>
  <c r="AQ82" i="16"/>
  <c r="AK83" i="16"/>
  <c r="BY84" i="16"/>
  <c r="BQ35" i="16"/>
  <c r="CY58" i="16"/>
  <c r="Z34" i="16"/>
  <c r="CM84" i="16"/>
  <c r="CB35" i="16"/>
  <c r="BW23" i="16"/>
  <c r="BA15" i="16"/>
  <c r="AO29" i="16"/>
  <c r="N46" i="16"/>
  <c r="AC47" i="16"/>
  <c r="CW35" i="16"/>
  <c r="AZ73" i="16"/>
  <c r="V71" i="16"/>
  <c r="CB18" i="16"/>
  <c r="S75" i="16"/>
  <c r="CW83" i="16"/>
  <c r="AN18" i="16"/>
  <c r="CA58" i="16"/>
  <c r="BS30" i="16"/>
  <c r="S42" i="16"/>
  <c r="CQ15" i="16"/>
  <c r="W73" i="16"/>
  <c r="AL14" i="16"/>
  <c r="AW24" i="16"/>
  <c r="AC35" i="16"/>
  <c r="AN75" i="16"/>
  <c r="CS75" i="16"/>
  <c r="W46" i="16"/>
  <c r="AL75" i="16"/>
  <c r="BA47" i="16"/>
  <c r="BW39" i="16"/>
  <c r="AG24" i="16"/>
  <c r="DB40" i="16"/>
  <c r="BI47" i="16"/>
  <c r="CU63" i="16"/>
  <c r="CB82" i="16"/>
  <c r="BR62" i="16"/>
  <c r="AG23" i="16"/>
  <c r="AQ79" i="16"/>
  <c r="Y63" i="16"/>
  <c r="AL73" i="16"/>
  <c r="BC29" i="16"/>
  <c r="DA28" i="16"/>
  <c r="BN28" i="16"/>
  <c r="BC40" i="16"/>
  <c r="CU29" i="16"/>
  <c r="AD63" i="16"/>
  <c r="CN63" i="16"/>
  <c r="BI82" i="16"/>
  <c r="BO47" i="16"/>
  <c r="N73" i="16"/>
  <c r="W42" i="16"/>
  <c r="AD39" i="16"/>
  <c r="K82" i="16"/>
  <c r="AR79" i="16"/>
  <c r="BC63" i="16"/>
  <c r="AC42" i="16"/>
  <c r="AS35" i="16"/>
  <c r="BK29" i="16"/>
  <c r="BW81" i="16"/>
  <c r="K39" i="16"/>
  <c r="CS16" i="16"/>
  <c r="BV46" i="16"/>
  <c r="DB53" i="16"/>
  <c r="AG18" i="16"/>
  <c r="CW23" i="16"/>
  <c r="X57" i="16"/>
  <c r="AR35" i="16"/>
  <c r="BN59" i="16"/>
  <c r="CE19" i="16"/>
  <c r="BL23" i="16"/>
  <c r="BQ74" i="16"/>
  <c r="CG34" i="16"/>
  <c r="BJ47" i="16"/>
  <c r="DA16" i="16"/>
  <c r="AH20" i="16"/>
  <c r="BO18" i="16"/>
  <c r="BK18" i="16"/>
  <c r="P80" i="16"/>
  <c r="CC39" i="16"/>
  <c r="BO35" i="16"/>
  <c r="AH28" i="16"/>
  <c r="U68" i="16"/>
  <c r="BU40" i="16"/>
  <c r="AS73" i="16"/>
  <c r="CG63" i="16"/>
  <c r="AF40" i="16"/>
  <c r="BD30" i="16"/>
  <c r="AD80" i="16"/>
  <c r="AC16" i="16"/>
  <c r="AV35" i="16"/>
  <c r="CR23" i="16"/>
  <c r="X53" i="16"/>
  <c r="BP75" i="16"/>
  <c r="CX31" i="16"/>
  <c r="BH18" i="16"/>
  <c r="Y80" i="16"/>
  <c r="CL24" i="16"/>
  <c r="J35" i="16"/>
  <c r="AZ50" i="16"/>
  <c r="BQ47" i="16"/>
  <c r="AS23" i="16"/>
  <c r="J63" i="16"/>
  <c r="CW70" i="16"/>
  <c r="BW65" i="16"/>
  <c r="Y48" i="16"/>
  <c r="CP75" i="16"/>
  <c r="BP47" i="16"/>
  <c r="BD79" i="16"/>
  <c r="BV50" i="16"/>
  <c r="CG28" i="16"/>
  <c r="BH30" i="16"/>
  <c r="AJ28" i="16"/>
  <c r="S16" i="16"/>
  <c r="CL26" i="16"/>
  <c r="BB37" i="16"/>
  <c r="AE30" i="16"/>
  <c r="J68" i="16"/>
  <c r="CI19" i="16"/>
  <c r="U74" i="16"/>
  <c r="BE58" i="16"/>
  <c r="CQ82" i="16"/>
  <c r="BX42" i="16"/>
  <c r="AV31" i="16"/>
  <c r="T14" i="16"/>
  <c r="Q76" i="16"/>
  <c r="CK86" i="16"/>
  <c r="BX83" i="16"/>
  <c r="AM17" i="16"/>
  <c r="X59" i="16"/>
  <c r="L37" i="16"/>
  <c r="AR23" i="16"/>
  <c r="DC24" i="16"/>
  <c r="P34" i="16"/>
  <c r="CM18" i="16"/>
  <c r="BA24" i="16"/>
  <c r="AR28" i="16"/>
  <c r="AV29" i="16"/>
  <c r="CQ49" i="16"/>
  <c r="DC40" i="16"/>
  <c r="BP58" i="16"/>
  <c r="BC61" i="16"/>
  <c r="AR68" i="16"/>
  <c r="Q14" i="16"/>
  <c r="CI51" i="16"/>
  <c r="BL40" i="16"/>
  <c r="AQ57" i="16"/>
  <c r="AN59" i="16"/>
  <c r="BA27" i="16"/>
  <c r="CC35" i="16"/>
  <c r="AE31" i="16"/>
  <c r="R87" i="16"/>
  <c r="AS74" i="16"/>
  <c r="CD87" i="16"/>
  <c r="CT14" i="16"/>
  <c r="BU31" i="16"/>
  <c r="CH80" i="16"/>
  <c r="AO58" i="16"/>
  <c r="CH87" i="16"/>
  <c r="AR38" i="16"/>
  <c r="BS24" i="16"/>
  <c r="AF29" i="16"/>
  <c r="BM69" i="16"/>
  <c r="AL18" i="16"/>
  <c r="BF46" i="16"/>
  <c r="H53" i="16"/>
  <c r="AI82" i="16"/>
  <c r="U75" i="16"/>
  <c r="CH53" i="16"/>
  <c r="CQ35" i="16"/>
  <c r="BG15" i="16"/>
  <c r="AE19" i="16"/>
  <c r="M59" i="16"/>
  <c r="N68" i="16"/>
  <c r="AH48" i="16"/>
  <c r="CI83" i="16"/>
  <c r="BY51" i="16"/>
  <c r="BX24" i="16"/>
  <c r="BN40" i="16"/>
  <c r="BD38" i="16"/>
  <c r="BR69" i="16"/>
  <c r="V65" i="16"/>
  <c r="AO70" i="16"/>
  <c r="BP27" i="16"/>
  <c r="CO26" i="16"/>
  <c r="AH75" i="16"/>
  <c r="BG47" i="16"/>
  <c r="BF70" i="16"/>
  <c r="CE86" i="16"/>
  <c r="AQ18" i="16"/>
  <c r="AF76" i="16"/>
  <c r="AW57" i="16"/>
  <c r="BN50" i="16"/>
  <c r="CL76" i="16"/>
  <c r="BU27" i="16"/>
  <c r="CT15" i="16"/>
  <c r="CM54" i="16"/>
  <c r="BN16" i="16"/>
  <c r="CO65" i="16"/>
  <c r="Y24" i="16"/>
  <c r="DC52" i="16"/>
  <c r="CD18" i="16"/>
  <c r="BA71" i="16"/>
  <c r="CB28" i="16"/>
  <c r="CA40" i="16"/>
  <c r="CS20" i="16"/>
  <c r="CD86" i="16"/>
  <c r="N62" i="16"/>
  <c r="CP34" i="16"/>
  <c r="BL19" i="16"/>
  <c r="CA51" i="16"/>
  <c r="CZ68" i="16"/>
  <c r="AM34" i="16"/>
  <c r="AT47" i="16"/>
  <c r="J50" i="16"/>
  <c r="CP80" i="16"/>
  <c r="AJ74" i="16"/>
  <c r="Q23" i="16"/>
  <c r="BJ76" i="16"/>
  <c r="L74" i="16"/>
  <c r="CX58" i="16"/>
  <c r="AW53" i="16"/>
  <c r="CY80" i="16"/>
  <c r="CC28" i="16"/>
  <c r="AH70" i="16"/>
  <c r="CN53" i="16"/>
  <c r="AI73" i="16"/>
  <c r="V63" i="16"/>
  <c r="W48" i="16"/>
  <c r="BS82" i="16"/>
  <c r="X16" i="16"/>
  <c r="DC27" i="16"/>
  <c r="V38" i="16"/>
  <c r="J57" i="16"/>
  <c r="AK76" i="16"/>
  <c r="O14" i="16"/>
  <c r="AD71" i="16"/>
  <c r="L80" i="16"/>
  <c r="DC87" i="16"/>
  <c r="CY46" i="16"/>
  <c r="AR61" i="16"/>
  <c r="X87" i="16"/>
  <c r="CH65" i="16"/>
  <c r="CC24" i="16"/>
  <c r="CP65" i="16"/>
  <c r="AB84" i="16"/>
  <c r="CR40" i="16"/>
  <c r="BP59" i="16"/>
  <c r="W61" i="16"/>
  <c r="CW84" i="16"/>
  <c r="AV15" i="16"/>
  <c r="BE46" i="16"/>
  <c r="CB63" i="16"/>
  <c r="AD28" i="16"/>
  <c r="BA79" i="16"/>
  <c r="J16" i="16"/>
  <c r="AQ39" i="16"/>
  <c r="AA46" i="16"/>
  <c r="BO37" i="16"/>
  <c r="AJ48" i="16"/>
  <c r="CA69" i="16"/>
  <c r="W87" i="16"/>
  <c r="W38" i="16"/>
  <c r="BI31" i="16"/>
  <c r="CB54" i="16"/>
  <c r="S41" i="16"/>
  <c r="N47" i="16"/>
  <c r="O26" i="16"/>
  <c r="CJ61" i="16"/>
  <c r="AO50" i="16"/>
  <c r="J83" i="16"/>
  <c r="BY73" i="16"/>
  <c r="BK74" i="16"/>
  <c r="CF23" i="16"/>
  <c r="AI28" i="16"/>
  <c r="AQ69" i="16"/>
  <c r="Z73" i="16"/>
  <c r="BI35" i="16"/>
  <c r="AK84" i="16"/>
  <c r="P30" i="16"/>
  <c r="CF29" i="16"/>
  <c r="BM31" i="16"/>
  <c r="M40" i="16"/>
  <c r="Y68" i="16"/>
  <c r="O40" i="16"/>
  <c r="AJ69" i="16"/>
  <c r="U18" i="16"/>
  <c r="BO39" i="16"/>
  <c r="BY81" i="16"/>
  <c r="BT51" i="16"/>
  <c r="AK62" i="16"/>
  <c r="AS72" i="16"/>
  <c r="I65" i="16"/>
  <c r="Y57" i="16"/>
  <c r="CY52" i="16"/>
  <c r="BD81" i="16"/>
  <c r="AG81" i="16"/>
  <c r="CM65" i="16"/>
  <c r="BQ63" i="16"/>
  <c r="BQ72" i="16"/>
  <c r="AE62" i="16"/>
  <c r="BV16" i="16"/>
  <c r="BG37" i="16"/>
  <c r="AK50" i="16"/>
  <c r="BC34" i="16"/>
  <c r="AU50" i="16"/>
  <c r="CB75" i="16"/>
  <c r="CD64" i="16"/>
  <c r="BD82" i="16"/>
  <c r="CD24" i="16"/>
  <c r="AJ82" i="16"/>
  <c r="N40" i="16"/>
  <c r="AP73" i="16"/>
  <c r="AQ46" i="16"/>
  <c r="DC46" i="16"/>
  <c r="CV50" i="16"/>
  <c r="AY40" i="16"/>
  <c r="AT40" i="16"/>
  <c r="S40" i="16"/>
  <c r="CS47" i="16"/>
  <c r="BJ46" i="16"/>
  <c r="CL58" i="16"/>
  <c r="K26" i="16"/>
  <c r="AA18" i="16"/>
  <c r="AO47" i="16"/>
  <c r="BJ61" i="16"/>
  <c r="CH40" i="16"/>
  <c r="CS38" i="16"/>
  <c r="AW39" i="16"/>
  <c r="X28" i="16"/>
  <c r="CD17" i="16"/>
  <c r="CA75" i="16"/>
  <c r="CC68" i="16"/>
  <c r="BW16" i="16"/>
  <c r="CC84" i="16"/>
  <c r="X49" i="16"/>
  <c r="CN75" i="16"/>
  <c r="CR50" i="16"/>
  <c r="AP63" i="16"/>
  <c r="AS18" i="16"/>
  <c r="BK47" i="16"/>
  <c r="V23" i="16"/>
  <c r="BM18" i="16"/>
  <c r="BV69" i="16"/>
  <c r="BT68" i="16"/>
  <c r="CZ23" i="16"/>
  <c r="BA29" i="16"/>
  <c r="R50" i="16"/>
  <c r="O63" i="16"/>
  <c r="BA18" i="16"/>
  <c r="CS53" i="16"/>
  <c r="BF28" i="16"/>
  <c r="DC73" i="16"/>
  <c r="BF30" i="16"/>
  <c r="Z50" i="16"/>
  <c r="DA80" i="16"/>
  <c r="BI18" i="16"/>
  <c r="AX23" i="16"/>
  <c r="AR75" i="16"/>
  <c r="P28" i="16"/>
  <c r="CQ70" i="16"/>
  <c r="BG50" i="16"/>
  <c r="AU40" i="16"/>
  <c r="AT60" i="16"/>
  <c r="AE24" i="16"/>
  <c r="BI79" i="16"/>
  <c r="BE83" i="16"/>
  <c r="AA75" i="16"/>
  <c r="CF75" i="16"/>
  <c r="DA50" i="16"/>
  <c r="BN39" i="16"/>
  <c r="AK39" i="16"/>
  <c r="S28" i="16"/>
  <c r="AF84" i="16"/>
  <c r="CT28" i="16"/>
  <c r="BG23" i="16"/>
  <c r="BX29" i="16"/>
  <c r="BT38" i="16"/>
  <c r="Q79" i="16"/>
  <c r="BS23" i="16"/>
  <c r="BO46" i="16"/>
  <c r="K63" i="16"/>
  <c r="R63" i="16"/>
  <c r="AL46" i="16"/>
  <c r="R65" i="16"/>
  <c r="CM68" i="16"/>
  <c r="BN71" i="16"/>
  <c r="AE68" i="16"/>
  <c r="AH76" i="16"/>
  <c r="CJ23" i="16"/>
  <c r="CY15" i="16"/>
  <c r="AD37" i="16"/>
  <c r="AQ30" i="16"/>
  <c r="AO68" i="16"/>
  <c r="CC46" i="16"/>
  <c r="BU46" i="16"/>
  <c r="BK15" i="16"/>
  <c r="AG46" i="16"/>
  <c r="BI23" i="16"/>
  <c r="CW29" i="16"/>
  <c r="H15" i="16"/>
  <c r="CH15" i="16"/>
  <c r="CE68" i="16"/>
  <c r="AE16" i="16"/>
  <c r="CY18" i="16"/>
  <c r="AG61" i="16"/>
  <c r="Z23" i="16"/>
  <c r="AT39" i="16"/>
  <c r="K47" i="16"/>
  <c r="CT47" i="16"/>
  <c r="BD73" i="16"/>
  <c r="U24" i="16"/>
  <c r="AY68" i="16"/>
  <c r="CF84" i="16"/>
  <c r="BB53" i="16"/>
  <c r="DC72" i="16"/>
  <c r="AP16" i="16"/>
  <c r="CP28" i="16"/>
  <c r="BR18" i="16"/>
  <c r="BG68" i="16"/>
  <c r="CW82" i="16"/>
  <c r="BF29" i="16"/>
  <c r="BI80" i="16"/>
  <c r="CV29" i="16"/>
  <c r="CQ29" i="16"/>
  <c r="BE29" i="16"/>
  <c r="BG63" i="16"/>
  <c r="BX61" i="16"/>
  <c r="CO84" i="16"/>
  <c r="BL15" i="16"/>
  <c r="Z39" i="16"/>
  <c r="BN82" i="16"/>
  <c r="CR46" i="16"/>
  <c r="CN84" i="16"/>
  <c r="CM35" i="16"/>
  <c r="AP61" i="16"/>
  <c r="BF80" i="16"/>
  <c r="AG58" i="16"/>
  <c r="CE84" i="16"/>
  <c r="CI15" i="16"/>
  <c r="BL84" i="16"/>
  <c r="BS27" i="16"/>
  <c r="CK35" i="16"/>
  <c r="CV18" i="16"/>
  <c r="BO30" i="16"/>
  <c r="CD28" i="16"/>
  <c r="BS40" i="16"/>
  <c r="BP61" i="16"/>
  <c r="CB80" i="16"/>
  <c r="M73" i="16"/>
  <c r="CR41" i="16"/>
  <c r="S26" i="16"/>
  <c r="BG16" i="16"/>
  <c r="N31" i="16"/>
  <c r="CQ26" i="16"/>
  <c r="Y82" i="16"/>
  <c r="CF18" i="16"/>
  <c r="V74" i="16"/>
  <c r="BY39" i="16"/>
  <c r="CP40" i="16"/>
  <c r="BN49" i="16"/>
  <c r="BK35" i="16"/>
  <c r="AZ63" i="16"/>
  <c r="AE39" i="16"/>
  <c r="CM24" i="16"/>
  <c r="CK29" i="16"/>
  <c r="BG46" i="16"/>
  <c r="CD58" i="16"/>
  <c r="AT53" i="16"/>
  <c r="BW46" i="16"/>
  <c r="AZ47" i="16"/>
  <c r="CN76" i="16"/>
  <c r="I15" i="16"/>
  <c r="CG58" i="16"/>
  <c r="AZ35" i="16"/>
  <c r="DC63" i="16"/>
  <c r="AX50" i="16"/>
  <c r="BP80" i="16"/>
  <c r="AG15" i="16"/>
  <c r="AK73" i="16"/>
  <c r="CK15" i="16"/>
  <c r="CF35" i="16"/>
  <c r="BT82" i="16"/>
  <c r="CO87" i="16"/>
  <c r="CC23" i="16"/>
  <c r="BV15" i="16"/>
  <c r="AF50" i="16"/>
  <c r="BD15" i="16"/>
  <c r="BA83" i="16"/>
  <c r="DC75" i="16"/>
  <c r="X58" i="16"/>
  <c r="AT61" i="16"/>
  <c r="AD82" i="16"/>
  <c r="CU75" i="16"/>
  <c r="Q53" i="16"/>
  <c r="AW28" i="16"/>
  <c r="AM80" i="16"/>
  <c r="CU64" i="16"/>
  <c r="AV46" i="16"/>
  <c r="AP59" i="16"/>
  <c r="I46" i="16"/>
  <c r="BO29" i="16"/>
  <c r="BE59" i="16"/>
  <c r="AQ29" i="16"/>
  <c r="AR63" i="16"/>
  <c r="CO23" i="16"/>
  <c r="S50" i="16"/>
  <c r="H16" i="16"/>
  <c r="CR53" i="16"/>
  <c r="BI53" i="16"/>
  <c r="BR28" i="16"/>
  <c r="AS50" i="16"/>
  <c r="AA68" i="16"/>
  <c r="AB16" i="16"/>
  <c r="AC31" i="16"/>
  <c r="R24" i="16"/>
  <c r="BP68" i="16"/>
  <c r="AJ46" i="16"/>
  <c r="AM24" i="16"/>
  <c r="W58" i="16"/>
  <c r="AK28" i="16"/>
  <c r="CI30" i="16"/>
  <c r="T29" i="16"/>
  <c r="AC75" i="16"/>
  <c r="BW27" i="16"/>
  <c r="S30" i="16"/>
  <c r="CB23" i="16"/>
  <c r="BF39" i="16"/>
  <c r="BW84" i="16"/>
  <c r="BA30" i="16"/>
  <c r="U29" i="16"/>
  <c r="AM72" i="16"/>
  <c r="AQ28" i="16"/>
  <c r="CE63" i="16"/>
  <c r="AY57" i="16"/>
  <c r="AA30" i="16"/>
  <c r="BU62" i="16"/>
  <c r="CU74" i="16"/>
  <c r="T39" i="16"/>
  <c r="CV16" i="16"/>
  <c r="AZ64" i="16"/>
  <c r="V61" i="16"/>
  <c r="AJ16" i="16"/>
  <c r="AW71" i="16"/>
  <c r="CM29" i="16"/>
  <c r="AS20" i="16"/>
  <c r="AY84" i="16"/>
  <c r="BK51" i="16"/>
  <c r="AU75" i="16"/>
  <c r="V31" i="16"/>
  <c r="BZ29" i="16"/>
  <c r="BD27" i="16"/>
  <c r="CN82" i="16"/>
  <c r="CY39" i="16"/>
  <c r="CT26" i="16"/>
  <c r="CK59" i="16"/>
  <c r="AZ26" i="16"/>
  <c r="BF60" i="16"/>
  <c r="AU31" i="16"/>
  <c r="BB87" i="16"/>
  <c r="CR48" i="16"/>
  <c r="DA57" i="16"/>
  <c r="CQ27" i="16"/>
  <c r="AJ24" i="16"/>
  <c r="V73" i="16"/>
  <c r="Z69" i="16"/>
  <c r="BW30" i="16"/>
  <c r="Q30" i="16"/>
  <c r="BH54" i="16"/>
  <c r="BU16" i="16"/>
  <c r="AR73" i="16"/>
  <c r="BA87" i="16"/>
  <c r="BQ82" i="16"/>
  <c r="BB72" i="16"/>
  <c r="L31" i="16"/>
  <c r="BN29" i="16"/>
  <c r="BY61" i="16"/>
  <c r="Z42" i="16"/>
  <c r="BN85" i="16"/>
  <c r="N15" i="16"/>
  <c r="CQ72" i="16"/>
  <c r="U80" i="16"/>
  <c r="N57" i="16"/>
  <c r="AZ81" i="16"/>
  <c r="AS64" i="16"/>
  <c r="BI81" i="16"/>
  <c r="CJ27" i="16"/>
  <c r="AN26" i="16"/>
  <c r="CK27" i="16"/>
  <c r="CO52" i="16"/>
  <c r="Z59" i="16"/>
  <c r="BZ69" i="16"/>
  <c r="Y79" i="16"/>
  <c r="AP72" i="16"/>
  <c r="CN51" i="16"/>
  <c r="R40" i="16"/>
  <c r="CG15" i="16"/>
  <c r="CP42" i="16"/>
  <c r="AW84" i="16"/>
  <c r="CA68" i="16"/>
  <c r="BA14" i="16"/>
  <c r="BC80" i="16"/>
  <c r="DB41" i="16"/>
  <c r="CC50" i="16"/>
  <c r="BH27" i="16"/>
  <c r="BC46" i="16"/>
  <c r="AO74" i="16"/>
  <c r="BV58" i="16"/>
  <c r="W81" i="16"/>
  <c r="BS53" i="16"/>
  <c r="BU60" i="16"/>
  <c r="CO19" i="16"/>
  <c r="AU71" i="16"/>
  <c r="DB34" i="16"/>
  <c r="BW74" i="16"/>
  <c r="DC69" i="16"/>
  <c r="O52" i="16"/>
  <c r="CT29" i="16"/>
  <c r="AE57" i="16"/>
  <c r="AH79" i="16"/>
  <c r="DB30" i="16"/>
  <c r="H64" i="16"/>
  <c r="AD54" i="16"/>
  <c r="Y28" i="16"/>
  <c r="BO71" i="16"/>
  <c r="CT87" i="16"/>
  <c r="CW16" i="16"/>
  <c r="BC18" i="16"/>
  <c r="BZ40" i="16"/>
  <c r="CO30" i="16"/>
  <c r="AO34" i="16"/>
  <c r="AE23" i="16"/>
  <c r="AG29" i="16"/>
  <c r="CV75" i="16"/>
  <c r="BL76" i="16"/>
  <c r="CG53" i="16"/>
  <c r="AJ68" i="16"/>
  <c r="AR37" i="16"/>
  <c r="CR57" i="16"/>
  <c r="BG14" i="16"/>
  <c r="DB71" i="16"/>
  <c r="BO86" i="16"/>
  <c r="CA37" i="16"/>
  <c r="BM39" i="16"/>
  <c r="AN73" i="16"/>
  <c r="CC17" i="16"/>
  <c r="DC15" i="16"/>
  <c r="Q50" i="16"/>
  <c r="T24" i="16"/>
  <c r="CO46" i="16"/>
  <c r="AF82" i="16"/>
  <c r="CW47" i="16"/>
  <c r="BX28" i="16"/>
  <c r="CE54" i="16"/>
  <c r="AR84" i="16"/>
  <c r="CY54" i="16"/>
  <c r="O37" i="16"/>
  <c r="AX63" i="16"/>
  <c r="BO23" i="16"/>
  <c r="CC52" i="16"/>
  <c r="AR74" i="16"/>
  <c r="CP73" i="16"/>
  <c r="CB26" i="16"/>
  <c r="CS72" i="16"/>
  <c r="Y19" i="16"/>
  <c r="AI72" i="16"/>
  <c r="CK76" i="16"/>
  <c r="AC38" i="16"/>
  <c r="BS31" i="16"/>
  <c r="BJ69" i="16"/>
  <c r="CT27" i="16"/>
  <c r="BM79" i="16"/>
  <c r="CN14" i="16"/>
  <c r="AM37" i="16"/>
  <c r="AS25" i="16"/>
  <c r="BH28" i="16"/>
  <c r="CF15" i="16"/>
  <c r="CC47" i="16"/>
  <c r="Y39" i="16"/>
  <c r="BK68" i="16"/>
  <c r="AN28" i="16"/>
  <c r="BD75" i="16"/>
  <c r="BB40" i="16"/>
  <c r="CS15" i="16"/>
  <c r="CI52" i="16"/>
  <c r="CE15" i="16"/>
  <c r="BJ35" i="16"/>
  <c r="CA48" i="16"/>
  <c r="CF80" i="16"/>
  <c r="BD35" i="16"/>
  <c r="DA35" i="16"/>
  <c r="AB17" i="16"/>
  <c r="Z71" i="16"/>
  <c r="AT81" i="16"/>
  <c r="AX82" i="16"/>
  <c r="CM59" i="16"/>
  <c r="BP62" i="16"/>
  <c r="O65" i="16"/>
  <c r="AY46" i="16"/>
  <c r="V52" i="16"/>
  <c r="CW26" i="16"/>
  <c r="S46" i="16"/>
  <c r="CO57" i="16"/>
  <c r="CI24" i="16"/>
  <c r="DC53" i="16"/>
  <c r="CH83" i="16"/>
  <c r="CL40" i="16"/>
  <c r="BJ58" i="16"/>
  <c r="BX76" i="16"/>
  <c r="BI29" i="16"/>
  <c r="DC82" i="16"/>
  <c r="H23" i="16"/>
  <c r="CL52" i="16"/>
  <c r="CX59" i="16"/>
  <c r="CZ79" i="16"/>
  <c r="CC61" i="16"/>
  <c r="CV86" i="16"/>
  <c r="CI69" i="16"/>
  <c r="CL68" i="16"/>
  <c r="CN60" i="16"/>
  <c r="BD52" i="16"/>
  <c r="CN68" i="16"/>
  <c r="CR70" i="16"/>
  <c r="CG59" i="16"/>
  <c r="BA34" i="16"/>
  <c r="Y69" i="16"/>
  <c r="Z57" i="16"/>
  <c r="U34" i="16"/>
  <c r="BQ60" i="16"/>
  <c r="X19" i="16"/>
  <c r="AE28" i="16"/>
  <c r="AP20" i="16"/>
  <c r="BT31" i="16"/>
  <c r="CM30" i="16"/>
  <c r="CG38" i="16"/>
  <c r="AO73" i="16"/>
  <c r="CI75" i="16"/>
  <c r="R82" i="16"/>
  <c r="BZ24" i="16"/>
  <c r="BL18" i="16"/>
  <c r="AN29" i="16"/>
  <c r="AF73" i="16"/>
  <c r="BU58" i="16"/>
  <c r="AQ24" i="16"/>
  <c r="CO51" i="16"/>
  <c r="AS81" i="16"/>
  <c r="BY58" i="16"/>
  <c r="CC80" i="16"/>
  <c r="BC37" i="16"/>
  <c r="AR70" i="16"/>
  <c r="AN30" i="16"/>
  <c r="CT72" i="16"/>
  <c r="W86" i="16"/>
  <c r="AJ41" i="16"/>
  <c r="CF83" i="16"/>
  <c r="AS19" i="16"/>
  <c r="BO70" i="16"/>
  <c r="CC19" i="16"/>
  <c r="CC72" i="16"/>
  <c r="M17" i="16"/>
  <c r="K76" i="16"/>
  <c r="CS70" i="16"/>
  <c r="BK14" i="16"/>
  <c r="AL70" i="16"/>
  <c r="CN48" i="16"/>
  <c r="DC31" i="16"/>
  <c r="AE81" i="16"/>
  <c r="CR69" i="16"/>
  <c r="BY65" i="16"/>
  <c r="BR20" i="16"/>
  <c r="AR26" i="16"/>
  <c r="X69" i="16"/>
  <c r="CP26" i="16"/>
  <c r="CZ86" i="16"/>
  <c r="AI37" i="16"/>
  <c r="AL76" i="16"/>
  <c r="CB31" i="16"/>
  <c r="CH34" i="16"/>
  <c r="AP31" i="16"/>
  <c r="CP86" i="16"/>
  <c r="BG49" i="16"/>
  <c r="AS86" i="16"/>
  <c r="CX69" i="16"/>
  <c r="AI83" i="16"/>
  <c r="AS38" i="16"/>
  <c r="AB37" i="16"/>
  <c r="BQ81" i="16"/>
  <c r="CL20" i="16"/>
  <c r="AW26" i="16"/>
  <c r="CZ31" i="16"/>
  <c r="Y26" i="16"/>
  <c r="BN15" i="16"/>
  <c r="H71" i="16"/>
  <c r="BW36" i="16"/>
  <c r="AB49" i="16"/>
  <c r="AB59" i="16"/>
  <c r="T71" i="16"/>
  <c r="P38" i="16"/>
  <c r="BG39" i="16"/>
  <c r="AV39" i="16"/>
  <c r="Q49" i="16"/>
  <c r="BZ87" i="16"/>
  <c r="BR35" i="16"/>
  <c r="AA15" i="16"/>
  <c r="CV79" i="16"/>
  <c r="BA84" i="16"/>
  <c r="BV47" i="16"/>
  <c r="AZ29" i="16"/>
  <c r="BH61" i="16"/>
  <c r="W30" i="16"/>
  <c r="CP24" i="16"/>
  <c r="BZ79" i="16"/>
  <c r="CR73" i="16"/>
  <c r="CC73" i="16"/>
  <c r="BK63" i="16"/>
  <c r="CK82" i="16"/>
  <c r="CA47" i="16"/>
  <c r="L16" i="16"/>
  <c r="BI63" i="16"/>
  <c r="CA29" i="16"/>
  <c r="N18" i="16"/>
  <c r="BY75" i="16"/>
  <c r="CZ58" i="16"/>
  <c r="AJ15" i="16"/>
  <c r="BK53" i="16"/>
  <c r="BT29" i="16"/>
  <c r="BS50" i="16"/>
  <c r="CL72" i="16"/>
  <c r="BY23" i="16"/>
  <c r="AY61" i="16"/>
  <c r="DA75" i="16"/>
  <c r="CK58" i="16"/>
  <c r="P29" i="16"/>
  <c r="BF15" i="16"/>
  <c r="AW58" i="16"/>
  <c r="CL42" i="16"/>
  <c r="AJ50" i="16"/>
  <c r="CX82" i="16"/>
  <c r="BF84" i="16"/>
  <c r="AV79" i="16"/>
  <c r="CA84" i="16"/>
  <c r="BM80" i="16"/>
  <c r="AH34" i="16"/>
  <c r="AH31" i="16"/>
  <c r="AN86" i="16"/>
  <c r="AU53" i="16"/>
  <c r="AZ48" i="16"/>
  <c r="V86" i="16"/>
  <c r="AP75" i="16"/>
  <c r="BT63" i="16"/>
  <c r="BN18" i="16"/>
  <c r="AK54" i="16"/>
  <c r="CJ39" i="16"/>
  <c r="Q39" i="16"/>
  <c r="O47" i="16"/>
  <c r="DA23" i="16"/>
  <c r="BO15" i="16"/>
  <c r="BY30" i="16"/>
  <c r="Z38" i="16"/>
  <c r="BM23" i="16"/>
  <c r="AC46" i="16"/>
  <c r="U58" i="16"/>
  <c r="AZ30" i="16"/>
  <c r="CO18" i="16"/>
  <c r="CQ47" i="16"/>
  <c r="BO50" i="16"/>
  <c r="AC15" i="16"/>
  <c r="CP46" i="16"/>
  <c r="AO59" i="16"/>
  <c r="V15" i="16"/>
  <c r="X20" i="16"/>
  <c r="AS79" i="16"/>
  <c r="AD40" i="16"/>
  <c r="V46" i="16"/>
  <c r="Y83" i="16"/>
  <c r="DB84" i="16"/>
  <c r="BC75" i="16"/>
  <c r="AV83" i="16"/>
  <c r="DC61" i="16"/>
  <c r="BO40" i="16"/>
  <c r="Z29" i="16"/>
  <c r="CS24" i="16"/>
  <c r="AU15" i="16"/>
  <c r="N75" i="16"/>
  <c r="CR68" i="16"/>
  <c r="BY24" i="16"/>
  <c r="BU24" i="16"/>
  <c r="Z30" i="16"/>
  <c r="CE48" i="16"/>
  <c r="DA84" i="16"/>
  <c r="BD29" i="16"/>
  <c r="CS80" i="16"/>
  <c r="Z47" i="16"/>
  <c r="DB35" i="16"/>
  <c r="BS35" i="16"/>
  <c r="Q18" i="16"/>
  <c r="CP82" i="16"/>
  <c r="H47" i="16"/>
  <c r="M16" i="16"/>
  <c r="AV28" i="16"/>
  <c r="P23" i="16"/>
  <c r="L84" i="16"/>
  <c r="AB24" i="16"/>
  <c r="AL58" i="16"/>
  <c r="AL61" i="16"/>
  <c r="CH62" i="16"/>
  <c r="X46" i="16"/>
  <c r="U53" i="16"/>
  <c r="BG81" i="16"/>
  <c r="CF58" i="16"/>
  <c r="AY58" i="16"/>
  <c r="Y84" i="16"/>
  <c r="P40" i="16"/>
  <c r="CZ16" i="16"/>
  <c r="BJ75" i="16"/>
  <c r="AF63" i="16"/>
  <c r="CZ53" i="16"/>
  <c r="CI84" i="16"/>
  <c r="AC83" i="16"/>
  <c r="BH68" i="16"/>
  <c r="CY16" i="16"/>
  <c r="CF40" i="16"/>
  <c r="Z16" i="16"/>
  <c r="CQ79" i="16"/>
  <c r="CE47" i="16"/>
  <c r="BQ73" i="16"/>
  <c r="BP79" i="16"/>
  <c r="BO61" i="16"/>
  <c r="AI53" i="16"/>
  <c r="BW79" i="16"/>
  <c r="AH68" i="16"/>
  <c r="BC47" i="16"/>
  <c r="AH65" i="16"/>
  <c r="CD40" i="16"/>
  <c r="AG17" i="16"/>
  <c r="CN65" i="16"/>
  <c r="AY15" i="16"/>
  <c r="CA86" i="16"/>
  <c r="AG59" i="16"/>
  <c r="CR84" i="16"/>
  <c r="Q15" i="16"/>
  <c r="CK84" i="16"/>
  <c r="N30" i="16"/>
  <c r="BN30" i="16"/>
  <c r="H79" i="16"/>
  <c r="CD82" i="16"/>
  <c r="AR46" i="16"/>
  <c r="BD24" i="16"/>
  <c r="BQ75" i="16"/>
  <c r="BA70" i="16"/>
  <c r="CL18" i="16"/>
  <c r="BQ24" i="16"/>
  <c r="AC24" i="16"/>
  <c r="AC18" i="16"/>
  <c r="L73" i="16"/>
  <c r="BH29" i="16"/>
  <c r="S53" i="16"/>
  <c r="W24" i="16"/>
  <c r="AV40" i="16"/>
  <c r="Z75" i="16"/>
  <c r="CD75" i="16"/>
  <c r="BT61" i="16"/>
  <c r="AO15" i="16"/>
  <c r="J23" i="16"/>
  <c r="H18" i="16"/>
  <c r="BL39" i="16"/>
  <c r="AX83" i="16"/>
  <c r="CO53" i="16"/>
  <c r="AL79" i="16"/>
  <c r="CG50" i="16"/>
  <c r="BS84" i="16"/>
  <c r="CL84" i="16"/>
  <c r="AS40" i="16"/>
  <c r="AQ23" i="16"/>
  <c r="CX24" i="16"/>
  <c r="AX47" i="16"/>
  <c r="Q73" i="16"/>
  <c r="BW58" i="16"/>
  <c r="CS39" i="16"/>
  <c r="BN65" i="16"/>
  <c r="I35" i="16"/>
  <c r="AN48" i="16"/>
  <c r="CO35" i="16"/>
  <c r="CP23" i="16"/>
  <c r="X84" i="16"/>
  <c r="CF68" i="16"/>
  <c r="BA73" i="16"/>
  <c r="BL61" i="16"/>
  <c r="BW80" i="16"/>
  <c r="DA58" i="16"/>
  <c r="K53" i="16"/>
  <c r="Y58" i="16"/>
  <c r="T73" i="16"/>
  <c r="BW73" i="16"/>
  <c r="CA73" i="16"/>
  <c r="CP79" i="16"/>
  <c r="AF53" i="16"/>
  <c r="BE40" i="16"/>
  <c r="CD48" i="16"/>
  <c r="CX68" i="16"/>
  <c r="CX79" i="16"/>
  <c r="CD47" i="16"/>
  <c r="BC73" i="16"/>
  <c r="AH57" i="16"/>
  <c r="CJ16" i="16"/>
  <c r="CA30" i="16"/>
  <c r="AA71" i="16"/>
  <c r="AN68" i="16"/>
  <c r="BH39" i="16"/>
  <c r="CO63" i="16"/>
  <c r="BX40" i="16"/>
  <c r="AC23" i="16"/>
  <c r="BR47" i="16"/>
  <c r="S38" i="16"/>
  <c r="CX28" i="16"/>
  <c r="AB52" i="16"/>
  <c r="BA20" i="16"/>
  <c r="CJ40" i="16"/>
  <c r="CN52" i="16"/>
  <c r="BD59" i="16"/>
  <c r="DA30" i="16"/>
  <c r="AW47" i="16"/>
  <c r="U71" i="16"/>
  <c r="AW83" i="16"/>
  <c r="H20" i="16"/>
  <c r="AL47" i="16"/>
  <c r="O80" i="16"/>
  <c r="CN70" i="16"/>
  <c r="CP61" i="16"/>
  <c r="CE20" i="16"/>
  <c r="CF24" i="16"/>
  <c r="DB61" i="16"/>
  <c r="CB48" i="16"/>
  <c r="P46" i="16"/>
  <c r="K23" i="16"/>
  <c r="Q29" i="16"/>
  <c r="BF72" i="16"/>
  <c r="AG40" i="16"/>
  <c r="BD16" i="16"/>
  <c r="Q52" i="16"/>
  <c r="CW64" i="16"/>
  <c r="R81" i="16"/>
  <c r="AZ80" i="16"/>
  <c r="AR59" i="16"/>
  <c r="BA81" i="16"/>
  <c r="AU74" i="16"/>
  <c r="CK54" i="16"/>
  <c r="AL53" i="16"/>
  <c r="X73" i="16"/>
  <c r="CR58" i="16"/>
  <c r="AJ51" i="16"/>
  <c r="BT46" i="16"/>
  <c r="I71" i="16"/>
  <c r="AD23" i="16"/>
  <c r="CK50" i="16"/>
  <c r="AK51" i="16"/>
  <c r="BP24" i="16"/>
  <c r="AS28" i="16"/>
  <c r="AM75" i="16"/>
  <c r="X50" i="16"/>
  <c r="CS29" i="16"/>
  <c r="R29" i="16"/>
  <c r="DB63" i="16"/>
  <c r="CM28" i="16"/>
  <c r="X39" i="16"/>
  <c r="CI20" i="16"/>
  <c r="AB14" i="16"/>
  <c r="AV54" i="16"/>
  <c r="CT60" i="16"/>
  <c r="CR34" i="16"/>
  <c r="CA61" i="16"/>
  <c r="AK72" i="16"/>
  <c r="BX52" i="16"/>
  <c r="BN72" i="16"/>
  <c r="H57" i="16"/>
  <c r="BH34" i="16"/>
  <c r="AE84" i="16"/>
  <c r="CT23" i="16"/>
  <c r="U82" i="16"/>
  <c r="AF49" i="16"/>
  <c r="CV74" i="16"/>
  <c r="L41" i="16"/>
  <c r="K18" i="16"/>
  <c r="AD69" i="16"/>
  <c r="AX31" i="16"/>
  <c r="AA50" i="16"/>
  <c r="BV28" i="16"/>
  <c r="BM35" i="16"/>
  <c r="CT82" i="16"/>
  <c r="CM72" i="16"/>
  <c r="BE15" i="16"/>
  <c r="CK80" i="16"/>
  <c r="BJ40" i="16"/>
  <c r="AY70" i="16"/>
  <c r="BV30" i="16"/>
  <c r="AX79" i="16"/>
  <c r="BQ86" i="16"/>
  <c r="BI42" i="16"/>
  <c r="CF17" i="16"/>
  <c r="Z72" i="16"/>
  <c r="DC71" i="16"/>
  <c r="CT17" i="16"/>
  <c r="AJ75" i="16"/>
  <c r="CI58" i="16"/>
  <c r="P71" i="16"/>
  <c r="BZ75" i="16"/>
  <c r="BT23" i="16"/>
  <c r="V35" i="16"/>
  <c r="AK82" i="16"/>
  <c r="AO30" i="16"/>
  <c r="AA23" i="16"/>
  <c r="CN30" i="16"/>
  <c r="AA58" i="16"/>
  <c r="AP24" i="16"/>
  <c r="BS41" i="16"/>
  <c r="CS58" i="16"/>
  <c r="BV63" i="16"/>
  <c r="AG50" i="16"/>
  <c r="CI74" i="16"/>
  <c r="L87" i="16"/>
  <c r="BI26" i="16"/>
  <c r="CO37" i="16"/>
  <c r="CI38" i="16"/>
  <c r="CE69" i="16"/>
  <c r="BG26" i="16"/>
  <c r="CR20" i="16"/>
  <c r="CH57" i="16"/>
  <c r="CJ28" i="16"/>
  <c r="BJ50" i="16"/>
  <c r="J47" i="16"/>
  <c r="U70" i="16"/>
  <c r="CM50" i="16"/>
  <c r="AG82" i="16"/>
  <c r="CU73" i="16"/>
  <c r="AU29" i="16"/>
  <c r="BL29" i="16"/>
  <c r="AA73" i="16"/>
  <c r="AQ54" i="16"/>
  <c r="AR50" i="16"/>
  <c r="R38" i="16"/>
  <c r="CG81" i="16"/>
  <c r="BX65" i="16"/>
  <c r="AG53" i="16"/>
  <c r="I64" i="16"/>
  <c r="S17" i="16"/>
  <c r="CQ71" i="16"/>
  <c r="AN84" i="16"/>
  <c r="AC86" i="16"/>
  <c r="AX51" i="16"/>
  <c r="AD86" i="16"/>
  <c r="AW51" i="16"/>
  <c r="X64" i="16"/>
  <c r="BJ19" i="16"/>
  <c r="AQ74" i="16"/>
  <c r="CL59" i="16"/>
  <c r="CA15" i="16"/>
  <c r="CO15" i="16"/>
  <c r="W54" i="16"/>
  <c r="BQ50" i="16"/>
  <c r="CZ80" i="16"/>
  <c r="BI48" i="16"/>
  <c r="CT40" i="16"/>
  <c r="CY27" i="16"/>
  <c r="CC27" i="16"/>
  <c r="BJ39" i="16"/>
  <c r="BO54" i="16"/>
  <c r="CS28" i="16"/>
  <c r="CJ87" i="16"/>
  <c r="BR41" i="16"/>
  <c r="H17" i="16"/>
  <c r="AD73" i="16"/>
  <c r="M19" i="16"/>
  <c r="N74" i="16"/>
  <c r="BL69" i="16"/>
  <c r="BV24" i="16"/>
  <c r="BQ23" i="16"/>
  <c r="CQ60" i="16"/>
  <c r="H68" i="16"/>
  <c r="P60" i="16"/>
  <c r="DC19" i="16"/>
  <c r="AX71" i="16"/>
  <c r="AA70" i="16"/>
  <c r="AY34" i="16"/>
  <c r="BG58" i="16"/>
  <c r="Q84" i="16"/>
  <c r="AH72" i="16"/>
  <c r="DA83" i="16"/>
  <c r="BG80" i="16"/>
  <c r="K61" i="16"/>
  <c r="O28" i="16"/>
  <c r="AH58" i="16"/>
  <c r="Z15" i="16"/>
  <c r="AH40" i="16"/>
  <c r="CZ15" i="16"/>
  <c r="CB52" i="16"/>
  <c r="CZ61" i="16"/>
  <c r="K34" i="16"/>
  <c r="BF17" i="16"/>
  <c r="AG64" i="16"/>
  <c r="BO87" i="16"/>
  <c r="J76" i="16"/>
  <c r="W47" i="16"/>
  <c r="AN42" i="16"/>
  <c r="AD38" i="16"/>
  <c r="BW59" i="16"/>
  <c r="H37" i="16"/>
  <c r="Q27" i="16"/>
  <c r="CQ37" i="16"/>
  <c r="CT38" i="16"/>
  <c r="CZ34" i="16"/>
  <c r="CP51" i="16"/>
  <c r="CH19" i="16"/>
  <c r="AC70" i="16"/>
  <c r="AD76" i="16"/>
  <c r="U86" i="16"/>
  <c r="CO31" i="16"/>
  <c r="AS47" i="16"/>
  <c r="BU63" i="16"/>
  <c r="CL57" i="16"/>
  <c r="BL48" i="16"/>
  <c r="BP39" i="16"/>
  <c r="T46" i="16"/>
  <c r="BU68" i="16"/>
  <c r="DA61" i="16"/>
  <c r="BS75" i="16"/>
  <c r="R83" i="16"/>
  <c r="BJ51" i="16"/>
  <c r="CG76" i="16"/>
  <c r="V70" i="16"/>
  <c r="AU80" i="16"/>
  <c r="CX30" i="16"/>
  <c r="CF62" i="16"/>
  <c r="AC48" i="16"/>
  <c r="AS63" i="16"/>
  <c r="AP57" i="16"/>
  <c r="AO40" i="16"/>
  <c r="AN64" i="16"/>
  <c r="BV27" i="16"/>
  <c r="CX65" i="16"/>
  <c r="O54" i="16"/>
  <c r="AV20" i="16"/>
  <c r="BY83" i="16"/>
  <c r="BJ86" i="16"/>
  <c r="BK80" i="16"/>
  <c r="AO14" i="16"/>
  <c r="CC57" i="16"/>
  <c r="BU37" i="16"/>
  <c r="CS86" i="16"/>
  <c r="AP86" i="16"/>
  <c r="CI34" i="16"/>
  <c r="BV14" i="16"/>
  <c r="AV57" i="16"/>
  <c r="AO51" i="16"/>
  <c r="U19" i="16"/>
  <c r="BG64" i="16"/>
  <c r="AF52" i="16"/>
  <c r="BH59" i="16"/>
  <c r="CQ83" i="16"/>
  <c r="Q54" i="16"/>
  <c r="BQ38" i="16"/>
  <c r="J54" i="16"/>
  <c r="BD64" i="16"/>
  <c r="BB59" i="16"/>
  <c r="AS59" i="16"/>
  <c r="BU73" i="16"/>
  <c r="J81" i="16"/>
  <c r="J80" i="16"/>
  <c r="AO23" i="16"/>
  <c r="BS72" i="16"/>
  <c r="CZ28" i="16"/>
  <c r="CY23" i="16"/>
  <c r="AM58" i="16"/>
  <c r="CB39" i="16"/>
  <c r="P16" i="16"/>
  <c r="AO87" i="16"/>
  <c r="AQ62" i="16"/>
  <c r="CN80" i="16"/>
  <c r="CP72" i="16"/>
  <c r="AW48" i="16"/>
  <c r="Q72" i="16"/>
  <c r="AX30" i="16"/>
  <c r="S20" i="16"/>
  <c r="BV17" i="16"/>
  <c r="CY60" i="16"/>
  <c r="AN63" i="16"/>
  <c r="AH81" i="16"/>
  <c r="CC87" i="16"/>
  <c r="CW18" i="16"/>
  <c r="BC58" i="16"/>
  <c r="AS54" i="16"/>
  <c r="AT62" i="16"/>
  <c r="CS87" i="16"/>
  <c r="AG26" i="16"/>
  <c r="AX34" i="16"/>
  <c r="CX26" i="16"/>
  <c r="AH16" i="16"/>
  <c r="AD57" i="16"/>
  <c r="AB19" i="16"/>
  <c r="AE42" i="16"/>
  <c r="AG49" i="16"/>
  <c r="AL48" i="16"/>
  <c r="W60" i="16"/>
  <c r="CQ17" i="16"/>
  <c r="AE86" i="16"/>
  <c r="CG41" i="16"/>
  <c r="BN51" i="16"/>
  <c r="BZ49" i="16"/>
  <c r="P20" i="16"/>
  <c r="W62" i="16"/>
  <c r="CL69" i="16"/>
  <c r="BE38" i="16"/>
  <c r="AG31" i="16"/>
  <c r="BK27" i="16"/>
  <c r="Y31" i="16"/>
  <c r="CL48" i="16"/>
  <c r="DB76" i="16"/>
  <c r="AP37" i="16"/>
  <c r="CX80" i="16"/>
  <c r="AB75" i="16"/>
  <c r="Z86" i="16"/>
  <c r="H42" i="16"/>
  <c r="CB51" i="16"/>
  <c r="BQ62" i="16"/>
  <c r="CW50" i="16"/>
  <c r="W80" i="16"/>
  <c r="AY80" i="16"/>
  <c r="BR52" i="16"/>
  <c r="BN37" i="16"/>
  <c r="CB17" i="16"/>
  <c r="H14" i="16"/>
  <c r="AL42" i="16"/>
  <c r="AI38" i="16"/>
  <c r="AU86" i="16"/>
  <c r="BQ65" i="16"/>
  <c r="BZ51" i="16"/>
  <c r="DC86" i="16"/>
  <c r="DC42" i="16"/>
  <c r="L48" i="16"/>
  <c r="AZ72" i="16"/>
  <c r="AB54" i="16"/>
  <c r="BW72" i="16"/>
  <c r="CW19" i="16"/>
  <c r="CV72" i="16"/>
  <c r="CM87" i="16"/>
  <c r="CU65" i="16"/>
  <c r="BV87" i="16"/>
  <c r="AL81" i="16"/>
  <c r="BZ31" i="16"/>
  <c r="AF54" i="16"/>
  <c r="Q41" i="16"/>
  <c r="BY68" i="16"/>
  <c r="Y37" i="16"/>
  <c r="AL57" i="16"/>
  <c r="AM42" i="16"/>
  <c r="Z54" i="16"/>
  <c r="AG72" i="16"/>
  <c r="AI59" i="16"/>
  <c r="V26" i="16"/>
  <c r="AX37" i="16"/>
  <c r="DA72" i="16"/>
  <c r="CX20" i="16"/>
  <c r="Q62" i="16"/>
  <c r="BS48" i="16"/>
  <c r="AM49" i="16"/>
  <c r="BA19" i="16"/>
  <c r="BG65" i="16"/>
  <c r="AL17" i="16"/>
  <c r="I41" i="16"/>
  <c r="BK71" i="16"/>
  <c r="I54" i="16"/>
  <c r="AU19" i="16"/>
  <c r="CN86" i="16"/>
  <c r="BD14" i="16"/>
  <c r="CV83" i="16"/>
  <c r="AZ19" i="16"/>
  <c r="AM81" i="16"/>
  <c r="AX20" i="16"/>
  <c r="AP80" i="16"/>
  <c r="T27" i="16"/>
  <c r="AL69" i="16"/>
  <c r="CF81" i="16"/>
  <c r="O69" i="16"/>
  <c r="AN17" i="16"/>
  <c r="BC26" i="16"/>
  <c r="CW52" i="16"/>
  <c r="AW59" i="16"/>
  <c r="BK37" i="16"/>
  <c r="Z65" i="16"/>
  <c r="CS68" i="16"/>
  <c r="P62" i="16"/>
  <c r="CE81" i="16"/>
  <c r="CQ19" i="16"/>
  <c r="L83" i="16"/>
  <c r="BX69" i="16"/>
  <c r="CW65" i="16"/>
  <c r="BC31" i="16"/>
  <c r="CZ20" i="16"/>
  <c r="CZ65" i="16"/>
  <c r="R17" i="16"/>
  <c r="O74" i="16"/>
  <c r="CW17" i="16"/>
  <c r="AE49" i="16"/>
  <c r="X17" i="16"/>
  <c r="CG42" i="16"/>
  <c r="AU87" i="16"/>
  <c r="AE65" i="16"/>
  <c r="BY57" i="16"/>
  <c r="CX29" i="16"/>
  <c r="CH48" i="16"/>
  <c r="AM54" i="16"/>
  <c r="CE31" i="16"/>
  <c r="AI60" i="16"/>
  <c r="BC76" i="16"/>
  <c r="CI81" i="16"/>
  <c r="BO20" i="16"/>
  <c r="BR42" i="16"/>
  <c r="AN70" i="16"/>
  <c r="Y14" i="16"/>
  <c r="AD58" i="16"/>
  <c r="AY64" i="16"/>
  <c r="CA54" i="16"/>
  <c r="CS65" i="16"/>
  <c r="AZ37" i="16"/>
  <c r="BN26" i="16"/>
  <c r="BP52" i="16"/>
  <c r="CS26" i="16"/>
  <c r="CX62" i="16"/>
  <c r="BU71" i="16"/>
  <c r="CJ48" i="16"/>
  <c r="P48" i="16"/>
  <c r="CG20" i="16"/>
  <c r="AD26" i="16"/>
  <c r="W76" i="16"/>
  <c r="AC36" i="16"/>
  <c r="X85" i="16"/>
  <c r="CH51" i="16"/>
  <c r="CK51" i="16"/>
  <c r="BX14" i="16"/>
  <c r="CH27" i="16"/>
  <c r="T19" i="16"/>
  <c r="CT69" i="16"/>
  <c r="K52" i="16"/>
  <c r="CH64" i="16"/>
  <c r="BJ81" i="16"/>
  <c r="AK37" i="16"/>
  <c r="CI59" i="16"/>
  <c r="AV27" i="16"/>
  <c r="BH64" i="16"/>
  <c r="I17" i="16"/>
  <c r="BZ38" i="16"/>
  <c r="CH72" i="16"/>
  <c r="CC65" i="16"/>
  <c r="BE34" i="16"/>
  <c r="I60" i="16"/>
  <c r="AN71" i="16"/>
  <c r="BV70" i="16"/>
  <c r="AZ54" i="16"/>
  <c r="BD20" i="16"/>
  <c r="BJ42" i="16"/>
  <c r="CK52" i="16"/>
  <c r="BW20" i="16"/>
  <c r="BP65" i="16"/>
  <c r="O87" i="16"/>
  <c r="BY19" i="16"/>
  <c r="M69" i="16"/>
  <c r="H65" i="16"/>
  <c r="AO53" i="16"/>
  <c r="K72" i="16"/>
  <c r="BS52" i="16"/>
  <c r="AI54" i="16"/>
  <c r="AE48" i="16"/>
  <c r="BQ37" i="16"/>
  <c r="CE87" i="16"/>
  <c r="CR76" i="16"/>
  <c r="BW31" i="16"/>
  <c r="AB42" i="16"/>
  <c r="BN64" i="16"/>
  <c r="BY72" i="16"/>
  <c r="AS34" i="16"/>
  <c r="BE26" i="16"/>
  <c r="AB48" i="16"/>
  <c r="DC20" i="16"/>
  <c r="CP52" i="16"/>
  <c r="W37" i="16"/>
  <c r="BY69" i="16"/>
  <c r="CG86" i="16"/>
  <c r="BA65" i="16"/>
  <c r="AE59" i="16"/>
  <c r="BM71" i="16"/>
  <c r="AT72" i="16"/>
  <c r="CG17" i="16"/>
  <c r="Q64" i="16"/>
  <c r="M120" i="16"/>
  <c r="DA60" i="16"/>
  <c r="CA60" i="16"/>
  <c r="R86" i="16"/>
  <c r="AW19" i="16"/>
  <c r="BJ38" i="16"/>
  <c r="CF49" i="16"/>
  <c r="U41" i="16"/>
  <c r="L85" i="16"/>
  <c r="BQ59" i="16"/>
  <c r="CX36" i="16"/>
  <c r="BR25" i="16"/>
  <c r="AA36" i="16"/>
  <c r="DB65" i="16"/>
  <c r="O36" i="16"/>
  <c r="BQ53" i="16"/>
  <c r="W36" i="16"/>
  <c r="H86" i="16"/>
  <c r="CD26" i="16"/>
  <c r="BQ48" i="16"/>
  <c r="I48" i="16"/>
  <c r="AV70" i="16"/>
  <c r="BT74" i="16"/>
  <c r="BL51" i="16"/>
  <c r="CW57" i="16"/>
  <c r="U52" i="16"/>
  <c r="BA57" i="16"/>
  <c r="S60" i="16"/>
  <c r="BM20" i="16"/>
  <c r="DC48" i="16"/>
  <c r="AK85" i="16"/>
  <c r="BB36" i="16"/>
  <c r="BT25" i="16"/>
  <c r="AI85" i="16"/>
  <c r="BM49" i="16"/>
  <c r="CU25" i="16"/>
  <c r="CY25" i="16"/>
  <c r="CK36" i="16"/>
  <c r="CL41" i="16"/>
  <c r="CK25" i="16"/>
  <c r="AQ25" i="16"/>
  <c r="BP85" i="16"/>
  <c r="CV49" i="16"/>
  <c r="AH49" i="16"/>
  <c r="BR36" i="16"/>
  <c r="BT79" i="16"/>
  <c r="CV36" i="16"/>
  <c r="I59" i="16"/>
  <c r="CO49" i="16"/>
  <c r="AO36" i="16"/>
  <c r="R25" i="16"/>
  <c r="AL49" i="16"/>
  <c r="AC81" i="16"/>
  <c r="CV41" i="16"/>
  <c r="CH79" i="16"/>
  <c r="H85" i="16"/>
  <c r="W85" i="16"/>
  <c r="BU53" i="16"/>
  <c r="CR79" i="16"/>
  <c r="BQ85" i="16"/>
  <c r="CX49" i="16"/>
  <c r="Q59" i="16"/>
  <c r="CG36" i="16"/>
  <c r="AD36" i="16"/>
  <c r="BO25" i="16"/>
  <c r="O120" i="16"/>
  <c r="Y25" i="16"/>
  <c r="DC25" i="16"/>
  <c r="I85" i="16"/>
  <c r="AE79" i="16"/>
  <c r="AW25" i="16"/>
  <c r="AJ79" i="16"/>
  <c r="M36" i="16"/>
  <c r="BO41" i="16"/>
  <c r="BM25" i="16"/>
  <c r="X36" i="16"/>
  <c r="BR85" i="16"/>
  <c r="V34" i="16"/>
  <c r="BR71" i="16"/>
  <c r="AT86" i="16"/>
  <c r="BT73" i="16"/>
  <c r="BR76" i="16"/>
  <c r="BG38" i="16"/>
  <c r="AU63" i="16"/>
  <c r="AA16" i="16"/>
  <c r="I73" i="16"/>
  <c r="AN37" i="16"/>
  <c r="CY37" i="16"/>
  <c r="BB34" i="16"/>
  <c r="CZ30" i="16"/>
  <c r="BZ71" i="16"/>
  <c r="AM86" i="16"/>
  <c r="BO24" i="16"/>
  <c r="BD18" i="16"/>
  <c r="BD68" i="16"/>
  <c r="CR19" i="16"/>
  <c r="BA61" i="16"/>
  <c r="Z19" i="16"/>
  <c r="AR60" i="16"/>
  <c r="CN42" i="16"/>
  <c r="CT73" i="16"/>
  <c r="K40" i="16"/>
  <c r="BD62" i="16"/>
  <c r="AD53" i="16"/>
  <c r="BW70" i="16"/>
  <c r="AT52" i="16"/>
  <c r="BA31" i="16"/>
  <c r="I31" i="16"/>
  <c r="CP84" i="16"/>
  <c r="BE72" i="16"/>
  <c r="BW86" i="16"/>
  <c r="AR52" i="16"/>
  <c r="CK57" i="16"/>
  <c r="CT86" i="16"/>
  <c r="AJ37" i="16"/>
  <c r="Y17" i="16"/>
  <c r="CN59" i="16"/>
  <c r="AI57" i="16"/>
  <c r="AY59" i="16"/>
  <c r="AY85" i="16"/>
  <c r="BB26" i="16"/>
  <c r="Q71" i="16"/>
  <c r="CS51" i="16"/>
  <c r="AB47" i="16"/>
  <c r="AO65" i="16"/>
  <c r="CI72" i="16"/>
  <c r="L59" i="16"/>
  <c r="BC42" i="16"/>
  <c r="AI27" i="16"/>
  <c r="CK38" i="16"/>
  <c r="CL27" i="16"/>
  <c r="AY30" i="16"/>
  <c r="CT57" i="16"/>
  <c r="AP26" i="16"/>
  <c r="CQ48" i="16"/>
  <c r="BM57" i="16"/>
  <c r="N26" i="16"/>
  <c r="DB20" i="16"/>
  <c r="AC20" i="16"/>
  <c r="Q34" i="16"/>
  <c r="BW17" i="16"/>
  <c r="AN34" i="16"/>
  <c r="BQ14" i="16"/>
  <c r="CC41" i="16"/>
  <c r="Q74" i="16"/>
  <c r="O62" i="16"/>
  <c r="BB14" i="16"/>
  <c r="CE34" i="16"/>
  <c r="CB60" i="16"/>
  <c r="CY70" i="16"/>
  <c r="P72" i="16"/>
  <c r="AF41" i="16"/>
  <c r="BC48" i="16"/>
  <c r="AJ20" i="16"/>
  <c r="AL86" i="16"/>
  <c r="AN27" i="16"/>
  <c r="S81" i="16"/>
  <c r="Y34" i="16"/>
  <c r="AK81" i="16"/>
  <c r="BM87" i="16"/>
  <c r="CR65" i="16"/>
  <c r="AF62" i="16"/>
  <c r="CF65" i="16"/>
  <c r="CL80" i="16"/>
  <c r="CD38" i="16"/>
  <c r="AU69" i="16"/>
  <c r="CZ26" i="16"/>
  <c r="AP38" i="16"/>
  <c r="AN23" i="16"/>
  <c r="CJ69" i="16"/>
  <c r="AC71" i="16"/>
  <c r="BR80" i="16"/>
  <c r="AX52" i="16"/>
  <c r="AS68" i="16"/>
  <c r="BI54" i="16"/>
  <c r="Z87" i="16"/>
  <c r="CT71" i="16"/>
  <c r="CB74" i="16"/>
  <c r="BR38" i="16"/>
  <c r="R34" i="16"/>
  <c r="CE57" i="16"/>
  <c r="K57" i="16"/>
  <c r="H38" i="16"/>
  <c r="BH31" i="16"/>
  <c r="CB62" i="16"/>
  <c r="CD76" i="16"/>
  <c r="T54" i="16"/>
  <c r="AR41" i="16"/>
  <c r="BI19" i="16"/>
  <c r="CX37" i="16"/>
  <c r="CR17" i="16"/>
  <c r="Z24" i="16"/>
  <c r="BF71" i="16"/>
  <c r="AQ60" i="16"/>
  <c r="BE31" i="16"/>
  <c r="Y62" i="16"/>
  <c r="AB60" i="16"/>
  <c r="BY62" i="16"/>
  <c r="CP64" i="16"/>
  <c r="BS59" i="16"/>
  <c r="L42" i="16"/>
  <c r="AS26" i="16"/>
  <c r="CW86" i="16"/>
  <c r="BG19" i="16"/>
  <c r="CE60" i="16"/>
  <c r="Y65" i="16"/>
  <c r="AU51" i="16"/>
  <c r="CM86" i="16"/>
  <c r="BC71" i="16"/>
  <c r="Z48" i="16"/>
  <c r="V37" i="16"/>
  <c r="AI81" i="16"/>
  <c r="CV20" i="16"/>
  <c r="CY57" i="16"/>
  <c r="CS36" i="16"/>
  <c r="CV52" i="16"/>
  <c r="BT52" i="16"/>
  <c r="BQ25" i="16"/>
  <c r="BI34" i="16"/>
  <c r="W69" i="16"/>
  <c r="AD27" i="16"/>
  <c r="BH74" i="16"/>
  <c r="AL62" i="16"/>
  <c r="AZ59" i="16"/>
  <c r="CA17" i="16"/>
  <c r="BZ54" i="16"/>
  <c r="AN14" i="16"/>
  <c r="AV48" i="16"/>
  <c r="BL52" i="16"/>
  <c r="DC57" i="16"/>
  <c r="AF38" i="16"/>
  <c r="S27" i="16"/>
  <c r="AU26" i="16"/>
  <c r="BM48" i="16"/>
  <c r="AR65" i="16"/>
  <c r="BM19" i="16"/>
  <c r="BO42" i="16"/>
  <c r="CP74" i="16"/>
  <c r="AA51" i="16"/>
  <c r="CQ14" i="16"/>
  <c r="CK14" i="16"/>
  <c r="AD17" i="16"/>
  <c r="AE41" i="16"/>
  <c r="CF27" i="16"/>
  <c r="BW57" i="16"/>
  <c r="W70" i="16"/>
  <c r="DB36" i="16"/>
  <c r="CR25" i="16"/>
  <c r="CC38" i="16"/>
  <c r="AJ19" i="16"/>
  <c r="AA62" i="16"/>
  <c r="CM76" i="16"/>
  <c r="BV86" i="16"/>
  <c r="BJ14" i="16"/>
  <c r="CF60" i="16"/>
  <c r="AY76" i="16"/>
  <c r="BG60" i="16"/>
  <c r="J70" i="16"/>
  <c r="BZ64" i="16"/>
  <c r="BV72" i="16"/>
  <c r="J52" i="16"/>
  <c r="CC60" i="16"/>
  <c r="J19" i="16"/>
  <c r="BM74" i="16"/>
  <c r="BM86" i="16"/>
  <c r="CM31" i="16"/>
  <c r="BR81" i="16"/>
  <c r="AH74" i="16"/>
  <c r="DA76" i="16"/>
  <c r="AZ87" i="16"/>
  <c r="AV80" i="16"/>
  <c r="BX37" i="16"/>
  <c r="BO26" i="16"/>
  <c r="BM72" i="16"/>
  <c r="AJ72" i="16"/>
  <c r="AY81" i="16"/>
  <c r="CD52" i="16"/>
  <c r="CX64" i="16"/>
  <c r="BB48" i="16"/>
  <c r="BO34" i="16"/>
  <c r="AB38" i="16"/>
  <c r="BJ59" i="16"/>
  <c r="AY60" i="16"/>
  <c r="CW74" i="16"/>
  <c r="U26" i="16"/>
  <c r="AJ26" i="16"/>
  <c r="DA87" i="16"/>
  <c r="Q37" i="16"/>
  <c r="BZ57" i="16"/>
  <c r="L15" i="16"/>
  <c r="I14" i="16"/>
  <c r="AF80" i="16"/>
  <c r="BV65" i="16"/>
  <c r="BU76" i="16"/>
  <c r="Z37" i="16"/>
  <c r="CL17" i="16"/>
  <c r="BG17" i="16"/>
  <c r="CL60" i="16"/>
  <c r="AX70" i="16"/>
  <c r="BA49" i="16"/>
  <c r="AC14" i="16"/>
  <c r="K71" i="16"/>
  <c r="Z60" i="16"/>
  <c r="BN38" i="16"/>
  <c r="AK27" i="16"/>
  <c r="CS74" i="16"/>
  <c r="AQ81" i="16"/>
  <c r="BU42" i="16"/>
  <c r="CA20" i="16"/>
  <c r="CY19" i="16"/>
  <c r="O57" i="16"/>
  <c r="CA25" i="16"/>
  <c r="P59" i="16"/>
  <c r="CO85" i="16"/>
  <c r="BR49" i="16"/>
  <c r="CB41" i="16"/>
  <c r="J25" i="16"/>
  <c r="AJ36" i="16"/>
  <c r="CA79" i="16"/>
  <c r="DA37" i="16"/>
  <c r="AB85" i="16"/>
  <c r="V85" i="16"/>
  <c r="BM81" i="16"/>
  <c r="AL72" i="16"/>
  <c r="DB81" i="16"/>
  <c r="AD42" i="16"/>
  <c r="AN52" i="16"/>
  <c r="U69" i="16"/>
  <c r="AJ52" i="16"/>
  <c r="AM74" i="16"/>
  <c r="CJ54" i="16"/>
  <c r="Q69" i="16"/>
  <c r="BJ37" i="16"/>
  <c r="BR57" i="16"/>
  <c r="BX41" i="16"/>
  <c r="CI62" i="16"/>
  <c r="DB57" i="16"/>
  <c r="AR54" i="16"/>
  <c r="AD14" i="16"/>
  <c r="N42" i="16"/>
  <c r="CU69" i="16"/>
  <c r="BM14" i="16"/>
  <c r="AI52" i="16"/>
  <c r="BP31" i="16"/>
  <c r="CL74" i="16"/>
  <c r="Q70" i="16"/>
  <c r="BP76" i="16"/>
  <c r="BI76" i="16"/>
  <c r="AF37" i="16"/>
  <c r="AP52" i="16"/>
  <c r="CM48" i="16"/>
  <c r="R49" i="16"/>
  <c r="CE36" i="16"/>
  <c r="AZ20" i="16"/>
  <c r="CG25" i="16"/>
  <c r="AY36" i="16"/>
  <c r="Y49" i="16"/>
  <c r="AH25" i="16"/>
  <c r="CX61" i="16"/>
  <c r="AZ85" i="16"/>
  <c r="BV36" i="16"/>
  <c r="J41" i="16"/>
  <c r="CL61" i="16"/>
  <c r="AQ49" i="16"/>
  <c r="BL49" i="16"/>
  <c r="CG85" i="16"/>
  <c r="BI36" i="16"/>
  <c r="AZ36" i="16"/>
  <c r="AE36" i="16"/>
  <c r="P108" i="14"/>
  <c r="CY49" i="16"/>
  <c r="AZ49" i="16"/>
  <c r="BN24" i="16"/>
  <c r="AO52" i="16"/>
  <c r="BA75" i="16"/>
  <c r="Q46" i="16"/>
  <c r="BB70" i="16"/>
  <c r="AE69" i="16"/>
  <c r="Y16" i="16"/>
  <c r="BN74" i="16"/>
  <c r="CT49" i="16"/>
  <c r="CU53" i="16"/>
  <c r="CX84" i="16"/>
  <c r="Y72" i="16"/>
  <c r="AZ40" i="16"/>
  <c r="CA62" i="16"/>
  <c r="W14" i="16"/>
  <c r="CR51" i="16"/>
  <c r="CY59" i="16"/>
  <c r="BK70" i="16"/>
  <c r="AE83" i="16"/>
  <c r="CY35" i="16"/>
  <c r="CC62" i="16"/>
  <c r="AP23" i="16"/>
  <c r="BJ87" i="16"/>
  <c r="AS76" i="16"/>
  <c r="BS63" i="16"/>
  <c r="S19" i="16"/>
  <c r="BW54" i="16"/>
  <c r="CH17" i="16"/>
  <c r="BK62" i="16"/>
  <c r="DB19" i="16"/>
  <c r="M71" i="16"/>
  <c r="AR62" i="16"/>
  <c r="CD51" i="16"/>
  <c r="AB69" i="16"/>
  <c r="BK34" i="16"/>
  <c r="BP87" i="16"/>
  <c r="BM75" i="16"/>
  <c r="BP19" i="16"/>
  <c r="BV60" i="16"/>
  <c r="BN70" i="16"/>
  <c r="BS37" i="16"/>
  <c r="AP87" i="16"/>
  <c r="BE41" i="16"/>
  <c r="K80" i="16"/>
  <c r="AC19" i="16"/>
  <c r="L64" i="16"/>
  <c r="H48" i="16"/>
  <c r="AE34" i="16"/>
  <c r="O20" i="16"/>
  <c r="BL34" i="16"/>
  <c r="BD37" i="16"/>
  <c r="AD72" i="16"/>
  <c r="CA19" i="16"/>
  <c r="CU72" i="16"/>
  <c r="AL87" i="16"/>
  <c r="CO69" i="16"/>
  <c r="CE52" i="16"/>
  <c r="AP74" i="16"/>
  <c r="AT71" i="16"/>
  <c r="CQ28" i="16"/>
  <c r="AC76" i="16"/>
  <c r="CR60" i="16"/>
  <c r="BV81" i="16"/>
  <c r="AY14" i="16"/>
  <c r="J69" i="16"/>
  <c r="AV76" i="16"/>
  <c r="AG86" i="16"/>
  <c r="X38" i="16"/>
  <c r="CO59" i="16"/>
  <c r="AU48" i="16"/>
  <c r="BH52" i="16"/>
  <c r="CP38" i="16"/>
  <c r="CM49" i="16"/>
  <c r="AQ59" i="16"/>
  <c r="CB64" i="16"/>
  <c r="BB54" i="16"/>
  <c r="AV14" i="16"/>
  <c r="AY17" i="16"/>
  <c r="AC74" i="16"/>
  <c r="CJ60" i="16"/>
  <c r="BX68" i="16"/>
  <c r="BT70" i="16"/>
  <c r="AL38" i="16"/>
  <c r="CA34" i="16"/>
  <c r="AM20" i="16"/>
  <c r="AT34" i="16"/>
  <c r="CU62" i="16"/>
  <c r="BV19" i="16"/>
  <c r="DB51" i="16"/>
  <c r="I52" i="16"/>
  <c r="BC14" i="16"/>
  <c r="BB79" i="16"/>
  <c r="DC38" i="16"/>
  <c r="CP27" i="16"/>
  <c r="CQ76" i="16"/>
  <c r="AP27" i="16"/>
  <c r="CF51" i="16"/>
  <c r="BJ48" i="16"/>
  <c r="CS57" i="16"/>
  <c r="AX19" i="16"/>
  <c r="CR52" i="16"/>
  <c r="BY74" i="16"/>
  <c r="AE51" i="16"/>
  <c r="W51" i="16"/>
  <c r="BS25" i="16"/>
  <c r="DA54" i="16"/>
  <c r="BH14" i="16"/>
  <c r="AO31" i="16"/>
  <c r="BT59" i="16"/>
  <c r="BS62" i="16"/>
  <c r="AD65" i="16"/>
  <c r="BA38" i="16"/>
  <c r="J38" i="16"/>
  <c r="BR48" i="16"/>
  <c r="Q28" i="16"/>
  <c r="X42" i="16"/>
  <c r="AL31" i="16"/>
  <c r="BS76" i="16"/>
  <c r="AK38" i="16"/>
  <c r="S80" i="16"/>
  <c r="CI14" i="16"/>
  <c r="CX83" i="16"/>
  <c r="AV65" i="16"/>
  <c r="BW34" i="16"/>
  <c r="BV71" i="16"/>
  <c r="CC20" i="16"/>
  <c r="CB27" i="16"/>
  <c r="CZ60" i="16"/>
  <c r="CI57" i="16"/>
  <c r="CC70" i="16"/>
  <c r="BT14" i="16"/>
  <c r="CL85" i="16"/>
  <c r="BB42" i="16"/>
  <c r="R20" i="16"/>
  <c r="BN31" i="16"/>
  <c r="CE42" i="16"/>
  <c r="V54" i="16"/>
  <c r="CN79" i="16"/>
  <c r="BU57" i="16"/>
  <c r="T62" i="16"/>
  <c r="BV76" i="16"/>
  <c r="X60" i="16"/>
  <c r="L51" i="16"/>
  <c r="AW20" i="16"/>
  <c r="BS64" i="16"/>
  <c r="CT70" i="16"/>
  <c r="CF64" i="16"/>
  <c r="BC52" i="16"/>
  <c r="AO62" i="16"/>
  <c r="CR38" i="16"/>
  <c r="M26" i="16"/>
  <c r="CC34" i="16"/>
  <c r="R69" i="16"/>
  <c r="CN87" i="16"/>
  <c r="AL51" i="16"/>
  <c r="BL70" i="16"/>
  <c r="AW69" i="16"/>
  <c r="BS65" i="16"/>
  <c r="AS70" i="16"/>
  <c r="BL17" i="16"/>
  <c r="CL83" i="16"/>
  <c r="CU26" i="16"/>
  <c r="AO20" i="16"/>
  <c r="Z25" i="16"/>
  <c r="AR76" i="16"/>
  <c r="AM69" i="16"/>
  <c r="BB41" i="16"/>
  <c r="W27" i="16"/>
  <c r="BH83" i="16"/>
  <c r="CI85" i="16"/>
  <c r="CR62" i="16"/>
  <c r="K64" i="16"/>
  <c r="DC54" i="16"/>
  <c r="CO64" i="16"/>
  <c r="AK87" i="16"/>
  <c r="AS48" i="16"/>
  <c r="BZ37" i="16"/>
  <c r="AF31" i="16"/>
  <c r="BB60" i="16"/>
  <c r="CV24" i="16"/>
  <c r="Z20" i="16"/>
  <c r="AH17" i="16"/>
  <c r="N20" i="16"/>
  <c r="CI27" i="16"/>
  <c r="AI51" i="16"/>
  <c r="AO86" i="16"/>
  <c r="CR71" i="16"/>
  <c r="Y64" i="16"/>
  <c r="BK64" i="16"/>
  <c r="U62" i="16"/>
  <c r="AJ38" i="16"/>
  <c r="J42" i="16"/>
  <c r="BF19" i="16"/>
  <c r="CN54" i="16"/>
  <c r="BP86" i="16"/>
  <c r="CG87" i="16"/>
  <c r="M86" i="16"/>
  <c r="CA64" i="16"/>
  <c r="BJ60" i="16"/>
  <c r="BC38" i="16"/>
  <c r="S37" i="16"/>
  <c r="Z53" i="16"/>
  <c r="AA76" i="16"/>
  <c r="AQ68" i="16"/>
  <c r="AL26" i="16"/>
  <c r="CW69" i="16"/>
  <c r="AT27" i="16"/>
  <c r="AE52" i="16"/>
  <c r="CR87" i="16"/>
  <c r="BE81" i="16"/>
  <c r="AZ65" i="16"/>
  <c r="CW76" i="16"/>
  <c r="AG27" i="16"/>
  <c r="CM26" i="16"/>
  <c r="BS57" i="16"/>
  <c r="L71" i="16"/>
  <c r="AX48" i="16"/>
  <c r="CX54" i="16"/>
  <c r="DA48" i="16"/>
  <c r="DA69" i="16"/>
  <c r="K60" i="16"/>
  <c r="AN19" i="16"/>
  <c r="CN74" i="16"/>
  <c r="AH64" i="16"/>
  <c r="AA64" i="16"/>
  <c r="AF71" i="16"/>
  <c r="CA87" i="16"/>
  <c r="CK60" i="16"/>
  <c r="T52" i="16"/>
  <c r="BT71" i="16"/>
  <c r="BH87" i="16"/>
  <c r="M74" i="16"/>
  <c r="CH60" i="16"/>
  <c r="BN52" i="16"/>
  <c r="CB85" i="16"/>
  <c r="AO85" i="16"/>
  <c r="BH53" i="16"/>
  <c r="CF41" i="16"/>
  <c r="BI85" i="16"/>
  <c r="CJ49" i="16"/>
  <c r="AM36" i="16"/>
  <c r="BK87" i="16"/>
  <c r="BX19" i="16"/>
  <c r="BE85" i="16"/>
  <c r="BY25" i="16"/>
  <c r="CZ19" i="16"/>
  <c r="CH41" i="16"/>
  <c r="CJ72" i="16"/>
  <c r="CU49" i="16"/>
  <c r="I51" i="16"/>
  <c r="AM51" i="16"/>
  <c r="BI72" i="16"/>
  <c r="AV71" i="16"/>
  <c r="J62" i="16"/>
  <c r="CD15" i="16"/>
  <c r="BJ65" i="16"/>
  <c r="AV69" i="16"/>
  <c r="BS38" i="16"/>
  <c r="AI14" i="16"/>
  <c r="AH26" i="16"/>
  <c r="BS74" i="16"/>
  <c r="BU26" i="16"/>
  <c r="J51" i="16"/>
  <c r="O42" i="16"/>
  <c r="BT54" i="16"/>
  <c r="AP64" i="16"/>
  <c r="CH31" i="16"/>
  <c r="AW74" i="16"/>
  <c r="CR74" i="16"/>
  <c r="AY69" i="16"/>
  <c r="AJ87" i="16"/>
  <c r="BU41" i="16"/>
  <c r="AD87" i="16"/>
  <c r="S62" i="16"/>
  <c r="BC68" i="16"/>
  <c r="BR34" i="16"/>
  <c r="Z74" i="16"/>
  <c r="CM25" i="16"/>
  <c r="BV53" i="16"/>
  <c r="AP36" i="16"/>
  <c r="AR36" i="16"/>
  <c r="CW25" i="16"/>
  <c r="AB36" i="16"/>
  <c r="CS85" i="16"/>
  <c r="BB57" i="16"/>
  <c r="CC54" i="16"/>
  <c r="CN25" i="16"/>
  <c r="CY36" i="16"/>
  <c r="DB85" i="16"/>
  <c r="AN36" i="16"/>
  <c r="BT49" i="16"/>
  <c r="O41" i="16"/>
  <c r="AJ25" i="16"/>
  <c r="Q25" i="16"/>
  <c r="CC85" i="16"/>
  <c r="BE36" i="16"/>
  <c r="AX85" i="16"/>
  <c r="CV85" i="16"/>
  <c r="BM61" i="16"/>
  <c r="CT25" i="16"/>
  <c r="S25" i="16"/>
  <c r="AG36" i="16"/>
  <c r="CF36" i="16"/>
  <c r="BY49" i="16"/>
  <c r="BP25" i="16"/>
  <c r="CL36" i="16"/>
  <c r="CC25" i="16"/>
  <c r="X25" i="16"/>
  <c r="CO36" i="16"/>
  <c r="BN25" i="16"/>
  <c r="CN41" i="16"/>
  <c r="CP85" i="16"/>
  <c r="K25" i="16"/>
  <c r="AZ84" i="16"/>
  <c r="Y20" i="16"/>
  <c r="CZ72" i="16"/>
  <c r="BI61" i="16"/>
  <c r="R28" i="16"/>
  <c r="CD42" i="16"/>
  <c r="AS29" i="16"/>
  <c r="I87" i="16"/>
  <c r="CD74" i="16"/>
  <c r="CH20" i="16"/>
  <c r="CN31" i="16"/>
  <c r="CG75" i="16"/>
  <c r="S34" i="16"/>
  <c r="AQ75" i="16"/>
  <c r="CL14" i="16"/>
  <c r="BD58" i="16"/>
  <c r="AC79" i="16"/>
  <c r="BM73" i="16"/>
  <c r="AO79" i="16"/>
  <c r="Y70" i="16"/>
  <c r="Q57" i="16"/>
  <c r="AT70" i="16"/>
  <c r="AA38" i="16"/>
  <c r="BS79" i="16"/>
  <c r="AF15" i="16"/>
  <c r="BT28" i="16"/>
  <c r="AA48" i="16"/>
  <c r="CD62" i="16"/>
  <c r="AT42" i="16"/>
  <c r="BW48" i="16"/>
  <c r="L54" i="16"/>
  <c r="M42" i="16"/>
  <c r="BP72" i="16"/>
  <c r="AP14" i="16"/>
  <c r="I74" i="16"/>
  <c r="Z26" i="16"/>
  <c r="CP81" i="16"/>
  <c r="BT81" i="16"/>
  <c r="BR17" i="16"/>
  <c r="AS71" i="16"/>
  <c r="O71" i="16"/>
  <c r="CU17" i="16"/>
  <c r="BE19" i="16"/>
  <c r="CM41" i="16"/>
  <c r="CP57" i="16"/>
  <c r="CB86" i="16"/>
  <c r="U76" i="16"/>
  <c r="CS37" i="16"/>
  <c r="S83" i="16"/>
  <c r="CD14" i="16"/>
  <c r="CT53" i="16"/>
  <c r="CL31" i="16"/>
  <c r="BZ20" i="16"/>
  <c r="S52" i="16"/>
  <c r="M37" i="16"/>
  <c r="T70" i="16"/>
  <c r="CK71" i="16"/>
  <c r="CX60" i="16"/>
  <c r="AP71" i="16"/>
  <c r="CK31" i="16"/>
  <c r="AL20" i="16"/>
  <c r="BQ70" i="16"/>
  <c r="BM37" i="16"/>
  <c r="AH51" i="16"/>
  <c r="DB68" i="16"/>
  <c r="I69" i="16"/>
  <c r="BJ62" i="16"/>
  <c r="CS64" i="16"/>
  <c r="BM65" i="16"/>
  <c r="AL59" i="16"/>
  <c r="BF42" i="16"/>
  <c r="AA65" i="16"/>
  <c r="BD54" i="16"/>
  <c r="BO85" i="16"/>
  <c r="CU83" i="16"/>
  <c r="CL87" i="16"/>
  <c r="AH38" i="16"/>
  <c r="Q38" i="16"/>
  <c r="K48" i="16"/>
  <c r="BG62" i="16"/>
  <c r="CT31" i="16"/>
  <c r="CD27" i="16"/>
  <c r="CI37" i="16"/>
  <c r="BM59" i="16"/>
  <c r="DC68" i="16"/>
  <c r="BI51" i="16"/>
  <c r="AE74" i="16"/>
  <c r="AT37" i="16"/>
  <c r="BZ17" i="16"/>
  <c r="BG42" i="16"/>
  <c r="AJ17" i="16"/>
  <c r="CZ64" i="16"/>
  <c r="AI31" i="16"/>
  <c r="CO62" i="16"/>
  <c r="BS54" i="16"/>
  <c r="BW26" i="16"/>
  <c r="AR17" i="16"/>
  <c r="BU34" i="16"/>
  <c r="X26" i="16"/>
  <c r="AT38" i="16"/>
  <c r="AF70" i="16"/>
  <c r="CW51" i="16"/>
  <c r="CH26" i="16"/>
  <c r="AL34" i="16"/>
  <c r="CX74" i="16"/>
  <c r="AG25" i="16"/>
  <c r="AS65" i="16"/>
  <c r="AG34" i="16"/>
  <c r="AD79" i="16"/>
  <c r="BG34" i="16"/>
  <c r="CD20" i="16"/>
  <c r="AB34" i="16"/>
  <c r="BV74" i="16"/>
  <c r="AW62" i="16"/>
  <c r="BE74" i="16"/>
  <c r="Z76" i="16"/>
  <c r="AM87" i="16"/>
  <c r="BL59" i="16"/>
  <c r="AO54" i="16"/>
  <c r="BD48" i="16"/>
  <c r="BG27" i="16"/>
  <c r="AN38" i="16"/>
  <c r="AZ57" i="16"/>
  <c r="AQ51" i="16"/>
  <c r="CL73" i="16"/>
  <c r="CM70" i="16"/>
  <c r="DB86" i="16"/>
  <c r="CV38" i="16"/>
  <c r="DA20" i="16"/>
  <c r="BG76" i="16"/>
  <c r="BG51" i="16"/>
  <c r="CC69" i="16"/>
  <c r="P17" i="16"/>
  <c r="CS14" i="16"/>
  <c r="BU49" i="16"/>
  <c r="CE64" i="16"/>
  <c r="AS51" i="16"/>
  <c r="AH41" i="16"/>
  <c r="AL65" i="16"/>
  <c r="AG14" i="16"/>
  <c r="AQ37" i="16"/>
  <c r="CK62" i="16"/>
  <c r="CD31" i="16"/>
  <c r="BL80" i="16"/>
  <c r="BY70" i="16"/>
  <c r="CB83" i="16"/>
  <c r="CD72" i="16"/>
  <c r="CJ51" i="16"/>
  <c r="BN19" i="16"/>
  <c r="BD71" i="16"/>
  <c r="CS19" i="16"/>
  <c r="V14" i="16"/>
  <c r="AB81" i="16"/>
  <c r="V51" i="16"/>
  <c r="BP81" i="16"/>
  <c r="AJ65" i="16"/>
  <c r="BE62" i="16"/>
  <c r="AE54" i="16"/>
  <c r="CU14" i="16"/>
  <c r="X70" i="16"/>
  <c r="AG60" i="16"/>
  <c r="AE71" i="16"/>
  <c r="CB34" i="16"/>
  <c r="T37" i="16"/>
  <c r="DB52" i="16"/>
  <c r="CV69" i="16"/>
  <c r="AY71" i="16"/>
  <c r="AA31" i="16"/>
  <c r="CQ81" i="16"/>
  <c r="N108" i="14"/>
  <c r="Y36" i="16"/>
  <c r="CP19" i="16"/>
  <c r="BI20" i="16"/>
  <c r="BT60" i="16"/>
  <c r="BD87" i="16"/>
  <c r="Y81" i="16"/>
  <c r="X74" i="16"/>
  <c r="DB37" i="16"/>
  <c r="CB59" i="16"/>
  <c r="CG57" i="16"/>
  <c r="AS84" i="16"/>
  <c r="CZ14" i="16"/>
  <c r="X48" i="16"/>
  <c r="R76" i="16"/>
  <c r="AR48" i="16"/>
  <c r="AQ83" i="16"/>
  <c r="CJ41" i="16"/>
  <c r="Y42" i="16"/>
  <c r="CI48" i="16"/>
  <c r="CM34" i="16"/>
  <c r="M14" i="16"/>
  <c r="BV31" i="16"/>
  <c r="AN81" i="16"/>
  <c r="CN69" i="16"/>
  <c r="P19" i="16"/>
  <c r="BL31" i="16"/>
  <c r="AW70" i="16"/>
  <c r="P54" i="16"/>
  <c r="AX62" i="16"/>
  <c r="AU68" i="16"/>
  <c r="CC64" i="16"/>
  <c r="AP34" i="16"/>
  <c r="CV27" i="16"/>
  <c r="AY82" i="16"/>
  <c r="AN62" i="16"/>
  <c r="BZ30" i="16"/>
  <c r="DB64" i="16"/>
  <c r="AW76" i="16"/>
  <c r="CV17" i="16"/>
  <c r="CJ62" i="16"/>
  <c r="BR65" i="16"/>
  <c r="CL19" i="16"/>
  <c r="CL16" i="16"/>
  <c r="BH72" i="16"/>
  <c r="Y52" i="16"/>
  <c r="L69" i="16"/>
  <c r="AE82" i="16"/>
  <c r="CH74" i="16"/>
  <c r="AG62" i="16"/>
  <c r="BX74" i="16"/>
  <c r="BQ17" i="16"/>
  <c r="BO81" i="16"/>
  <c r="AA72" i="16"/>
  <c r="H31" i="16"/>
  <c r="BA86" i="16"/>
  <c r="AA59" i="16"/>
  <c r="AA86" i="16"/>
  <c r="CK87" i="16"/>
  <c r="W41" i="16"/>
  <c r="BV59" i="16"/>
  <c r="CY86" i="16"/>
  <c r="R64" i="16"/>
  <c r="BZ60" i="16"/>
  <c r="AU81" i="16"/>
  <c r="CF20" i="16"/>
  <c r="CH36" i="16"/>
  <c r="CW59" i="16"/>
  <c r="N85" i="16"/>
  <c r="AT25" i="16"/>
  <c r="DB25" i="16"/>
  <c r="AI41" i="16"/>
  <c r="CN36" i="16"/>
  <c r="DA17" i="16"/>
  <c r="AX17" i="16"/>
  <c r="CN85" i="16"/>
  <c r="CQ36" i="16"/>
  <c r="BA50" i="16"/>
  <c r="BI37" i="16"/>
  <c r="CG23" i="16"/>
  <c r="AP76" i="16"/>
  <c r="N48" i="16"/>
  <c r="P42" i="16"/>
  <c r="Z81" i="16"/>
  <c r="BY20" i="16"/>
  <c r="CP70" i="16"/>
  <c r="DA29" i="16"/>
  <c r="AD34" i="16"/>
  <c r="AF72" i="16"/>
  <c r="BS19" i="16"/>
  <c r="BH62" i="16"/>
  <c r="BF52" i="16"/>
  <c r="BR64" i="16"/>
  <c r="CU52" i="16"/>
  <c r="BW37" i="16"/>
  <c r="CY81" i="16"/>
  <c r="CQ34" i="16"/>
  <c r="AK57" i="16"/>
  <c r="CR54" i="16"/>
  <c r="O31" i="16"/>
  <c r="U64" i="16"/>
  <c r="AQ19" i="16"/>
  <c r="U48" i="16"/>
  <c r="AP69" i="16"/>
  <c r="CY31" i="16"/>
  <c r="BP74" i="16"/>
  <c r="AH54" i="16"/>
  <c r="AR51" i="16"/>
  <c r="BE57" i="16"/>
  <c r="DB49" i="16"/>
  <c r="AG85" i="16"/>
  <c r="Q85" i="16"/>
  <c r="AY25" i="16"/>
  <c r="N49" i="16"/>
  <c r="V25" i="16"/>
  <c r="CE41" i="16"/>
  <c r="CZ74" i="16"/>
  <c r="O72" i="16"/>
  <c r="H25" i="16"/>
  <c r="BH41" i="16"/>
  <c r="CZ36" i="16"/>
  <c r="CG49" i="16"/>
  <c r="AU25" i="16"/>
  <c r="BM85" i="16"/>
  <c r="Y61" i="16"/>
  <c r="AK49" i="16"/>
  <c r="CL25" i="16"/>
  <c r="R85" i="16"/>
  <c r="BP36" i="16"/>
  <c r="V53" i="16"/>
  <c r="AI25" i="16"/>
  <c r="BC85" i="16"/>
  <c r="Z79" i="16"/>
  <c r="AU85" i="16"/>
  <c r="BU79" i="16"/>
  <c r="CU79" i="16"/>
  <c r="CB25" i="16"/>
  <c r="L36" i="16"/>
  <c r="BU59" i="16"/>
  <c r="AN85" i="16"/>
  <c r="AR85" i="16"/>
  <c r="S36" i="16"/>
  <c r="CS41" i="16"/>
  <c r="U25" i="16"/>
  <c r="CQ41" i="16"/>
  <c r="AB25" i="16"/>
  <c r="N83" i="16"/>
  <c r="H51" i="16"/>
  <c r="CC53" i="16"/>
  <c r="N86" i="16"/>
  <c r="J58" i="16"/>
  <c r="CS34" i="16"/>
  <c r="BU50" i="16"/>
  <c r="AV82" i="16"/>
  <c r="CZ54" i="16"/>
  <c r="AW68" i="16"/>
  <c r="CT68" i="16"/>
  <c r="CG64" i="16"/>
  <c r="AK17" i="16"/>
  <c r="BG73" i="16"/>
  <c r="AX60" i="16"/>
  <c r="BS86" i="16"/>
  <c r="AS41" i="16"/>
  <c r="CQ69" i="16"/>
  <c r="AZ34" i="16"/>
  <c r="W83" i="16"/>
  <c r="N87" i="16"/>
  <c r="AD75" i="16"/>
  <c r="CT19" i="16"/>
  <c r="AV87" i="16"/>
  <c r="CY14" i="16"/>
  <c r="CR30" i="16"/>
  <c r="BZ59" i="16"/>
  <c r="AW31" i="16"/>
  <c r="K42" i="16"/>
  <c r="W79" i="16"/>
  <c r="AS42" i="16"/>
  <c r="I57" i="16"/>
  <c r="CT20" i="16"/>
  <c r="CU60" i="16"/>
  <c r="S64" i="16"/>
  <c r="AW81" i="16"/>
  <c r="S65" i="16"/>
  <c r="BZ65" i="16"/>
  <c r="AU38" i="16"/>
  <c r="BI65" i="16"/>
  <c r="BS70" i="16"/>
  <c r="AC17" i="16"/>
  <c r="J31" i="16"/>
  <c r="Z41" i="16"/>
  <c r="W31" i="16"/>
  <c r="M57" i="16"/>
  <c r="AT54" i="16"/>
  <c r="CY76" i="16"/>
  <c r="L57" i="16"/>
  <c r="AW38" i="16"/>
  <c r="AU27" i="16"/>
  <c r="BT80" i="16"/>
  <c r="CC14" i="16"/>
  <c r="K17" i="16"/>
  <c r="U60" i="16"/>
  <c r="BS17" i="16"/>
  <c r="BH76" i="16"/>
  <c r="P52" i="16"/>
  <c r="R70" i="16"/>
  <c r="CR26" i="16"/>
  <c r="BZ34" i="16"/>
  <c r="BC70" i="16"/>
  <c r="BC60" i="16"/>
  <c r="AR87" i="16"/>
  <c r="CB37" i="16"/>
  <c r="AI74" i="16"/>
  <c r="CF87" i="16"/>
  <c r="DA65" i="16"/>
  <c r="BJ31" i="16"/>
  <c r="AX26" i="16"/>
  <c r="BX48" i="16"/>
  <c r="BM42" i="16"/>
  <c r="S31" i="16"/>
  <c r="BW85" i="16"/>
  <c r="BD17" i="16"/>
  <c r="AQ17" i="16"/>
  <c r="BN62" i="16"/>
  <c r="K62" i="16"/>
  <c r="CO74" i="16"/>
  <c r="BN54" i="16"/>
  <c r="CN38" i="16"/>
  <c r="AY72" i="16"/>
  <c r="AT65" i="16"/>
  <c r="BZ48" i="16"/>
  <c r="BF27" i="16"/>
  <c r="AO42" i="16"/>
  <c r="CS42" i="16"/>
  <c r="BG48" i="16"/>
  <c r="R48" i="16"/>
  <c r="K86" i="16"/>
  <c r="AQ48" i="16"/>
  <c r="Z52" i="16"/>
  <c r="BC86" i="16"/>
  <c r="CV19" i="16"/>
  <c r="AG57" i="16"/>
  <c r="CU70" i="16"/>
  <c r="CL71" i="16"/>
  <c r="AU70" i="16"/>
  <c r="V59" i="16"/>
  <c r="CC48" i="16"/>
  <c r="CK65" i="16"/>
  <c r="AE20" i="16"/>
  <c r="M108" i="14"/>
  <c r="DC62" i="16"/>
  <c r="AX72" i="16"/>
  <c r="CI79" i="16"/>
  <c r="BX71" i="16"/>
  <c r="AW54" i="16"/>
  <c r="AK69" i="16"/>
  <c r="CG68" i="16"/>
  <c r="AK59" i="16"/>
  <c r="S15" i="16"/>
  <c r="S71" i="16"/>
  <c r="I70" i="16"/>
  <c r="N80" i="16"/>
  <c r="DA81" i="16"/>
  <c r="CM62" i="16"/>
  <c r="AI64" i="16"/>
  <c r="BV62" i="16"/>
  <c r="DB47" i="16"/>
  <c r="W72" i="16"/>
  <c r="AM19" i="16"/>
  <c r="AO72" i="16"/>
  <c r="CR72" i="16"/>
  <c r="AD35" i="16"/>
  <c r="AQ70" i="16"/>
  <c r="BY27" i="16"/>
  <c r="AZ76" i="16"/>
  <c r="CK34" i="16"/>
  <c r="AD31" i="16"/>
  <c r="CJ59" i="16"/>
  <c r="T81" i="16"/>
  <c r="CS76" i="16"/>
  <c r="AW17" i="16"/>
  <c r="U81" i="16"/>
  <c r="AZ15" i="16"/>
  <c r="AP51" i="16"/>
  <c r="BL62" i="16"/>
  <c r="P69" i="16"/>
  <c r="DA19" i="16"/>
  <c r="P64" i="16"/>
  <c r="DB31" i="16"/>
  <c r="K59" i="16"/>
  <c r="CF54" i="16"/>
  <c r="AV60" i="16"/>
  <c r="BG54" i="16"/>
  <c r="BN14" i="16"/>
  <c r="CU15" i="16"/>
  <c r="AE17" i="16"/>
  <c r="AU76" i="16"/>
  <c r="CG71" i="16"/>
  <c r="CH69" i="16"/>
  <c r="AK34" i="16"/>
  <c r="AA60" i="16"/>
  <c r="M60" i="16"/>
  <c r="BP60" i="16"/>
  <c r="K38" i="16"/>
  <c r="X14" i="16"/>
  <c r="CB57" i="16"/>
  <c r="CP76" i="16"/>
  <c r="BW14" i="16"/>
  <c r="BL37" i="16"/>
  <c r="AM15" i="16"/>
  <c r="R74" i="16"/>
  <c r="BQ54" i="16"/>
  <c r="T38" i="16"/>
  <c r="AF74" i="16"/>
  <c r="CW38" i="16"/>
  <c r="BP17" i="16"/>
  <c r="Q60" i="16"/>
  <c r="K36" i="16"/>
  <c r="BU83" i="16"/>
  <c r="AN65" i="16"/>
  <c r="BO38" i="16"/>
  <c r="CJ42" i="16"/>
  <c r="BI60" i="16"/>
  <c r="J64" i="16"/>
  <c r="BA51" i="16"/>
  <c r="CM64" i="16"/>
  <c r="BY85" i="16"/>
  <c r="O68" i="16"/>
  <c r="BH38" i="16"/>
  <c r="W74" i="16"/>
  <c r="AE26" i="16"/>
  <c r="AJ29" i="16"/>
  <c r="P87" i="16"/>
  <c r="W65" i="16"/>
  <c r="BE87" i="16"/>
  <c r="CV71" i="16"/>
  <c r="AR31" i="16"/>
  <c r="CE27" i="16"/>
  <c r="AF65" i="16"/>
  <c r="BG20" i="16"/>
  <c r="I27" i="16"/>
  <c r="AW52" i="16"/>
  <c r="BL86" i="16"/>
  <c r="BC57" i="16"/>
  <c r="BV38" i="16"/>
  <c r="CS71" i="16"/>
  <c r="AJ80" i="16"/>
  <c r="BF87" i="16"/>
  <c r="BI59" i="16"/>
  <c r="AG48" i="16"/>
  <c r="BD51" i="16"/>
  <c r="AT69" i="16"/>
  <c r="BZ23" i="16"/>
  <c r="AM31" i="16"/>
  <c r="BI87" i="16"/>
  <c r="AX42" i="16"/>
  <c r="AQ86" i="16"/>
  <c r="CW42" i="16"/>
  <c r="CA53" i="16"/>
  <c r="AA20" i="16"/>
  <c r="BY38" i="16"/>
  <c r="BM17" i="16"/>
  <c r="P51" i="16"/>
  <c r="H69" i="16"/>
  <c r="W71" i="16"/>
  <c r="BE70" i="16"/>
  <c r="AE64" i="16"/>
  <c r="T64" i="16"/>
  <c r="BP23" i="16"/>
  <c r="L52" i="16"/>
  <c r="BE51" i="16"/>
  <c r="AS17" i="16"/>
  <c r="P26" i="16"/>
  <c r="CV60" i="16"/>
  <c r="CI87" i="16"/>
  <c r="H54" i="16"/>
  <c r="BE64" i="16"/>
  <c r="BZ86" i="16"/>
  <c r="CK74" i="16"/>
  <c r="CK17" i="16"/>
  <c r="AN20" i="16"/>
  <c r="T59" i="16"/>
  <c r="BO36" i="16"/>
  <c r="AZ41" i="16"/>
  <c r="CU85" i="16"/>
  <c r="AW49" i="16"/>
  <c r="T36" i="16"/>
  <c r="BL85" i="16"/>
  <c r="AG41" i="16"/>
  <c r="DC74" i="16"/>
  <c r="BZ41" i="16"/>
  <c r="O120" i="15"/>
  <c r="BG36" i="16"/>
  <c r="CF42" i="16"/>
  <c r="BZ19" i="16"/>
  <c r="BP18" i="16"/>
  <c r="AB87" i="16"/>
  <c r="BL74" i="16"/>
  <c r="CB87" i="16"/>
  <c r="BE37" i="16"/>
  <c r="AC57" i="16"/>
  <c r="J37" i="16"/>
  <c r="CR42" i="16"/>
  <c r="BX20" i="16"/>
  <c r="BO14" i="16"/>
  <c r="CU86" i="16"/>
  <c r="O51" i="16"/>
  <c r="CZ17" i="16"/>
  <c r="CC76" i="16"/>
  <c r="BA60" i="16"/>
  <c r="BC17" i="16"/>
  <c r="H35" i="16"/>
  <c r="BR14" i="16"/>
  <c r="T76" i="16"/>
  <c r="CU48" i="16"/>
  <c r="BX72" i="16"/>
  <c r="CC37" i="16"/>
  <c r="BF64" i="16"/>
  <c r="DA62" i="16"/>
  <c r="AJ76" i="16"/>
  <c r="BQ41" i="16"/>
  <c r="BK72" i="16"/>
  <c r="BU86" i="16"/>
  <c r="CZ83" i="16"/>
  <c r="Y87" i="16"/>
  <c r="BF49" i="16"/>
  <c r="S85" i="16"/>
  <c r="CT36" i="16"/>
  <c r="BX85" i="16"/>
  <c r="BT53" i="16"/>
  <c r="X61" i="16"/>
  <c r="AJ85" i="16"/>
  <c r="BW19" i="16"/>
  <c r="AE25" i="16"/>
  <c r="AQ53" i="16"/>
  <c r="CB20" i="16"/>
  <c r="BY41" i="16"/>
  <c r="AM79" i="16"/>
  <c r="CD25" i="16"/>
  <c r="BJ36" i="16"/>
  <c r="AU49" i="16"/>
  <c r="U36" i="16"/>
  <c r="BH36" i="16"/>
  <c r="L25" i="16"/>
  <c r="N36" i="16"/>
  <c r="AQ85" i="16"/>
  <c r="J85" i="16"/>
  <c r="AM85" i="16"/>
  <c r="DA25" i="16"/>
  <c r="CC59" i="16"/>
  <c r="AB41" i="16"/>
  <c r="BH20" i="16"/>
  <c r="AY49" i="16"/>
  <c r="T85" i="16"/>
  <c r="T49" i="16"/>
  <c r="BT85" i="16"/>
  <c r="V49" i="16"/>
  <c r="CJ85" i="16"/>
  <c r="T61" i="16"/>
  <c r="BK85" i="16"/>
  <c r="AV85" i="16"/>
  <c r="BZ85" i="16"/>
  <c r="CK41" i="16"/>
  <c r="AV25" i="16"/>
  <c r="CY85" i="16"/>
  <c r="BD36" i="16"/>
  <c r="AW85" i="16"/>
  <c r="BH85" i="16"/>
  <c r="CS49" i="16"/>
  <c r="Z36" i="16"/>
  <c r="BC25" i="16"/>
  <c r="AB74" i="16"/>
  <c r="CP20" i="16"/>
  <c r="BM52" i="16"/>
  <c r="CM83" i="16"/>
  <c r="DC36" i="16"/>
  <c r="BK20" i="16"/>
  <c r="AX25" i="16"/>
  <c r="AR53" i="16"/>
  <c r="BA41" i="16"/>
  <c r="AV41" i="16"/>
  <c r="CS25" i="16"/>
  <c r="BB25" i="16"/>
  <c r="BZ36" i="16"/>
  <c r="AC25" i="16"/>
  <c r="I49" i="16"/>
  <c r="AC41" i="16"/>
  <c r="AC85" i="16"/>
  <c r="AX36" i="16"/>
  <c r="BX49" i="16"/>
  <c r="H49" i="16"/>
  <c r="U85" i="16"/>
  <c r="CE25" i="16"/>
  <c r="AB79" i="16"/>
  <c r="CB79" i="16"/>
  <c r="BG79" i="16"/>
  <c r="M49" i="16"/>
  <c r="BQ79" i="16"/>
  <c r="CN71" i="16"/>
  <c r="J36" i="16"/>
  <c r="AJ49" i="16"/>
  <c r="CZ85" i="16"/>
  <c r="BH49" i="16"/>
  <c r="CQ20" i="16"/>
  <c r="BF36" i="16"/>
  <c r="AW36" i="16"/>
  <c r="AD49" i="16"/>
  <c r="BE49" i="16"/>
  <c r="BX25" i="16"/>
  <c r="CF26" i="16"/>
  <c r="BL60" i="16"/>
  <c r="BZ80" i="16"/>
  <c r="CC63" i="16"/>
  <c r="X18" i="16"/>
  <c r="BX51" i="16"/>
  <c r="BU82" i="16"/>
  <c r="AC39" i="16"/>
  <c r="BW83" i="16"/>
  <c r="BO73" i="16"/>
  <c r="Y71" i="16"/>
  <c r="K20" i="16"/>
  <c r="BL42" i="16"/>
  <c r="BP40" i="16"/>
  <c r="AU82" i="16"/>
  <c r="J17" i="16"/>
  <c r="CB46" i="16"/>
  <c r="U54" i="16"/>
  <c r="H76" i="16"/>
  <c r="AG83" i="16"/>
  <c r="CH81" i="16"/>
  <c r="BV61" i="16"/>
  <c r="AY86" i="16"/>
  <c r="CQ63" i="16"/>
  <c r="AV38" i="16"/>
  <c r="BN48" i="16"/>
  <c r="AX64" i="16"/>
  <c r="AH59" i="16"/>
  <c r="BH48" i="16"/>
  <c r="CO76" i="16"/>
  <c r="CK83" i="16"/>
  <c r="CW62" i="16"/>
  <c r="CX42" i="16"/>
  <c r="BG71" i="16"/>
  <c r="CJ38" i="16"/>
  <c r="J60" i="16"/>
  <c r="BO57" i="16"/>
  <c r="CF38" i="16"/>
  <c r="CM60" i="16"/>
  <c r="BP38" i="16"/>
  <c r="O81" i="16"/>
  <c r="BB69" i="16"/>
  <c r="AB57" i="16"/>
  <c r="P76" i="16"/>
  <c r="CX87" i="16"/>
  <c r="I38" i="16"/>
  <c r="BZ62" i="16"/>
  <c r="DA14" i="16"/>
  <c r="CF69" i="16"/>
  <c r="CN19" i="16"/>
  <c r="X72" i="16"/>
  <c r="CP31" i="16"/>
  <c r="Y54" i="16"/>
  <c r="CF48" i="16"/>
  <c r="Y74" i="16"/>
  <c r="I86" i="16"/>
  <c r="AY87" i="16"/>
  <c r="CZ37" i="16"/>
  <c r="AE27" i="16"/>
  <c r="BP14" i="16"/>
  <c r="S51" i="16"/>
  <c r="CQ54" i="16"/>
  <c r="AD60" i="16"/>
  <c r="AT87" i="16"/>
  <c r="CJ71" i="16"/>
  <c r="AY42" i="16"/>
  <c r="AW86" i="16"/>
  <c r="CG51" i="16"/>
  <c r="R72" i="16"/>
  <c r="CY62" i="16"/>
  <c r="CM14" i="16"/>
  <c r="AR80" i="16"/>
  <c r="CX17" i="16"/>
  <c r="AX41" i="16"/>
  <c r="BC69" i="16"/>
  <c r="AB51" i="16"/>
  <c r="T17" i="16"/>
  <c r="AI20" i="16"/>
  <c r="CK20" i="16"/>
  <c r="AQ26" i="16"/>
  <c r="CD19" i="16"/>
  <c r="CO20" i="16"/>
  <c r="AA34" i="16"/>
  <c r="AA87" i="16"/>
  <c r="AC59" i="16"/>
  <c r="AI26" i="16"/>
  <c r="DA71" i="16"/>
  <c r="Z31" i="16"/>
  <c r="CY74" i="16"/>
  <c r="CV54" i="16"/>
  <c r="CV51" i="16"/>
  <c r="AJ27" i="16"/>
  <c r="P14" i="16"/>
  <c r="BW62" i="16"/>
  <c r="L27" i="16"/>
  <c r="V69" i="16"/>
  <c r="AG19" i="16"/>
  <c r="BU87" i="16"/>
  <c r="BR70" i="16"/>
  <c r="CD83" i="16"/>
  <c r="Z51" i="16"/>
  <c r="CT76" i="16"/>
  <c r="BN81" i="16"/>
  <c r="AQ27" i="16"/>
  <c r="CL65" i="16"/>
  <c r="CW41" i="16"/>
  <c r="AR81" i="16"/>
  <c r="BY60" i="16"/>
  <c r="CV62" i="16"/>
  <c r="CO27" i="16"/>
  <c r="CI42" i="16"/>
  <c r="CK73" i="16"/>
  <c r="CI76" i="16"/>
  <c r="CA41" i="16"/>
  <c r="I83" i="16"/>
  <c r="AD52" i="16"/>
  <c r="L70" i="16"/>
  <c r="BM83" i="16"/>
  <c r="CC26" i="16"/>
  <c r="BU20" i="16"/>
  <c r="N72" i="16"/>
  <c r="BB86" i="16"/>
  <c r="BH51" i="16"/>
  <c r="AO38" i="16"/>
  <c r="CP68" i="16"/>
  <c r="CL34" i="16"/>
  <c r="AD20" i="16"/>
  <c r="CD70" i="16"/>
  <c r="AX59" i="16"/>
  <c r="BS42" i="16"/>
  <c r="DA38" i="16"/>
  <c r="K69" i="16"/>
  <c r="CO17" i="16"/>
  <c r="AT51" i="16"/>
  <c r="CO71" i="16"/>
  <c r="CV14" i="16"/>
  <c r="AS52" i="16"/>
  <c r="AK36" i="16"/>
  <c r="CH70" i="16"/>
  <c r="R27" i="16"/>
  <c r="AH14" i="16"/>
  <c r="CN81" i="16"/>
  <c r="BI64" i="16"/>
  <c r="CQ62" i="16"/>
  <c r="X81" i="16"/>
  <c r="M62" i="16"/>
  <c r="BP26" i="16"/>
  <c r="CM63" i="16"/>
  <c r="CF57" i="16"/>
  <c r="CU87" i="16"/>
  <c r="BU48" i="16"/>
  <c r="AY19" i="16"/>
  <c r="CR31" i="16"/>
  <c r="DA27" i="16"/>
  <c r="AT31" i="16"/>
  <c r="K81" i="16"/>
  <c r="BI70" i="16"/>
  <c r="P83" i="16"/>
  <c r="AS83" i="16"/>
  <c r="BL72" i="16"/>
  <c r="AU14" i="16"/>
  <c r="BX26" i="16"/>
  <c r="L72" i="16"/>
  <c r="I62" i="16"/>
  <c r="AG42" i="16"/>
  <c r="BA59" i="16"/>
  <c r="AQ14" i="16"/>
  <c r="CT34" i="16"/>
  <c r="BX27" i="16"/>
  <c r="CY87" i="16"/>
  <c r="I16" i="16"/>
  <c r="DB83" i="16"/>
  <c r="L76" i="16"/>
  <c r="BQ84" i="16"/>
  <c r="AT76" i="16"/>
  <c r="AZ31" i="16"/>
  <c r="CG35" i="16"/>
  <c r="BS51" i="16"/>
  <c r="DC60" i="16"/>
  <c r="BF51" i="16"/>
  <c r="H72" i="16"/>
  <c r="BT19" i="16"/>
  <c r="CX71" i="16"/>
  <c r="AZ52" i="16"/>
  <c r="CT18" i="16"/>
  <c r="AJ81" i="16"/>
  <c r="AJ34" i="16"/>
  <c r="AZ62" i="16"/>
  <c r="CF59" i="16"/>
  <c r="BV64" i="16"/>
  <c r="BF20" i="16"/>
  <c r="Q87" i="16"/>
  <c r="AQ52" i="16"/>
  <c r="BY31" i="16"/>
  <c r="BX81" i="16"/>
  <c r="CT58" i="16"/>
  <c r="BZ42" i="16"/>
  <c r="CU59" i="16"/>
  <c r="BP71" i="16"/>
  <c r="AM71" i="16"/>
  <c r="BC81" i="16"/>
  <c r="CK85" i="16"/>
  <c r="O19" i="16"/>
  <c r="CI60" i="16"/>
  <c r="BY54" i="16"/>
  <c r="AU54" i="16"/>
  <c r="DB59" i="16"/>
  <c r="AY27" i="16"/>
  <c r="AJ70" i="16"/>
  <c r="CN57" i="16"/>
  <c r="AO26" i="16"/>
  <c r="AP48" i="16"/>
  <c r="BD26" i="16"/>
  <c r="CK42" i="16"/>
  <c r="CX48" i="16"/>
  <c r="CU42" i="16"/>
  <c r="BI27" i="16"/>
  <c r="Y76" i="16"/>
  <c r="BL41" i="16"/>
  <c r="BJ83" i="16"/>
  <c r="CA81" i="16"/>
  <c r="Q61" i="16"/>
  <c r="BA72" i="16"/>
  <c r="BD57" i="16"/>
  <c r="BZ27" i="16"/>
  <c r="CS54" i="16"/>
  <c r="AB86" i="16"/>
  <c r="BP48" i="16"/>
  <c r="AU59" i="16"/>
  <c r="BO60" i="16"/>
  <c r="BM60" i="16"/>
  <c r="CS59" i="16"/>
  <c r="BB51" i="16"/>
  <c r="AR20" i="16"/>
  <c r="AU34" i="16"/>
  <c r="BE25" i="16"/>
  <c r="CW36" i="16"/>
  <c r="AZ61" i="16"/>
  <c r="Z49" i="16"/>
  <c r="CL49" i="16"/>
  <c r="M25" i="16"/>
  <c r="AC53" i="16"/>
  <c r="O70" i="16"/>
  <c r="CI49" i="16"/>
  <c r="CM85" i="16"/>
  <c r="AT41" i="16"/>
  <c r="AI76" i="16"/>
  <c r="X51" i="16"/>
  <c r="AV72" i="16"/>
  <c r="AX81" i="16"/>
  <c r="L65" i="16"/>
  <c r="AJ47" i="16"/>
  <c r="Y38" i="16"/>
  <c r="CP69" i="16"/>
  <c r="AT26" i="16"/>
  <c r="I81" i="16"/>
  <c r="AO57" i="16"/>
  <c r="CG26" i="16"/>
  <c r="AM57" i="16"/>
  <c r="BQ34" i="16"/>
  <c r="CV48" i="16"/>
  <c r="BE54" i="16"/>
  <c r="AQ31" i="16"/>
  <c r="CT81" i="16"/>
  <c r="BJ73" i="16"/>
  <c r="S70" i="16"/>
  <c r="V64" i="16"/>
  <c r="W19" i="16"/>
  <c r="S54" i="16"/>
  <c r="CZ62" i="16"/>
  <c r="AM64" i="16"/>
  <c r="CB42" i="16"/>
  <c r="V42" i="16"/>
  <c r="BT27" i="16"/>
  <c r="CP59" i="16"/>
  <c r="CJ25" i="16"/>
  <c r="BJ85" i="16"/>
  <c r="CQ58" i="16"/>
  <c r="CR85" i="16"/>
  <c r="I36" i="16"/>
  <c r="BI41" i="16"/>
  <c r="CI36" i="16"/>
  <c r="M85" i="16"/>
  <c r="O49" i="16"/>
  <c r="AX61" i="16"/>
  <c r="AA25" i="16"/>
  <c r="AP49" i="16"/>
  <c r="CK16" i="16"/>
  <c r="AK25" i="16"/>
  <c r="CO25" i="16"/>
  <c r="BX36" i="16"/>
  <c r="DA85" i="16"/>
  <c r="AY41" i="16"/>
  <c r="AA85" i="16"/>
  <c r="AD85" i="16"/>
  <c r="BO49" i="16"/>
  <c r="P120" i="15"/>
  <c r="AN49" i="16"/>
  <c r="BA25" i="16"/>
  <c r="CZ49" i="16"/>
  <c r="AF25" i="16"/>
  <c r="I25" i="16"/>
  <c r="CH61" i="16"/>
  <c r="AM41" i="16"/>
  <c r="P36" i="16"/>
  <c r="DC49" i="16"/>
  <c r="CR59" i="16"/>
  <c r="J49" i="16"/>
  <c r="BP29" i="16"/>
  <c r="BI71" i="16"/>
  <c r="AG47" i="16"/>
  <c r="CR35" i="16"/>
  <c r="V80" i="16"/>
  <c r="AM38" i="16"/>
  <c r="BN63" i="16"/>
  <c r="BW68" i="16"/>
  <c r="CG37" i="16"/>
  <c r="U14" i="16"/>
  <c r="CI47" i="16"/>
  <c r="AB64" i="16"/>
  <c r="AZ53" i="16"/>
  <c r="CC74" i="16"/>
  <c r="BX17" i="16"/>
  <c r="BQ52" i="16"/>
  <c r="AT75" i="16"/>
  <c r="CH14" i="16"/>
  <c r="P41" i="16"/>
  <c r="AJ31" i="16"/>
  <c r="BP53" i="16"/>
  <c r="CH35" i="16"/>
  <c r="CQ74" i="16"/>
  <c r="U83" i="16"/>
  <c r="BU19" i="16"/>
  <c r="AV74" i="16"/>
  <c r="AR34" i="16"/>
  <c r="BI38" i="16"/>
  <c r="CM74" i="16"/>
  <c r="BR37" i="16"/>
  <c r="CX81" i="16"/>
  <c r="BM70" i="16"/>
  <c r="AI19" i="16"/>
  <c r="CF71" i="16"/>
  <c r="BA17" i="16"/>
  <c r="BC74" i="16"/>
  <c r="AS57" i="16"/>
  <c r="CP62" i="16"/>
  <c r="BE42" i="16"/>
  <c r="AD62" i="16"/>
  <c r="AA19" i="16"/>
  <c r="AN60" i="16"/>
  <c r="CQ85" i="16"/>
  <c r="CA42" i="16"/>
  <c r="BJ17" i="16"/>
  <c r="CX19" i="16"/>
  <c r="W20" i="16"/>
  <c r="CU41" i="16"/>
  <c r="CY51" i="16"/>
  <c r="CU81" i="16"/>
  <c r="CY61" i="16"/>
  <c r="W59" i="16"/>
  <c r="R62" i="16"/>
  <c r="DB74" i="16"/>
  <c r="CD60" i="16"/>
  <c r="CC49" i="16"/>
  <c r="AP81" i="16"/>
  <c r="CG65" i="16"/>
  <c r="CA38" i="16"/>
  <c r="BX31" i="16"/>
  <c r="CG19" i="16"/>
  <c r="BB38" i="16"/>
  <c r="DA51" i="16"/>
  <c r="K54" i="16"/>
  <c r="BW51" i="16"/>
  <c r="BD86" i="16"/>
  <c r="CR64" i="16"/>
  <c r="AF86" i="16"/>
  <c r="BP20" i="16"/>
  <c r="CW48" i="16"/>
  <c r="DA70" i="16"/>
  <c r="N38" i="16"/>
  <c r="BQ57" i="16"/>
  <c r="R57" i="16"/>
  <c r="AO76" i="16"/>
  <c r="BE65" i="16"/>
  <c r="BD70" i="16"/>
  <c r="CF37" i="16"/>
  <c r="H80" i="16"/>
  <c r="BX38" i="16"/>
  <c r="BN86" i="16"/>
  <c r="AG71" i="16"/>
  <c r="AK65" i="16"/>
  <c r="P81" i="16"/>
  <c r="BY64" i="16"/>
  <c r="W52" i="16"/>
  <c r="BR86" i="16"/>
  <c r="AB70" i="16"/>
  <c r="X71" i="16"/>
  <c r="BI62" i="16"/>
  <c r="BV34" i="16"/>
  <c r="AW64" i="16"/>
  <c r="CJ86" i="16"/>
  <c r="AV52" i="16"/>
  <c r="BP37" i="16"/>
  <c r="CX52" i="16"/>
  <c r="BG70" i="16"/>
  <c r="AK26" i="16"/>
  <c r="N76" i="16"/>
  <c r="AC52" i="16"/>
  <c r="AB76" i="16"/>
  <c r="AE14" i="16"/>
  <c r="S48" i="16"/>
  <c r="AG52" i="16"/>
  <c r="AH42" i="16"/>
  <c r="CX25" i="16"/>
  <c r="P31" i="16"/>
  <c r="CF74" i="16"/>
  <c r="AL52" i="16"/>
  <c r="AQ72" i="16"/>
  <c r="BS26" i="16"/>
  <c r="BN83" i="16"/>
  <c r="AF87" i="16"/>
  <c r="AX65" i="16"/>
  <c r="N54" i="16"/>
  <c r="DA34" i="16"/>
  <c r="AP41" i="16"/>
  <c r="CR86" i="16"/>
  <c r="AB62" i="16"/>
  <c r="CE65" i="16"/>
  <c r="DB14" i="16"/>
  <c r="BN57" i="16"/>
  <c r="AX14" i="16"/>
  <c r="I42" i="16"/>
  <c r="V48" i="16"/>
  <c r="AX76" i="16"/>
  <c r="K74" i="16"/>
  <c r="AU20" i="16"/>
  <c r="AL54" i="16"/>
  <c r="CI26" i="16"/>
  <c r="AK64" i="16"/>
  <c r="BB20" i="16"/>
  <c r="CY41" i="16"/>
  <c r="BH86" i="16"/>
  <c r="N52" i="16"/>
  <c r="BQ20" i="16"/>
  <c r="AP19" i="16"/>
  <c r="BU36" i="16"/>
  <c r="BB71" i="16"/>
  <c r="BU70" i="16"/>
  <c r="H82" i="16"/>
  <c r="CZ70" i="16"/>
  <c r="BO83" i="16"/>
  <c r="BP70" i="16"/>
  <c r="AH52" i="16"/>
  <c r="BJ64" i="16"/>
  <c r="AA52" i="16"/>
  <c r="BB27" i="16"/>
  <c r="BO69" i="16"/>
  <c r="AV81" i="16"/>
  <c r="CT74" i="16"/>
  <c r="BW50" i="16"/>
  <c r="AD59" i="16"/>
  <c r="AN72" i="16"/>
  <c r="BD65" i="16"/>
  <c r="BV37" i="16"/>
  <c r="AZ79" i="16"/>
  <c r="BS71" i="16"/>
  <c r="Q20" i="16"/>
  <c r="BR26" i="16"/>
  <c r="H83" i="16"/>
  <c r="BX87" i="16"/>
  <c r="CB72" i="16"/>
  <c r="CC71" i="16"/>
  <c r="AA57" i="16"/>
  <c r="BF59" i="16"/>
  <c r="BT34" i="16"/>
  <c r="BB81" i="16"/>
  <c r="X31" i="16"/>
  <c r="AC87" i="16"/>
  <c r="CX41" i="16"/>
  <c r="BJ71" i="16"/>
  <c r="J86" i="16"/>
  <c r="BY80" i="16"/>
  <c r="AA54" i="16"/>
  <c r="CE14" i="16"/>
  <c r="CU24" i="16"/>
  <c r="AA14" i="16"/>
  <c r="BD31" i="16"/>
  <c r="AF83" i="16"/>
  <c r="CK37" i="16"/>
  <c r="BN60" i="16"/>
  <c r="BP42" i="16"/>
  <c r="AU17" i="16"/>
  <c r="BM53" i="16"/>
  <c r="T60" i="16"/>
  <c r="AO17" i="16"/>
  <c r="BZ70" i="16"/>
  <c r="CL86" i="16"/>
  <c r="AJ86" i="16"/>
  <c r="BK76" i="16"/>
  <c r="I76" i="16"/>
  <c r="T69" i="16"/>
  <c r="L86" i="16"/>
  <c r="Z64" i="16"/>
  <c r="CX51" i="16"/>
  <c r="CS31" i="16"/>
  <c r="BS81" i="16"/>
  <c r="AT19" i="16"/>
  <c r="AB31" i="16"/>
  <c r="BC72" i="16"/>
  <c r="J72" i="16"/>
  <c r="BP51" i="16"/>
  <c r="I26" i="16"/>
  <c r="CK26" i="16"/>
  <c r="BJ70" i="16"/>
  <c r="BO64" i="16"/>
  <c r="BO72" i="16"/>
  <c r="M30" i="16"/>
  <c r="CZ69" i="16"/>
  <c r="H81" i="16"/>
  <c r="BR74" i="16"/>
  <c r="AG65" i="16"/>
  <c r="V87" i="16"/>
  <c r="CZ41" i="16"/>
  <c r="AD74" i="16"/>
  <c r="AC37" i="16"/>
  <c r="BN27" i="16"/>
  <c r="K65" i="16"/>
  <c r="CD54" i="16"/>
  <c r="AA42" i="16"/>
  <c r="L14" i="16"/>
  <c r="S69" i="16"/>
  <c r="AP54" i="16"/>
  <c r="BS14" i="16"/>
  <c r="BA76" i="16"/>
  <c r="CG70" i="16"/>
  <c r="CI86" i="16"/>
  <c r="AX54" i="16"/>
  <c r="CZ48" i="16"/>
  <c r="AI17" i="16"/>
  <c r="AL27" i="16"/>
  <c r="AZ17" i="16"/>
  <c r="BA64" i="16"/>
  <c r="BA85" i="16"/>
  <c r="CP25" i="16"/>
  <c r="CH25" i="16"/>
  <c r="AD61" i="16"/>
  <c r="Q36" i="16"/>
  <c r="AP25" i="16"/>
  <c r="BH25" i="16"/>
  <c r="K49" i="16"/>
  <c r="V41" i="16"/>
  <c r="CI25" i="16"/>
  <c r="CA85" i="16"/>
  <c r="BK36" i="16"/>
  <c r="AI69" i="16"/>
  <c r="BS69" i="16"/>
  <c r="BE14" i="16"/>
  <c r="L60" i="16"/>
  <c r="AV34" i="16"/>
  <c r="L49" i="16"/>
  <c r="CF19" i="16"/>
  <c r="R59" i="16"/>
  <c r="CQ52" i="16"/>
  <c r="AR72" i="16"/>
  <c r="AH69" i="16"/>
  <c r="AJ54" i="16"/>
  <c r="CH71" i="16"/>
  <c r="J26" i="16"/>
  <c r="DA59" i="16"/>
  <c r="CT62" i="16"/>
  <c r="AT59" i="16"/>
  <c r="AY26" i="16"/>
  <c r="CE26" i="16"/>
  <c r="Z70" i="16"/>
  <c r="AO19" i="16"/>
  <c r="CV87" i="16"/>
  <c r="BJ52" i="16"/>
  <c r="BK41" i="16"/>
  <c r="BH19" i="16"/>
  <c r="R31" i="16"/>
  <c r="X52" i="16"/>
  <c r="I34" i="16"/>
  <c r="S72" i="16"/>
  <c r="BD19" i="16"/>
  <c r="BK17" i="16"/>
  <c r="BG25" i="16"/>
  <c r="W49" i="16"/>
  <c r="AF85" i="16"/>
  <c r="DC41" i="16"/>
  <c r="T41" i="16"/>
  <c r="CV25" i="16"/>
  <c r="Y85" i="16"/>
  <c r="CT61" i="16"/>
  <c r="CY79" i="16"/>
  <c r="CC36" i="16"/>
  <c r="O25" i="16"/>
  <c r="AD25" i="16"/>
  <c r="AR25" i="16"/>
  <c r="AE85" i="16"/>
  <c r="CR49" i="16"/>
  <c r="BS36" i="16"/>
  <c r="CT85" i="16"/>
  <c r="BU61" i="16"/>
  <c r="CD36" i="16"/>
  <c r="AL41" i="16"/>
  <c r="AT36" i="16"/>
  <c r="BF16" i="16"/>
  <c r="L82" i="16"/>
  <c r="CU39" i="16"/>
  <c r="CZ27" i="16"/>
  <c r="CX86" i="16"/>
  <c r="P24" i="16"/>
  <c r="BK26" i="16"/>
  <c r="U23" i="16"/>
  <c r="DB82" i="16"/>
  <c r="BQ19" i="16"/>
  <c r="CV57" i="16"/>
  <c r="AO80" i="16"/>
  <c r="AN69" i="16"/>
  <c r="U65" i="16"/>
  <c r="CY34" i="16"/>
  <c r="AE73" i="16"/>
  <c r="CQ42" i="16"/>
  <c r="AF42" i="16"/>
  <c r="CI65" i="16"/>
  <c r="W23" i="16"/>
  <c r="BV42" i="16"/>
  <c r="AP42" i="16"/>
  <c r="S39" i="16"/>
  <c r="AR19" i="16"/>
  <c r="AY24" i="16"/>
  <c r="AX58" i="16"/>
  <c r="AY63" i="16"/>
  <c r="CU71" i="16"/>
  <c r="W64" i="16"/>
  <c r="CE76" i="16"/>
  <c r="BW71" i="16"/>
  <c r="BC65" i="16"/>
  <c r="CL51" i="16"/>
  <c r="BD41" i="16"/>
  <c r="BV20" i="16"/>
  <c r="L38" i="16"/>
  <c r="T34" i="16"/>
  <c r="AQ64" i="16"/>
  <c r="AK86" i="16"/>
  <c r="AW72" i="16"/>
  <c r="BH17" i="16"/>
  <c r="BY37" i="16"/>
  <c r="BH81" i="16"/>
  <c r="CV31" i="16"/>
  <c r="T20" i="16"/>
  <c r="CZ87" i="16"/>
  <c r="AQ76" i="16"/>
  <c r="BG57" i="16"/>
  <c r="DC37" i="16"/>
  <c r="AE15" i="16"/>
  <c r="AK14" i="16"/>
  <c r="BR60" i="16"/>
  <c r="W26" i="16"/>
  <c r="BM64" i="16"/>
  <c r="BE20" i="16"/>
  <c r="AQ34" i="16"/>
  <c r="CI64" i="16"/>
  <c r="CU19" i="16"/>
  <c r="BQ51" i="16"/>
  <c r="AK19" i="16"/>
  <c r="CT37" i="16"/>
  <c r="BQ26" i="16"/>
  <c r="N34" i="16"/>
  <c r="BO27" i="16"/>
  <c r="BB64" i="16"/>
  <c r="CO54" i="16"/>
  <c r="CI31" i="16"/>
  <c r="AK41" i="16"/>
  <c r="CN72" i="16"/>
  <c r="CX70" i="16"/>
  <c r="X86" i="16"/>
  <c r="BP34" i="16"/>
  <c r="AH71" i="16"/>
  <c r="CD81" i="16"/>
  <c r="CK48" i="16"/>
  <c r="U37" i="16"/>
  <c r="BX86" i="16"/>
  <c r="CJ68" i="16"/>
  <c r="BL54" i="16"/>
  <c r="AP65" i="16"/>
  <c r="X27" i="16"/>
  <c r="K31" i="16"/>
  <c r="BX57" i="16"/>
  <c r="BW42" i="16"/>
  <c r="CT52" i="16"/>
  <c r="AF60" i="16"/>
  <c r="BP83" i="16"/>
  <c r="CJ70" i="16"/>
  <c r="BC84" i="16"/>
  <c r="AT20" i="16"/>
  <c r="AV86" i="16"/>
  <c r="H70" i="16"/>
  <c r="J27" i="16"/>
  <c r="BD72" i="16"/>
  <c r="CS27" i="16"/>
  <c r="BR72" i="16"/>
  <c r="AK60" i="16"/>
  <c r="BJ49" i="16"/>
  <c r="CH38" i="16"/>
  <c r="CJ64" i="16"/>
  <c r="N120" i="16"/>
  <c r="DC65" i="16"/>
  <c r="BC19" i="16"/>
  <c r="DC14" i="16"/>
  <c r="AZ51" i="16"/>
  <c r="AJ60" i="16"/>
  <c r="CN20" i="16"/>
  <c r="CF25" i="16"/>
  <c r="AS14" i="16"/>
  <c r="CF14" i="16"/>
  <c r="Y51" i="16"/>
  <c r="CN64" i="16"/>
  <c r="BV52" i="16"/>
  <c r="CF72" i="16"/>
  <c r="DB62" i="16"/>
  <c r="BN34" i="16"/>
  <c r="X62" i="16"/>
  <c r="CV65" i="16"/>
  <c r="Q65" i="16"/>
  <c r="BV57" i="16"/>
  <c r="M48" i="16"/>
  <c r="BB65" i="16"/>
  <c r="BT26" i="16"/>
  <c r="CQ31" i="16"/>
  <c r="BP69" i="16"/>
  <c r="BL38" i="16"/>
  <c r="BH57" i="16"/>
  <c r="BX70" i="16"/>
  <c r="BZ81" i="16"/>
  <c r="M38" i="16"/>
  <c r="I19" i="16"/>
  <c r="N37" i="16"/>
  <c r="CY72" i="16"/>
  <c r="CC86" i="16"/>
  <c r="BF54" i="16"/>
  <c r="M120" i="15"/>
  <c r="CS81" i="16"/>
  <c r="V17" i="16"/>
  <c r="AB20" i="16"/>
  <c r="CD49" i="16"/>
  <c r="CC81" i="16"/>
  <c r="K51" i="16"/>
  <c r="AR64" i="16"/>
  <c r="BJ41" i="16"/>
  <c r="AQ20" i="16"/>
  <c r="U40" i="16"/>
  <c r="U17" i="16"/>
  <c r="CV76" i="16"/>
  <c r="BP64" i="16"/>
  <c r="BH70" i="16"/>
  <c r="AU64" i="16"/>
  <c r="AW60" i="16"/>
  <c r="BC64" i="16"/>
  <c r="CX35" i="16"/>
  <c r="CN34" i="16"/>
  <c r="CK81" i="16"/>
  <c r="AI34" i="16"/>
  <c r="CL64" i="16"/>
  <c r="H19" i="16"/>
  <c r="L62" i="16"/>
  <c r="AF64" i="16"/>
  <c r="AG74" i="16"/>
  <c r="AL74" i="16"/>
  <c r="CV59" i="16"/>
  <c r="CZ57" i="16"/>
  <c r="AL60" i="16"/>
  <c r="BQ87" i="16"/>
  <c r="CI54" i="16"/>
  <c r="BD60" i="16"/>
  <c r="AS27" i="16"/>
  <c r="Q31" i="16"/>
  <c r="CH86" i="16"/>
  <c r="DA49" i="16"/>
  <c r="CV34" i="16"/>
  <c r="Q48" i="16"/>
  <c r="BT62" i="16"/>
  <c r="AU62" i="16"/>
  <c r="CO38" i="16"/>
  <c r="BB58" i="16"/>
  <c r="DC26" i="16"/>
  <c r="AJ59" i="16"/>
  <c r="BN87" i="16"/>
  <c r="BG31" i="16"/>
  <c r="BK31" i="16"/>
  <c r="AP17" i="16"/>
  <c r="M41" i="16"/>
  <c r="CH52" i="16"/>
  <c r="AW37" i="16"/>
  <c r="BC27" i="16"/>
  <c r="CW37" i="16"/>
  <c r="O60" i="16"/>
  <c r="CQ64" i="16"/>
  <c r="BF86" i="16"/>
  <c r="AP60" i="16"/>
  <c r="AK20" i="16"/>
  <c r="BR51" i="16"/>
  <c r="CJ81" i="16"/>
  <c r="BY71" i="16"/>
  <c r="CB76" i="16"/>
  <c r="CA74" i="16"/>
  <c r="AV51" i="16"/>
  <c r="CU80" i="16"/>
  <c r="BA52" i="16"/>
  <c r="CB38" i="16"/>
  <c r="BV85" i="16"/>
  <c r="BT86" i="16"/>
  <c r="BK54" i="16"/>
  <c r="DB54" i="16"/>
  <c r="M51" i="16"/>
  <c r="CJ20" i="16"/>
  <c r="AQ71" i="16"/>
  <c r="BF57" i="16"/>
  <c r="BW60" i="16"/>
  <c r="CZ71" i="16"/>
  <c r="H26" i="16"/>
  <c r="AO81" i="16"/>
  <c r="CJ65" i="16"/>
  <c r="AI42" i="16"/>
  <c r="BV41" i="16"/>
  <c r="CE62" i="16"/>
  <c r="AW34" i="16"/>
  <c r="CN62" i="16"/>
  <c r="AZ60" i="16"/>
  <c r="DB70" i="16"/>
  <c r="AC69" i="16"/>
  <c r="CK72" i="16"/>
  <c r="AF69" i="16"/>
  <c r="CO34" i="16"/>
  <c r="H34" i="16"/>
  <c r="BR27" i="16"/>
  <c r="BM26" i="16"/>
  <c r="BM76" i="16"/>
  <c r="AG69" i="16"/>
  <c r="BE76" i="16"/>
  <c r="BV51" i="16"/>
  <c r="CW60" i="16"/>
  <c r="CJ36" i="16"/>
  <c r="BA36" i="16"/>
  <c r="BE16" i="16"/>
  <c r="AZ25" i="16"/>
  <c r="BV49" i="16"/>
  <c r="BW25" i="16"/>
  <c r="BU25" i="16"/>
  <c r="AP85" i="16"/>
  <c r="BK48" i="16"/>
  <c r="AQ41" i="16"/>
  <c r="H36" i="16"/>
  <c r="AL25" i="16"/>
  <c r="BF37" i="16"/>
  <c r="S59" i="16"/>
  <c r="BW69" i="16"/>
  <c r="CM42" i="16"/>
  <c r="CV80" i="16"/>
  <c r="AH83" i="16"/>
  <c r="CP71" i="16"/>
  <c r="CH42" i="16"/>
  <c r="CI17" i="16"/>
  <c r="BF62" i="16"/>
  <c r="BQ71" i="16"/>
  <c r="CL62" i="16"/>
  <c r="AY38" i="16"/>
  <c r="X65" i="16"/>
  <c r="M34" i="16"/>
  <c r="K70" i="16"/>
  <c r="BL64" i="16"/>
  <c r="BD76" i="16"/>
  <c r="CD37" i="16"/>
  <c r="CK68" i="16"/>
  <c r="CM19" i="16"/>
  <c r="O34" i="16"/>
  <c r="BJ80" i="16"/>
  <c r="AE37" i="16"/>
  <c r="CU20" i="16"/>
  <c r="BA69" i="16"/>
  <c r="M81" i="16"/>
  <c r="BY34" i="16"/>
  <c r="AB72" i="16"/>
  <c r="BT87" i="16"/>
  <c r="CR27" i="16"/>
  <c r="BC49" i="16"/>
  <c r="Y59" i="16"/>
  <c r="BU85" i="16"/>
  <c r="CM36" i="16"/>
  <c r="CN16" i="16"/>
  <c r="BL36" i="16"/>
  <c r="BD61" i="16"/>
  <c r="AO41" i="16"/>
  <c r="CS48" i="16"/>
  <c r="CO41" i="16"/>
  <c r="CP49" i="16"/>
  <c r="AH85" i="16"/>
  <c r="BW49" i="16"/>
  <c r="DA36" i="16"/>
  <c r="CD41" i="16"/>
  <c r="AI36" i="16"/>
  <c r="BM36" i="16"/>
  <c r="BB85" i="16"/>
  <c r="CD85" i="16"/>
  <c r="X41" i="16"/>
  <c r="P85" i="16"/>
  <c r="BN41" i="16"/>
  <c r="U79" i="16"/>
  <c r="BD49" i="16"/>
  <c r="CW61" i="16"/>
  <c r="T25" i="16"/>
  <c r="BD85" i="16"/>
  <c r="CR36" i="16"/>
  <c r="CU36" i="16"/>
  <c r="BG41" i="16"/>
  <c r="BD25" i="16"/>
  <c r="BI25" i="16"/>
  <c r="AD41" i="16"/>
  <c r="CX85" i="16"/>
  <c r="CH85" i="16"/>
  <c r="BY36" i="16"/>
  <c r="AI49" i="16"/>
  <c r="CF85" i="16"/>
  <c r="L79" i="16"/>
  <c r="BK59" i="16"/>
  <c r="BS85" i="16"/>
  <c r="CK49" i="16"/>
  <c r="CP36" i="16"/>
  <c r="AQ36" i="16"/>
  <c r="Z85" i="16"/>
  <c r="CW85" i="16"/>
  <c r="P120" i="16"/>
  <c r="BW41" i="16"/>
  <c r="BX34" i="16"/>
  <c r="DC59" i="16"/>
  <c r="P27" i="16"/>
  <c r="CL81" i="16"/>
  <c r="CN26" i="16"/>
  <c r="BO19" i="16"/>
  <c r="AE70" i="16"/>
  <c r="BJ20" i="16"/>
  <c r="CE83" i="16"/>
  <c r="BT72" i="16"/>
  <c r="CU51" i="16"/>
  <c r="CZ42" i="16"/>
  <c r="BK86" i="16"/>
  <c r="DB38" i="16"/>
  <c r="BF74" i="16"/>
  <c r="N41" i="16"/>
  <c r="CG48" i="16"/>
  <c r="H62" i="16"/>
  <c r="O108" i="14"/>
  <c r="AU36" i="16"/>
  <c r="CD59" i="16"/>
  <c r="BC36" i="16"/>
  <c r="CN27" i="16"/>
  <c r="J59" i="16"/>
  <c r="AW41" i="16"/>
  <c r="W25" i="16"/>
  <c r="BN36" i="16"/>
  <c r="AH36" i="16"/>
  <c r="CA49" i="16"/>
  <c r="AA49" i="16"/>
  <c r="L53" i="16"/>
  <c r="AO49" i="16"/>
  <c r="AS85" i="16"/>
  <c r="R36" i="16"/>
  <c r="AX49" i="16"/>
  <c r="AV49" i="16"/>
  <c r="P25" i="16"/>
  <c r="BG85" i="16"/>
  <c r="K41" i="16"/>
  <c r="S49" i="16"/>
  <c r="R41" i="16"/>
  <c r="AO25" i="16"/>
  <c r="AT85" i="16"/>
  <c r="CN17" i="16"/>
  <c r="BT58" i="16"/>
  <c r="BK49" i="16"/>
  <c r="T16" i="16"/>
  <c r="BT36" i="16"/>
  <c r="CB36" i="16"/>
  <c r="CQ25" i="16"/>
  <c r="AL36" i="16"/>
  <c r="BR59" i="16"/>
  <c r="K85" i="16"/>
  <c r="N25" i="16"/>
  <c r="AP53" i="16"/>
  <c r="AV36" i="16"/>
  <c r="BZ25" i="16"/>
  <c r="CZ25" i="16"/>
  <c r="S79" i="16"/>
  <c r="AC49" i="16"/>
  <c r="AT49" i="16"/>
  <c r="Y41" i="16"/>
  <c r="BI49" i="16"/>
  <c r="BV25" i="16"/>
  <c r="V36" i="16"/>
  <c r="AN25" i="16"/>
  <c r="AU41" i="16"/>
  <c r="BF85" i="16"/>
  <c r="BK25" i="16"/>
  <c r="BC41" i="16"/>
  <c r="O85" i="16"/>
  <c r="AO42" i="14" l="1"/>
  <c r="G61" i="14"/>
  <c r="CR41" i="14"/>
  <c r="CQ42" i="14"/>
  <c r="CQ41" i="14" s="1"/>
  <c r="AO70" i="14"/>
  <c r="AO41" i="14" s="1"/>
  <c r="EH84" i="19" s="1"/>
  <c r="CY42" i="14"/>
  <c r="BH42" i="14"/>
  <c r="BK42" i="14"/>
  <c r="BK41" i="14" s="1"/>
  <c r="HR84" i="19" s="1"/>
  <c r="W42" i="14"/>
  <c r="H42" i="14"/>
  <c r="H41" i="14" s="1"/>
  <c r="G43" i="14"/>
  <c r="O70" i="14"/>
  <c r="O41" i="14" s="1"/>
  <c r="AH82" i="19" s="1"/>
  <c r="AK41" i="14"/>
  <c r="DR84" i="19" s="1"/>
  <c r="DA70" i="14"/>
  <c r="DA41" i="14" s="1"/>
  <c r="BQ70" i="14"/>
  <c r="BQ41" i="14" s="1"/>
  <c r="IP85" i="19" s="1"/>
  <c r="M42" i="14"/>
  <c r="M41" i="14" s="1"/>
  <c r="W70" i="14"/>
  <c r="AW42" i="14"/>
  <c r="AW41" i="14" s="1"/>
  <c r="FN83" i="19" s="1"/>
  <c r="BG42" i="14"/>
  <c r="BG41" i="14" s="1"/>
  <c r="HB84" i="19" s="1"/>
  <c r="I42" i="14"/>
  <c r="I41" i="14" s="1"/>
  <c r="J70" i="14"/>
  <c r="AS70" i="14"/>
  <c r="AS41" i="14" s="1"/>
  <c r="EX85" i="19" s="1"/>
  <c r="S42" i="14"/>
  <c r="V42" i="14"/>
  <c r="V41" i="14" s="1"/>
  <c r="BX42" i="14"/>
  <c r="BF70" i="14"/>
  <c r="AP70" i="14"/>
  <c r="AP41" i="14" s="1"/>
  <c r="EL84" i="19" s="1"/>
  <c r="J42" i="14"/>
  <c r="J41" i="14" s="1"/>
  <c r="BJ42" i="14"/>
  <c r="CE70" i="14"/>
  <c r="BM42" i="14"/>
  <c r="BM41" i="14" s="1"/>
  <c r="HZ85" i="19" s="1"/>
  <c r="CL70" i="14"/>
  <c r="Q42" i="14"/>
  <c r="Q41" i="14" s="1"/>
  <c r="AP85" i="19" s="1"/>
  <c r="E79" i="19"/>
  <c r="BH41" i="14"/>
  <c r="HF86" i="19" s="1"/>
  <c r="AY70" i="14"/>
  <c r="AY41" i="14" s="1"/>
  <c r="FV83" i="19" s="1"/>
  <c r="R70" i="14"/>
  <c r="R41" i="14" s="1"/>
  <c r="CS70" i="14"/>
  <c r="CC42" i="14"/>
  <c r="CC41" i="14" s="1"/>
  <c r="KL87" i="19" s="1"/>
  <c r="Z42" i="14"/>
  <c r="Z41" i="14" s="1"/>
  <c r="CV70" i="14"/>
  <c r="CV41" i="14" s="1"/>
  <c r="AI42" i="14"/>
  <c r="AI41" i="14" s="1"/>
  <c r="BN70" i="14"/>
  <c r="BN41" i="14" s="1"/>
  <c r="ID87" i="19" s="1"/>
  <c r="CN42" i="14"/>
  <c r="CN41" i="14" s="1"/>
  <c r="G98" i="14"/>
  <c r="Y41" i="14"/>
  <c r="AB70" i="14"/>
  <c r="N41" i="14"/>
  <c r="CL42" i="14"/>
  <c r="CL41" i="14" s="1"/>
  <c r="BJ70" i="14"/>
  <c r="BJ41" i="14" s="1"/>
  <c r="HN86" i="19" s="1"/>
  <c r="BS42" i="14"/>
  <c r="BS41" i="14" s="1"/>
  <c r="IX83" i="19" s="1"/>
  <c r="D87" i="19"/>
  <c r="D86" i="19"/>
  <c r="CG70" i="14"/>
  <c r="BE42" i="14"/>
  <c r="BE41" i="14" s="1"/>
  <c r="GT86" i="19" s="1"/>
  <c r="BA70" i="14"/>
  <c r="BA41" i="14" s="1"/>
  <c r="GD86" i="19" s="1"/>
  <c r="CW42" i="14"/>
  <c r="S70" i="14"/>
  <c r="BY42" i="14"/>
  <c r="BY41" i="14" s="1"/>
  <c r="JV83" i="19" s="1"/>
  <c r="BP41" i="14"/>
  <c r="IL84" i="19" s="1"/>
  <c r="G89" i="14"/>
  <c r="DB42" i="14"/>
  <c r="DB41" i="14" s="1"/>
  <c r="AV70" i="14"/>
  <c r="AV41" i="14" s="1"/>
  <c r="AA42" i="14"/>
  <c r="AA41" i="14" s="1"/>
  <c r="BB70" i="14"/>
  <c r="CG42" i="14"/>
  <c r="CG41" i="14" s="1"/>
  <c r="LB83" i="19" s="1"/>
  <c r="BQ78" i="16"/>
  <c r="BG78" i="16"/>
  <c r="CB78" i="16"/>
  <c r="L78" i="16"/>
  <c r="AJ78" i="16"/>
  <c r="S78" i="16"/>
  <c r="AB78" i="16"/>
  <c r="O118" i="16"/>
  <c r="BT78" i="16"/>
  <c r="AE78" i="16"/>
  <c r="BH11" i="16"/>
  <c r="BH8" i="16"/>
  <c r="CU78" i="16"/>
  <c r="CQ11" i="16"/>
  <c r="CQ8" i="16"/>
  <c r="BU78" i="16"/>
  <c r="Z78" i="16"/>
  <c r="U78" i="16"/>
  <c r="CR78" i="16"/>
  <c r="AM78" i="16"/>
  <c r="CB11" i="16"/>
  <c r="CB8" i="16"/>
  <c r="G25" i="16"/>
  <c r="D178" i="16" s="1"/>
  <c r="F25" i="16"/>
  <c r="CY78" i="16"/>
  <c r="AZ8" i="16"/>
  <c r="AZ11" i="16"/>
  <c r="BB56" i="16"/>
  <c r="F85" i="16"/>
  <c r="G85" i="16"/>
  <c r="D232" i="16" s="1"/>
  <c r="BK8" i="16"/>
  <c r="BK11" i="16"/>
  <c r="AH83" i="19"/>
  <c r="BE56" i="16"/>
  <c r="F62" i="16"/>
  <c r="G62" i="16"/>
  <c r="D211" i="16" s="1"/>
  <c r="BR33" i="16"/>
  <c r="BC67" i="16"/>
  <c r="BM11" i="16"/>
  <c r="BM8" i="16"/>
  <c r="BY33" i="16"/>
  <c r="I33" i="16"/>
  <c r="CP8" i="16"/>
  <c r="CP11" i="16"/>
  <c r="CU8" i="16"/>
  <c r="CU11" i="16"/>
  <c r="BA56" i="16"/>
  <c r="O33" i="16"/>
  <c r="AK56" i="16"/>
  <c r="CK67" i="16"/>
  <c r="CQ33" i="16"/>
  <c r="CW56" i="16"/>
  <c r="G35" i="16"/>
  <c r="D187" i="16" s="1"/>
  <c r="F35" i="16"/>
  <c r="M33" i="16"/>
  <c r="DB56" i="16"/>
  <c r="BQ33" i="16"/>
  <c r="BJ8" i="16"/>
  <c r="BJ11" i="16"/>
  <c r="AM56" i="16"/>
  <c r="BR56" i="16"/>
  <c r="AO56" i="16"/>
  <c r="BX11" i="16"/>
  <c r="BX8" i="16"/>
  <c r="AD33" i="16"/>
  <c r="AC56" i="16"/>
  <c r="BY11" i="16"/>
  <c r="BY8" i="16"/>
  <c r="AV33" i="16"/>
  <c r="CG113" i="16"/>
  <c r="CG22" i="16"/>
  <c r="G86" i="16"/>
  <c r="D233" i="16" s="1"/>
  <c r="F86" i="16"/>
  <c r="BX33" i="16"/>
  <c r="G36" i="16"/>
  <c r="D188" i="16" s="1"/>
  <c r="F36" i="16"/>
  <c r="O118" i="15"/>
  <c r="CA78" i="16"/>
  <c r="AU33" i="16"/>
  <c r="CF8" i="16"/>
  <c r="CF11" i="16"/>
  <c r="O56" i="16"/>
  <c r="AR8" i="16"/>
  <c r="AR11" i="16"/>
  <c r="AN8" i="16"/>
  <c r="AN11" i="16"/>
  <c r="CA8" i="16"/>
  <c r="CA11" i="16"/>
  <c r="M118" i="16"/>
  <c r="M117" i="16" s="1"/>
  <c r="F54" i="16"/>
  <c r="G54" i="16"/>
  <c r="D204" i="16" s="1"/>
  <c r="H33" i="16"/>
  <c r="G34" i="16"/>
  <c r="D186" i="16" s="1"/>
  <c r="F34" i="16"/>
  <c r="CO33" i="16"/>
  <c r="BD56" i="16"/>
  <c r="F31" i="16"/>
  <c r="G31" i="16"/>
  <c r="D184" i="16" s="1"/>
  <c r="BP22" i="16"/>
  <c r="BP113" i="16"/>
  <c r="AW33" i="16"/>
  <c r="DC8" i="16"/>
  <c r="DC11" i="16"/>
  <c r="F69" i="16"/>
  <c r="G69" i="16"/>
  <c r="D217" i="16" s="1"/>
  <c r="BS56" i="16"/>
  <c r="AS33" i="16"/>
  <c r="G26" i="16"/>
  <c r="D179" i="16" s="1"/>
  <c r="F26" i="16"/>
  <c r="AA8" i="16"/>
  <c r="AA11" i="16"/>
  <c r="BZ56" i="16"/>
  <c r="F81" i="16"/>
  <c r="G81" i="16"/>
  <c r="D228" i="16" s="1"/>
  <c r="BF56" i="16"/>
  <c r="CN56" i="16"/>
  <c r="CJ11" i="16"/>
  <c r="CJ8" i="16"/>
  <c r="BZ113" i="16"/>
  <c r="BZ22" i="16"/>
  <c r="AQ67" i="16"/>
  <c r="BO33" i="16"/>
  <c r="F65" i="16"/>
  <c r="G65" i="16"/>
  <c r="D214" i="16" s="1"/>
  <c r="AP33" i="16"/>
  <c r="AU67" i="16"/>
  <c r="BW11" i="16"/>
  <c r="BW8" i="16"/>
  <c r="BC56" i="16"/>
  <c r="BD11" i="16"/>
  <c r="BD8" i="16"/>
  <c r="AK11" i="16"/>
  <c r="AK8" i="16"/>
  <c r="BG8" i="16"/>
  <c r="BG11" i="16"/>
  <c r="BF8" i="16"/>
  <c r="BF11" i="16"/>
  <c r="CM33" i="16"/>
  <c r="BE33" i="16"/>
  <c r="AJ33" i="16"/>
  <c r="N8" i="16"/>
  <c r="N11" i="16"/>
  <c r="Z11" i="16"/>
  <c r="Z8" i="16"/>
  <c r="F72" i="16"/>
  <c r="G72" i="16"/>
  <c r="D220" i="16" s="1"/>
  <c r="O67" i="16"/>
  <c r="CG56" i="16"/>
  <c r="BI11" i="16"/>
  <c r="BI8" i="16"/>
  <c r="CV33" i="16"/>
  <c r="AD83" i="19"/>
  <c r="BW56" i="16"/>
  <c r="CT33" i="16"/>
  <c r="CG8" i="16"/>
  <c r="CG11" i="16"/>
  <c r="BT33" i="16"/>
  <c r="AA56" i="16"/>
  <c r="AO11" i="16"/>
  <c r="AO8" i="16"/>
  <c r="CZ56" i="16"/>
  <c r="CB33" i="16"/>
  <c r="G83" i="16"/>
  <c r="D230" i="16" s="1"/>
  <c r="F83" i="16"/>
  <c r="Q11" i="16"/>
  <c r="Q8" i="16"/>
  <c r="CB56" i="16"/>
  <c r="F19" i="16"/>
  <c r="G19" i="16"/>
  <c r="D173" i="16" s="1"/>
  <c r="AZ78" i="16"/>
  <c r="AI33" i="16"/>
  <c r="DC56" i="16"/>
  <c r="CN33" i="16"/>
  <c r="AK33" i="16"/>
  <c r="CC33" i="16"/>
  <c r="BO8" i="16"/>
  <c r="BO11" i="16"/>
  <c r="CF56" i="16"/>
  <c r="AW11" i="16"/>
  <c r="AW8" i="16"/>
  <c r="BY56" i="16"/>
  <c r="AQ11" i="16"/>
  <c r="AQ8" i="16"/>
  <c r="BI33" i="16"/>
  <c r="BU56" i="16"/>
  <c r="CN78" i="16"/>
  <c r="CY56" i="16"/>
  <c r="AB11" i="16"/>
  <c r="AB8" i="16"/>
  <c r="CV11" i="16"/>
  <c r="CV8" i="16"/>
  <c r="BQ11" i="16"/>
  <c r="BQ8" i="16"/>
  <c r="R11" i="16"/>
  <c r="R8" i="16"/>
  <c r="M118" i="15"/>
  <c r="M117" i="15" s="1"/>
  <c r="M134" i="15" s="1"/>
  <c r="CZ11" i="16"/>
  <c r="CZ8" i="16"/>
  <c r="BB11" i="16"/>
  <c r="BB8" i="16"/>
  <c r="CI56" i="16"/>
  <c r="CK33" i="16"/>
  <c r="DA11" i="16"/>
  <c r="DA8" i="16"/>
  <c r="AU11" i="16"/>
  <c r="AU8" i="16"/>
  <c r="AD8" i="16"/>
  <c r="AD11" i="16"/>
  <c r="CC8" i="16"/>
  <c r="CC11" i="16"/>
  <c r="CL33" i="16"/>
  <c r="CS67" i="16"/>
  <c r="BH56" i="16"/>
  <c r="CP67" i="16"/>
  <c r="BW33" i="16"/>
  <c r="AZ56" i="16"/>
  <c r="BN56" i="16"/>
  <c r="BU11" i="16"/>
  <c r="BU8" i="16"/>
  <c r="BV56" i="16"/>
  <c r="DA33" i="16"/>
  <c r="BN33" i="16"/>
  <c r="AX8" i="16"/>
  <c r="AX11" i="16"/>
  <c r="AB33" i="16"/>
  <c r="CD8" i="16"/>
  <c r="CD11" i="16"/>
  <c r="CG67" i="16"/>
  <c r="BG33" i="16"/>
  <c r="AD78" i="16"/>
  <c r="AG33" i="16"/>
  <c r="F38" i="16"/>
  <c r="G38" i="16"/>
  <c r="D190" i="16" s="1"/>
  <c r="CI78" i="16"/>
  <c r="K56" i="16"/>
  <c r="CN8" i="16"/>
  <c r="CN11" i="16"/>
  <c r="CE56" i="16"/>
  <c r="AL33" i="16"/>
  <c r="R33" i="16"/>
  <c r="Z83" i="19"/>
  <c r="AE11" i="16"/>
  <c r="AE8" i="16"/>
  <c r="CS56" i="16"/>
  <c r="N118" i="16"/>
  <c r="N117" i="16" s="1"/>
  <c r="BU33" i="16"/>
  <c r="AS67" i="16"/>
  <c r="CX11" i="16"/>
  <c r="CX8" i="16"/>
  <c r="AG56" i="16"/>
  <c r="BB78" i="16"/>
  <c r="AN113" i="16"/>
  <c r="AN22" i="16"/>
  <c r="BV33" i="16"/>
  <c r="G70" i="16"/>
  <c r="D218" i="16" s="1"/>
  <c r="F70" i="16"/>
  <c r="AL56" i="16"/>
  <c r="AT11" i="16"/>
  <c r="AT8" i="16"/>
  <c r="BY67" i="16"/>
  <c r="AT33" i="16"/>
  <c r="AM11" i="16"/>
  <c r="AM8" i="16"/>
  <c r="DC67" i="16"/>
  <c r="CA33" i="16"/>
  <c r="AA33" i="16"/>
  <c r="CO8" i="16"/>
  <c r="CO11" i="16"/>
  <c r="BX67" i="16"/>
  <c r="Y33" i="16"/>
  <c r="BX56" i="16"/>
  <c r="F80" i="16"/>
  <c r="G80" i="16"/>
  <c r="D227" i="16" s="1"/>
  <c r="CK11" i="16"/>
  <c r="CK8" i="16"/>
  <c r="AI11" i="16"/>
  <c r="AI8" i="16"/>
  <c r="AJ11" i="16"/>
  <c r="AJ8" i="16"/>
  <c r="CJ67" i="16"/>
  <c r="R56" i="16"/>
  <c r="BQ56" i="16"/>
  <c r="CE33" i="16"/>
  <c r="BP33" i="16"/>
  <c r="BP11" i="16"/>
  <c r="BP8" i="16"/>
  <c r="G14" i="16"/>
  <c r="D168" i="16" s="1"/>
  <c r="F14" i="16"/>
  <c r="AN33" i="16"/>
  <c r="DB67" i="16"/>
  <c r="Q33" i="16"/>
  <c r="AC11" i="16"/>
  <c r="AC8" i="16"/>
  <c r="DB8" i="16"/>
  <c r="DB11" i="16"/>
  <c r="N33" i="16"/>
  <c r="BZ33" i="16"/>
  <c r="AL11" i="16"/>
  <c r="AL8" i="16"/>
  <c r="BM56" i="16"/>
  <c r="G42" i="16"/>
  <c r="D194" i="16" s="1"/>
  <c r="F42" i="16"/>
  <c r="CT56" i="16"/>
  <c r="AQ33" i="16"/>
  <c r="BE11" i="16"/>
  <c r="BE8" i="16"/>
  <c r="BZ11" i="16"/>
  <c r="BZ8" i="16"/>
  <c r="BL33" i="16"/>
  <c r="O8" i="16"/>
  <c r="O11" i="16"/>
  <c r="L56" i="16"/>
  <c r="AE33" i="16"/>
  <c r="F48" i="16"/>
  <c r="G48" i="16"/>
  <c r="D198" i="16" s="1"/>
  <c r="W11" i="16"/>
  <c r="W8" i="16"/>
  <c r="BG56" i="16"/>
  <c r="M56" i="16"/>
  <c r="CP56" i="16"/>
  <c r="P11" i="16"/>
  <c r="P8" i="16"/>
  <c r="T11" i="16"/>
  <c r="T8" i="16"/>
  <c r="AB56" i="16"/>
  <c r="G71" i="16"/>
  <c r="D219" i="16" s="1"/>
  <c r="F71" i="16"/>
  <c r="BL11" i="16"/>
  <c r="BL8" i="16"/>
  <c r="AI56" i="16"/>
  <c r="CX56" i="16"/>
  <c r="BF33" i="16"/>
  <c r="CL8" i="16"/>
  <c r="CL11" i="16"/>
  <c r="J33" i="16"/>
  <c r="CD33" i="16"/>
  <c r="N118" i="15"/>
  <c r="N117" i="15" s="1"/>
  <c r="N134" i="15" s="1"/>
  <c r="AS56" i="16"/>
  <c r="BO56" i="16"/>
  <c r="CK56" i="16"/>
  <c r="F60" i="16"/>
  <c r="G60" i="16"/>
  <c r="D209" i="16" s="1"/>
  <c r="CH33" i="16"/>
  <c r="BK33" i="16"/>
  <c r="T33" i="16"/>
  <c r="I8" i="16"/>
  <c r="I11" i="16"/>
  <c r="BL56" i="16"/>
  <c r="AD56" i="16"/>
  <c r="BV8" i="16"/>
  <c r="BV11" i="16"/>
  <c r="CT8" i="16"/>
  <c r="CT11" i="16"/>
  <c r="BR11" i="16"/>
  <c r="BR8" i="16"/>
  <c r="AJ56" i="16"/>
  <c r="I56" i="16"/>
  <c r="CQ56" i="16"/>
  <c r="AV56" i="16"/>
  <c r="CF33" i="16"/>
  <c r="AY11" i="16"/>
  <c r="AY8" i="16"/>
  <c r="AX56" i="16"/>
  <c r="CI33" i="16"/>
  <c r="CJ45" i="16"/>
  <c r="AX33" i="16"/>
  <c r="W78" i="16"/>
  <c r="CC56" i="16"/>
  <c r="AT56" i="16"/>
  <c r="AF33" i="16"/>
  <c r="AV8" i="16"/>
  <c r="AV11" i="16"/>
  <c r="AR33" i="16"/>
  <c r="CY67" i="16"/>
  <c r="U8" i="16"/>
  <c r="U11" i="16"/>
  <c r="AM45" i="16"/>
  <c r="AP56" i="16"/>
  <c r="BS78" i="16"/>
  <c r="CA22" i="16"/>
  <c r="CA113" i="16"/>
  <c r="AP113" i="16"/>
  <c r="AP22" i="16"/>
  <c r="AL67" i="16"/>
  <c r="DB78" i="16"/>
  <c r="CX113" i="16"/>
  <c r="CX22" i="16"/>
  <c r="G63" i="16"/>
  <c r="D212" i="16" s="1"/>
  <c r="F63" i="16"/>
  <c r="BU67" i="16"/>
  <c r="R22" i="16"/>
  <c r="R113" i="16"/>
  <c r="T45" i="16"/>
  <c r="BC33" i="16"/>
  <c r="Q56" i="16"/>
  <c r="V56" i="16"/>
  <c r="CL56" i="16"/>
  <c r="AB113" i="16"/>
  <c r="AB22" i="16"/>
  <c r="AP11" i="16"/>
  <c r="AP8" i="16"/>
  <c r="U56" i="16"/>
  <c r="U33" i="16"/>
  <c r="BQ45" i="16"/>
  <c r="M45" i="16"/>
  <c r="Z56" i="16"/>
  <c r="Y56" i="16"/>
  <c r="CZ33" i="16"/>
  <c r="BA33" i="16"/>
  <c r="CN67" i="16"/>
  <c r="G37" i="16"/>
  <c r="D189" i="16" s="1"/>
  <c r="F37" i="16"/>
  <c r="G76" i="16"/>
  <c r="D224" i="16" s="1"/>
  <c r="F76" i="16"/>
  <c r="AZ33" i="16"/>
  <c r="CL67" i="16"/>
  <c r="CI45" i="16"/>
  <c r="AO78" i="16"/>
  <c r="BI56" i="16"/>
  <c r="AK45" i="16"/>
  <c r="BD67" i="16"/>
  <c r="BN67" i="16"/>
  <c r="Y67" i="16"/>
  <c r="S8" i="16"/>
  <c r="S11" i="16"/>
  <c r="CZ78" i="16"/>
  <c r="W22" i="16"/>
  <c r="W113" i="16"/>
  <c r="K33" i="16"/>
  <c r="H22" i="16"/>
  <c r="H113" i="16"/>
  <c r="F23" i="16"/>
  <c r="G23" i="16"/>
  <c r="D176" i="16" s="1"/>
  <c r="AS45" i="16"/>
  <c r="CA45" i="16"/>
  <c r="W33" i="16"/>
  <c r="CF113" i="16"/>
  <c r="CF22" i="16"/>
  <c r="CF10" i="16" s="1"/>
  <c r="AN78" i="16"/>
  <c r="CB45" i="16"/>
  <c r="AK113" i="16"/>
  <c r="AK22" i="16"/>
  <c r="CU33" i="16"/>
  <c r="CO56" i="16"/>
  <c r="AC78" i="16"/>
  <c r="S45" i="16"/>
  <c r="BZ45" i="16"/>
  <c r="AY45" i="16"/>
  <c r="AY33" i="16"/>
  <c r="AC33" i="16"/>
  <c r="V8" i="16"/>
  <c r="V11" i="16"/>
  <c r="F68" i="16"/>
  <c r="G68" i="16"/>
  <c r="D216" i="16" s="1"/>
  <c r="H67" i="16"/>
  <c r="S56" i="16"/>
  <c r="CM56" i="16"/>
  <c r="BQ113" i="16"/>
  <c r="BQ22" i="16"/>
  <c r="AA45" i="16"/>
  <c r="BA78" i="16"/>
  <c r="DA67" i="16"/>
  <c r="G74" i="16"/>
  <c r="D222" i="16" s="1"/>
  <c r="F74" i="16"/>
  <c r="G17" i="16"/>
  <c r="D171" i="16" s="1"/>
  <c r="F17" i="16"/>
  <c r="AI22" i="16"/>
  <c r="AI113" i="16"/>
  <c r="AF45" i="16"/>
  <c r="BE45" i="16"/>
  <c r="AP45" i="16"/>
  <c r="CO67" i="16"/>
  <c r="BK67" i="16"/>
  <c r="CJ56" i="16"/>
  <c r="G41" i="16"/>
  <c r="D193" i="16" s="1"/>
  <c r="F41" i="16"/>
  <c r="CY33" i="16"/>
  <c r="AI67" i="16"/>
  <c r="BM78" i="16"/>
  <c r="CY45" i="16"/>
  <c r="S33" i="16"/>
  <c r="AF11" i="16"/>
  <c r="AF8" i="16"/>
  <c r="BB33" i="16"/>
  <c r="J8" i="16"/>
  <c r="J11" i="16"/>
  <c r="J56" i="16"/>
  <c r="G59" i="16"/>
  <c r="D208" i="16" s="1"/>
  <c r="F59" i="16"/>
  <c r="K11" i="16"/>
  <c r="K8" i="16"/>
  <c r="BD33" i="16"/>
  <c r="CL22" i="16"/>
  <c r="CL113" i="16"/>
  <c r="BT8" i="16"/>
  <c r="BT11" i="16"/>
  <c r="BR22" i="16"/>
  <c r="BR113" i="16"/>
  <c r="BO22" i="16"/>
  <c r="BO113" i="16"/>
  <c r="CT67" i="16"/>
  <c r="BS67" i="16"/>
  <c r="BV67" i="16"/>
  <c r="CO45" i="16"/>
  <c r="Q113" i="16"/>
  <c r="Q22" i="16"/>
  <c r="K78" i="16"/>
  <c r="AW67" i="16"/>
  <c r="BO67" i="16"/>
  <c r="CH11" i="16"/>
  <c r="CH8" i="16"/>
  <c r="BJ113" i="16"/>
  <c r="BJ22" i="16"/>
  <c r="AM33" i="16"/>
  <c r="DC78" i="16"/>
  <c r="CZ67" i="16"/>
  <c r="BD45" i="16"/>
  <c r="CV56" i="16"/>
  <c r="CH56" i="16"/>
  <c r="CR8" i="16"/>
  <c r="CR11" i="16"/>
  <c r="CP33" i="16"/>
  <c r="CR56" i="16"/>
  <c r="CS8" i="16"/>
  <c r="CS11" i="16"/>
  <c r="BJ33" i="16"/>
  <c r="AJ67" i="16"/>
  <c r="CV22" i="16"/>
  <c r="CV113" i="16"/>
  <c r="CS78" i="16"/>
  <c r="BW67" i="16"/>
  <c r="BI67" i="16"/>
  <c r="AE22" i="16"/>
  <c r="AE113" i="16"/>
  <c r="AO33" i="16"/>
  <c r="BC11" i="16"/>
  <c r="BC8" i="16"/>
  <c r="CU56" i="16"/>
  <c r="CY113" i="16"/>
  <c r="CY22" i="16"/>
  <c r="AA113" i="16"/>
  <c r="AA22" i="16"/>
  <c r="AW56" i="16"/>
  <c r="CT45" i="16"/>
  <c r="F52" i="16"/>
  <c r="G52" i="16"/>
  <c r="D202" i="16" s="1"/>
  <c r="BT22" i="16"/>
  <c r="BT113" i="16"/>
  <c r="F64" i="16"/>
  <c r="G64" i="16"/>
  <c r="D213" i="16" s="1"/>
  <c r="CM11" i="16"/>
  <c r="CM8" i="16"/>
  <c r="AH78" i="16"/>
  <c r="CF78" i="16"/>
  <c r="AE56" i="16"/>
  <c r="U113" i="16"/>
  <c r="U22" i="16"/>
  <c r="BM67" i="16"/>
  <c r="CS33" i="16"/>
  <c r="DB33" i="16"/>
  <c r="G87" i="16"/>
  <c r="D234" i="16" s="1"/>
  <c r="F87" i="16"/>
  <c r="AU56" i="16"/>
  <c r="AX78" i="16"/>
  <c r="AD45" i="16"/>
  <c r="X33" i="16"/>
  <c r="BE113" i="16"/>
  <c r="BE22" i="16"/>
  <c r="BC45" i="16"/>
  <c r="BC44" i="16" s="1"/>
  <c r="N67" i="16"/>
  <c r="Q45" i="16"/>
  <c r="AB67" i="16"/>
  <c r="AO22" i="16"/>
  <c r="AO113" i="16"/>
  <c r="L45" i="16"/>
  <c r="CA67" i="16"/>
  <c r="BD113" i="16"/>
  <c r="BD22" i="16"/>
  <c r="F53" i="16"/>
  <c r="G53" i="16"/>
  <c r="D203" i="16" s="1"/>
  <c r="BB67" i="16"/>
  <c r="O45" i="16"/>
  <c r="O44" i="16" s="1"/>
  <c r="G75" i="16"/>
  <c r="D223" i="16" s="1"/>
  <c r="F75" i="16"/>
  <c r="BF45" i="16"/>
  <c r="AC67" i="16"/>
  <c r="P56" i="16"/>
  <c r="AX45" i="16"/>
  <c r="CT22" i="16"/>
  <c r="CT113" i="16"/>
  <c r="Y78" i="16"/>
  <c r="Q67" i="16"/>
  <c r="BH33" i="16"/>
  <c r="H56" i="16"/>
  <c r="F57" i="16"/>
  <c r="G57" i="16"/>
  <c r="D206" i="16" s="1"/>
  <c r="T56" i="16"/>
  <c r="CX33" i="16"/>
  <c r="CW11" i="16"/>
  <c r="CW8" i="16"/>
  <c r="CH67" i="16"/>
  <c r="BJ56" i="16"/>
  <c r="CR33" i="16"/>
  <c r="G51" i="16"/>
  <c r="D201" i="16" s="1"/>
  <c r="F51" i="16"/>
  <c r="CA56" i="16"/>
  <c r="N56" i="16"/>
  <c r="Y8" i="16"/>
  <c r="Y11" i="16"/>
  <c r="CS22" i="16"/>
  <c r="CS113" i="16"/>
  <c r="CI11" i="16"/>
  <c r="CI8" i="16"/>
  <c r="V33" i="16"/>
  <c r="AQ56" i="16"/>
  <c r="I22" i="16"/>
  <c r="AR67" i="16"/>
  <c r="AA78" i="16"/>
  <c r="AD22" i="16"/>
  <c r="AD113" i="16"/>
  <c r="CU67" i="16"/>
  <c r="AF56" i="16"/>
  <c r="BM33" i="16"/>
  <c r="BT45" i="16"/>
  <c r="P33" i="16"/>
  <c r="CT78" i="16"/>
  <c r="AR113" i="16"/>
  <c r="AR22" i="16"/>
  <c r="W56" i="16"/>
  <c r="AG8" i="16"/>
  <c r="AG11" i="16"/>
  <c r="DA56" i="16"/>
  <c r="BS11" i="16"/>
  <c r="BS8" i="16"/>
  <c r="P67" i="16"/>
  <c r="I67" i="16"/>
  <c r="CW33" i="16"/>
  <c r="AZ22" i="16"/>
  <c r="BN11" i="16"/>
  <c r="BN8" i="16"/>
  <c r="DA78" i="16"/>
  <c r="CH22" i="16"/>
  <c r="K113" i="16"/>
  <c r="K22" i="16"/>
  <c r="J67" i="16"/>
  <c r="M11" i="16"/>
  <c r="M8" i="16"/>
  <c r="P45" i="16"/>
  <c r="CO78" i="16"/>
  <c r="CS45" i="16"/>
  <c r="AS8" i="16"/>
  <c r="AS11" i="16"/>
  <c r="CE11" i="16"/>
  <c r="CE8" i="16"/>
  <c r="G61" i="16"/>
  <c r="D210" i="16" s="1"/>
  <c r="F61" i="16"/>
  <c r="CQ22" i="16"/>
  <c r="CQ113" i="16"/>
  <c r="BD78" i="16"/>
  <c r="H8" i="16"/>
  <c r="F8" i="16"/>
  <c r="H11" i="16"/>
  <c r="F20" i="16"/>
  <c r="G20" i="16"/>
  <c r="D174" i="16" s="1"/>
  <c r="Y22" i="16"/>
  <c r="Y113" i="16"/>
  <c r="BT56" i="16"/>
  <c r="AY56" i="16"/>
  <c r="AS22" i="16"/>
  <c r="AS113" i="16"/>
  <c r="BS45" i="16"/>
  <c r="AH22" i="16"/>
  <c r="AH113" i="16"/>
  <c r="BA8" i="16"/>
  <c r="BA11" i="16"/>
  <c r="CD56" i="16"/>
  <c r="CZ45" i="16"/>
  <c r="L33" i="16"/>
  <c r="AC22" i="16"/>
  <c r="AC113" i="16"/>
  <c r="CB113" i="16"/>
  <c r="CB22" i="16"/>
  <c r="M78" i="16"/>
  <c r="F28" i="16"/>
  <c r="G28" i="16"/>
  <c r="D181" i="16" s="1"/>
  <c r="AM67" i="16"/>
  <c r="CR22" i="16"/>
  <c r="CR113" i="16"/>
  <c r="AY78" i="16"/>
  <c r="AU78" i="16"/>
  <c r="AN67" i="16"/>
  <c r="AD67" i="16"/>
  <c r="AN45" i="16"/>
  <c r="AH56" i="16"/>
  <c r="AJ45" i="16"/>
  <c r="CD22" i="16"/>
  <c r="CD113" i="16"/>
  <c r="BP67" i="16"/>
  <c r="AB45" i="16"/>
  <c r="AG67" i="16"/>
  <c r="CX78" i="16"/>
  <c r="BR67" i="16"/>
  <c r="CX67" i="16"/>
  <c r="U67" i="16"/>
  <c r="BF67" i="16"/>
  <c r="V78" i="16"/>
  <c r="AA67" i="16"/>
  <c r="CP78" i="16"/>
  <c r="BU22" i="16"/>
  <c r="BU10" i="16" s="1"/>
  <c r="BU113" i="16"/>
  <c r="F73" i="16"/>
  <c r="G73" i="16"/>
  <c r="D221" i="16" s="1"/>
  <c r="G16" i="16"/>
  <c r="D170" i="16" s="1"/>
  <c r="F16" i="16"/>
  <c r="AH11" i="16"/>
  <c r="AH8" i="16"/>
  <c r="BX22" i="16"/>
  <c r="BX113" i="16"/>
  <c r="CO22" i="16"/>
  <c r="CO113" i="16"/>
  <c r="Z67" i="16"/>
  <c r="CG33" i="16"/>
  <c r="BL22" i="16"/>
  <c r="CF67" i="16"/>
  <c r="I45" i="16"/>
  <c r="CW45" i="16"/>
  <c r="F27" i="16"/>
  <c r="G27" i="16"/>
  <c r="D180" i="16" s="1"/>
  <c r="CP22" i="16"/>
  <c r="CP113" i="16"/>
  <c r="AV45" i="16"/>
  <c r="X56" i="16"/>
  <c r="CW113" i="16"/>
  <c r="CW22" i="16"/>
  <c r="P78" i="16"/>
  <c r="BY78" i="16"/>
  <c r="BV45" i="16"/>
  <c r="CW67" i="16"/>
  <c r="F29" i="16"/>
  <c r="G29" i="16"/>
  <c r="D182" i="16" s="1"/>
  <c r="AQ113" i="16"/>
  <c r="AQ22" i="16"/>
  <c r="N22" i="16"/>
  <c r="N113" i="16"/>
  <c r="CK113" i="16"/>
  <c r="CK22" i="16"/>
  <c r="BH78" i="16"/>
  <c r="AR78" i="16"/>
  <c r="BR78" i="16"/>
  <c r="DC113" i="16"/>
  <c r="DC22" i="16"/>
  <c r="CJ78" i="16"/>
  <c r="CC22" i="16"/>
  <c r="CC113" i="16"/>
  <c r="AL78" i="16"/>
  <c r="R45" i="16"/>
  <c r="BV78" i="16"/>
  <c r="V67" i="16"/>
  <c r="F18" i="16"/>
  <c r="G18" i="16"/>
  <c r="D172" i="16" s="1"/>
  <c r="J22" i="16"/>
  <c r="AW22" i="16"/>
  <c r="AW113" i="16"/>
  <c r="R67" i="16"/>
  <c r="BM45" i="16"/>
  <c r="CW78" i="16"/>
  <c r="Z45" i="16"/>
  <c r="AQ78" i="16"/>
  <c r="BC22" i="16"/>
  <c r="BC113" i="16"/>
  <c r="BW45" i="16"/>
  <c r="AG113" i="16"/>
  <c r="AG22" i="16"/>
  <c r="AI45" i="16"/>
  <c r="BG45" i="16"/>
  <c r="F39" i="16"/>
  <c r="G39" i="16"/>
  <c r="D191" i="16" s="1"/>
  <c r="BL67" i="16"/>
  <c r="U45" i="16"/>
  <c r="CD78" i="16"/>
  <c r="AR45" i="16"/>
  <c r="CX45" i="16"/>
  <c r="CX44" i="16" s="1"/>
  <c r="BZ67" i="16"/>
  <c r="CM22" i="16"/>
  <c r="CM113" i="16"/>
  <c r="G79" i="16"/>
  <c r="D226" i="16" s="1"/>
  <c r="H78" i="16"/>
  <c r="F79" i="16"/>
  <c r="W45" i="16"/>
  <c r="CU22" i="16"/>
  <c r="CU113" i="16"/>
  <c r="X67" i="16"/>
  <c r="BF113" i="16"/>
  <c r="BF22" i="16"/>
  <c r="BJ78" i="16"/>
  <c r="BP56" i="16"/>
  <c r="CM45" i="16"/>
  <c r="S113" i="16"/>
  <c r="S22" i="16"/>
  <c r="AW78" i="16"/>
  <c r="BK56" i="16"/>
  <c r="T67" i="16"/>
  <c r="CB67" i="16"/>
  <c r="BN78" i="16"/>
  <c r="AH67" i="16"/>
  <c r="AT45" i="16"/>
  <c r="BW78" i="16"/>
  <c r="DA45" i="16"/>
  <c r="BA45" i="16"/>
  <c r="X78" i="16"/>
  <c r="AE45" i="16"/>
  <c r="BP78" i="16"/>
  <c r="N45" i="16"/>
  <c r="N44" i="16" s="1"/>
  <c r="BL78" i="16"/>
  <c r="F50" i="16"/>
  <c r="G50" i="16"/>
  <c r="D200" i="16" s="1"/>
  <c r="AJ113" i="16"/>
  <c r="AJ22" i="16"/>
  <c r="CQ78" i="16"/>
  <c r="BW113" i="16"/>
  <c r="BW22" i="16"/>
  <c r="AP67" i="16"/>
  <c r="AP44" i="16" s="1"/>
  <c r="F24" i="16"/>
  <c r="G24" i="16"/>
  <c r="D177" i="16" s="1"/>
  <c r="BA113" i="16"/>
  <c r="BA22" i="16"/>
  <c r="AM22" i="16"/>
  <c r="AM113" i="16"/>
  <c r="G46" i="16"/>
  <c r="D196" i="16" s="1"/>
  <c r="F46" i="16"/>
  <c r="H45" i="16"/>
  <c r="O78" i="16"/>
  <c r="S67" i="16"/>
  <c r="S44" i="16" s="1"/>
  <c r="S133" i="16" s="1"/>
  <c r="BH67" i="16"/>
  <c r="Z33" i="16"/>
  <c r="AT22" i="16"/>
  <c r="CR45" i="16"/>
  <c r="M113" i="16"/>
  <c r="M22" i="16"/>
  <c r="AL22" i="16"/>
  <c r="CL78" i="16"/>
  <c r="AG78" i="16"/>
  <c r="G30" i="16"/>
  <c r="D183" i="16" s="1"/>
  <c r="F30" i="16"/>
  <c r="DC33" i="16"/>
  <c r="BR45" i="16"/>
  <c r="X45" i="16"/>
  <c r="BE67" i="16"/>
  <c r="BE44" i="16" s="1"/>
  <c r="BG67" i="16"/>
  <c r="BG44" i="16" s="1"/>
  <c r="L22" i="16"/>
  <c r="L113" i="16"/>
  <c r="BB45" i="16"/>
  <c r="CL45" i="16"/>
  <c r="AR56" i="16"/>
  <c r="AF22" i="16"/>
  <c r="AF10" i="16" s="1"/>
  <c r="AF113" i="16"/>
  <c r="BQ67" i="16"/>
  <c r="CU45" i="16"/>
  <c r="P113" i="16"/>
  <c r="P22" i="16"/>
  <c r="G40" i="16"/>
  <c r="D192" i="16" s="1"/>
  <c r="F40" i="16"/>
  <c r="F33" i="16" s="1"/>
  <c r="G47" i="16"/>
  <c r="D197" i="16" s="1"/>
  <c r="F47" i="16"/>
  <c r="AY67" i="16"/>
  <c r="AY44" i="16" s="1"/>
  <c r="AH45" i="16"/>
  <c r="N78" i="16"/>
  <c r="CM78" i="16"/>
  <c r="Y45" i="16"/>
  <c r="AX67" i="16"/>
  <c r="Z22" i="16"/>
  <c r="Z113" i="16"/>
  <c r="DB22" i="16"/>
  <c r="DB10" i="16" s="1"/>
  <c r="DB113" i="16"/>
  <c r="CE67" i="16"/>
  <c r="G15" i="16"/>
  <c r="D169" i="16" s="1"/>
  <c r="F15" i="16"/>
  <c r="AU45" i="16"/>
  <c r="AU44" i="16" s="1"/>
  <c r="AU133" i="16" s="1"/>
  <c r="CR67" i="16"/>
  <c r="BI22" i="16"/>
  <c r="BI10" i="16" s="1"/>
  <c r="BI113" i="16"/>
  <c r="AF67" i="16"/>
  <c r="CD67" i="16"/>
  <c r="AG45" i="16"/>
  <c r="BU45" i="16"/>
  <c r="BX78" i="16"/>
  <c r="CC45" i="16"/>
  <c r="AP78" i="16"/>
  <c r="BN45" i="16"/>
  <c r="BN44" i="16" s="1"/>
  <c r="CH45" i="16"/>
  <c r="AO67" i="16"/>
  <c r="CV45" i="16"/>
  <c r="BX45" i="16"/>
  <c r="G84" i="16"/>
  <c r="D231" i="16" s="1"/>
  <c r="F84" i="16"/>
  <c r="CJ22" i="16"/>
  <c r="CJ113" i="16"/>
  <c r="V45" i="16"/>
  <c r="K45" i="16"/>
  <c r="AE67" i="16"/>
  <c r="AE44" i="16" s="1"/>
  <c r="AE133" i="16" s="1"/>
  <c r="AI78" i="16"/>
  <c r="CE22" i="16"/>
  <c r="CE113" i="16"/>
  <c r="AS78" i="16"/>
  <c r="X11" i="16"/>
  <c r="G11" i="16" s="1"/>
  <c r="X8" i="16"/>
  <c r="CM67" i="16"/>
  <c r="CV67" i="16"/>
  <c r="AW45" i="16"/>
  <c r="AW44" i="16" s="1"/>
  <c r="BH45" i="16"/>
  <c r="CP45" i="16"/>
  <c r="J78" i="16"/>
  <c r="CK45" i="16"/>
  <c r="CK44" i="16" s="1"/>
  <c r="AU22" i="16"/>
  <c r="AU113" i="16"/>
  <c r="AN56" i="16"/>
  <c r="BO45" i="16"/>
  <c r="BO44" i="16" s="1"/>
  <c r="BY45" i="16"/>
  <c r="BY44" i="16" s="1"/>
  <c r="BY133" i="16" s="1"/>
  <c r="BS22" i="16"/>
  <c r="BS113" i="16"/>
  <c r="CG78" i="16"/>
  <c r="Q78" i="16"/>
  <c r="R78" i="16"/>
  <c r="K67" i="16"/>
  <c r="G67" i="16" s="1"/>
  <c r="T113" i="16"/>
  <c r="T22" i="16"/>
  <c r="CN113" i="16"/>
  <c r="CN22" i="16"/>
  <c r="BE78" i="16"/>
  <c r="AC45" i="16"/>
  <c r="BG113" i="16"/>
  <c r="BG22" i="16"/>
  <c r="AO45" i="16"/>
  <c r="AO44" i="16" s="1"/>
  <c r="AO133" i="16" s="1"/>
  <c r="BM22" i="16"/>
  <c r="BM10" i="16" s="1"/>
  <c r="BM113" i="16"/>
  <c r="BS33" i="16"/>
  <c r="AY113" i="16"/>
  <c r="AY22" i="16"/>
  <c r="DA22" i="16"/>
  <c r="DA113" i="16"/>
  <c r="BB22" i="16"/>
  <c r="BB113" i="16"/>
  <c r="BC78" i="16"/>
  <c r="CF45" i="16"/>
  <c r="CF44" i="16" s="1"/>
  <c r="CF133" i="16" s="1"/>
  <c r="X113" i="16"/>
  <c r="X22" i="16"/>
  <c r="BI78" i="16"/>
  <c r="CD45" i="16"/>
  <c r="CG45" i="16"/>
  <c r="CG44" i="16" s="1"/>
  <c r="CQ45" i="16"/>
  <c r="CQ44" i="16" s="1"/>
  <c r="CQ133" i="16" s="1"/>
  <c r="BJ67" i="16"/>
  <c r="BJ44" i="16" s="1"/>
  <c r="BJ133" i="16" s="1"/>
  <c r="T78" i="16"/>
  <c r="CQ67" i="16"/>
  <c r="AH33" i="16"/>
  <c r="AX113" i="16"/>
  <c r="AX22" i="16"/>
  <c r="CY11" i="16"/>
  <c r="CY8" i="16"/>
  <c r="CJ33" i="16"/>
  <c r="BA67" i="16"/>
  <c r="AV78" i="16"/>
  <c r="BH22" i="16"/>
  <c r="BH113" i="16"/>
  <c r="CE45" i="16"/>
  <c r="CC78" i="16"/>
  <c r="CN45" i="16"/>
  <c r="CN44" i="16" s="1"/>
  <c r="CN133" i="16" s="1"/>
  <c r="AK78" i="16"/>
  <c r="BI45" i="16"/>
  <c r="BI44" i="16" s="1"/>
  <c r="CZ113" i="16"/>
  <c r="CZ22" i="16"/>
  <c r="BV22" i="16"/>
  <c r="BV113" i="16"/>
  <c r="BT67" i="16"/>
  <c r="BN113" i="16"/>
  <c r="BN22" i="16"/>
  <c r="BN10" i="16" s="1"/>
  <c r="BY22" i="16"/>
  <c r="BY10" i="16" s="1"/>
  <c r="BY113" i="16"/>
  <c r="AT67" i="16"/>
  <c r="BP45" i="16"/>
  <c r="V22" i="16"/>
  <c r="V113" i="16"/>
  <c r="CI67" i="16"/>
  <c r="CI44" i="16" s="1"/>
  <c r="CI133" i="16" s="1"/>
  <c r="BF78" i="16"/>
  <c r="AF78" i="16"/>
  <c r="AK67" i="16"/>
  <c r="AK44" i="16" s="1"/>
  <c r="L11" i="16"/>
  <c r="L8" i="16"/>
  <c r="BK45" i="16"/>
  <c r="BK44" i="16" s="1"/>
  <c r="BK133" i="16" s="1"/>
  <c r="BK113" i="16"/>
  <c r="BK22" i="16"/>
  <c r="BK10" i="16" s="1"/>
  <c r="F58" i="16"/>
  <c r="G58" i="16"/>
  <c r="D207" i="16" s="1"/>
  <c r="CC67" i="16"/>
  <c r="CC44" i="16" s="1"/>
  <c r="BK78" i="16"/>
  <c r="BO78" i="16"/>
  <c r="W67" i="16"/>
  <c r="W44" i="16" s="1"/>
  <c r="W133" i="16" s="1"/>
  <c r="BZ78" i="16"/>
  <c r="DB45" i="16"/>
  <c r="DB44" i="16" s="1"/>
  <c r="DB133" i="16" s="1"/>
  <c r="CK78" i="16"/>
  <c r="CE78" i="16"/>
  <c r="AV67" i="16"/>
  <c r="AV44" i="16" s="1"/>
  <c r="AV133" i="16" s="1"/>
  <c r="BJ45" i="16"/>
  <c r="O113" i="16"/>
  <c r="O22" i="16"/>
  <c r="AZ67" i="16"/>
  <c r="M67" i="16"/>
  <c r="M44" i="16" s="1"/>
  <c r="M133" i="16" s="1"/>
  <c r="CV78" i="16"/>
  <c r="AV22" i="16"/>
  <c r="AV113" i="16"/>
  <c r="CI22" i="16"/>
  <c r="CI113" i="16"/>
  <c r="L67" i="16"/>
  <c r="L44" i="16" s="1"/>
  <c r="L133" i="16" s="1"/>
  <c r="DC45" i="16"/>
  <c r="DC44" i="16" s="1"/>
  <c r="DC133" i="16" s="1"/>
  <c r="AQ45" i="16"/>
  <c r="AQ44" i="16" s="1"/>
  <c r="AQ133" i="16" s="1"/>
  <c r="CT42" i="14"/>
  <c r="CT41" i="14" s="1"/>
  <c r="AD42" i="14"/>
  <c r="AD41" i="14" s="1"/>
  <c r="CP87" i="19" s="1"/>
  <c r="AL42" i="14"/>
  <c r="AL41" i="14" s="1"/>
  <c r="DV86" i="19" s="1"/>
  <c r="AQ42" i="14"/>
  <c r="AZ70" i="14"/>
  <c r="AZ41" i="14" s="1"/>
  <c r="FZ82" i="19" s="1"/>
  <c r="CA70" i="14"/>
  <c r="CA41" i="14" s="1"/>
  <c r="KD85" i="19" s="1"/>
  <c r="AQ70" i="14"/>
  <c r="L42" i="14"/>
  <c r="L41" i="14" s="1"/>
  <c r="V85" i="19" s="1"/>
  <c r="D85" i="19" s="1"/>
  <c r="CI42" i="14"/>
  <c r="CI41" i="14" s="1"/>
  <c r="LJ83" i="19" s="1"/>
  <c r="AX70" i="14"/>
  <c r="AX41" i="14" s="1"/>
  <c r="BT70" i="14"/>
  <c r="CD70" i="14"/>
  <c r="BT42" i="14"/>
  <c r="BT41" i="14" s="1"/>
  <c r="AJ42" i="14"/>
  <c r="CP70" i="14"/>
  <c r="CP41" i="14" s="1"/>
  <c r="CJ42" i="14"/>
  <c r="CJ41" i="14" s="1"/>
  <c r="P42" i="14"/>
  <c r="P41" i="14" s="1"/>
  <c r="AL84" i="19" s="1"/>
  <c r="CH70" i="14"/>
  <c r="CH41" i="14" s="1"/>
  <c r="LF85" i="19" s="1"/>
  <c r="CX70" i="14"/>
  <c r="CX41" i="14" s="1"/>
  <c r="CK70" i="14"/>
  <c r="CK41" i="14" s="1"/>
  <c r="AC70" i="14"/>
  <c r="AC41" i="14" s="1"/>
  <c r="CL84" i="19" s="1"/>
  <c r="CD42" i="14"/>
  <c r="G52" i="14"/>
  <c r="AG70" i="14"/>
  <c r="AG41" i="14" s="1"/>
  <c r="DB84" i="19" s="1"/>
  <c r="AJ70" i="14"/>
  <c r="AH42" i="14"/>
  <c r="AH41" i="14" s="1"/>
  <c r="BC70" i="14"/>
  <c r="BC41" i="14" s="1"/>
  <c r="BL70" i="14"/>
  <c r="CE42" i="14"/>
  <c r="CE41" i="14" s="1"/>
  <c r="KT84" i="19" s="1"/>
  <c r="CY70" i="14"/>
  <c r="CY41" i="14" s="1"/>
  <c r="BI42" i="14"/>
  <c r="BI41" i="14" s="1"/>
  <c r="HJ83" i="19" s="1"/>
  <c r="BO70" i="14"/>
  <c r="BO41" i="14" s="1"/>
  <c r="BD70" i="14"/>
  <c r="BD41" i="14" s="1"/>
  <c r="GP84" i="19" s="1"/>
  <c r="BF41" i="14"/>
  <c r="GX87" i="19" s="1"/>
  <c r="BV41" i="14"/>
  <c r="AU70" i="14"/>
  <c r="AU41" i="14" s="1"/>
  <c r="FF87" i="19" s="1"/>
  <c r="CO42" i="14"/>
  <c r="CO41" i="14" s="1"/>
  <c r="BW42" i="14"/>
  <c r="CZ70" i="14"/>
  <c r="CZ41" i="14" s="1"/>
  <c r="BX70" i="14"/>
  <c r="BX41" i="14" s="1"/>
  <c r="JR86" i="19" s="1"/>
  <c r="BW70" i="14"/>
  <c r="BL42" i="14"/>
  <c r="AB42" i="14"/>
  <c r="AB41" i="14" s="1"/>
  <c r="CM42" i="14"/>
  <c r="CM41" i="14" s="1"/>
  <c r="CI70" i="14"/>
  <c r="BB42" i="14"/>
  <c r="BB41" i="14" s="1"/>
  <c r="GH87" i="19" s="1"/>
  <c r="CS42" i="14"/>
  <c r="CS41" i="14" s="1"/>
  <c r="CW70" i="14"/>
  <c r="CW41" i="14" s="1"/>
  <c r="BH44" i="16"/>
  <c r="BH133" i="16" s="1"/>
  <c r="AH44" i="16"/>
  <c r="BF44" i="16"/>
  <c r="P44" i="16"/>
  <c r="P133" i="16" s="1"/>
  <c r="BV44" i="16"/>
  <c r="BV133" i="16" s="1"/>
  <c r="CL44" i="16"/>
  <c r="CL133" i="16" s="1"/>
  <c r="AS44" i="16"/>
  <c r="AM10" i="16"/>
  <c r="CY44" i="16"/>
  <c r="CA44" i="16"/>
  <c r="CA133" i="16" s="1"/>
  <c r="BT44" i="16"/>
  <c r="BT133" i="16" s="1"/>
  <c r="U44" i="16"/>
  <c r="U133" i="16" s="1"/>
  <c r="V44" i="16"/>
  <c r="V133" i="16" s="1"/>
  <c r="X44" i="16"/>
  <c r="AM44" i="16"/>
  <c r="K44" i="16"/>
  <c r="K133" i="16" s="1"/>
  <c r="R44" i="16"/>
  <c r="R133" i="16" s="1"/>
  <c r="AT44" i="16"/>
  <c r="AF44" i="16"/>
  <c r="AF9" i="16" s="1"/>
  <c r="AF7" i="16" s="1"/>
  <c r="AF135" i="16" s="1"/>
  <c r="AF138" i="16" s="1"/>
  <c r="BB44" i="16"/>
  <c r="BB133" i="16" s="1"/>
  <c r="CJ44" i="16"/>
  <c r="AS10" i="16"/>
  <c r="CZ44" i="16"/>
  <c r="CZ133" i="16" s="1"/>
  <c r="AG44" i="16"/>
  <c r="AG133" i="16" s="1"/>
  <c r="BG10" i="16"/>
  <c r="BA44" i="16"/>
  <c r="BA133" i="16" s="1"/>
  <c r="CB44" i="16"/>
  <c r="CB133" i="16" s="1"/>
  <c r="I44" i="16"/>
  <c r="CS44" i="16"/>
  <c r="CS133" i="16" s="1"/>
  <c r="CX10" i="16"/>
  <c r="CX9" i="16" s="1"/>
  <c r="CX7" i="16" s="1"/>
  <c r="CM44" i="16"/>
  <c r="CM133" i="16" s="1"/>
  <c r="AX10" i="16"/>
  <c r="F22" i="16"/>
  <c r="AB44" i="16"/>
  <c r="AB133" i="16" s="1"/>
  <c r="CT44" i="16"/>
  <c r="CT133" i="16" s="1"/>
  <c r="DA44" i="16"/>
  <c r="DA133" i="16" s="1"/>
  <c r="AP10" i="16"/>
  <c r="AL10" i="16"/>
  <c r="W10" i="16"/>
  <c r="AC44" i="16"/>
  <c r="AC133" i="16" s="1"/>
  <c r="AY10" i="16"/>
  <c r="BS44" i="16"/>
  <c r="CV44" i="16"/>
  <c r="Z10" i="16"/>
  <c r="CU44" i="16"/>
  <c r="CU133" i="16" s="1"/>
  <c r="BZ44" i="16"/>
  <c r="BZ133" i="16" s="1"/>
  <c r="BQ10" i="16"/>
  <c r="BL10" i="16"/>
  <c r="BR44" i="16"/>
  <c r="BR133" i="16" s="1"/>
  <c r="CD44" i="16"/>
  <c r="CD133" i="16" s="1"/>
  <c r="BP44" i="16"/>
  <c r="BP133" i="16" s="1"/>
  <c r="CA10" i="16"/>
  <c r="CW44" i="16"/>
  <c r="CW133" i="16" s="1"/>
  <c r="Z44" i="16"/>
  <c r="Z133" i="16" s="1"/>
  <c r="BX44" i="16"/>
  <c r="BW44" i="16"/>
  <c r="BW133" i="16" s="1"/>
  <c r="F67" i="16"/>
  <c r="AI44" i="16"/>
  <c r="AI133" i="16" s="1"/>
  <c r="AJ44" i="16"/>
  <c r="AJ133" i="16" s="1"/>
  <c r="G8" i="16"/>
  <c r="CV10" i="16"/>
  <c r="AB10" i="16"/>
  <c r="CO44" i="16"/>
  <c r="CO133" i="16" s="1"/>
  <c r="AA10" i="16"/>
  <c r="CR44" i="16"/>
  <c r="CR133" i="16" s="1"/>
  <c r="Q44" i="16"/>
  <c r="Q133" i="16" s="1"/>
  <c r="AZ113" i="16"/>
  <c r="AZ45" i="16"/>
  <c r="AL45" i="16"/>
  <c r="AL44" i="16" s="1"/>
  <c r="AL113" i="16"/>
  <c r="BL113" i="16"/>
  <c r="BL45" i="16"/>
  <c r="BL44" i="16" s="1"/>
  <c r="BL133" i="16" s="1"/>
  <c r="F49" i="16"/>
  <c r="J113" i="16"/>
  <c r="G49" i="16"/>
  <c r="D199" i="16" s="1"/>
  <c r="J45" i="16"/>
  <c r="J44" i="16" s="1"/>
  <c r="AA44" i="16"/>
  <c r="AA133" i="16" s="1"/>
  <c r="G70" i="14"/>
  <c r="T41" i="14"/>
  <c r="BB82" i="19" s="1"/>
  <c r="AR44" i="16"/>
  <c r="AR133" i="16" s="1"/>
  <c r="CR10" i="16"/>
  <c r="Q10" i="16"/>
  <c r="U10" i="16"/>
  <c r="BA10" i="16"/>
  <c r="CM10" i="16"/>
  <c r="J10" i="16"/>
  <c r="AQ10" i="16"/>
  <c r="CU10" i="16"/>
  <c r="Y10" i="16"/>
  <c r="CI10" i="16"/>
  <c r="CP10" i="16"/>
  <c r="AX44" i="16"/>
  <c r="AI10" i="16"/>
  <c r="BR10" i="16"/>
  <c r="BB10" i="16"/>
  <c r="AE10" i="16"/>
  <c r="BW10" i="16"/>
  <c r="Y44" i="16"/>
  <c r="Y133" i="16" s="1"/>
  <c r="N133" i="16"/>
  <c r="AH133" i="16"/>
  <c r="AT10" i="16"/>
  <c r="CH10" i="16"/>
  <c r="AM133" i="16"/>
  <c r="CE10" i="16"/>
  <c r="O133" i="16"/>
  <c r="BD44" i="16"/>
  <c r="BD133" i="16" s="1"/>
  <c r="AW10" i="16"/>
  <c r="AW9" i="16" s="1"/>
  <c r="AW7" i="16" s="1"/>
  <c r="AG10" i="16"/>
  <c r="CO10" i="16"/>
  <c r="T44" i="16"/>
  <c r="T133" i="16" s="1"/>
  <c r="BV10" i="16"/>
  <c r="AH10" i="16"/>
  <c r="AH9" i="16" s="1"/>
  <c r="AH7" i="16" s="1"/>
  <c r="AH147" i="16" s="1"/>
  <c r="F56" i="16"/>
  <c r="BN84" i="19"/>
  <c r="P10" i="16"/>
  <c r="L10" i="16"/>
  <c r="N10" i="16"/>
  <c r="N9" i="16" s="1"/>
  <c r="N130" i="16" s="1"/>
  <c r="BF10" i="16"/>
  <c r="H10" i="16"/>
  <c r="CD10" i="16"/>
  <c r="CN10" i="16"/>
  <c r="CY10" i="16"/>
  <c r="CY9" i="16" s="1"/>
  <c r="CY7" i="16" s="1"/>
  <c r="CY135" i="16" s="1"/>
  <c r="CY138" i="16" s="1"/>
  <c r="BE10" i="16"/>
  <c r="CG10" i="16"/>
  <c r="BD10" i="16"/>
  <c r="G56" i="16"/>
  <c r="AD10" i="16"/>
  <c r="G33" i="16"/>
  <c r="AC10" i="16"/>
  <c r="AU10" i="16"/>
  <c r="AV10" i="16"/>
  <c r="AJ10" i="16"/>
  <c r="AK10" i="16"/>
  <c r="F11" i="16"/>
  <c r="CB10" i="16"/>
  <c r="BH10" i="16"/>
  <c r="K10" i="16"/>
  <c r="BO10" i="16"/>
  <c r="R10" i="16"/>
  <c r="AR10" i="16"/>
  <c r="BQ44" i="16"/>
  <c r="BC10" i="16"/>
  <c r="O10" i="16"/>
  <c r="O9" i="16" s="1"/>
  <c r="O7" i="16" s="1"/>
  <c r="O147" i="16" s="1"/>
  <c r="BU44" i="16"/>
  <c r="CX133" i="16"/>
  <c r="CC10" i="16"/>
  <c r="X133" i="16"/>
  <c r="BZ10" i="16"/>
  <c r="CL10" i="16"/>
  <c r="CQ10" i="16"/>
  <c r="BP10" i="16"/>
  <c r="AZ10" i="16"/>
  <c r="BJ10" i="16"/>
  <c r="T10" i="16"/>
  <c r="DA10" i="16"/>
  <c r="AW133" i="16"/>
  <c r="I10" i="16"/>
  <c r="BT10" i="16"/>
  <c r="DC10" i="16"/>
  <c r="CY133" i="16"/>
  <c r="S10" i="16"/>
  <c r="CK10" i="16"/>
  <c r="BM44" i="16"/>
  <c r="CS10" i="16"/>
  <c r="CZ10" i="16"/>
  <c r="CP44" i="16"/>
  <c r="CW10" i="16"/>
  <c r="V10" i="16"/>
  <c r="CT10" i="16"/>
  <c r="BX10" i="16"/>
  <c r="AN10" i="16"/>
  <c r="H44" i="16"/>
  <c r="AO10" i="16"/>
  <c r="AD44" i="16"/>
  <c r="AD133" i="16" s="1"/>
  <c r="M10" i="16"/>
  <c r="P118" i="15"/>
  <c r="P117" i="15" s="1"/>
  <c r="P134" i="15" s="1"/>
  <c r="P118" i="16"/>
  <c r="P117" i="16" s="1"/>
  <c r="AL83" i="19"/>
  <c r="N26" i="10"/>
  <c r="P118" i="4"/>
  <c r="O276" i="9"/>
  <c r="O277" i="9" s="1"/>
  <c r="O284" i="9" s="1"/>
  <c r="P275" i="9"/>
  <c r="P118" i="6"/>
  <c r="O354" i="9"/>
  <c r="Q120" i="5" s="1"/>
  <c r="O355" i="9"/>
  <c r="Q120" i="6" s="1"/>
  <c r="Q118" i="6" s="1"/>
  <c r="Q117" i="6" s="1"/>
  <c r="Q44" i="10" s="1"/>
  <c r="Q49" i="10" s="1"/>
  <c r="O353" i="9"/>
  <c r="Q120" i="4" s="1"/>
  <c r="P118" i="5"/>
  <c r="O117" i="15"/>
  <c r="M13" i="10"/>
  <c r="M49" i="10"/>
  <c r="O117" i="16"/>
  <c r="Q120" i="15"/>
  <c r="Q120" i="16"/>
  <c r="Q108" i="14"/>
  <c r="I82" i="16"/>
  <c r="AT82" i="16"/>
  <c r="CH82" i="16"/>
  <c r="CE44" i="16" l="1"/>
  <c r="CE133" i="16" s="1"/>
  <c r="D84" i="19"/>
  <c r="BX133" i="16"/>
  <c r="CI9" i="16"/>
  <c r="J133" i="16"/>
  <c r="AZ44" i="16"/>
  <c r="AZ133" i="16" s="1"/>
  <c r="BL41" i="14"/>
  <c r="HV87" i="19" s="1"/>
  <c r="X10" i="16"/>
  <c r="X9" i="16" s="1"/>
  <c r="X7" i="16" s="1"/>
  <c r="X147" i="16" s="1"/>
  <c r="BE133" i="16"/>
  <c r="BF133" i="16"/>
  <c r="CJ10" i="16"/>
  <c r="BC133" i="16"/>
  <c r="BS10" i="16"/>
  <c r="CG133" i="16"/>
  <c r="BO133" i="16"/>
  <c r="CH113" i="16"/>
  <c r="CH78" i="16"/>
  <c r="AT78" i="16"/>
  <c r="AT133" i="16" s="1"/>
  <c r="AT113" i="16"/>
  <c r="I78" i="16"/>
  <c r="G78" i="16" s="1"/>
  <c r="G82" i="16"/>
  <c r="D229" i="16" s="1"/>
  <c r="F82" i="16"/>
  <c r="F78" i="16" s="1"/>
  <c r="I113" i="16"/>
  <c r="G113" i="16" s="1"/>
  <c r="S41" i="14"/>
  <c r="F45" i="16"/>
  <c r="BI133" i="16"/>
  <c r="AY133" i="16"/>
  <c r="W41" i="14"/>
  <c r="V9" i="16"/>
  <c r="V7" i="16" s="1"/>
  <c r="V147" i="16" s="1"/>
  <c r="BS133" i="16"/>
  <c r="I133" i="16"/>
  <c r="CC133" i="16"/>
  <c r="AK133" i="16"/>
  <c r="D82" i="19"/>
  <c r="AJ41" i="14"/>
  <c r="DN84" i="19" s="1"/>
  <c r="CD41" i="14"/>
  <c r="BC9" i="16"/>
  <c r="BC7" i="16" s="1"/>
  <c r="AV9" i="16"/>
  <c r="AV130" i="16" s="1"/>
  <c r="AV134" i="16" s="1"/>
  <c r="G22" i="16"/>
  <c r="AE9" i="16"/>
  <c r="AE7" i="16" s="1"/>
  <c r="AE135" i="16" s="1"/>
  <c r="AE138" i="16" s="1"/>
  <c r="U9" i="16"/>
  <c r="U7" i="16" s="1"/>
  <c r="CK133" i="16"/>
  <c r="CV133" i="16"/>
  <c r="AP133" i="16"/>
  <c r="BH9" i="16"/>
  <c r="BH130" i="16" s="1"/>
  <c r="BH134" i="16" s="1"/>
  <c r="BF9" i="16"/>
  <c r="BF130" i="16" s="1"/>
  <c r="BN133" i="16"/>
  <c r="G42" i="14"/>
  <c r="BE9" i="16"/>
  <c r="BE7" i="16" s="1"/>
  <c r="BE147" i="16" s="1"/>
  <c r="F113" i="16"/>
  <c r="BT9" i="16"/>
  <c r="BT7" i="16" s="1"/>
  <c r="BT147" i="16" s="1"/>
  <c r="CJ133" i="16"/>
  <c r="BW41" i="14"/>
  <c r="AQ41" i="14"/>
  <c r="AN44" i="16"/>
  <c r="AN133" i="16" s="1"/>
  <c r="CH44" i="16"/>
  <c r="CH9" i="16" s="1"/>
  <c r="AP9" i="16"/>
  <c r="AP7" i="16" s="1"/>
  <c r="AP135" i="16" s="1"/>
  <c r="AP138" i="16" s="1"/>
  <c r="AS133" i="16"/>
  <c r="P9" i="16"/>
  <c r="P7" i="16" s="1"/>
  <c r="CZ9" i="16"/>
  <c r="CZ7" i="16" s="1"/>
  <c r="CZ147" i="16" s="1"/>
  <c r="BV9" i="16"/>
  <c r="BV130" i="16" s="1"/>
  <c r="BV134" i="16" s="1"/>
  <c r="CT9" i="16"/>
  <c r="CT130" i="16" s="1"/>
  <c r="CT134" i="16" s="1"/>
  <c r="CL9" i="16"/>
  <c r="CL130" i="16" s="1"/>
  <c r="CL134" i="16" s="1"/>
  <c r="R9" i="16"/>
  <c r="R130" i="16" s="1"/>
  <c r="BP9" i="16"/>
  <c r="BP130" i="16" s="1"/>
  <c r="BP134" i="16" s="1"/>
  <c r="K9" i="16"/>
  <c r="K130" i="16" s="1"/>
  <c r="K134" i="16" s="1"/>
  <c r="BI9" i="16"/>
  <c r="BI130" i="16" s="1"/>
  <c r="CG9" i="16"/>
  <c r="CG7" i="16" s="1"/>
  <c r="CG135" i="16" s="1"/>
  <c r="CG138" i="16" s="1"/>
  <c r="CK9" i="16"/>
  <c r="CK7" i="16" s="1"/>
  <c r="CK135" i="16" s="1"/>
  <c r="CK138" i="16" s="1"/>
  <c r="M9" i="16"/>
  <c r="M130" i="16" s="1"/>
  <c r="M134" i="16" s="1"/>
  <c r="DA9" i="16"/>
  <c r="DA130" i="16" s="1"/>
  <c r="DA134" i="16" s="1"/>
  <c r="AS9" i="16"/>
  <c r="AS130" i="16" s="1"/>
  <c r="AY9" i="16"/>
  <c r="AY130" i="16" s="1"/>
  <c r="AY134" i="16" s="1"/>
  <c r="CS9" i="16"/>
  <c r="CS130" i="16" s="1"/>
  <c r="CS134" i="16" s="1"/>
  <c r="AM9" i="16"/>
  <c r="AM130" i="16" s="1"/>
  <c r="AM134" i="16" s="1"/>
  <c r="CA9" i="16"/>
  <c r="CA7" i="16" s="1"/>
  <c r="CA135" i="16" s="1"/>
  <c r="CA138" i="16" s="1"/>
  <c r="CN9" i="16"/>
  <c r="CN130" i="16" s="1"/>
  <c r="CN134" i="16" s="1"/>
  <c r="CJ9" i="16"/>
  <c r="CJ130" i="16" s="1"/>
  <c r="AF133" i="16"/>
  <c r="CC9" i="16"/>
  <c r="CC130" i="16" s="1"/>
  <c r="CC134" i="16" s="1"/>
  <c r="AK9" i="16"/>
  <c r="AK7" i="16" s="1"/>
  <c r="AK147" i="16" s="1"/>
  <c r="AQ9" i="16"/>
  <c r="AQ7" i="16" s="1"/>
  <c r="AQ135" i="16" s="1"/>
  <c r="AQ138" i="16" s="1"/>
  <c r="BB9" i="16"/>
  <c r="BB7" i="16" s="1"/>
  <c r="BB135" i="16" s="1"/>
  <c r="BB138" i="16" s="1"/>
  <c r="AC9" i="16"/>
  <c r="AC7" i="16" s="1"/>
  <c r="AC135" i="16" s="1"/>
  <c r="AC138" i="16" s="1"/>
  <c r="W9" i="16"/>
  <c r="W7" i="16" s="1"/>
  <c r="W135" i="16" s="1"/>
  <c r="W138" i="16" s="1"/>
  <c r="I9" i="16"/>
  <c r="I130" i="16" s="1"/>
  <c r="I134" i="16" s="1"/>
  <c r="DC9" i="16"/>
  <c r="DC130" i="16" s="1"/>
  <c r="DC134" i="16" s="1"/>
  <c r="AG9" i="16"/>
  <c r="AG7" i="16" s="1"/>
  <c r="AG135" i="16" s="1"/>
  <c r="AG138" i="16" s="1"/>
  <c r="CB9" i="16"/>
  <c r="CB7" i="16" s="1"/>
  <c r="CB135" i="16" s="1"/>
  <c r="CB138" i="16" s="1"/>
  <c r="CM9" i="16"/>
  <c r="CM130" i="16" s="1"/>
  <c r="CM134" i="16" s="1"/>
  <c r="BA9" i="16"/>
  <c r="BA7" i="16" s="1"/>
  <c r="BG9" i="16"/>
  <c r="BG7" i="16" s="1"/>
  <c r="BG147" i="16" s="1"/>
  <c r="BO9" i="16"/>
  <c r="BO7" i="16" s="1"/>
  <c r="BO147" i="16" s="1"/>
  <c r="AX9" i="16"/>
  <c r="AX130" i="16" s="1"/>
  <c r="AB9" i="16"/>
  <c r="AB130" i="16" s="1"/>
  <c r="BR9" i="16"/>
  <c r="BR7" i="16" s="1"/>
  <c r="BR135" i="16" s="1"/>
  <c r="BR138" i="16" s="1"/>
  <c r="BZ9" i="16"/>
  <c r="BZ130" i="16" s="1"/>
  <c r="BZ134" i="16" s="1"/>
  <c r="AO9" i="16"/>
  <c r="AO7" i="16" s="1"/>
  <c r="AO147" i="16" s="1"/>
  <c r="AL9" i="16"/>
  <c r="BX9" i="16"/>
  <c r="BX7" i="16" s="1"/>
  <c r="BX147" i="16" s="1"/>
  <c r="CE9" i="16"/>
  <c r="CE130" i="16" s="1"/>
  <c r="CW9" i="16"/>
  <c r="CW130" i="16" s="1"/>
  <c r="CW134" i="16" s="1"/>
  <c r="BS9" i="16"/>
  <c r="BS7" i="16" s="1"/>
  <c r="BS147" i="16" s="1"/>
  <c r="S9" i="16"/>
  <c r="S7" i="16" s="1"/>
  <c r="S135" i="16" s="1"/>
  <c r="S138" i="16" s="1"/>
  <c r="CQ9" i="16"/>
  <c r="CQ7" i="16" s="1"/>
  <c r="CX130" i="16"/>
  <c r="CX134" i="16" s="1"/>
  <c r="U130" i="16"/>
  <c r="CD9" i="16"/>
  <c r="CD7" i="16" s="1"/>
  <c r="CD147" i="16" s="1"/>
  <c r="G45" i="16"/>
  <c r="CF9" i="16"/>
  <c r="CV9" i="16"/>
  <c r="CV130" i="16" s="1"/>
  <c r="AL133" i="16"/>
  <c r="Z9" i="16"/>
  <c r="Z7" i="16" s="1"/>
  <c r="Z135" i="16" s="1"/>
  <c r="Z138" i="16" s="1"/>
  <c r="CO9" i="16"/>
  <c r="CO7" i="16" s="1"/>
  <c r="CO135" i="16" s="1"/>
  <c r="CO138" i="16" s="1"/>
  <c r="CU9" i="16"/>
  <c r="CU130" i="16" s="1"/>
  <c r="CU134" i="16" s="1"/>
  <c r="BL9" i="16"/>
  <c r="BL7" i="16" s="1"/>
  <c r="BL147" i="16" s="1"/>
  <c r="L9" i="16"/>
  <c r="L130" i="16" s="1"/>
  <c r="L134" i="16" s="1"/>
  <c r="AA9" i="16"/>
  <c r="AA7" i="16" s="1"/>
  <c r="AA147" i="16" s="1"/>
  <c r="BN9" i="16"/>
  <c r="BN7" i="16" s="1"/>
  <c r="BN147" i="16" s="1"/>
  <c r="BJ9" i="16"/>
  <c r="BJ130" i="16" s="1"/>
  <c r="BJ134" i="16" s="1"/>
  <c r="AI9" i="16"/>
  <c r="BG133" i="16"/>
  <c r="DB9" i="16"/>
  <c r="DB130" i="16" s="1"/>
  <c r="DB134" i="16" s="1"/>
  <c r="J9" i="16"/>
  <c r="J7" i="16" s="1"/>
  <c r="J147" i="16" s="1"/>
  <c r="AU9" i="16"/>
  <c r="AU7" i="16" s="1"/>
  <c r="AU135" i="16" s="1"/>
  <c r="AU138" i="16" s="1"/>
  <c r="Q9" i="16"/>
  <c r="Q7" i="16" s="1"/>
  <c r="Q135" i="16" s="1"/>
  <c r="Q138" i="16" s="1"/>
  <c r="BW9" i="16"/>
  <c r="BW130" i="16" s="1"/>
  <c r="BW134" i="16" s="1"/>
  <c r="AR9" i="16"/>
  <c r="AR130" i="16" s="1"/>
  <c r="AR134" i="16" s="1"/>
  <c r="AJ9" i="16"/>
  <c r="AJ130" i="16" s="1"/>
  <c r="AJ134" i="16" s="1"/>
  <c r="AZ9" i="16"/>
  <c r="AZ7" i="16" s="1"/>
  <c r="AZ147" i="16" s="1"/>
  <c r="CR9" i="16"/>
  <c r="CR130" i="16" s="1"/>
  <c r="CR134" i="16" s="1"/>
  <c r="G41" i="14"/>
  <c r="BD9" i="16"/>
  <c r="BD7" i="16" s="1"/>
  <c r="BD147" i="16" s="1"/>
  <c r="AF147" i="16"/>
  <c r="X130" i="16"/>
  <c r="AH135" i="16"/>
  <c r="AH138" i="16" s="1"/>
  <c r="CY147" i="16"/>
  <c r="AW130" i="16"/>
  <c r="AW134" i="16" s="1"/>
  <c r="AH130" i="16"/>
  <c r="AH134" i="16" s="1"/>
  <c r="CY130" i="16"/>
  <c r="CY134" i="16" s="1"/>
  <c r="CI7" i="16"/>
  <c r="CI147" i="16" s="1"/>
  <c r="CI130" i="16"/>
  <c r="CI134" i="16" s="1"/>
  <c r="AE130" i="16"/>
  <c r="AE134" i="16" s="1"/>
  <c r="Y9" i="16"/>
  <c r="Y7" i="16" s="1"/>
  <c r="AX133" i="16"/>
  <c r="O130" i="16"/>
  <c r="O134" i="16" s="1"/>
  <c r="AF130" i="16"/>
  <c r="X135" i="16"/>
  <c r="X138" i="16" s="1"/>
  <c r="AV7" i="16"/>
  <c r="AV147" i="16" s="1"/>
  <c r="BF134" i="16"/>
  <c r="BF7" i="16"/>
  <c r="BF135" i="16" s="1"/>
  <c r="BF138" i="16" s="1"/>
  <c r="T9" i="16"/>
  <c r="T7" i="16" s="1"/>
  <c r="T147" i="16" s="1"/>
  <c r="BK9" i="16"/>
  <c r="BK130" i="16" s="1"/>
  <c r="BK134" i="16" s="1"/>
  <c r="F10" i="16"/>
  <c r="CT7" i="16"/>
  <c r="CT135" i="16" s="1"/>
  <c r="CT138" i="16" s="1"/>
  <c r="F44" i="16"/>
  <c r="BY9" i="16"/>
  <c r="N7" i="16"/>
  <c r="N147" i="16" s="1"/>
  <c r="BE130" i="16"/>
  <c r="BE134" i="16" s="1"/>
  <c r="O135" i="16"/>
  <c r="O138" i="16" s="1"/>
  <c r="AD9" i="16"/>
  <c r="G10" i="16"/>
  <c r="H9" i="16"/>
  <c r="BQ133" i="16"/>
  <c r="BQ9" i="16"/>
  <c r="CP133" i="16"/>
  <c r="CP9" i="16"/>
  <c r="H133" i="16"/>
  <c r="G44" i="16"/>
  <c r="BM133" i="16"/>
  <c r="BM9" i="16"/>
  <c r="BU133" i="16"/>
  <c r="BU9" i="16"/>
  <c r="U135" i="16"/>
  <c r="U138" i="16" s="1"/>
  <c r="U147" i="16"/>
  <c r="AW135" i="16"/>
  <c r="AW138" i="16" s="1"/>
  <c r="AW147" i="16"/>
  <c r="BC147" i="16"/>
  <c r="BC135" i="16"/>
  <c r="BC138" i="16" s="1"/>
  <c r="AP147" i="16"/>
  <c r="N134" i="16"/>
  <c r="CX135" i="16"/>
  <c r="CX138" i="16" s="1"/>
  <c r="CX147" i="16"/>
  <c r="V135" i="16"/>
  <c r="V138" i="16" s="1"/>
  <c r="Q118" i="16"/>
  <c r="Q118" i="15"/>
  <c r="AP83" i="19"/>
  <c r="Q118" i="5"/>
  <c r="Q117" i="5" s="1"/>
  <c r="Q26" i="10" s="1"/>
  <c r="Q31" i="10" s="1"/>
  <c r="O134" i="15"/>
  <c r="N31" i="10"/>
  <c r="P117" i="6"/>
  <c r="P276" i="9"/>
  <c r="P277" i="9" s="1"/>
  <c r="P284" i="9" s="1"/>
  <c r="Q275" i="9"/>
  <c r="P117" i="5"/>
  <c r="P355" i="9"/>
  <c r="R120" i="6" s="1"/>
  <c r="P354" i="9"/>
  <c r="R120" i="5" s="1"/>
  <c r="P353" i="9"/>
  <c r="R120" i="4" s="1"/>
  <c r="Q118" i="4"/>
  <c r="Q117" i="4" s="1"/>
  <c r="Q8" i="10" s="1"/>
  <c r="Q13" i="10" s="1"/>
  <c r="P117" i="4"/>
  <c r="R120" i="15"/>
  <c r="R108" i="14"/>
  <c r="R120" i="16"/>
  <c r="AT9" i="16" l="1"/>
  <c r="AT7" i="16" s="1"/>
  <c r="V130" i="16"/>
  <c r="BI134" i="16"/>
  <c r="BE135" i="16"/>
  <c r="BE138" i="16" s="1"/>
  <c r="CJ134" i="16"/>
  <c r="BT135" i="16"/>
  <c r="BT138" i="16" s="1"/>
  <c r="CL7" i="16"/>
  <c r="CL135" i="16" s="1"/>
  <c r="CL138" i="16" s="1"/>
  <c r="CH130" i="16"/>
  <c r="CV134" i="16"/>
  <c r="CH133" i="16"/>
  <c r="CE134" i="16"/>
  <c r="BT130" i="16"/>
  <c r="BT134" i="16" s="1"/>
  <c r="AP130" i="16"/>
  <c r="AP134" i="16" s="1"/>
  <c r="BC130" i="16"/>
  <c r="BC134" i="16" s="1"/>
  <c r="BH7" i="16"/>
  <c r="BH147" i="16" s="1"/>
  <c r="CH7" i="16"/>
  <c r="CH147" i="16" s="1"/>
  <c r="AS134" i="16"/>
  <c r="AN9" i="16"/>
  <c r="CZ135" i="16"/>
  <c r="CZ138" i="16" s="1"/>
  <c r="CZ130" i="16"/>
  <c r="CZ134" i="16" s="1"/>
  <c r="P130" i="16"/>
  <c r="P134" i="16" s="1"/>
  <c r="BV7" i="16"/>
  <c r="BV147" i="16" s="1"/>
  <c r="BP7" i="16"/>
  <c r="BP135" i="16" s="1"/>
  <c r="BP138" i="16" s="1"/>
  <c r="R7" i="16"/>
  <c r="R135" i="16" s="1"/>
  <c r="R138" i="16" s="1"/>
  <c r="CG147" i="16"/>
  <c r="K7" i="16"/>
  <c r="K135" i="16" s="1"/>
  <c r="K138" i="16" s="1"/>
  <c r="BI7" i="16"/>
  <c r="BI135" i="16" s="1"/>
  <c r="BI138" i="16" s="1"/>
  <c r="CK147" i="16"/>
  <c r="M7" i="16"/>
  <c r="M147" i="16" s="1"/>
  <c r="DA7" i="16"/>
  <c r="DA147" i="16" s="1"/>
  <c r="CG130" i="16"/>
  <c r="CG134" i="16" s="1"/>
  <c r="CK130" i="16"/>
  <c r="CK134" i="16" s="1"/>
  <c r="AS7" i="16"/>
  <c r="AS135" i="16" s="1"/>
  <c r="AS138" i="16" s="1"/>
  <c r="AY7" i="16"/>
  <c r="AY147" i="16" s="1"/>
  <c r="CN7" i="16"/>
  <c r="CN135" i="16" s="1"/>
  <c r="CN138" i="16" s="1"/>
  <c r="CA147" i="16"/>
  <c r="CA130" i="16"/>
  <c r="CA134" i="16" s="1"/>
  <c r="AM7" i="16"/>
  <c r="AM147" i="16" s="1"/>
  <c r="CS7" i="16"/>
  <c r="CS147" i="16" s="1"/>
  <c r="CJ7" i="16"/>
  <c r="CJ147" i="16" s="1"/>
  <c r="AT130" i="16"/>
  <c r="AT134" i="16" s="1"/>
  <c r="W130" i="16"/>
  <c r="AF134" i="16"/>
  <c r="AK130" i="16"/>
  <c r="AK134" i="16" s="1"/>
  <c r="CC7" i="16"/>
  <c r="CC147" i="16" s="1"/>
  <c r="AK135" i="16"/>
  <c r="AK138" i="16" s="1"/>
  <c r="BB147" i="16"/>
  <c r="AQ130" i="16"/>
  <c r="AQ134" i="16" s="1"/>
  <c r="BB130" i="16"/>
  <c r="BB134" i="16" s="1"/>
  <c r="W147" i="16"/>
  <c r="I7" i="16"/>
  <c r="I135" i="16" s="1"/>
  <c r="I138" i="16" s="1"/>
  <c r="AG147" i="16"/>
  <c r="AG130" i="16"/>
  <c r="AG134" i="16" s="1"/>
  <c r="CB130" i="16"/>
  <c r="CB134" i="16" s="1"/>
  <c r="AC130" i="16"/>
  <c r="AC134" i="16" s="1"/>
  <c r="AC147" i="16"/>
  <c r="DC7" i="16"/>
  <c r="DC135" i="16" s="1"/>
  <c r="DC138" i="16" s="1"/>
  <c r="BO135" i="16"/>
  <c r="BO138" i="16" s="1"/>
  <c r="CB147" i="16"/>
  <c r="BA130" i="16"/>
  <c r="BA134" i="16" s="1"/>
  <c r="BX135" i="16"/>
  <c r="BX138" i="16" s="1"/>
  <c r="CM7" i="16"/>
  <c r="CM147" i="16" s="1"/>
  <c r="BG130" i="16"/>
  <c r="BG134" i="16" s="1"/>
  <c r="BO130" i="16"/>
  <c r="BO134" i="16" s="1"/>
  <c r="BR130" i="16"/>
  <c r="BR134" i="16" s="1"/>
  <c r="AX7" i="16"/>
  <c r="AX147" i="16" s="1"/>
  <c r="BR147" i="16"/>
  <c r="AB7" i="16"/>
  <c r="AB135" i="16" s="1"/>
  <c r="AB138" i="16" s="1"/>
  <c r="BZ7" i="16"/>
  <c r="BZ147" i="16" s="1"/>
  <c r="BX130" i="16"/>
  <c r="BX134" i="16" s="1"/>
  <c r="AO135" i="16"/>
  <c r="AO138" i="16" s="1"/>
  <c r="CE7" i="16"/>
  <c r="CE135" i="16" s="1"/>
  <c r="CE138" i="16" s="1"/>
  <c r="CW7" i="16"/>
  <c r="CW147" i="16" s="1"/>
  <c r="AO130" i="16"/>
  <c r="AO134" i="16" s="1"/>
  <c r="AL7" i="16"/>
  <c r="AL130" i="16"/>
  <c r="AL134" i="16" s="1"/>
  <c r="BS135" i="16"/>
  <c r="BS138" i="16" s="1"/>
  <c r="S147" i="16"/>
  <c r="BS130" i="16"/>
  <c r="BS134" i="16" s="1"/>
  <c r="Z130" i="16"/>
  <c r="CQ130" i="16"/>
  <c r="CQ134" i="16" s="1"/>
  <c r="S130" i="16"/>
  <c r="CO147" i="16"/>
  <c r="Q147" i="16"/>
  <c r="CV7" i="16"/>
  <c r="CV135" i="16" s="1"/>
  <c r="CV138" i="16" s="1"/>
  <c r="CD130" i="16"/>
  <c r="CD134" i="16" s="1"/>
  <c r="DB7" i="16"/>
  <c r="DB147" i="16" s="1"/>
  <c r="CD135" i="16"/>
  <c r="CD138" i="16" s="1"/>
  <c r="AS147" i="16"/>
  <c r="BL135" i="16"/>
  <c r="BL138" i="16" s="1"/>
  <c r="CF7" i="16"/>
  <c r="CF130" i="16"/>
  <c r="CF134" i="16" s="1"/>
  <c r="L7" i="16"/>
  <c r="L135" i="16" s="1"/>
  <c r="L138" i="16" s="1"/>
  <c r="CO130" i="16"/>
  <c r="CO134" i="16" s="1"/>
  <c r="CU7" i="16"/>
  <c r="BN135" i="16"/>
  <c r="BN138" i="16" s="1"/>
  <c r="BL130" i="16"/>
  <c r="BL134" i="16" s="1"/>
  <c r="AJ7" i="16"/>
  <c r="AJ147" i="16" s="1"/>
  <c r="BN130" i="16"/>
  <c r="BN134" i="16" s="1"/>
  <c r="Q130" i="16"/>
  <c r="BJ7" i="16"/>
  <c r="BJ147" i="16" s="1"/>
  <c r="AA135" i="16"/>
  <c r="AA138" i="16" s="1"/>
  <c r="AI7" i="16"/>
  <c r="AI130" i="16"/>
  <c r="AI134" i="16" s="1"/>
  <c r="AA130" i="16"/>
  <c r="Z147" i="16"/>
  <c r="CR7" i="16"/>
  <c r="CR135" i="16" s="1"/>
  <c r="CR138" i="16" s="1"/>
  <c r="BW7" i="16"/>
  <c r="BW147" i="16" s="1"/>
  <c r="J135" i="16"/>
  <c r="J138" i="16" s="1"/>
  <c r="AU147" i="16"/>
  <c r="AZ130" i="16"/>
  <c r="AZ134" i="16" s="1"/>
  <c r="J130" i="16"/>
  <c r="J134" i="16" s="1"/>
  <c r="AR7" i="16"/>
  <c r="AR147" i="16" s="1"/>
  <c r="AU130" i="16"/>
  <c r="AU134" i="16" s="1"/>
  <c r="AZ135" i="16"/>
  <c r="AZ138" i="16" s="1"/>
  <c r="BD135" i="16"/>
  <c r="BD138" i="16" s="1"/>
  <c r="BG135" i="16"/>
  <c r="BG138" i="16" s="1"/>
  <c r="BD130" i="16"/>
  <c r="BD134" i="16" s="1"/>
  <c r="BP147" i="16"/>
  <c r="AE147" i="16"/>
  <c r="BA147" i="16"/>
  <c r="BA135" i="16"/>
  <c r="BA138" i="16" s="1"/>
  <c r="AQ147" i="16"/>
  <c r="Y135" i="16"/>
  <c r="Y138" i="16" s="1"/>
  <c r="Y147" i="16"/>
  <c r="Y130" i="16"/>
  <c r="CI135" i="16"/>
  <c r="CI138" i="16" s="1"/>
  <c r="AX134" i="16"/>
  <c r="BF147" i="16"/>
  <c r="AV135" i="16"/>
  <c r="AV138" i="16" s="1"/>
  <c r="CT147" i="16"/>
  <c r="T130" i="16"/>
  <c r="F9" i="16"/>
  <c r="F7" i="16" s="1"/>
  <c r="G143" i="16" s="1"/>
  <c r="T135" i="16"/>
  <c r="T138" i="16" s="1"/>
  <c r="BK7" i="16"/>
  <c r="BK135" i="16" s="1"/>
  <c r="BK138" i="16" s="1"/>
  <c r="N135" i="16"/>
  <c r="N138" i="16" s="1"/>
  <c r="AT147" i="16"/>
  <c r="AT135" i="16"/>
  <c r="AT138" i="16" s="1"/>
  <c r="BY130" i="16"/>
  <c r="BY134" i="16" s="1"/>
  <c r="BY7" i="16"/>
  <c r="CP130" i="16"/>
  <c r="CP134" i="16" s="1"/>
  <c r="CP7" i="16"/>
  <c r="BU7" i="16"/>
  <c r="BU130" i="16"/>
  <c r="BU134" i="16" s="1"/>
  <c r="F133" i="16"/>
  <c r="G133" i="16"/>
  <c r="H130" i="16"/>
  <c r="G9" i="16"/>
  <c r="H7" i="16"/>
  <c r="P147" i="16"/>
  <c r="P135" i="16"/>
  <c r="P138" i="16" s="1"/>
  <c r="BM130" i="16"/>
  <c r="BM134" i="16" s="1"/>
  <c r="BM7" i="16"/>
  <c r="BQ130" i="16"/>
  <c r="BQ134" i="16" s="1"/>
  <c r="BQ7" i="16"/>
  <c r="AD7" i="16"/>
  <c r="AD130" i="16"/>
  <c r="AD134" i="16" s="1"/>
  <c r="CQ147" i="16"/>
  <c r="CQ135" i="16"/>
  <c r="CQ138" i="16" s="1"/>
  <c r="R118" i="16"/>
  <c r="R117" i="16" s="1"/>
  <c r="R134" i="16" s="1"/>
  <c r="R118" i="15"/>
  <c r="R117" i="15" s="1"/>
  <c r="R134" i="15" s="1"/>
  <c r="AT83" i="19"/>
  <c r="P26" i="10"/>
  <c r="Q276" i="9"/>
  <c r="Q277" i="9" s="1"/>
  <c r="Q284" i="9" s="1"/>
  <c r="R275" i="9"/>
  <c r="Q354" i="9"/>
  <c r="S120" i="5" s="1"/>
  <c r="S118" i="5" s="1"/>
  <c r="S117" i="5" s="1"/>
  <c r="S26" i="10" s="1"/>
  <c r="S31" i="10" s="1"/>
  <c r="Q355" i="9"/>
  <c r="S120" i="6" s="1"/>
  <c r="S118" i="6" s="1"/>
  <c r="S117" i="6" s="1"/>
  <c r="S44" i="10" s="1"/>
  <c r="S49" i="10" s="1"/>
  <c r="Q353" i="9"/>
  <c r="S120" i="4" s="1"/>
  <c r="R118" i="4"/>
  <c r="R118" i="6"/>
  <c r="P44" i="10"/>
  <c r="Q117" i="15"/>
  <c r="R118" i="5"/>
  <c r="P8" i="10"/>
  <c r="Q117" i="16"/>
  <c r="S108" i="14"/>
  <c r="S120" i="15"/>
  <c r="S120" i="16"/>
  <c r="BH135" i="16" l="1"/>
  <c r="BH138" i="16" s="1"/>
  <c r="CH134" i="16"/>
  <c r="CL147" i="16"/>
  <c r="CH135" i="16"/>
  <c r="CH138" i="16" s="1"/>
  <c r="AN7" i="16"/>
  <c r="AN130" i="16"/>
  <c r="AN134" i="16" s="1"/>
  <c r="BV135" i="16"/>
  <c r="BV138" i="16" s="1"/>
  <c r="K147" i="16"/>
  <c r="R147" i="16"/>
  <c r="BI147" i="16"/>
  <c r="M135" i="16"/>
  <c r="M138" i="16" s="1"/>
  <c r="DA135" i="16"/>
  <c r="DA138" i="16" s="1"/>
  <c r="CN147" i="16"/>
  <c r="AY135" i="16"/>
  <c r="AY138" i="16" s="1"/>
  <c r="CS135" i="16"/>
  <c r="CS138" i="16" s="1"/>
  <c r="AM135" i="16"/>
  <c r="AM138" i="16" s="1"/>
  <c r="CJ135" i="16"/>
  <c r="CJ138" i="16" s="1"/>
  <c r="CC135" i="16"/>
  <c r="CC138" i="16" s="1"/>
  <c r="DC147" i="16"/>
  <c r="I147" i="16"/>
  <c r="CM135" i="16"/>
  <c r="CM138" i="16" s="1"/>
  <c r="AB147" i="16"/>
  <c r="AX135" i="16"/>
  <c r="AX138" i="16" s="1"/>
  <c r="BZ135" i="16"/>
  <c r="BZ138" i="16" s="1"/>
  <c r="CE147" i="16"/>
  <c r="CW135" i="16"/>
  <c r="CW138" i="16" s="1"/>
  <c r="AL135" i="16"/>
  <c r="AL138" i="16" s="1"/>
  <c r="AL147" i="16"/>
  <c r="L147" i="16"/>
  <c r="AJ135" i="16"/>
  <c r="AJ138" i="16" s="1"/>
  <c r="DB135" i="16"/>
  <c r="DB138" i="16" s="1"/>
  <c r="CF135" i="16"/>
  <c r="CF138" i="16" s="1"/>
  <c r="CF147" i="16"/>
  <c r="CV147" i="16"/>
  <c r="CU135" i="16"/>
  <c r="CU138" i="16" s="1"/>
  <c r="CU147" i="16"/>
  <c r="BW135" i="16"/>
  <c r="BW138" i="16" s="1"/>
  <c r="BJ135" i="16"/>
  <c r="BJ138" i="16" s="1"/>
  <c r="AI135" i="16"/>
  <c r="AI138" i="16" s="1"/>
  <c r="AI147" i="16"/>
  <c r="AR135" i="16"/>
  <c r="AR138" i="16" s="1"/>
  <c r="CR147" i="16"/>
  <c r="F150" i="16"/>
  <c r="BK147" i="16"/>
  <c r="BY147" i="16"/>
  <c r="BY135" i="16"/>
  <c r="BY138" i="16" s="1"/>
  <c r="BQ135" i="16"/>
  <c r="BQ138" i="16" s="1"/>
  <c r="BQ147" i="16"/>
  <c r="H147" i="16"/>
  <c r="H135" i="16"/>
  <c r="G7" i="16"/>
  <c r="BM135" i="16"/>
  <c r="BM138" i="16" s="1"/>
  <c r="BM147" i="16"/>
  <c r="H134" i="16"/>
  <c r="F130" i="16"/>
  <c r="G130" i="16"/>
  <c r="BU135" i="16"/>
  <c r="BU138" i="16" s="1"/>
  <c r="BU147" i="16"/>
  <c r="AD135" i="16"/>
  <c r="AD138" i="16" s="1"/>
  <c r="AD147" i="16"/>
  <c r="CP135" i="16"/>
  <c r="CP138" i="16" s="1"/>
  <c r="CP147" i="16"/>
  <c r="S118" i="16"/>
  <c r="S118" i="15"/>
  <c r="AX83" i="19"/>
  <c r="R117" i="5"/>
  <c r="R117" i="6"/>
  <c r="Q134" i="15"/>
  <c r="P31" i="10"/>
  <c r="Q134" i="16"/>
  <c r="R117" i="4"/>
  <c r="R355" i="9"/>
  <c r="T120" i="6" s="1"/>
  <c r="T118" i="6" s="1"/>
  <c r="T117" i="6" s="1"/>
  <c r="T44" i="10" s="1"/>
  <c r="T49" i="10" s="1"/>
  <c r="R354" i="9"/>
  <c r="T120" i="5" s="1"/>
  <c r="T118" i="5" s="1"/>
  <c r="T117" i="5" s="1"/>
  <c r="T26" i="10" s="1"/>
  <c r="T31" i="10" s="1"/>
  <c r="R353" i="9"/>
  <c r="T120" i="4" s="1"/>
  <c r="S275" i="9"/>
  <c r="R276" i="9"/>
  <c r="R277" i="9" s="1"/>
  <c r="R284" i="9" s="1"/>
  <c r="P13" i="10"/>
  <c r="P49" i="10"/>
  <c r="S118" i="4"/>
  <c r="S117" i="4" s="1"/>
  <c r="S8" i="10" s="1"/>
  <c r="S13" i="10" s="1"/>
  <c r="T108" i="14"/>
  <c r="T120" i="16"/>
  <c r="T120" i="15"/>
  <c r="AN135" i="16" l="1"/>
  <c r="AN138" i="16" s="1"/>
  <c r="AN147" i="16"/>
  <c r="H138" i="16"/>
  <c r="F135" i="16"/>
  <c r="G135" i="16"/>
  <c r="F148" i="16"/>
  <c r="F149" i="16"/>
  <c r="T118" i="16"/>
  <c r="T117" i="16" s="1"/>
  <c r="T134" i="16" s="1"/>
  <c r="T118" i="15"/>
  <c r="T117" i="15" s="1"/>
  <c r="T134" i="15" s="1"/>
  <c r="BB83" i="19"/>
  <c r="T118" i="4"/>
  <c r="T117" i="4" s="1"/>
  <c r="T8" i="10" s="1"/>
  <c r="T13" i="10" s="1"/>
  <c r="R44" i="10"/>
  <c r="S276" i="9"/>
  <c r="S277" i="9" s="1"/>
  <c r="S284" i="9" s="1"/>
  <c r="T275" i="9"/>
  <c r="R26" i="10"/>
  <c r="R8" i="10"/>
  <c r="S117" i="15"/>
  <c r="S354" i="9"/>
  <c r="U120" i="5" s="1"/>
  <c r="U118" i="5" s="1"/>
  <c r="U117" i="5" s="1"/>
  <c r="U26" i="10" s="1"/>
  <c r="U31" i="10" s="1"/>
  <c r="S355" i="9"/>
  <c r="U120" i="6" s="1"/>
  <c r="U118" i="6" s="1"/>
  <c r="U117" i="6" s="1"/>
  <c r="U44" i="10" s="1"/>
  <c r="U49" i="10" s="1"/>
  <c r="S353" i="9"/>
  <c r="U120" i="4" s="1"/>
  <c r="S117" i="16"/>
  <c r="U108" i="14"/>
  <c r="U120" i="15"/>
  <c r="U120" i="16"/>
  <c r="G138" i="16" l="1"/>
  <c r="F138" i="16"/>
  <c r="F145" i="16" s="1"/>
  <c r="U118" i="15"/>
  <c r="U117" i="15" s="1"/>
  <c r="U134" i="15" s="1"/>
  <c r="U118" i="16"/>
  <c r="U117" i="16" s="1"/>
  <c r="U134" i="16" s="1"/>
  <c r="BF83" i="19"/>
  <c r="R31" i="10"/>
  <c r="R49" i="10"/>
  <c r="S134" i="15"/>
  <c r="T276" i="9"/>
  <c r="T277" i="9" s="1"/>
  <c r="T284" i="9" s="1"/>
  <c r="U275" i="9"/>
  <c r="R13" i="10"/>
  <c r="T354" i="9"/>
  <c r="V120" i="5" s="1"/>
  <c r="V118" i="5" s="1"/>
  <c r="V117" i="5" s="1"/>
  <c r="V26" i="10" s="1"/>
  <c r="V31" i="10" s="1"/>
  <c r="T355" i="9"/>
  <c r="V120" i="6" s="1"/>
  <c r="V118" i="6" s="1"/>
  <c r="V117" i="6" s="1"/>
  <c r="V44" i="10" s="1"/>
  <c r="V49" i="10" s="1"/>
  <c r="T353" i="9"/>
  <c r="V120" i="4" s="1"/>
  <c r="S134" i="16"/>
  <c r="U118" i="4"/>
  <c r="U117" i="4" s="1"/>
  <c r="V120" i="16"/>
  <c r="V108" i="14"/>
  <c r="V120" i="15"/>
  <c r="V118" i="15" l="1"/>
  <c r="V117" i="15" s="1"/>
  <c r="V134" i="15" s="1"/>
  <c r="V118" i="16"/>
  <c r="V117" i="16" s="1"/>
  <c r="V134" i="16" s="1"/>
  <c r="BJ83" i="19"/>
  <c r="U8" i="10"/>
  <c r="U276" i="9"/>
  <c r="U277" i="9" s="1"/>
  <c r="U284" i="9" s="1"/>
  <c r="V275" i="9"/>
  <c r="U355" i="9"/>
  <c r="W120" i="6" s="1"/>
  <c r="W118" i="6" s="1"/>
  <c r="W117" i="6" s="1"/>
  <c r="W44" i="10" s="1"/>
  <c r="W49" i="10" s="1"/>
  <c r="U354" i="9"/>
  <c r="W120" i="5" s="1"/>
  <c r="W118" i="5" s="1"/>
  <c r="W117" i="5" s="1"/>
  <c r="W26" i="10" s="1"/>
  <c r="U353" i="9"/>
  <c r="W120" i="4" s="1"/>
  <c r="V118" i="4"/>
  <c r="V117" i="4" s="1"/>
  <c r="V8" i="10" s="1"/>
  <c r="V13" i="10" s="1"/>
  <c r="W108" i="14"/>
  <c r="W120" i="15"/>
  <c r="W120" i="16"/>
  <c r="W118" i="16" l="1"/>
  <c r="W117" i="16" s="1"/>
  <c r="W134" i="16" s="1"/>
  <c r="W118" i="15"/>
  <c r="W117" i="15" s="1"/>
  <c r="W134" i="15" s="1"/>
  <c r="BN83" i="19"/>
  <c r="V276" i="9"/>
  <c r="V277" i="9" s="1"/>
  <c r="V284" i="9" s="1"/>
  <c r="W275" i="9"/>
  <c r="V355" i="9"/>
  <c r="X120" i="6" s="1"/>
  <c r="X118" i="6" s="1"/>
  <c r="X117" i="6" s="1"/>
  <c r="X44" i="10" s="1"/>
  <c r="X49" i="10" s="1"/>
  <c r="V354" i="9"/>
  <c r="X120" i="5" s="1"/>
  <c r="X118" i="5" s="1"/>
  <c r="X117" i="5" s="1"/>
  <c r="X26" i="10" s="1"/>
  <c r="X31" i="10" s="1"/>
  <c r="V353" i="9"/>
  <c r="X120" i="4" s="1"/>
  <c r="W118" i="4"/>
  <c r="W117" i="4" s="1"/>
  <c r="W8" i="10" s="1"/>
  <c r="W13" i="10" s="1"/>
  <c r="W31" i="10"/>
  <c r="U13" i="10"/>
  <c r="X108" i="14"/>
  <c r="X120" i="16"/>
  <c r="X120" i="15"/>
  <c r="X118" i="15" l="1"/>
  <c r="X117" i="15" s="1"/>
  <c r="X134" i="15" s="1"/>
  <c r="X118" i="16"/>
  <c r="X117" i="16" s="1"/>
  <c r="X134" i="16" s="1"/>
  <c r="BR83" i="19"/>
  <c r="X275" i="9"/>
  <c r="W276" i="9"/>
  <c r="W277" i="9" s="1"/>
  <c r="W284" i="9" s="1"/>
  <c r="W355" i="9"/>
  <c r="Y120" i="6" s="1"/>
  <c r="Y118" i="6" s="1"/>
  <c r="Y117" i="6" s="1"/>
  <c r="Y44" i="10" s="1"/>
  <c r="Y49" i="10" s="1"/>
  <c r="W354" i="9"/>
  <c r="Y120" i="5" s="1"/>
  <c r="Y118" i="5" s="1"/>
  <c r="Y117" i="5" s="1"/>
  <c r="Y26" i="10" s="1"/>
  <c r="Y31" i="10" s="1"/>
  <c r="W353" i="9"/>
  <c r="Y120" i="4" s="1"/>
  <c r="X118" i="4"/>
  <c r="X117" i="4" s="1"/>
  <c r="X8" i="10" s="1"/>
  <c r="X13" i="10" s="1"/>
  <c r="Y108" i="14"/>
  <c r="Y120" i="15"/>
  <c r="Y120" i="16"/>
  <c r="Y118" i="16" l="1"/>
  <c r="Y117" i="16" s="1"/>
  <c r="Y134" i="16" s="1"/>
  <c r="Y118" i="15"/>
  <c r="Y117" i="15" s="1"/>
  <c r="Y134" i="15" s="1"/>
  <c r="BV83" i="19"/>
  <c r="Y118" i="4"/>
  <c r="Y117" i="4" s="1"/>
  <c r="Y8" i="10" s="1"/>
  <c r="Y13" i="10" s="1"/>
  <c r="X355" i="9"/>
  <c r="Z120" i="6" s="1"/>
  <c r="Z118" i="6" s="1"/>
  <c r="Z117" i="6" s="1"/>
  <c r="Z44" i="10" s="1"/>
  <c r="Z49" i="10" s="1"/>
  <c r="X354" i="9"/>
  <c r="Z120" i="5" s="1"/>
  <c r="Z118" i="5" s="1"/>
  <c r="Z117" i="5" s="1"/>
  <c r="Z26" i="10" s="1"/>
  <c r="Z31" i="10" s="1"/>
  <c r="X353" i="9"/>
  <c r="Z120" i="4" s="1"/>
  <c r="X276" i="9"/>
  <c r="X277" i="9" s="1"/>
  <c r="X284" i="9" s="1"/>
  <c r="Y275" i="9"/>
  <c r="Z120" i="16"/>
  <c r="Z108" i="14"/>
  <c r="Z120" i="15"/>
  <c r="Z118" i="15" l="1"/>
  <c r="Z117" i="15" s="1"/>
  <c r="Z134" i="15" s="1"/>
  <c r="Z118" i="16"/>
  <c r="Z117" i="16" s="1"/>
  <c r="Z134" i="16" s="1"/>
  <c r="BZ83" i="19"/>
  <c r="Z118" i="4"/>
  <c r="Z117" i="4" s="1"/>
  <c r="Z8" i="10" s="1"/>
  <c r="Z13" i="10" s="1"/>
  <c r="Y355" i="9"/>
  <c r="AA120" i="6" s="1"/>
  <c r="AA118" i="6" s="1"/>
  <c r="AA117" i="6" s="1"/>
  <c r="AA44" i="10" s="1"/>
  <c r="AA49" i="10" s="1"/>
  <c r="Y354" i="9"/>
  <c r="AA120" i="5" s="1"/>
  <c r="AA118" i="5" s="1"/>
  <c r="AA117" i="5" s="1"/>
  <c r="AA26" i="10" s="1"/>
  <c r="AA31" i="10" s="1"/>
  <c r="Y353" i="9"/>
  <c r="AA120" i="4" s="1"/>
  <c r="Z275" i="9"/>
  <c r="Z276" i="9" s="1"/>
  <c r="Z277" i="9" s="1"/>
  <c r="Z284" i="9" s="1"/>
  <c r="Y276" i="9"/>
  <c r="Y277" i="9" s="1"/>
  <c r="Y284" i="9" s="1"/>
  <c r="AA120" i="15"/>
  <c r="AA120" i="16"/>
  <c r="AA108" i="14"/>
  <c r="AA118" i="16" l="1"/>
  <c r="AA117" i="16" s="1"/>
  <c r="AA134" i="16" s="1"/>
  <c r="AA118" i="15"/>
  <c r="AA117" i="15" s="1"/>
  <c r="AA134" i="15" s="1"/>
  <c r="CD83" i="19"/>
  <c r="AA118" i="4"/>
  <c r="AA117" i="4" s="1"/>
  <c r="AA8" i="10" s="1"/>
  <c r="AA13" i="10" s="1"/>
  <c r="Z355" i="9"/>
  <c r="AB120" i="6" s="1"/>
  <c r="Z354" i="9"/>
  <c r="AB120" i="5" s="1"/>
  <c r="Z353" i="9"/>
  <c r="AB120" i="4" s="1"/>
  <c r="AB108" i="14"/>
  <c r="AB120" i="16"/>
  <c r="AB120" i="15"/>
  <c r="AB118" i="16" l="1"/>
  <c r="F120" i="16"/>
  <c r="G120" i="16"/>
  <c r="D259" i="16" s="1"/>
  <c r="AB118" i="15"/>
  <c r="G120" i="15"/>
  <c r="F120" i="15"/>
  <c r="CH83" i="19"/>
  <c r="D83" i="19" s="1"/>
  <c r="G108" i="14"/>
  <c r="AB118" i="5"/>
  <c r="G120" i="5"/>
  <c r="DE120" i="5"/>
  <c r="F120" i="5"/>
  <c r="F118" i="5" s="1"/>
  <c r="F117" i="5" s="1"/>
  <c r="DF120" i="5"/>
  <c r="AB118" i="4"/>
  <c r="DF120" i="4"/>
  <c r="DE120" i="4"/>
  <c r="G120" i="4"/>
  <c r="F120" i="4"/>
  <c r="F118" i="4" s="1"/>
  <c r="F117" i="4" s="1"/>
  <c r="AB118" i="6"/>
  <c r="F120" i="6"/>
  <c r="F118" i="6" s="1"/>
  <c r="F117" i="6" s="1"/>
  <c r="DF120" i="6"/>
  <c r="G120" i="6"/>
  <c r="DE120" i="6"/>
  <c r="AB117" i="4" l="1"/>
  <c r="G118" i="4"/>
  <c r="DF118" i="4"/>
  <c r="AB117" i="15"/>
  <c r="F118" i="15"/>
  <c r="G118" i="15"/>
  <c r="AB117" i="6"/>
  <c r="DF118" i="6"/>
  <c r="G118" i="6"/>
  <c r="AB117" i="5"/>
  <c r="G118" i="5"/>
  <c r="DF118" i="5"/>
  <c r="AB117" i="16"/>
  <c r="F118" i="16"/>
  <c r="G118" i="16"/>
  <c r="AB44" i="10" l="1"/>
  <c r="DF117" i="6"/>
  <c r="DF6" i="6" s="1"/>
  <c r="G117" i="6"/>
  <c r="AB134" i="16"/>
  <c r="G117" i="16"/>
  <c r="G114" i="16" s="1"/>
  <c r="F117" i="16"/>
  <c r="G140" i="16" s="1"/>
  <c r="F140" i="16" s="1"/>
  <c r="AB26" i="10"/>
  <c r="G117" i="5"/>
  <c r="DF117" i="5"/>
  <c r="DF6" i="5" s="1"/>
  <c r="AB134" i="15"/>
  <c r="F117" i="15"/>
  <c r="G140" i="15" s="1"/>
  <c r="F140" i="15" s="1"/>
  <c r="G117" i="15"/>
  <c r="G114" i="15" s="1"/>
  <c r="AB8" i="10"/>
  <c r="G117" i="4"/>
  <c r="DF117" i="4"/>
  <c r="DF6" i="4" s="1"/>
  <c r="AB31" i="10" l="1"/>
  <c r="F26" i="10"/>
  <c r="F34" i="10" s="1"/>
  <c r="H10" i="12" s="1"/>
  <c r="G26" i="10"/>
  <c r="G134" i="16"/>
  <c r="F134" i="16"/>
  <c r="G141" i="16" s="1"/>
  <c r="F141" i="16" s="1"/>
  <c r="G142" i="16"/>
  <c r="F142" i="16" s="1"/>
  <c r="AB13" i="10"/>
  <c r="G8" i="10"/>
  <c r="F8" i="10"/>
  <c r="F16" i="10" s="1"/>
  <c r="H9" i="12" s="1"/>
  <c r="G134" i="15"/>
  <c r="G142" i="15"/>
  <c r="F142" i="15" s="1"/>
  <c r="F134" i="15"/>
  <c r="G141" i="15" s="1"/>
  <c r="F141" i="15" s="1"/>
  <c r="AB49" i="10"/>
  <c r="F44" i="10"/>
  <c r="F52" i="10" s="1"/>
  <c r="H11" i="12" s="1"/>
  <c r="G44" i="10"/>
  <c r="F152" i="16" l="1"/>
  <c r="G144" i="16" s="1"/>
  <c r="F144" i="16" s="1"/>
  <c r="D49" i="12"/>
  <c r="E49" i="12" s="1"/>
  <c r="E58" i="12" s="1"/>
  <c r="E13" i="14" s="1"/>
  <c r="F152" i="15"/>
  <c r="G144" i="15" s="1"/>
  <c r="F144" i="15" s="1"/>
  <c r="G49" i="10"/>
  <c r="F53" i="10"/>
  <c r="F49" i="10"/>
  <c r="F51" i="10" s="1"/>
  <c r="O21" i="14" s="1"/>
  <c r="D75" i="12"/>
  <c r="E75" i="12" s="1"/>
  <c r="E84" i="12" s="1"/>
  <c r="D62" i="12"/>
  <c r="E62" i="12" s="1"/>
  <c r="E71" i="12" s="1"/>
  <c r="D23" i="12"/>
  <c r="D36" i="12"/>
  <c r="E36" i="12" s="1"/>
  <c r="E45" i="12" s="1"/>
  <c r="E12" i="14" s="1"/>
  <c r="F17" i="10"/>
  <c r="F13" i="10"/>
  <c r="F15" i="10" s="1"/>
  <c r="O19" i="14" s="1"/>
  <c r="G13" i="10"/>
  <c r="G31" i="10"/>
  <c r="F31" i="10"/>
  <c r="F33" i="10" s="1"/>
  <c r="O20" i="14" s="1"/>
  <c r="F35" i="10"/>
  <c r="E152" i="16"/>
  <c r="E152" i="15"/>
  <c r="E23" i="12" l="1"/>
  <c r="E32" i="12" s="1"/>
  <c r="E11" i="14" s="1"/>
  <c r="L15" i="14" l="1"/>
  <c r="L14" i="14"/>
  <c r="L12" i="14"/>
  <c r="L11" i="14"/>
  <c r="L13" i="14"/>
  <c r="M13" i="14" l="1"/>
  <c r="N13" i="14"/>
  <c r="L10" i="14"/>
  <c r="M11" i="14"/>
  <c r="N11" i="14"/>
  <c r="M12" i="14"/>
  <c r="N12" i="14"/>
  <c r="N14" i="14"/>
  <c r="M14" i="14"/>
  <c r="M15" i="14"/>
  <c r="N15" i="14"/>
  <c r="N10" i="14" l="1"/>
  <c r="M10" i="14"/>
  <c r="O14" i="14" s="1"/>
  <c r="P14" i="14" s="1"/>
  <c r="Q14" i="14" s="1"/>
  <c r="O13" i="14" l="1"/>
  <c r="P13" i="14" s="1"/>
  <c r="Q13" i="14" s="1"/>
  <c r="O15" i="14"/>
  <c r="P15" i="14" s="1"/>
  <c r="Q15" i="14" s="1"/>
  <c r="O12" i="14"/>
  <c r="P12" i="14" s="1"/>
  <c r="Q12" i="14" s="1"/>
  <c r="O11" i="14"/>
  <c r="P11" i="14" s="1"/>
  <c r="P10" i="14" l="1"/>
  <c r="Q11" i="14"/>
  <c r="Q10" i="14" s="1"/>
  <c r="F4" i="14" s="1"/>
  <c r="G4" i="14"/>
  <c r="F11" i="14" l="1"/>
  <c r="F15" i="14"/>
  <c r="F12" i="14"/>
  <c r="F14" i="14"/>
  <c r="F1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Marius Radžiūnas</author>
    <author>Neringa Žiliūtė</author>
  </authors>
  <commentList>
    <comment ref="AB31" authorId="0" shapeId="0" xr:uid="{00000000-0006-0000-0800-000001000000}">
      <text>
        <r>
          <rPr>
            <b/>
            <sz val="9"/>
            <color indexed="81"/>
            <rFont val="Tahoma"/>
            <family val="2"/>
            <charset val="186"/>
          </rPr>
          <t>Marius Radžiūnas:</t>
        </r>
        <r>
          <rPr>
            <sz val="9"/>
            <color indexed="81"/>
            <rFont val="Tahoma"/>
            <family val="2"/>
            <charset val="186"/>
          </rPr>
          <t xml:space="preserve">
Lėšų porekis gali kisti priklausomai nuo einamiesiems metams patvirtinto pareiginės algos bazės dydžio ir kitų teisės aktų, reglamentuojančių atitinkamas išmokas, pasikeitimų</t>
        </r>
      </text>
    </comment>
    <comment ref="AB42" authorId="0" shapeId="0" xr:uid="{00000000-0006-0000-0800-000002000000}">
      <text>
        <r>
          <rPr>
            <b/>
            <sz val="9"/>
            <color indexed="81"/>
            <rFont val="Tahoma"/>
            <family val="2"/>
            <charset val="186"/>
          </rPr>
          <t>Marius Radžiūnas:</t>
        </r>
        <r>
          <rPr>
            <sz val="9"/>
            <color indexed="81"/>
            <rFont val="Tahoma"/>
            <family val="2"/>
            <charset val="186"/>
          </rPr>
          <t xml:space="preserve">
Lėšų porekis gali kisti priklausomai nuo einamiesiems metams patvirtinto pareiginės algos bazės dydžio ir kitų teisės aktų, reglamentuojančių atitinkamas išmokas, pasikeitimų</t>
        </r>
      </text>
    </comment>
    <comment ref="J50" authorId="1" shapeId="0" xr:uid="{00000000-0006-0000-0800-000003000000}">
      <text>
        <r>
          <rPr>
            <sz val="9"/>
            <color indexed="81"/>
            <rFont val="Tahoma"/>
            <family val="2"/>
            <charset val="186"/>
          </rPr>
          <t>Atsižvelgiant į ministerijos ir DA valstybės tarnautojų PA ir stažo vidurkį</t>
        </r>
      </text>
    </comment>
    <comment ref="Z50" authorId="1" shapeId="0" xr:uid="{00000000-0006-0000-0800-000004000000}">
      <text>
        <r>
          <rPr>
            <sz val="9"/>
            <color indexed="81"/>
            <rFont val="Tahoma"/>
            <family val="2"/>
            <charset val="186"/>
          </rPr>
          <t>Atsižvelgiant į 2021-2022 m. įkainius</t>
        </r>
      </text>
    </comment>
    <comment ref="AD50" authorId="1" shapeId="0" xr:uid="{00000000-0006-0000-0800-000005000000}">
      <text>
        <r>
          <rPr>
            <sz val="9"/>
            <color indexed="81"/>
            <rFont val="Tahoma"/>
            <family val="2"/>
            <charset val="186"/>
          </rPr>
          <t>Atsižvelgiant į 2021-2022 m. įkainius</t>
        </r>
      </text>
    </comment>
    <comment ref="Z67" authorId="1" shapeId="0" xr:uid="{00000000-0006-0000-0800-000006000000}">
      <text>
        <r>
          <rPr>
            <sz val="9"/>
            <color indexed="81"/>
            <rFont val="Tahoma"/>
            <family val="2"/>
            <charset val="186"/>
          </rPr>
          <t>Atsižvelgiant į 2021-2022 m. įkainius</t>
        </r>
      </text>
    </comment>
    <comment ref="AD67" authorId="1" shapeId="0" xr:uid="{00000000-0006-0000-0800-000007000000}">
      <text>
        <r>
          <rPr>
            <sz val="9"/>
            <color indexed="81"/>
            <rFont val="Tahoma"/>
            <family val="2"/>
            <charset val="186"/>
          </rPr>
          <t>Atsižvelgiant į 2021-2022 m. įkainius</t>
        </r>
      </text>
    </comment>
    <comment ref="J84" authorId="1" shapeId="0" xr:uid="{00000000-0006-0000-0800-000008000000}">
      <text>
        <r>
          <rPr>
            <sz val="9"/>
            <color indexed="81"/>
            <rFont val="Tahoma"/>
            <family val="2"/>
            <charset val="186"/>
          </rPr>
          <t>Atsižvelgiant į ministerijos ir DA valstybės tarnautojų PA ir stažo vidurkį</t>
        </r>
      </text>
    </comment>
    <comment ref="Z84" authorId="1" shapeId="0" xr:uid="{00000000-0006-0000-0800-000009000000}">
      <text>
        <r>
          <rPr>
            <sz val="9"/>
            <color indexed="81"/>
            <rFont val="Tahoma"/>
            <family val="2"/>
            <charset val="186"/>
          </rPr>
          <t>Atsižvelgiant į 2021-2022 m. įkainius</t>
        </r>
      </text>
    </comment>
    <comment ref="AD84" authorId="1" shapeId="0" xr:uid="{00000000-0006-0000-0800-00000A000000}">
      <text>
        <r>
          <rPr>
            <sz val="9"/>
            <color indexed="81"/>
            <rFont val="Tahoma"/>
            <family val="2"/>
            <charset val="186"/>
          </rPr>
          <t>Atsižvelgiant į 2021-2022 m. įkainius</t>
        </r>
      </text>
    </comment>
    <comment ref="D101" authorId="1" shapeId="0" xr:uid="{00000000-0006-0000-0800-00000B000000}">
      <text>
        <r>
          <rPr>
            <sz val="9"/>
            <color indexed="81"/>
            <rFont val="Tahoma"/>
            <family val="2"/>
            <charset val="186"/>
          </rPr>
          <t>DA - PA intervalo vidurkis, sutartininkai - pagal ES1.</t>
        </r>
      </text>
    </comment>
    <comment ref="Z101" authorId="1" shapeId="0" xr:uid="{00000000-0006-0000-0800-00000C000000}">
      <text>
        <r>
          <rPr>
            <sz val="9"/>
            <color indexed="81"/>
            <rFont val="Tahoma"/>
            <family val="2"/>
            <charset val="186"/>
          </rPr>
          <t>Pagal ES3 2022 m. įkainius.</t>
        </r>
      </text>
    </comment>
    <comment ref="AD101" authorId="1" shapeId="0" xr:uid="{00000000-0006-0000-0800-00000D000000}">
      <text>
        <r>
          <rPr>
            <sz val="9"/>
            <color indexed="81"/>
            <rFont val="Tahoma"/>
            <family val="2"/>
            <charset val="186"/>
          </rPr>
          <t>Pagal ES3 2022 m. įkainius.</t>
        </r>
      </text>
    </comment>
    <comment ref="AD117" authorId="1" shapeId="0" xr:uid="{00000000-0006-0000-0800-00000E000000}">
      <text>
        <r>
          <rPr>
            <sz val="9"/>
            <color indexed="81"/>
            <rFont val="Tahoma"/>
            <family val="2"/>
            <charset val="186"/>
          </rPr>
          <t>Atsižvelgiant į 2021-2022 m. įkainius</t>
        </r>
      </text>
    </comment>
    <comment ref="J133" authorId="1" shapeId="0" xr:uid="{00000000-0006-0000-0800-00000F000000}">
      <text>
        <r>
          <rPr>
            <sz val="9"/>
            <color indexed="81"/>
            <rFont val="Tahoma"/>
            <family val="2"/>
            <charset val="186"/>
          </rPr>
          <t>Atsižvelgiant į ministerijos ir DA valstybės tarnautojų PA ir stažo vidurkį</t>
        </r>
      </text>
    </comment>
    <comment ref="Z133" authorId="1" shapeId="0" xr:uid="{00000000-0006-0000-0800-000010000000}">
      <text>
        <r>
          <rPr>
            <sz val="9"/>
            <color indexed="81"/>
            <rFont val="Tahoma"/>
            <family val="2"/>
            <charset val="186"/>
          </rPr>
          <t>Atsižvelgiant į 2021-2022 m. įkainius</t>
        </r>
      </text>
    </comment>
    <comment ref="AD133" authorId="1" shapeId="0" xr:uid="{00000000-0006-0000-0800-000011000000}">
      <text>
        <r>
          <rPr>
            <sz val="9"/>
            <color indexed="81"/>
            <rFont val="Tahoma"/>
            <family val="2"/>
            <charset val="186"/>
          </rPr>
          <t>Atsižvelgiant į 2021-2022 m. įkainius</t>
        </r>
      </text>
    </comment>
    <comment ref="J149" authorId="1" shapeId="0" xr:uid="{00000000-0006-0000-0800-000012000000}">
      <text>
        <r>
          <rPr>
            <sz val="9"/>
            <color indexed="81"/>
            <rFont val="Tahoma"/>
            <family val="2"/>
            <charset val="186"/>
          </rPr>
          <t>Atsižvelgiant į ministerijos ir DA valstybės tarnautojų PA ir stažo vidurkį</t>
        </r>
      </text>
    </comment>
    <comment ref="Z149" authorId="1" shapeId="0" xr:uid="{00000000-0006-0000-0800-000013000000}">
      <text>
        <r>
          <rPr>
            <sz val="9"/>
            <color indexed="81"/>
            <rFont val="Tahoma"/>
            <family val="2"/>
            <charset val="186"/>
          </rPr>
          <t>Atsižvelgiant į 2021-2022 m. įkainius</t>
        </r>
      </text>
    </comment>
    <comment ref="AD149" authorId="1" shapeId="0" xr:uid="{00000000-0006-0000-0800-000014000000}">
      <text>
        <r>
          <rPr>
            <sz val="9"/>
            <color indexed="81"/>
            <rFont val="Tahoma"/>
            <family val="2"/>
            <charset val="186"/>
          </rPr>
          <t>Atsižvelgiant į 2021-2022 m. įkainius</t>
        </r>
      </text>
    </comment>
    <comment ref="AK164" authorId="0" shapeId="0" xr:uid="{00000000-0006-0000-0800-000015000000}">
      <text>
        <r>
          <rPr>
            <b/>
            <sz val="9"/>
            <color indexed="81"/>
            <rFont val="Tahoma"/>
            <family val="2"/>
            <charset val="186"/>
          </rPr>
          <t>Marius Radžiūnas:</t>
        </r>
        <r>
          <rPr>
            <sz val="9"/>
            <color indexed="81"/>
            <rFont val="Tahoma"/>
            <family val="2"/>
            <charset val="186"/>
          </rPr>
          <t xml:space="preserve">
Perskaičiuota atsižvelgiant į Diplomatinės tarnybos įstatymo pakeitimus ir padidėjusį pareiginės algos bazės dydį nuo 181  iki 186 eurų </t>
        </r>
      </text>
    </comment>
    <comment ref="AK166" authorId="0" shapeId="0" xr:uid="{00000000-0006-0000-0800-000016000000}">
      <text>
        <r>
          <rPr>
            <b/>
            <sz val="9"/>
            <color indexed="81"/>
            <rFont val="Tahoma"/>
            <family val="2"/>
            <charset val="186"/>
          </rPr>
          <t>Marius Radžiūnas:</t>
        </r>
        <r>
          <rPr>
            <sz val="9"/>
            <color indexed="81"/>
            <rFont val="Tahoma"/>
            <family val="2"/>
            <charset val="186"/>
          </rPr>
          <t xml:space="preserve">
tik DU</t>
        </r>
      </text>
    </comment>
    <comment ref="M185" authorId="0" shapeId="0" xr:uid="{00000000-0006-0000-0800-000017000000}">
      <text>
        <r>
          <rPr>
            <b/>
            <sz val="9"/>
            <color indexed="81"/>
            <rFont val="Tahoma"/>
            <family val="2"/>
            <charset val="186"/>
          </rPr>
          <t>Marius Radžiūnas:</t>
        </r>
        <r>
          <rPr>
            <sz val="9"/>
            <color indexed="81"/>
            <rFont val="Tahoma"/>
            <family val="2"/>
            <charset val="186"/>
          </rPr>
          <t xml:space="preserve">
Atkreiptinas dėmesys, kad palaikymo išlaidos gali kisti dėl lidėjančio lėšų poreikio darbo užmokesčiui mokėti (dėl besikeičiančio pareiginės algos bazės dydžio)</t>
        </r>
      </text>
    </comment>
    <comment ref="B207" authorId="1" shapeId="0" xr:uid="{00000000-0006-0000-0800-000018000000}">
      <text>
        <r>
          <rPr>
            <b/>
            <sz val="9"/>
            <color indexed="81"/>
            <rFont val="Tahoma"/>
            <family val="2"/>
            <charset val="186"/>
          </rPr>
          <t xml:space="preserve">Neringa Žiliūtė:
</t>
        </r>
        <r>
          <rPr>
            <sz val="9"/>
            <color indexed="81"/>
            <rFont val="Tahoma"/>
            <family val="2"/>
            <charset val="186"/>
          </rPr>
          <t xml:space="preserve">be motyvacijos koeficientų
</t>
        </r>
      </text>
    </comment>
    <comment ref="N207" authorId="1" shapeId="0" xr:uid="{00000000-0006-0000-0800-000019000000}">
      <text>
        <r>
          <rPr>
            <b/>
            <sz val="9"/>
            <color indexed="81"/>
            <rFont val="Tahoma"/>
            <family val="2"/>
            <charset val="186"/>
          </rPr>
          <t>34.6. darbuotojams, dirbantiems pagal darbo sutartį, – iki 10 000 Eur/metus</t>
        </r>
      </text>
    </comment>
    <comment ref="O207" authorId="1" shapeId="0" xr:uid="{00000000-0006-0000-0800-00001A000000}">
      <text>
        <r>
          <rPr>
            <sz val="9"/>
            <color indexed="81"/>
            <rFont val="Tahoma"/>
            <family val="2"/>
            <charset val="186"/>
          </rPr>
          <t>Atsižvelgiant į 2021-2022 m. įkainius</t>
        </r>
      </text>
    </comment>
    <comment ref="R207" authorId="0" shapeId="0" xr:uid="{00000000-0006-0000-0800-00001B000000}">
      <text>
        <r>
          <rPr>
            <b/>
            <sz val="9"/>
            <color indexed="81"/>
            <rFont val="Tahoma"/>
            <family val="2"/>
            <charset val="186"/>
          </rPr>
          <t>Marius Radžiūnas:</t>
        </r>
        <r>
          <rPr>
            <sz val="9"/>
            <color indexed="81"/>
            <rFont val="Tahoma"/>
            <family val="2"/>
            <charset val="186"/>
          </rPr>
          <t xml:space="preserve">
Poreikis apskaičiuotas atsižvelgiant į atskiros atstovybės turima darbo vietas ir lėšų poreikį naujoms darbo vietoms įkurti.
</t>
        </r>
      </text>
    </comment>
    <comment ref="S207" authorId="0" shapeId="0" xr:uid="{00000000-0006-0000-0800-00001C000000}">
      <text>
        <r>
          <rPr>
            <b/>
            <sz val="9"/>
            <color indexed="81"/>
            <rFont val="Tahoma"/>
            <family val="2"/>
            <charset val="186"/>
          </rPr>
          <t>Marius Radžiūnas:</t>
        </r>
        <r>
          <rPr>
            <sz val="9"/>
            <color indexed="81"/>
            <rFont val="Tahoma"/>
            <family val="2"/>
            <charset val="186"/>
          </rPr>
          <t xml:space="preserve">
1500 eurų - kompiuterinė įranga
800 eurų - komunikacinė įranga</t>
        </r>
      </text>
    </comment>
  </commentList>
</comments>
</file>

<file path=xl/sharedStrings.xml><?xml version="1.0" encoding="utf-8"?>
<sst xmlns="http://schemas.openxmlformats.org/spreadsheetml/2006/main" count="5893" uniqueCount="869">
  <si>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</si>
  <si>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</si>
  <si>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</si>
  <si>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</si>
  <si>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</si>
  <si>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</si>
  <si>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</si>
  <si>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</si>
  <si>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</si>
  <si>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</si>
  <si>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</si>
  <si>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Šiame darbalapyje nurodykite priemonės biudžeto nustatymui ir geriausios alternatyvos išrinkimui naudojamas prielaidas.</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</si>
  <si>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</si>
  <si>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</si>
  <si>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</si>
  <si>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</si>
  <si>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</si>
  <si>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</si>
  <si>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</si>
  <si>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</si>
  <si>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</si>
  <si>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</si>
  <si>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</si>
  <si>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</si>
  <si>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</si>
  <si>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</si>
  <si>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</si>
  <si>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</si>
  <si>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</si>
  <si>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</si>
  <si>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</si>
  <si>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</si>
  <si>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</si>
  <si>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</si>
  <si>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</si>
  <si>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</si>
  <si>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</si>
  <si>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</si>
  <si>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</si>
  <si>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</si>
  <si>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</si>
  <si>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</si>
  <si>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</si>
  <si>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</si>
  <si>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</si>
  <si>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</si>
  <si>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</si>
  <si>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</si>
  <si>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</si>
  <si>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</si>
  <si>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</si>
  <si>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</si>
  <si>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</si>
  <si>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</si>
  <si>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</si>
  <si>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</si>
  <si>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</si>
  <si>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</si>
  <si>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</si>
  <si>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</si>
  <si>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</si>
  <si>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</si>
  <si>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</si>
  <si>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</si>
  <si>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</si>
  <si>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</si>
  <si>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</si>
  <si>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</si>
  <si>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</si>
  <si>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</si>
  <si>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</si>
  <si>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</si>
  <si>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</si>
  <si>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</si>
  <si>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</si>
  <si>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</si>
  <si>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</si>
  <si>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</si>
  <si>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</si>
  <si>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</si>
  <si>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</si>
  <si>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</si>
  <si>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</si>
  <si>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</si>
  <si>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</si>
  <si>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</si>
  <si>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</si>
  <si>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</si>
  <si>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</si>
  <si>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</si>
  <si>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</si>
  <si>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</si>
  <si>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</si>
  <si>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</si>
  <si>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</si>
  <si>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</si>
  <si>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</si>
  <si>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</si>
  <si>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</si>
  <si>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</si>
  <si>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</si>
  <si>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</si>
  <si>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</si>
  <si>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</si>
  <si>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</si>
  <si>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</si>
  <si>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</si>
  <si>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</si>
  <si>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</si>
  <si>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</si>
  <si>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</si>
  <si>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</si>
  <si>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</si>
  <si>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</si>
  <si>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</si>
  <si>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</si>
  <si>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</si>
  <si>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</si>
  <si>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</si>
  <si>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</si>
  <si>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</si>
  <si>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</si>
  <si>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</si>
  <si>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</si>
  <si>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</si>
  <si>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</si>
  <si>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</si>
  <si>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</si>
  <si>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</si>
  <si>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</si>
  <si>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</si>
  <si>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</si>
  <si>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</si>
  <si>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</si>
  <si>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</si>
  <si>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</si>
  <si>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</si>
  <si>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</si>
  <si>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</si>
  <si>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</si>
  <si>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</si>
  <si>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</si>
  <si>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</si>
  <si>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</si>
  <si>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</si>
  <si>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</si>
  <si>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</si>
  <si>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</si>
  <si>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</si>
  <si>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</si>
  <si>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</si>
  <si>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</si>
  <si>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</si>
  <si>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</si>
  <si>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</si>
  <si>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</si>
  <si>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</si>
  <si>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</si>
  <si>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</si>
  <si>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PRIELAIDOS</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</si>
  <si>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</si>
  <si>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</si>
  <si>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</si>
  <si>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</si>
  <si>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</si>
  <si>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</si>
  <si>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</si>
  <si>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</si>
  <si>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</si>
  <si>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</si>
  <si>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</si>
  <si>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</si>
  <si>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</si>
  <si>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</si>
  <si>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</si>
  <si>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</si>
  <si>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</si>
  <si>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</si>
  <si>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</si>
  <si>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</si>
  <si>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</si>
  <si>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</si>
  <si>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</si>
  <si>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</si>
  <si>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</si>
  <si>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</si>
  <si>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</si>
  <si>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</si>
  <si>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</si>
  <si>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</si>
  <si>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</si>
  <si>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</si>
  <si>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</si>
  <si>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</si>
  <si>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</si>
  <si>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</si>
  <si>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</si>
  <si>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</si>
  <si>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</si>
  <si>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</si>
  <si>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</si>
  <si>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</si>
  <si>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</si>
  <si>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</si>
  <si>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</si>
  <si>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</si>
  <si>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</si>
  <si>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</si>
  <si>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</si>
  <si>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</si>
  <si>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</si>
  <si>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</si>
  <si>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</si>
  <si>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</si>
  <si>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</si>
  <si>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</si>
  <si>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</si>
  <si>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</si>
  <si>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</si>
  <si>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</si>
  <si>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</si>
  <si>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</si>
  <si>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</si>
  <si>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</si>
  <si>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</si>
  <si>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</si>
  <si>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</si>
  <si>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</si>
  <si>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</si>
  <si>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</si>
  <si>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</si>
  <si>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</si>
  <si>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</si>
  <si>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</si>
  <si>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</si>
  <si>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</si>
  <si>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</si>
  <si>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</si>
  <si>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</si>
  <si>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</si>
  <si>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</si>
  <si>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</si>
  <si>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</si>
  <si>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</si>
  <si>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</si>
  <si>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</si>
  <si>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</si>
  <si>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</si>
  <si>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</si>
  <si>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</si>
  <si>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</si>
  <si>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</si>
  <si>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</si>
  <si>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</si>
  <si>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</si>
  <si>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</si>
  <si>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</si>
  <si>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</si>
  <si>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</si>
  <si>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</si>
  <si>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</si>
  <si>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</si>
  <si>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</si>
  <si>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</si>
  <si>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</si>
  <si>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</si>
  <si>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</si>
  <si>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</si>
  <si>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</si>
  <si>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</si>
  <si>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</si>
  <si>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</si>
  <si>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</si>
  <si>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</si>
  <si>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</si>
  <si>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</si>
  <si>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</si>
  <si>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</si>
  <si>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</si>
  <si>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</si>
  <si>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</si>
  <si>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</si>
  <si>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</si>
  <si>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</si>
  <si>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</si>
  <si>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</si>
  <si>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</si>
  <si>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</si>
  <si>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</si>
  <si>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</si>
  <si>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</si>
  <si>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</si>
  <si>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</si>
  <si>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</si>
  <si>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</si>
  <si>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</si>
  <si>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</si>
  <si>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</si>
  <si>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</si>
  <si>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</si>
  <si>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</si>
  <si>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</si>
  <si>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</si>
  <si>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</si>
  <si>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</si>
  <si>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</si>
  <si>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</si>
  <si>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</si>
  <si>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</si>
  <si>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</si>
  <si>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</si>
  <si>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</si>
  <si>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</si>
  <si>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</si>
  <si>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</si>
  <si>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</si>
  <si>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</si>
  <si>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</si>
  <si>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</si>
  <si>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</si>
  <si>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</si>
  <si>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</si>
  <si>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</si>
  <si>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</si>
  <si>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</si>
  <si>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</si>
  <si>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</si>
  <si>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</si>
  <si>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</si>
  <si>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</si>
  <si>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</si>
  <si>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</si>
  <si>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</si>
  <si>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</si>
  <si>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</si>
  <si>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</si>
  <si>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</si>
  <si>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</si>
  <si>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</si>
  <si>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</si>
  <si>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</si>
  <si>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</si>
  <si>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</si>
  <si>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</si>
  <si>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</si>
  <si>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</si>
  <si>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</si>
  <si>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</si>
  <si>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</si>
  <si>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</si>
  <si>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</si>
  <si>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</si>
  <si>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</si>
  <si>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</si>
  <si>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</si>
  <si>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</si>
  <si>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</si>
  <si>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</si>
  <si>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</si>
  <si>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</si>
  <si>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</si>
  <si>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</si>
  <si>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</si>
  <si>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</si>
  <si>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</si>
  <si>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</si>
  <si>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</si>
  <si>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</si>
  <si>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</si>
  <si>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</si>
  <si>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</si>
  <si>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</si>
  <si>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</si>
  <si>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</si>
  <si>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</si>
  <si>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</si>
  <si>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</si>
  <si>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</si>
  <si>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</si>
  <si>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</si>
  <si>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</si>
  <si>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</si>
  <si>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</si>
  <si>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</si>
  <si>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</si>
  <si>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</si>
  <si>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</si>
  <si>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</si>
  <si>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</si>
  <si>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</si>
  <si>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</si>
  <si>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</si>
  <si>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</si>
  <si>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</si>
  <si>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</si>
  <si>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</si>
  <si>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</si>
  <si>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</si>
  <si>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</si>
  <si>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</si>
  <si>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</si>
  <si>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</si>
  <si>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</si>
  <si>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</si>
  <si>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</si>
  <si>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</si>
  <si>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</si>
  <si>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</si>
  <si>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</si>
  <si>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</si>
  <si>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</si>
  <si>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</si>
  <si>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</si>
  <si>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</si>
  <si>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</si>
  <si>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</si>
  <si>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</si>
  <si>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t>Skaičiuoklės versija 1.0</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</si>
  <si>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</si>
  <si>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</si>
  <si>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</si>
  <si>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</si>
  <si>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</si>
  <si>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</si>
  <si>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</si>
  <si>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</si>
  <si>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</si>
  <si>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</si>
  <si>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</si>
  <si>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</si>
  <si>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</si>
  <si>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</si>
  <si>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</si>
  <si>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</si>
  <si>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</si>
  <si>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</si>
  <si>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</si>
  <si>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</si>
  <si>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</si>
  <si>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</si>
  <si>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</si>
  <si>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</si>
  <si>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</si>
  <si>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</si>
  <si>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</si>
  <si>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</si>
  <si>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</si>
  <si>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</si>
  <si>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</si>
  <si>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</si>
  <si>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</si>
  <si>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</si>
  <si>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</si>
  <si>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</si>
  <si>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</si>
  <si>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</si>
  <si>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</si>
  <si>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</si>
  <si>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</si>
  <si>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</si>
  <si>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</si>
  <si>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</si>
  <si>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</si>
  <si>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</si>
  <si>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</si>
  <si>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</si>
  <si>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</si>
  <si>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</si>
  <si>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</si>
  <si>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</si>
  <si>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</si>
  <si>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</si>
  <si>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</si>
  <si>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</si>
  <si>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</si>
  <si>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</si>
  <si>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</si>
  <si>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</si>
  <si>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</si>
  <si>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</si>
  <si>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</si>
  <si>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</si>
  <si>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</si>
  <si>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</si>
  <si>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</si>
  <si>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</si>
  <si>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</si>
  <si>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</si>
  <si>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</si>
  <si>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</si>
  <si>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</si>
  <si>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</si>
  <si>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</si>
  <si>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</si>
  <si>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</si>
  <si>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</si>
  <si>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</si>
  <si>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</si>
  <si>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</si>
  <si>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</si>
  <si>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</si>
  <si>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</si>
  <si>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</si>
  <si>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</si>
  <si>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</si>
  <si>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</si>
  <si>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</si>
  <si>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</si>
  <si>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</si>
  <si>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</si>
  <si>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</si>
  <si>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</si>
  <si>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</si>
  <si>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</si>
  <si>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</si>
  <si>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</si>
  <si>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</si>
  <si>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</si>
  <si>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</si>
  <si>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</si>
  <si>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</si>
  <si>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</si>
  <si>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</si>
  <si>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</si>
  <si>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</si>
  <si>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</si>
  <si>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</si>
  <si>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</si>
  <si>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</si>
  <si>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</si>
  <si>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</si>
  <si>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</si>
  <si>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</si>
  <si>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</si>
  <si>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</si>
  <si>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</si>
  <si>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</si>
  <si>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</si>
  <si>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</si>
  <si>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</si>
  <si>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</si>
  <si>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</si>
  <si>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</si>
  <si>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</si>
  <si>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</si>
  <si>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</si>
  <si>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</si>
  <si>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</si>
  <si>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</si>
  <si>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</si>
  <si>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</si>
  <si>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</si>
  <si>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</si>
  <si>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</si>
  <si>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</si>
  <si>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</si>
  <si>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</si>
  <si>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</si>
  <si>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</si>
  <si>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</si>
  <si>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</si>
  <si>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</si>
  <si>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</si>
  <si>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</si>
  <si>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</si>
  <si>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</si>
  <si>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</si>
  <si>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</si>
  <si>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</si>
  <si>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</si>
  <si>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</si>
  <si>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</si>
  <si>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</si>
  <si>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</si>
  <si>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</si>
  <si>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</si>
  <si>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</si>
  <si>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</si>
  <si>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</si>
  <si>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</si>
  <si>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</si>
  <si>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</si>
  <si>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</si>
  <si>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</si>
  <si>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</si>
  <si>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</si>
  <si>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</si>
  <si>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</si>
  <si>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</si>
  <si>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</si>
  <si>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</si>
  <si>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1</t>
  </si>
  <si>
    <t xml:space="preserve">Veikla (nurodykite pavadinimą; suplanuotas investicijas pagrįskite prielaidų lape)
Analitinė studija dėl diplomatinio atstovavimo tinklo plėtros </t>
  </si>
  <si>
    <t>Diplomatinė atstovybė</t>
  </si>
  <si>
    <t>GYVENIMO LYGIO VIETOS KOEFICIENTAI</t>
  </si>
  <si>
    <t>GYVENAMŲJŲ PATALPŲ NUOMOS LYGIO VIETOS KOEFICIENTAI</t>
  </si>
  <si>
    <t xml:space="preserve"> Pareigos</t>
  </si>
  <si>
    <t>Pareig. algos koef.</t>
  </si>
  <si>
    <t>Alga, EUR</t>
  </si>
  <si>
    <t>Diplom. rangas</t>
  </si>
  <si>
    <t>Rangas EUR</t>
  </si>
  <si>
    <t>Stažo proc.</t>
  </si>
  <si>
    <t>Stažas EUR</t>
  </si>
  <si>
    <t>VISO DU mėn.</t>
  </si>
  <si>
    <t>SODRA mėn.</t>
  </si>
  <si>
    <t>Darbo užmokestis  ir Sodra metams</t>
  </si>
  <si>
    <t>kompensacijos koef.</t>
  </si>
  <si>
    <t>sutuoktinis</t>
  </si>
  <si>
    <t>kompensacija darbuotojo</t>
  </si>
  <si>
    <t>kompensacija sutuoktinio</t>
  </si>
  <si>
    <t>kompensacija vaiku virš 6m.</t>
  </si>
  <si>
    <t>Kompensacija už darbą užsienyje VISO mėn.</t>
  </si>
  <si>
    <t>Kompensacija už darbą užsienyje  metams</t>
  </si>
  <si>
    <t>Gyv. patalpų nuoma metams</t>
  </si>
  <si>
    <t>Sveikatos draudimas metams</t>
  </si>
  <si>
    <t>Vaikų mokslas metams</t>
  </si>
  <si>
    <t>Kelionės atostogų metu</t>
  </si>
  <si>
    <t>Vienkartinė įsikūrimo išmoka</t>
  </si>
  <si>
    <t xml:space="preserve">Persikėlimo išlaidos </t>
  </si>
  <si>
    <t>Darbo vietos įkūrimo išlaidos</t>
  </si>
  <si>
    <t>I sekretorius (sutuoktinis + 2 vaikai)</t>
  </si>
  <si>
    <t>LR ambasada Izraelyje</t>
  </si>
  <si>
    <t>LR ambasada Kanadoje</t>
  </si>
  <si>
    <t>Valstybės veiklos tarptautinėse organizacijose pozicijų derinimo, stebėsenos sistemos sukūrimas</t>
  </si>
  <si>
    <t>Darbo su diaspora funkcijų stiprinimas</t>
  </si>
  <si>
    <t>Daugiakriterinė analizė</t>
  </si>
  <si>
    <t>Ekonominės diplomatijos funkcijų stiprinimas</t>
  </si>
  <si>
    <t xml:space="preserve">Kursai diplomatams, dirbantiems su Azijos regionu </t>
  </si>
  <si>
    <t>Ambasados Singapūre įsteigimas</t>
  </si>
  <si>
    <t>Konsulinės paslaugos (Singapūras)</t>
  </si>
  <si>
    <t xml:space="preserve">Ambasados Singapūre išlaikymo išlaidos </t>
  </si>
  <si>
    <t xml:space="preserve">Didinti diplomatinio atstovavimo tinklo efektyvumą </t>
  </si>
  <si>
    <t>Veiksmingumo principas</t>
  </si>
  <si>
    <t>Valstybės veiklos tarptautinėse organizacijose pozicijų derinimo stebėsenos sistemos sukūrimas</t>
  </si>
  <si>
    <t>IŠ VISO METAMS naujai įsteigtoms pareigybėms</t>
  </si>
  <si>
    <t>Lėšos pažangai</t>
  </si>
  <si>
    <t>Lėšų poreikis kasmetiniam pareigybių išlaikymui</t>
  </si>
  <si>
    <t>IŠ VISO DU mėn.</t>
  </si>
  <si>
    <t>Stipendijų fondas Azijos regiono studentams: planuojama, kad stipendijos dydis 500 eurų/mėn. Praktikos trukmė 3 mėn. Pirmaisiais metais praktikas galėtų atlikti po 3 studentus, vėlesniais po 6.</t>
  </si>
  <si>
    <t>GLK</t>
  </si>
  <si>
    <t>PNK</t>
  </si>
  <si>
    <t>PA koeficientas</t>
  </si>
  <si>
    <t>Pareiginė alga</t>
  </si>
  <si>
    <t>Rango koeficientas</t>
  </si>
  <si>
    <t>Rango suma</t>
  </si>
  <si>
    <t>Stažo koef.</t>
  </si>
  <si>
    <t>Stažo suma</t>
  </si>
  <si>
    <t>Darbo užmokestis</t>
  </si>
  <si>
    <t>Sodra</t>
  </si>
  <si>
    <t>kompensacijos koef</t>
  </si>
  <si>
    <t>Kompensacija už darbą užsienyje</t>
  </si>
  <si>
    <t>kompensacija vaiku iki 6m.</t>
  </si>
  <si>
    <t>Kompensacija apsirūpinti gyvenamosiomis patalpomis</t>
  </si>
  <si>
    <t>Butpinigių norma, Eur/metams</t>
  </si>
  <si>
    <t>Šeimos narių skaičius</t>
  </si>
  <si>
    <t>Didinama butpinigių norma, %</t>
  </si>
  <si>
    <t>Sveikatos draudimo įmokos už darbuotojus</t>
  </si>
  <si>
    <t>Sveikatos draudimo įmokos už šeimos narius</t>
  </si>
  <si>
    <t>PSD</t>
  </si>
  <si>
    <t>Vaikų mokslas (metams)</t>
  </si>
  <si>
    <t>Ambasadorius</t>
  </si>
  <si>
    <t>Ministras patarėjas</t>
  </si>
  <si>
    <t>Pirmasis sekretorius (konsulas)</t>
  </si>
  <si>
    <t>Raštvedys (konsuliniai)</t>
  </si>
  <si>
    <t>Sekretorius</t>
  </si>
  <si>
    <t>Vairuotojas</t>
  </si>
  <si>
    <t>1 mėn.</t>
  </si>
  <si>
    <t>3 mėn.</t>
  </si>
  <si>
    <t>Metams</t>
  </si>
  <si>
    <t>Darbo užmokestis ir socialinis draudimas</t>
  </si>
  <si>
    <t>Prekių ir paslaugų naudojimas</t>
  </si>
  <si>
    <t>Socialinės išmokos (pašalpos)</t>
  </si>
  <si>
    <t>Asignavimai išlaidoms, iš jų:</t>
  </si>
  <si>
    <t>Asignavimai turtui įsigyti</t>
  </si>
  <si>
    <t>Raštvedys (ekonominiai klausimai)</t>
  </si>
  <si>
    <t>Raštvedys (konsuliniai klausimai)</t>
  </si>
  <si>
    <t>Konsulinės pajamos</t>
  </si>
  <si>
    <t xml:space="preserve">Konsulinės pajamos </t>
  </si>
  <si>
    <t>tūkst. eurų</t>
  </si>
  <si>
    <t>Šveicarija (CH)</t>
  </si>
  <si>
    <t>Serbija (RS)</t>
  </si>
  <si>
    <t>Uzbekistanas (UZ)</t>
  </si>
  <si>
    <t>Portugalija (PT)</t>
  </si>
  <si>
    <t>Nigerija (NI)</t>
  </si>
  <si>
    <t>Vokietija-Miunchenas (D(MUC)</t>
  </si>
  <si>
    <t>Naujai steigiamų atstovybių reitingavimas</t>
  </si>
  <si>
    <t>Labai svarbu</t>
  </si>
  <si>
    <t>9-10</t>
  </si>
  <si>
    <t>Svarbu</t>
  </si>
  <si>
    <t>7-8</t>
  </si>
  <si>
    <t>Vidutiniškai svarbu</t>
  </si>
  <si>
    <t>5-6</t>
  </si>
  <si>
    <t>Mažiau svarbu</t>
  </si>
  <si>
    <t>3-4</t>
  </si>
  <si>
    <t>Nesvarbu</t>
  </si>
  <si>
    <t>1-2</t>
  </si>
  <si>
    <t>Aspekto svarba</t>
  </si>
  <si>
    <t>Balai</t>
  </si>
  <si>
    <t>Aspektas</t>
  </si>
  <si>
    <t>Politinės svarbos</t>
  </si>
  <si>
    <t>Regioninės svarbos</t>
  </si>
  <si>
    <t>Ekonominės svarbos</t>
  </si>
  <si>
    <t>Ministerijos politinio pasirinkimo</t>
  </si>
  <si>
    <t>CH</t>
  </si>
  <si>
    <t>RS</t>
  </si>
  <si>
    <t>UZ</t>
  </si>
  <si>
    <t>PT</t>
  </si>
  <si>
    <t>D(MUC)</t>
  </si>
  <si>
    <t>Ni</t>
  </si>
  <si>
    <t>Konsulinės/diasporos svarbos</t>
  </si>
  <si>
    <t>AR</t>
  </si>
  <si>
    <t>Argentina (AR)</t>
  </si>
  <si>
    <t>NI</t>
  </si>
  <si>
    <t>Regioninės svarbos scenarijus</t>
  </si>
  <si>
    <t>Konsulinės/diasporos svarbos scenarijus</t>
  </si>
  <si>
    <t>PL/EK</t>
  </si>
  <si>
    <t>RE</t>
  </si>
  <si>
    <t>KON</t>
  </si>
  <si>
    <t>Palaikymo išlaidos</t>
  </si>
  <si>
    <t xml:space="preserve">Politinės/ekonominės svarbos scenarijus
</t>
  </si>
  <si>
    <t xml:space="preserve">Atstovybių ir konsulatų atidarymas </t>
  </si>
  <si>
    <t>Ekonominės diplomatijos funkcijos</t>
  </si>
  <si>
    <t>Paslaugų eksportas</t>
  </si>
  <si>
    <t>pokytis</t>
  </si>
  <si>
    <t>Prekių eksportas</t>
  </si>
  <si>
    <t>Kitų, naujai įsteigtų, ambasadų užsienio valstybėse išlaikymo išlaidos</t>
  </si>
  <si>
    <t>Konsulinės paslaugos (kitų, naujai įsteigtų atstovybių)</t>
  </si>
  <si>
    <t>Konsulines paslaugos (kitų, naujai įsteigtų atstovybių)</t>
  </si>
  <si>
    <t>Kosulinės paslaugos (kitų, naujai įsteigtų, atstovybių)</t>
  </si>
  <si>
    <t>Kvalifikacijos tobulinimo programa diplomatams, dirbantiems su Azijos regionu</t>
  </si>
  <si>
    <t>Lietuvos gyventojų dalis, mananti, kad Lietuvos diplomatinė tarnyba labai gerai, gerai atstovauja Lietuvos saugumo interesams, išnaudoja dvišalio ir daugiašalio bendradarbiavimo priemones bei narystės NATO teikiamas galimybes</t>
  </si>
  <si>
    <t>proc.</t>
  </si>
  <si>
    <t>Singapūras (SG)</t>
  </si>
  <si>
    <t>sukurta pridėtinė vertė</t>
  </si>
  <si>
    <t>Visa sukurta pridėtinė vertė</t>
  </si>
  <si>
    <t>Ambasados</t>
  </si>
  <si>
    <t>Investicijos</t>
  </si>
  <si>
    <t>Izraelis 2024</t>
  </si>
  <si>
    <t>n (steigimo metai)</t>
  </si>
  <si>
    <t>n+1</t>
  </si>
  <si>
    <t>n+2</t>
  </si>
  <si>
    <t>n+3</t>
  </si>
  <si>
    <t>n+4</t>
  </si>
  <si>
    <t>n+5</t>
  </si>
  <si>
    <t>n+6</t>
  </si>
  <si>
    <t>n+7</t>
  </si>
  <si>
    <t>n+8</t>
  </si>
  <si>
    <t>n+9</t>
  </si>
  <si>
    <t>n+10</t>
  </si>
  <si>
    <t>n+11</t>
  </si>
  <si>
    <t>n+12</t>
  </si>
  <si>
    <t>n+13</t>
  </si>
  <si>
    <t>n+14</t>
  </si>
  <si>
    <t>n+15</t>
  </si>
  <si>
    <t>n+16</t>
  </si>
  <si>
    <t>n+17</t>
  </si>
  <si>
    <t>n+18</t>
  </si>
  <si>
    <t>n+19</t>
  </si>
  <si>
    <t>n+20</t>
  </si>
  <si>
    <t>Kanada 2024</t>
  </si>
  <si>
    <t>Naujų atstovybių sukurta pridėtinė vertė</t>
  </si>
  <si>
    <t>Ekonominės diplomatijos plėtros sukurta pridėtinė vertė</t>
  </si>
  <si>
    <t>Politinės/ekonominės svarbos scenarijus</t>
  </si>
  <si>
    <t>Ispanijoje 2024</t>
  </si>
  <si>
    <t>Vokietijoje 2024</t>
  </si>
  <si>
    <t>Lėsų poreikis valstybės veiklos tarptautinėse organizacijose pozicijų derinimo ir stebėsenos sistemai sukūrti 600 000 eurų</t>
  </si>
  <si>
    <t>Lėšų poreikis Indijos–Ramiojo vandenyno politikos studijų programai/-oms parengti Lietuvos universitetuose 35000 eurų</t>
  </si>
  <si>
    <t>Lėšų poreikis kvalifikacijos tobulinimo programai diplomatams, dirbantiems su Azijos regionu, per metus</t>
  </si>
  <si>
    <t>eurų</t>
  </si>
  <si>
    <t>Scenarijai</t>
  </si>
  <si>
    <t>Šalys</t>
  </si>
  <si>
    <t>Pažangos lėšų poreikis</t>
  </si>
  <si>
    <t>Metinės pajamos</t>
  </si>
  <si>
    <t>Politinės svarbos scenarijus (EK)</t>
  </si>
  <si>
    <t>Regioninės svarbos scenarijus (RE)</t>
  </si>
  <si>
    <t>Ekonominės svarbos scenarijus (EK)</t>
  </si>
  <si>
    <t>Konsulinės/diasporos svarbos scenarijus (KON)</t>
  </si>
  <si>
    <t>Šalių įvertinimas balais pagal aspektus</t>
  </si>
  <si>
    <t>Scenarijai su pasirinktomis šalimis</t>
  </si>
  <si>
    <t>Scenarijų įvertinimo balo pagal atskirus aspektus vidurkis</t>
  </si>
  <si>
    <t>Naujų ambasadų ir pareigybių poveikio procentas</t>
  </si>
  <si>
    <t>Ambasadų sukuriama nauda (EUR)</t>
  </si>
  <si>
    <t>Ambasadų sukuriamos naudos pagal scenarijus</t>
  </si>
  <si>
    <t>Finansavimo šaltinis (Valstybės biudžeto lėšos)</t>
  </si>
  <si>
    <t>lėšų pavadinimas ir finansavimo šaltinio kodas (1.1.1.1)</t>
  </si>
  <si>
    <r>
      <rPr>
        <b/>
        <sz val="11"/>
        <color rgb="FF00B050"/>
        <rFont val="Calibri"/>
        <family val="2"/>
        <charset val="186"/>
        <scheme val="minor"/>
      </rPr>
      <t xml:space="preserve">Miunchenas (konsulatas) (D(MUC) </t>
    </r>
    <r>
      <rPr>
        <sz val="11"/>
        <color rgb="FF00B050"/>
        <rFont val="Calibri"/>
        <family val="2"/>
        <charset val="186"/>
        <scheme val="minor"/>
      </rPr>
      <t>(duomenys Vokietijos)</t>
    </r>
  </si>
  <si>
    <t>Ekonominės diplomatijos sukuriama nauda</t>
  </si>
  <si>
    <r>
      <t>Diplomatinio atstovavimo tinklo plėtrai buvo atrinktos 7 šalys, kuriose artimiausiu metu būtų tikslinga atidaryti diplomatines atstvybes: ambasados Argentinoje, Nigerijoje, Portugalijoje, Serbijoje, Šveicarijoje, Uzbekijoje ir konsulatas Miunchene Vokietijoje.</t>
    </r>
    <r>
      <rPr>
        <sz val="12"/>
        <color rgb="FF333333"/>
        <rFont val="Times New Roman"/>
        <family val="1"/>
        <charset val="186"/>
      </rPr>
      <t xml:space="preserve"> </t>
    </r>
  </si>
  <si>
    <t>Ambasadų kitose užsienio valstybėse įsteigimas (politinės/ekonominės svarbos scenarijus)</t>
  </si>
  <si>
    <t>Kitų naujai įsteigtų ambasadų užsienio valstybėse išlaikymo išlaidos</t>
  </si>
  <si>
    <t>Ambasadų kitose užsienio valstybėse įsteigimas (regioninės svarbos scenarijus)</t>
  </si>
  <si>
    <t>Kitų naujai įsteigtų ambasadų užsienio valstybėse išlaikymo išlaidos (kitų)</t>
  </si>
  <si>
    <t>Ambasadų kitose užsienio valstybėse įsteigimas (Konsulinės/diasporos svarbos scenarijus)</t>
  </si>
  <si>
    <r>
      <t xml:space="preserve">Lėšų poreikis </t>
    </r>
    <r>
      <rPr>
        <b/>
        <sz val="14"/>
        <color theme="1"/>
        <rFont val="Calibri"/>
        <family val="2"/>
        <charset val="186"/>
        <scheme val="minor"/>
      </rPr>
      <t>ekonominės diplomatijos funkcijoms</t>
    </r>
    <r>
      <rPr>
        <sz val="14"/>
        <color theme="1"/>
        <rFont val="Calibri"/>
        <family val="2"/>
        <charset val="186"/>
        <scheme val="minor"/>
      </rPr>
      <t xml:space="preserve"> stiprinti (EUR):</t>
    </r>
  </si>
  <si>
    <r>
      <t xml:space="preserve">Lėšų poreikis </t>
    </r>
    <r>
      <rPr>
        <b/>
        <sz val="14"/>
        <color theme="1"/>
        <rFont val="Calibri"/>
        <family val="2"/>
        <charset val="186"/>
        <scheme val="minor"/>
      </rPr>
      <t>naujoms atstovybėms</t>
    </r>
    <r>
      <rPr>
        <sz val="14"/>
        <color theme="1"/>
        <rFont val="Calibri"/>
        <family val="2"/>
        <charset val="186"/>
        <scheme val="minor"/>
      </rPr>
      <t xml:space="preserve"> įsteigti:</t>
    </r>
  </si>
  <si>
    <t xml:space="preserve">vaikai </t>
  </si>
  <si>
    <t>kompensacija vaikų</t>
  </si>
  <si>
    <t>vaikai</t>
  </si>
  <si>
    <t>kompensacija vaikų iki 6 metų (neteko galios)</t>
  </si>
  <si>
    <t>vaikai iki 6 metų (neteko galios)</t>
  </si>
  <si>
    <t>Sutuoktinio Sodra (11,84 proc. nuo darbo užmokesčio)</t>
  </si>
  <si>
    <t xml:space="preserve"> tūkst. eurų</t>
  </si>
  <si>
    <t>LR generalinis konsulatas Niujorke</t>
  </si>
  <si>
    <t>LR generalinis konsulatas Los Andžele</t>
  </si>
  <si>
    <t>Metai</t>
  </si>
  <si>
    <t>Reinvesticijos (automibilių parkui atnaujinti atstovybėse po 10 m., kaina vieno atomobilio)</t>
  </si>
  <si>
    <t>JAV 2023 (2 pareigybės)</t>
  </si>
  <si>
    <t>Visų poreigybių sukurta pridėtinė vertė</t>
  </si>
  <si>
    <t>Stipendijų fondas Azijos regiono studijų studentams</t>
  </si>
  <si>
    <t>Indijos–Ramiojo vandenynų regiono politikos studijų programos/-ų parengimas Lietuvos universitetuose</t>
  </si>
  <si>
    <t>Stipendijų fondas Indijos–Ramiojo vandenynų regiono studijų studentams</t>
  </si>
  <si>
    <t xml:space="preserve">Kursai diplomatams, dirbantiems su fondas Indijos–Ramiojo vandenynų regionu </t>
  </si>
  <si>
    <t>Palaikymas</t>
  </si>
  <si>
    <t>x</t>
  </si>
  <si>
    <t>Bazinis dydis (2023)</t>
  </si>
  <si>
    <r>
      <t xml:space="preserve">Lėšų poreikis funkcijoms </t>
    </r>
    <r>
      <rPr>
        <b/>
        <sz val="14"/>
        <color theme="1"/>
        <rFont val="Calibri"/>
        <family val="2"/>
        <charset val="186"/>
        <scheme val="minor"/>
      </rPr>
      <t>darbui su diaspora</t>
    </r>
    <r>
      <rPr>
        <sz val="14"/>
        <color theme="1"/>
        <rFont val="Calibri"/>
        <family val="2"/>
        <charset val="186"/>
        <scheme val="minor"/>
      </rPr>
      <t xml:space="preserve"> stiprinti (EUR)</t>
    </r>
  </si>
  <si>
    <t>Lėšų poreikis naujoms pareigybėms ir atstovybėms steigti apskaičiuotas atsižvelgiant į Diplomatinės tarnybos įstatymo, LRV 2018 m. gruodžio 27 d. nutarimo Nr. 1393 "Dėl Lietuvos Respublikos diplomatinės tarnybos įstatymo įgyvendinimo" ir Lietuvos Respublikos valstybės politikų, teisėjų, valstybės pareigūnų, valstybės tarnautojų, valstybės ir savivaldybių biudžetinių įstaigų darbuotojų pareiginės algos (atlyginimo) bazinio dydžio, taikomo 2023 metais, įstatymo nuostatas. Atsižvelgiant į minėtų teisės aktų pokyčius, lėšų poreikis gali kisti.</t>
  </si>
  <si>
    <t>Vyriausiasis specialistas (administratorius/finansininkas)</t>
  </si>
  <si>
    <t>Generalinis konsulas (diplomatas, ekonominiai klausimai)</t>
  </si>
  <si>
    <t>Norvegijoje 2024</t>
  </si>
  <si>
    <t>Airijoje 2024</t>
  </si>
  <si>
    <t>Japonija</t>
  </si>
  <si>
    <t>Indija</t>
  </si>
  <si>
    <t>Pietų Korėja</t>
  </si>
  <si>
    <t>Singapūras</t>
  </si>
  <si>
    <t>Graikija</t>
  </si>
  <si>
    <t>Pietų Afrikos Respublika</t>
  </si>
  <si>
    <t>Egiptas</t>
  </si>
  <si>
    <t>Belgija</t>
  </si>
  <si>
    <t>Ispanija</t>
  </si>
  <si>
    <t>Palestina</t>
  </si>
  <si>
    <t>Austrija</t>
  </si>
  <si>
    <t>Azerbaidžanas</t>
  </si>
  <si>
    <t>Sakartvelas</t>
  </si>
  <si>
    <t>Rumunija</t>
  </si>
  <si>
    <t>Čekija</t>
  </si>
  <si>
    <t>Vengrija</t>
  </si>
  <si>
    <t>Brazilija</t>
  </si>
  <si>
    <t>Armėnija</t>
  </si>
  <si>
    <t>Silpnos ir vidutinio stiprumo ekonomikos šalys</t>
  </si>
  <si>
    <t>Stiprios ekonomikos šalys</t>
  </si>
  <si>
    <t>GLK (be motyvacijos koeficiento)</t>
  </si>
  <si>
    <t xml:space="preserve"> Darbuotojas</t>
  </si>
  <si>
    <t>Steigimo metai</t>
  </si>
  <si>
    <t>Koeficientas</t>
  </si>
  <si>
    <t>Iš viso metams, Eur</t>
  </si>
  <si>
    <t>IT ir komunikacinė įranga</t>
  </si>
  <si>
    <t>Pažangos lėšų poreikis 2024 m.</t>
  </si>
  <si>
    <t>Pažangos lėšų poreikis 2025 m.</t>
  </si>
  <si>
    <t>Tęstinės veiklos lėšų poreikis 2025 m.</t>
  </si>
  <si>
    <t>Papildomas tęstinės veiklos lėšų poreikis 2026 m.</t>
  </si>
  <si>
    <t>2024 m.</t>
  </si>
  <si>
    <t>2025 m.</t>
  </si>
  <si>
    <t>Pareigybės</t>
  </si>
  <si>
    <t>Izraelis (Tel Avivas)</t>
  </si>
  <si>
    <t>JAE</t>
  </si>
  <si>
    <t>Ispanija (Madridas)</t>
  </si>
  <si>
    <t xml:space="preserve">Čekija </t>
  </si>
  <si>
    <t>Ekonomistai diplomatai</t>
  </si>
  <si>
    <t>Izraelis*</t>
  </si>
  <si>
    <t>Japonija*</t>
  </si>
  <si>
    <t>Jungtiniai Arabų Emyratai*</t>
  </si>
  <si>
    <t>Pietų Korėja*</t>
  </si>
  <si>
    <t>Singapūras*</t>
  </si>
  <si>
    <t>* šalys, kuriose jau dirba arba tik ekonomines funkcijas atliekantys diplomatai, arba komercijos atašė</t>
  </si>
  <si>
    <t>SUKURIAMŲ NAUDŲ SKAIČIAVIMAI</t>
  </si>
  <si>
    <r>
      <t xml:space="preserve">Lėšų poreikis </t>
    </r>
    <r>
      <rPr>
        <b/>
        <sz val="14"/>
        <color theme="1"/>
        <rFont val="Calibri"/>
        <family val="2"/>
        <charset val="186"/>
        <scheme val="minor"/>
      </rPr>
      <t>naujoms  padėjėjų ekonomikai pareigybėms</t>
    </r>
    <r>
      <rPr>
        <sz val="14"/>
        <color theme="1"/>
        <rFont val="Calibri"/>
        <family val="2"/>
        <charset val="186"/>
        <scheme val="minor"/>
      </rPr>
      <t xml:space="preserve"> įsteigti:</t>
    </r>
  </si>
  <si>
    <t>Visų naujai įsteigų pareigybių sukurta pridėtinė vertė</t>
  </si>
  <si>
    <t>Padėjėjai ekonomikos klausimams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</si>
</sst>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0"/>
    <numFmt numFmtId="171" formatCode="#,##0.000"/>
  </numFmts>
  <fonts count="91">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8"/>
      <color rgb="FF000000"/>
      <name val="Segoe UI"/>
      <family val="2"/>
      <charset val="186"/>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b/>
      <sz val="12"/>
      <color theme="1"/>
      <name val="Times New Roman"/>
      <family val="1"/>
      <charset val="186"/>
    </font>
    <font>
      <sz val="9"/>
      <color theme="1"/>
      <name val="Times New Roman"/>
      <family val="1"/>
      <charset val="186"/>
    </font>
    <font>
      <b/>
      <sz val="12"/>
      <name val="Times New Roman"/>
      <family val="1"/>
      <charset val="186"/>
    </font>
    <font>
      <sz val="12"/>
      <name val="Times New Roman"/>
      <family val="1"/>
      <charset val="186"/>
    </font>
    <font>
      <sz val="12"/>
      <color rgb="FF00B050"/>
      <name val="Times New Roman"/>
      <family val="1"/>
      <charset val="186"/>
    </font>
    <font>
      <i/>
      <sz val="12"/>
      <color theme="1"/>
      <name val="Times New Roman"/>
      <family val="1"/>
      <charset val="186"/>
    </font>
    <font>
      <i/>
      <sz val="12"/>
      <name val="Times New Roman"/>
      <family val="1"/>
      <charset val="186"/>
    </font>
    <font>
      <sz val="11"/>
      <color rgb="FF000000"/>
      <name val="Calibri"/>
      <family val="2"/>
      <charset val="186"/>
    </font>
    <font>
      <sz val="14"/>
      <color rgb="FF339966"/>
      <name val="Calibri"/>
      <family val="2"/>
      <charset val="186"/>
    </font>
    <font>
      <sz val="10"/>
      <color rgb="FF000000"/>
      <name val="Calibri"/>
      <family val="2"/>
      <charset val="186"/>
    </font>
    <font>
      <b/>
      <u/>
      <sz val="12"/>
      <name val="Times New Roman"/>
      <family val="1"/>
      <charset val="186"/>
    </font>
    <font>
      <sz val="11"/>
      <name val="Times New Roman"/>
      <family val="1"/>
      <charset val="186"/>
    </font>
    <font>
      <sz val="11"/>
      <color theme="1"/>
      <name val="Times New Roman"/>
      <family val="1"/>
      <charset val="186"/>
    </font>
    <font>
      <b/>
      <sz val="11"/>
      <name val="Times New Roman"/>
      <family val="1"/>
      <charset val="186"/>
    </font>
    <font>
      <sz val="11"/>
      <color theme="5"/>
      <name val="Times New Roman"/>
      <family val="1"/>
      <charset val="186"/>
    </font>
    <font>
      <b/>
      <u val="singleAccounting"/>
      <sz val="11"/>
      <name val="Times New Roman"/>
      <family val="1"/>
      <charset val="186"/>
    </font>
    <font>
      <sz val="9"/>
      <color indexed="81"/>
      <name val="Tahoma"/>
      <family val="2"/>
      <charset val="186"/>
    </font>
    <font>
      <sz val="10"/>
      <name val="Times New Roman Baltic"/>
      <charset val="186"/>
    </font>
    <font>
      <sz val="8"/>
      <name val="Times New Roman Baltic"/>
      <family val="1"/>
      <charset val="186"/>
    </font>
    <font>
      <i/>
      <sz val="10"/>
      <name val="Times New Roman Baltic"/>
      <charset val="186"/>
    </font>
    <font>
      <sz val="10"/>
      <name val="Times New Roman"/>
      <family val="1"/>
      <charset val="186"/>
    </font>
    <font>
      <b/>
      <sz val="10"/>
      <name val="Times New Roman Baltic"/>
      <family val="1"/>
      <charset val="186"/>
    </font>
    <font>
      <b/>
      <sz val="10"/>
      <name val="Times New Roman Baltic"/>
      <charset val="186"/>
    </font>
    <font>
      <i/>
      <sz val="10"/>
      <name val="Times New Roman"/>
      <family val="1"/>
      <charset val="186"/>
    </font>
    <font>
      <sz val="10"/>
      <name val="Times New Roman Baltic"/>
      <family val="1"/>
      <charset val="186"/>
    </font>
    <font>
      <b/>
      <sz val="10"/>
      <name val="Times New Roman"/>
      <family val="1"/>
      <charset val="186"/>
    </font>
    <font>
      <b/>
      <sz val="10"/>
      <name val="Times New Roman"/>
      <family val="1"/>
    </font>
    <font>
      <sz val="9"/>
      <name val="Times New Roman Baltic"/>
      <family val="1"/>
      <charset val="186"/>
    </font>
    <font>
      <i/>
      <sz val="10"/>
      <name val="Times New Roman"/>
      <family val="1"/>
    </font>
    <font>
      <i/>
      <sz val="10"/>
      <name val="Times New Roman Baltic"/>
      <family val="1"/>
      <charset val="186"/>
    </font>
    <font>
      <sz val="10"/>
      <name val="Times New Roman"/>
      <family val="1"/>
    </font>
    <font>
      <sz val="10"/>
      <name val="Arial"/>
      <family val="2"/>
    </font>
    <font>
      <b/>
      <sz val="9"/>
      <name val="Times New Roman Baltic"/>
      <family val="1"/>
      <charset val="186"/>
    </font>
    <font>
      <sz val="11"/>
      <color rgb="FF0070C0"/>
      <name val="Calibri"/>
      <family val="2"/>
      <charset val="186"/>
      <scheme val="minor"/>
    </font>
    <font>
      <b/>
      <sz val="11"/>
      <color rgb="FF0070C0"/>
      <name val="Calibri"/>
      <family val="2"/>
      <charset val="186"/>
      <scheme val="minor"/>
    </font>
    <font>
      <sz val="11"/>
      <color rgb="FF00B050"/>
      <name val="Calibri"/>
      <family val="2"/>
      <charset val="186"/>
      <scheme val="minor"/>
    </font>
    <font>
      <b/>
      <sz val="11"/>
      <color rgb="FF00B050"/>
      <name val="Calibri"/>
      <family val="2"/>
      <charset val="186"/>
      <scheme val="minor"/>
    </font>
    <font>
      <sz val="12"/>
      <color rgb="FF333333"/>
      <name val="Times New Roman"/>
      <family val="1"/>
      <charset val="186"/>
    </font>
    <font>
      <sz val="14"/>
      <color theme="1"/>
      <name val="Calibri"/>
      <family val="2"/>
      <charset val="186"/>
      <scheme val="minor"/>
    </font>
    <font>
      <b/>
      <sz val="9"/>
      <color indexed="81"/>
      <name val="Tahoma"/>
      <family val="2"/>
      <charset val="186"/>
    </font>
    <font>
      <sz val="12"/>
      <name val="Calibri"/>
      <family val="2"/>
      <charset val="186"/>
      <scheme val="minor"/>
    </font>
    <font>
      <i/>
      <sz val="11"/>
      <name val="Times New Roman"/>
      <family val="1"/>
      <charset val="186"/>
    </font>
    <font>
      <sz val="11"/>
      <color rgb="FFFF0000"/>
      <name val="Times New Roman"/>
      <family val="1"/>
      <charset val="186"/>
    </font>
    <font>
      <b/>
      <sz val="20"/>
      <color theme="1"/>
      <name val="Calibri"/>
      <family val="2"/>
      <charset val="186"/>
      <scheme val="minor"/>
    </font>
    <font>
      <b/>
      <sz val="16"/>
      <color theme="1"/>
      <name val="Calibri"/>
      <family val="2"/>
      <charset val="186"/>
      <scheme val="minor"/>
    </font>
  </fonts>
  <fills count="40">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39997558519241921"/>
        <bgColor indexed="64"/>
      </patternFill>
    </fill>
    <fill>
      <patternFill patternType="solid">
        <fgColor rgb="FF00B0F0"/>
        <bgColor indexed="64"/>
      </patternFill>
    </fill>
    <fill>
      <patternFill patternType="solid">
        <fgColor theme="5" tint="0.79998168889431442"/>
        <bgColor indexed="64"/>
      </patternFill>
    </fill>
    <fill>
      <patternFill patternType="solid">
        <fgColor rgb="FFA0D2DC"/>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hair">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3">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63" fillId="0" borderId="0"/>
    <xf numFmtId="0" fontId="4" fillId="0" borderId="0"/>
    <xf numFmtId="0" fontId="4" fillId="0" borderId="0"/>
    <xf numFmtId="0" fontId="77" fillId="0" borderId="0"/>
    <xf numFmtId="43" fontId="3" fillId="0" borderId="0" applyFont="0" applyFill="0" applyBorder="0" applyAlignment="0" applyProtection="0"/>
  </cellStyleXfs>
  <cellXfs count="909">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30" fillId="22" borderId="0" xfId="0" applyFont="1" applyFill="1"/>
    <xf numFmtId="0" fontId="30" fillId="0" borderId="0" xfId="0" applyFont="1"/>
    <xf numFmtId="0" fontId="31"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0" fontId="0" fillId="0" borderId="0" xfId="0" applyProtection="1">
      <protection locked="0"/>
    </xf>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5"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6" fillId="0" borderId="34" xfId="0" applyFont="1" applyBorder="1"/>
    <xf numFmtId="0" fontId="36"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2"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4"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2" fillId="0" borderId="0" xfId="0" applyFont="1" applyProtection="1">
      <protection locked="0"/>
    </xf>
    <xf numFmtId="49" fontId="0" fillId="26" borderId="12" xfId="0" applyNumberFormat="1" applyFill="1" applyBorder="1"/>
    <xf numFmtId="0" fontId="32"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2"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2" fillId="0" borderId="0" xfId="55" applyNumberFormat="1" applyFont="1" applyBorder="1" applyProtection="1"/>
    <xf numFmtId="168" fontId="32" fillId="0" borderId="0" xfId="55" applyNumberFormat="1" applyFont="1" applyBorder="1" applyProtection="1"/>
    <xf numFmtId="168" fontId="32"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3"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9" fillId="0" borderId="0" xfId="0" applyFont="1"/>
    <xf numFmtId="0" fontId="40"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3"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7"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9"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9" fillId="0" borderId="11" xfId="0" applyFont="1" applyBorder="1"/>
    <xf numFmtId="0" fontId="40" fillId="0" borderId="11"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1" xfId="0" applyFont="1" applyBorder="1" applyAlignment="1">
      <alignment horizontal="center" vertical="center"/>
    </xf>
    <xf numFmtId="10" fontId="27" fillId="0" borderId="11" xfId="0" applyNumberFormat="1" applyFont="1" applyBorder="1" applyAlignment="1">
      <alignment horizontal="right" wrapText="1"/>
    </xf>
    <xf numFmtId="0" fontId="40"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40"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2" fillId="0" borderId="0" xfId="0" applyFont="1" applyAlignment="1">
      <alignment horizontal="center" vertical="center" wrapText="1"/>
    </xf>
    <xf numFmtId="0" fontId="32" fillId="0" borderId="0" xfId="0" applyFont="1" applyAlignment="1">
      <alignment horizontal="center" vertical="center"/>
    </xf>
    <xf numFmtId="0" fontId="42"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3" fillId="2" borderId="81" xfId="0" applyFont="1" applyFill="1" applyBorder="1"/>
    <xf numFmtId="0" fontId="43" fillId="2" borderId="80" xfId="0" applyFont="1" applyFill="1" applyBorder="1"/>
    <xf numFmtId="0" fontId="43" fillId="2" borderId="79" xfId="0" applyFont="1" applyFill="1" applyBorder="1" applyAlignment="1">
      <alignment horizontal="left"/>
    </xf>
    <xf numFmtId="0" fontId="0" fillId="0" borderId="82" xfId="0" applyBorder="1"/>
    <xf numFmtId="0" fontId="32" fillId="0" borderId="0" xfId="0" applyFont="1" applyAlignment="1">
      <alignment horizontal="left"/>
    </xf>
    <xf numFmtId="0" fontId="44" fillId="0" borderId="0" xfId="0" applyFont="1" applyAlignment="1">
      <alignment horizontal="left"/>
    </xf>
    <xf numFmtId="0" fontId="41"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49" fontId="0" fillId="24" borderId="14" xfId="0" applyNumberFormat="1" applyFill="1" applyBorder="1" applyAlignment="1">
      <alignment wrapText="1"/>
    </xf>
    <xf numFmtId="49" fontId="0" fillId="24" borderId="13" xfId="0" applyNumberFormat="1" applyFill="1" applyBorder="1" applyAlignment="1">
      <alignment wrapText="1"/>
    </xf>
    <xf numFmtId="49" fontId="0" fillId="24" borderId="12" xfId="0" applyNumberFormat="1" applyFill="1" applyBorder="1" applyProtection="1">
      <protection locked="0"/>
    </xf>
    <xf numFmtId="1" fontId="0" fillId="0" borderId="0" xfId="0" applyNumberFormat="1" applyProtection="1">
      <protection locked="0"/>
    </xf>
    <xf numFmtId="0" fontId="0" fillId="0" borderId="118" xfId="0" applyBorder="1" applyProtection="1">
      <protection locked="0"/>
    </xf>
    <xf numFmtId="1" fontId="0" fillId="0" borderId="118" xfId="0" applyNumberFormat="1" applyBorder="1" applyProtection="1">
      <protection locked="0"/>
    </xf>
    <xf numFmtId="3" fontId="0" fillId="0" borderId="118" xfId="0" applyNumberFormat="1" applyBorder="1" applyProtection="1">
      <protection locked="0"/>
    </xf>
    <xf numFmtId="0" fontId="0" fillId="0" borderId="72" xfId="0" applyBorder="1" applyProtection="1">
      <protection locked="0"/>
    </xf>
    <xf numFmtId="0" fontId="0" fillId="0" borderId="117" xfId="0" applyBorder="1" applyProtection="1">
      <protection locked="0"/>
    </xf>
    <xf numFmtId="168" fontId="59" fillId="33" borderId="118" xfId="55" applyNumberFormat="1" applyFont="1" applyFill="1" applyBorder="1"/>
    <xf numFmtId="168" fontId="57" fillId="33" borderId="118" xfId="55" applyNumberFormat="1" applyFont="1" applyFill="1" applyBorder="1"/>
    <xf numFmtId="168" fontId="61" fillId="34" borderId="118" xfId="55" applyNumberFormat="1" applyFont="1" applyFill="1" applyBorder="1"/>
    <xf numFmtId="2" fontId="57" fillId="0" borderId="118" xfId="0" applyNumberFormat="1" applyFont="1" applyBorder="1"/>
    <xf numFmtId="170" fontId="67" fillId="35" borderId="121" xfId="79" applyNumberFormat="1" applyFont="1" applyFill="1" applyBorder="1" applyAlignment="1">
      <alignment horizontal="center"/>
    </xf>
    <xf numFmtId="0" fontId="71" fillId="35" borderId="120" xfId="78" applyFont="1" applyFill="1" applyBorder="1" applyAlignment="1">
      <alignment horizontal="left" wrapText="1"/>
    </xf>
    <xf numFmtId="0" fontId="76" fillId="35" borderId="120" xfId="78" applyFont="1" applyFill="1" applyBorder="1" applyAlignment="1">
      <alignment wrapText="1"/>
    </xf>
    <xf numFmtId="170" fontId="70" fillId="35" borderId="121" xfId="79" applyNumberFormat="1" applyFont="1" applyFill="1" applyBorder="1" applyAlignment="1">
      <alignment horizontal="center"/>
    </xf>
    <xf numFmtId="0" fontId="49" fillId="0" borderId="0" xfId="0" applyFont="1" applyAlignment="1">
      <alignment horizontal="center"/>
    </xf>
    <xf numFmtId="0" fontId="49" fillId="0" borderId="0" xfId="0" applyFont="1"/>
    <xf numFmtId="0" fontId="49" fillId="0" borderId="0" xfId="0" applyFont="1" applyAlignment="1">
      <alignment horizontal="right"/>
    </xf>
    <xf numFmtId="0" fontId="48" fillId="0" borderId="0" xfId="0" applyFont="1" applyAlignment="1">
      <alignment horizontal="center"/>
    </xf>
    <xf numFmtId="2" fontId="49" fillId="0" borderId="0" xfId="0" applyNumberFormat="1" applyFont="1"/>
    <xf numFmtId="0" fontId="57" fillId="0" borderId="118" xfId="0" applyFont="1" applyBorder="1" applyAlignment="1">
      <alignment horizontal="center" textRotation="90"/>
    </xf>
    <xf numFmtId="0" fontId="57" fillId="0" borderId="118" xfId="0" applyFont="1" applyBorder="1" applyAlignment="1">
      <alignment textRotation="90"/>
    </xf>
    <xf numFmtId="0" fontId="58" fillId="0" borderId="118" xfId="0" applyFont="1" applyBorder="1" applyAlignment="1">
      <alignment textRotation="90"/>
    </xf>
    <xf numFmtId="0" fontId="59" fillId="33" borderId="118" xfId="0" applyFont="1" applyFill="1" applyBorder="1" applyAlignment="1">
      <alignment textRotation="90"/>
    </xf>
    <xf numFmtId="0" fontId="59" fillId="33" borderId="118" xfId="0" applyFont="1" applyFill="1" applyBorder="1" applyAlignment="1">
      <alignment textRotation="90" wrapText="1"/>
    </xf>
    <xf numFmtId="2" fontId="57" fillId="0" borderId="118" xfId="0" applyNumberFormat="1" applyFont="1" applyBorder="1" applyAlignment="1">
      <alignment textRotation="90" wrapText="1"/>
    </xf>
    <xf numFmtId="0" fontId="57" fillId="0" borderId="118" xfId="0" applyFont="1" applyBorder="1" applyAlignment="1">
      <alignment textRotation="90" wrapText="1"/>
    </xf>
    <xf numFmtId="3" fontId="59" fillId="33" borderId="118" xfId="0" applyNumberFormat="1" applyFont="1" applyFill="1" applyBorder="1" applyAlignment="1">
      <alignment horizontal="right" textRotation="90" wrapText="1"/>
    </xf>
    <xf numFmtId="0" fontId="57" fillId="28" borderId="118" xfId="0" applyFont="1" applyFill="1" applyBorder="1" applyAlignment="1">
      <alignment horizontal="right" textRotation="90" wrapText="1"/>
    </xf>
    <xf numFmtId="3" fontId="57" fillId="28" borderId="118" xfId="0" applyNumberFormat="1" applyFont="1" applyFill="1" applyBorder="1" applyAlignment="1">
      <alignment horizontal="right" textRotation="90" wrapText="1"/>
    </xf>
    <xf numFmtId="0" fontId="57" fillId="0" borderId="0" xfId="0" applyFont="1"/>
    <xf numFmtId="0" fontId="57" fillId="0" borderId="118" xfId="0" applyFont="1" applyBorder="1" applyAlignment="1">
      <alignment horizontal="center"/>
    </xf>
    <xf numFmtId="0" fontId="57" fillId="0" borderId="118" xfId="0" applyFont="1" applyBorder="1"/>
    <xf numFmtId="4" fontId="60" fillId="0" borderId="118" xfId="0" applyNumberFormat="1" applyFont="1" applyBorder="1"/>
    <xf numFmtId="3" fontId="57" fillId="0" borderId="118" xfId="0" applyNumberFormat="1" applyFont="1" applyBorder="1"/>
    <xf numFmtId="170" fontId="60" fillId="0" borderId="118" xfId="0" applyNumberFormat="1" applyFont="1" applyBorder="1"/>
    <xf numFmtId="3" fontId="60" fillId="0" borderId="118" xfId="0" applyNumberFormat="1" applyFont="1" applyBorder="1"/>
    <xf numFmtId="1" fontId="57" fillId="0" borderId="119" xfId="0" applyNumberFormat="1" applyFont="1" applyBorder="1"/>
    <xf numFmtId="3" fontId="57" fillId="33" borderId="118" xfId="0" applyNumberFormat="1" applyFont="1" applyFill="1" applyBorder="1"/>
    <xf numFmtId="170" fontId="57" fillId="33" borderId="118" xfId="0" applyNumberFormat="1" applyFont="1" applyFill="1" applyBorder="1"/>
    <xf numFmtId="2" fontId="60" fillId="0" borderId="118" xfId="0" applyNumberFormat="1" applyFont="1" applyBorder="1"/>
    <xf numFmtId="0" fontId="60" fillId="0" borderId="118" xfId="0" applyFont="1" applyBorder="1"/>
    <xf numFmtId="3" fontId="57" fillId="28" borderId="118" xfId="0" applyNumberFormat="1" applyFont="1" applyFill="1" applyBorder="1"/>
    <xf numFmtId="3" fontId="60" fillId="28" borderId="118" xfId="0" applyNumberFormat="1" applyFont="1" applyFill="1" applyBorder="1"/>
    <xf numFmtId="9" fontId="57" fillId="28" borderId="118" xfId="56" applyFont="1" applyFill="1" applyBorder="1" applyAlignment="1">
      <alignment horizontal="right" vertical="center"/>
    </xf>
    <xf numFmtId="4" fontId="57" fillId="0" borderId="118" xfId="0" applyNumberFormat="1" applyFont="1" applyBorder="1"/>
    <xf numFmtId="0" fontId="59" fillId="33" borderId="118" xfId="0" applyFont="1" applyFill="1" applyBorder="1" applyAlignment="1">
      <alignment horizontal="center"/>
    </xf>
    <xf numFmtId="0" fontId="59" fillId="33" borderId="118" xfId="0" applyFont="1" applyFill="1" applyBorder="1"/>
    <xf numFmtId="4" fontId="59" fillId="33" borderId="118" xfId="0" applyNumberFormat="1" applyFont="1" applyFill="1" applyBorder="1"/>
    <xf numFmtId="4" fontId="57" fillId="33" borderId="118" xfId="0" applyNumberFormat="1" applyFont="1" applyFill="1" applyBorder="1"/>
    <xf numFmtId="2" fontId="57" fillId="33" borderId="118" xfId="0" applyNumberFormat="1" applyFont="1" applyFill="1" applyBorder="1"/>
    <xf numFmtId="3" fontId="57" fillId="33" borderId="118" xfId="0" applyNumberFormat="1" applyFont="1" applyFill="1" applyBorder="1" applyAlignment="1">
      <alignment horizontal="right"/>
    </xf>
    <xf numFmtId="0" fontId="57" fillId="34" borderId="118" xfId="0" applyFont="1" applyFill="1" applyBorder="1" applyAlignment="1">
      <alignment horizontal="center"/>
    </xf>
    <xf numFmtId="0" fontId="59" fillId="34" borderId="118" xfId="0" applyFont="1" applyFill="1" applyBorder="1"/>
    <xf numFmtId="4" fontId="59" fillId="34" borderId="118" xfId="0" applyNumberFormat="1" applyFont="1" applyFill="1" applyBorder="1"/>
    <xf numFmtId="3" fontId="59" fillId="34" borderId="118" xfId="0" applyNumberFormat="1" applyFont="1" applyFill="1" applyBorder="1"/>
    <xf numFmtId="2" fontId="59" fillId="34" borderId="118" xfId="0" applyNumberFormat="1" applyFont="1" applyFill="1" applyBorder="1"/>
    <xf numFmtId="3" fontId="59" fillId="34" borderId="118" xfId="0" applyNumberFormat="1" applyFont="1" applyFill="1" applyBorder="1" applyAlignment="1">
      <alignment horizontal="right"/>
    </xf>
    <xf numFmtId="0" fontId="57" fillId="34" borderId="118" xfId="0" applyFont="1" applyFill="1" applyBorder="1"/>
    <xf numFmtId="3" fontId="59" fillId="33" borderId="118" xfId="0" applyNumberFormat="1" applyFont="1" applyFill="1" applyBorder="1"/>
    <xf numFmtId="170" fontId="57" fillId="0" borderId="118" xfId="0" applyNumberFormat="1" applyFont="1" applyBorder="1"/>
    <xf numFmtId="0" fontId="72" fillId="35" borderId="122" xfId="78" applyFont="1" applyFill="1" applyBorder="1" applyAlignment="1">
      <alignment wrapText="1"/>
    </xf>
    <xf numFmtId="0" fontId="72" fillId="35" borderId="122" xfId="78" applyFont="1" applyFill="1" applyBorder="1" applyAlignment="1">
      <alignment horizontal="center" wrapText="1"/>
    </xf>
    <xf numFmtId="0" fontId="66" fillId="0" borderId="0" xfId="78" applyFont="1" applyAlignment="1">
      <alignment wrapText="1"/>
    </xf>
    <xf numFmtId="170" fontId="73" fillId="0" borderId="0" xfId="79" applyNumberFormat="1" applyFont="1" applyAlignment="1">
      <alignment horizontal="center" wrapText="1"/>
    </xf>
    <xf numFmtId="170" fontId="73" fillId="0" borderId="0" xfId="79" applyNumberFormat="1" applyFont="1" applyAlignment="1">
      <alignment horizontal="center"/>
    </xf>
    <xf numFmtId="0" fontId="66" fillId="0" borderId="0" xfId="78" applyFont="1" applyAlignment="1">
      <alignment vertical="top" wrapText="1"/>
    </xf>
    <xf numFmtId="0" fontId="75" fillId="0" borderId="0" xfId="80" applyFont="1" applyAlignment="1">
      <alignment horizontal="left"/>
    </xf>
    <xf numFmtId="0" fontId="76" fillId="0" borderId="0" xfId="78" applyFont="1" applyAlignment="1">
      <alignment wrapText="1"/>
    </xf>
    <xf numFmtId="170" fontId="73" fillId="0" borderId="0" xfId="78" applyNumberFormat="1" applyFont="1" applyAlignment="1">
      <alignment horizontal="center"/>
    </xf>
    <xf numFmtId="0" fontId="69" fillId="0" borderId="0" xfId="78" applyFont="1" applyAlignment="1">
      <alignment horizontal="left" vertical="top" wrapText="1"/>
    </xf>
    <xf numFmtId="170" fontId="67" fillId="0" borderId="0" xfId="79" applyNumberFormat="1" applyFont="1" applyAlignment="1">
      <alignment horizontal="center"/>
    </xf>
    <xf numFmtId="170" fontId="64" fillId="0" borderId="0" xfId="78" applyNumberFormat="1" applyFont="1" applyAlignment="1">
      <alignment horizontal="center"/>
    </xf>
    <xf numFmtId="0" fontId="71" fillId="0" borderId="0" xfId="78" applyFont="1" applyAlignment="1">
      <alignment horizontal="center" wrapText="1"/>
    </xf>
    <xf numFmtId="170" fontId="67" fillId="0" borderId="0" xfId="78" applyNumberFormat="1" applyFont="1" applyAlignment="1">
      <alignment horizontal="center"/>
    </xf>
    <xf numFmtId="0" fontId="74" fillId="0" borderId="0" xfId="78" applyFont="1" applyAlignment="1">
      <alignment horizontal="left" wrapText="1"/>
    </xf>
    <xf numFmtId="0" fontId="72" fillId="0" borderId="0" xfId="78" applyFont="1" applyAlignment="1">
      <alignment wrapText="1"/>
    </xf>
    <xf numFmtId="0" fontId="71" fillId="0" borderId="0" xfId="78" applyFont="1" applyAlignment="1">
      <alignment horizontal="left" wrapText="1"/>
    </xf>
    <xf numFmtId="170" fontId="68" fillId="0" borderId="0" xfId="79" applyNumberFormat="1" applyFont="1" applyAlignment="1">
      <alignment horizontal="center"/>
    </xf>
    <xf numFmtId="0" fontId="65" fillId="0" borderId="0" xfId="80" applyFont="1" applyAlignment="1">
      <alignment horizontal="left"/>
    </xf>
    <xf numFmtId="0" fontId="71" fillId="0" borderId="0" xfId="78" applyFont="1" applyAlignment="1">
      <alignment wrapText="1"/>
    </xf>
    <xf numFmtId="170" fontId="78" fillId="0" borderId="0" xfId="79" applyNumberFormat="1" applyFont="1" applyAlignment="1">
      <alignment horizontal="center"/>
    </xf>
    <xf numFmtId="170" fontId="70" fillId="0" borderId="121" xfId="79" applyNumberFormat="1" applyFont="1" applyBorder="1" applyAlignment="1">
      <alignment horizontal="center"/>
    </xf>
    <xf numFmtId="0" fontId="0" fillId="0" borderId="118" xfId="0" applyBorder="1"/>
    <xf numFmtId="49" fontId="0" fillId="0" borderId="118" xfId="0" applyNumberFormat="1" applyBorder="1"/>
    <xf numFmtId="0" fontId="0" fillId="0" borderId="0" xfId="0" applyAlignment="1" applyProtection="1">
      <alignment horizontal="right"/>
      <protection locked="0"/>
    </xf>
    <xf numFmtId="3" fontId="0" fillId="0" borderId="0" xfId="0" applyNumberFormat="1" applyProtection="1">
      <protection locked="0"/>
    </xf>
    <xf numFmtId="0" fontId="27" fillId="0" borderId="123" xfId="0" applyFont="1" applyBorder="1" applyAlignment="1">
      <alignment horizontal="right"/>
    </xf>
    <xf numFmtId="0" fontId="0" fillId="0" borderId="123" xfId="0" applyBorder="1"/>
    <xf numFmtId="0" fontId="0" fillId="0" borderId="123" xfId="0" applyBorder="1" applyProtection="1">
      <protection locked="0"/>
    </xf>
    <xf numFmtId="0" fontId="33" fillId="0" borderId="123" xfId="0" applyFont="1" applyBorder="1" applyAlignment="1">
      <alignment horizontal="right"/>
    </xf>
    <xf numFmtId="0" fontId="33" fillId="0" borderId="0" xfId="0" applyFont="1" applyAlignment="1">
      <alignment horizontal="right"/>
    </xf>
    <xf numFmtId="0" fontId="0" fillId="0" borderId="0" xfId="0" applyAlignment="1">
      <alignment horizontal="right"/>
    </xf>
    <xf numFmtId="0" fontId="0" fillId="0" borderId="0" xfId="0" quotePrefix="1" applyAlignment="1">
      <alignment horizontal="right"/>
    </xf>
    <xf numFmtId="0" fontId="0" fillId="0" borderId="0" xfId="0" quotePrefix="1" applyAlignment="1">
      <alignment horizontal="center"/>
    </xf>
    <xf numFmtId="1" fontId="0" fillId="0" borderId="0" xfId="0" applyNumberFormat="1" applyAlignment="1">
      <alignment horizontal="right"/>
    </xf>
    <xf numFmtId="1" fontId="0" fillId="0" borderId="123" xfId="0" applyNumberFormat="1" applyBorder="1"/>
    <xf numFmtId="0" fontId="0" fillId="0" borderId="123" xfId="0" applyBorder="1" applyAlignment="1">
      <alignment horizontal="left"/>
    </xf>
    <xf numFmtId="1" fontId="2" fillId="0" borderId="0" xfId="0" applyNumberFormat="1" applyFont="1" applyAlignment="1">
      <alignment horizontal="right"/>
    </xf>
    <xf numFmtId="0" fontId="2" fillId="0" borderId="0" xfId="0" applyFont="1" applyProtection="1">
      <protection locked="0"/>
    </xf>
    <xf numFmtId="1" fontId="2" fillId="0" borderId="0" xfId="0" applyNumberFormat="1" applyFont="1"/>
    <xf numFmtId="3" fontId="0" fillId="0" borderId="123" xfId="0" applyNumberFormat="1" applyBorder="1" applyProtection="1">
      <protection locked="0"/>
    </xf>
    <xf numFmtId="0" fontId="0" fillId="21" borderId="123" xfId="0" applyFill="1" applyBorder="1" applyProtection="1">
      <protection locked="0"/>
    </xf>
    <xf numFmtId="0" fontId="0" fillId="36" borderId="123" xfId="0" applyFill="1" applyBorder="1" applyProtection="1">
      <protection locked="0"/>
    </xf>
    <xf numFmtId="0" fontId="0" fillId="37" borderId="123" xfId="0" applyFill="1" applyBorder="1" applyProtection="1">
      <protection locked="0"/>
    </xf>
    <xf numFmtId="0" fontId="0" fillId="0" borderId="123" xfId="0" applyBorder="1" applyAlignment="1" applyProtection="1">
      <alignment wrapText="1"/>
      <protection locked="0"/>
    </xf>
    <xf numFmtId="170" fontId="0" fillId="0" borderId="123" xfId="0" applyNumberFormat="1" applyBorder="1" applyProtection="1">
      <protection locked="0"/>
    </xf>
    <xf numFmtId="0" fontId="2" fillId="0" borderId="123" xfId="0" applyFont="1" applyBorder="1" applyAlignment="1" applyProtection="1">
      <alignment horizontal="center" vertical="center"/>
      <protection locked="0"/>
    </xf>
    <xf numFmtId="49" fontId="0" fillId="0" borderId="0" xfId="0" applyNumberFormat="1"/>
    <xf numFmtId="0" fontId="72" fillId="35" borderId="0" xfId="78" applyFont="1" applyFill="1" applyAlignment="1">
      <alignment wrapText="1"/>
    </xf>
    <xf numFmtId="0" fontId="72" fillId="35" borderId="0" xfId="78" applyFont="1" applyFill="1" applyAlignment="1">
      <alignment horizontal="center" wrapText="1"/>
    </xf>
    <xf numFmtId="0" fontId="2" fillId="0" borderId="118" xfId="0" applyFont="1" applyBorder="1" applyProtection="1">
      <protection locked="0"/>
    </xf>
    <xf numFmtId="0" fontId="2" fillId="0" borderId="124" xfId="0" applyFont="1" applyBorder="1" applyAlignment="1" applyProtection="1">
      <alignment horizontal="center"/>
      <protection locked="0"/>
    </xf>
    <xf numFmtId="0" fontId="2" fillId="0" borderId="16" xfId="0" applyFont="1" applyBorder="1" applyAlignment="1" applyProtection="1">
      <alignment horizontal="center"/>
      <protection locked="0"/>
    </xf>
    <xf numFmtId="3" fontId="0" fillId="0" borderId="123" xfId="0" applyNumberFormat="1" applyBorder="1" applyAlignment="1">
      <alignment horizontal="right"/>
    </xf>
    <xf numFmtId="3" fontId="0" fillId="0" borderId="123" xfId="0" applyNumberFormat="1" applyBorder="1"/>
    <xf numFmtId="3" fontId="0" fillId="0" borderId="123" xfId="0" quotePrefix="1" applyNumberFormat="1" applyBorder="1" applyAlignment="1">
      <alignment horizontal="right"/>
    </xf>
    <xf numFmtId="3" fontId="0" fillId="0" borderId="123" xfId="0" quotePrefix="1" applyNumberFormat="1" applyBorder="1" applyAlignment="1">
      <alignment horizontal="center"/>
    </xf>
    <xf numFmtId="3" fontId="2" fillId="0" borderId="123" xfId="0" quotePrefix="1" applyNumberFormat="1" applyFont="1" applyBorder="1" applyAlignment="1">
      <alignment horizontal="center"/>
    </xf>
    <xf numFmtId="3" fontId="2" fillId="0" borderId="123" xfId="0" applyNumberFormat="1" applyFont="1" applyBorder="1"/>
    <xf numFmtId="3" fontId="2" fillId="0" borderId="123" xfId="0" applyNumberFormat="1" applyFont="1" applyBorder="1" applyAlignment="1">
      <alignment horizontal="right"/>
    </xf>
    <xf numFmtId="3" fontId="0" fillId="0" borderId="0" xfId="0" applyNumberFormat="1" applyAlignment="1">
      <alignment horizontal="right"/>
    </xf>
    <xf numFmtId="3" fontId="0" fillId="0" borderId="0" xfId="0" quotePrefix="1" applyNumberFormat="1" applyAlignment="1">
      <alignment horizontal="center"/>
    </xf>
    <xf numFmtId="3" fontId="0" fillId="0" borderId="123" xfId="0" applyNumberFormat="1" applyBorder="1" applyAlignment="1">
      <alignment horizontal="right" indent="2"/>
    </xf>
    <xf numFmtId="3" fontId="2" fillId="0" borderId="123" xfId="0" applyNumberFormat="1" applyFont="1" applyBorder="1" applyAlignment="1">
      <alignment horizontal="right" indent="2"/>
    </xf>
    <xf numFmtId="3" fontId="2" fillId="0" borderId="123" xfId="0" applyNumberFormat="1" applyFont="1" applyBorder="1" applyProtection="1">
      <protection locked="0"/>
    </xf>
    <xf numFmtId="3" fontId="0" fillId="0" borderId="0" xfId="0" quotePrefix="1" applyNumberFormat="1" applyAlignment="1">
      <alignment horizontal="right"/>
    </xf>
    <xf numFmtId="3" fontId="2" fillId="0" borderId="0" xfId="0" quotePrefix="1" applyNumberFormat="1" applyFont="1" applyAlignment="1">
      <alignment horizontal="center"/>
    </xf>
    <xf numFmtId="3" fontId="0" fillId="21" borderId="123" xfId="0" applyNumberFormat="1" applyFill="1" applyBorder="1" applyProtection="1">
      <protection locked="0"/>
    </xf>
    <xf numFmtId="3" fontId="0" fillId="36" borderId="123" xfId="0" applyNumberFormat="1" applyFill="1" applyBorder="1" applyProtection="1">
      <protection locked="0"/>
    </xf>
    <xf numFmtId="3" fontId="0" fillId="37" borderId="123" xfId="0" applyNumberFormat="1" applyFill="1" applyBorder="1" applyProtection="1">
      <protection locked="0"/>
    </xf>
    <xf numFmtId="0" fontId="84" fillId="0" borderId="0" xfId="0" applyFont="1" applyProtection="1">
      <protection locked="0"/>
    </xf>
    <xf numFmtId="170" fontId="70" fillId="0" borderId="121" xfId="79" applyNumberFormat="1" applyFont="1" applyBorder="1" applyAlignment="1">
      <alignment horizontal="center" wrapText="1"/>
    </xf>
    <xf numFmtId="0" fontId="59" fillId="0" borderId="0" xfId="0" applyFont="1" applyAlignment="1">
      <alignment textRotation="90"/>
    </xf>
    <xf numFmtId="168" fontId="59" fillId="0" borderId="0" xfId="55" applyNumberFormat="1" applyFont="1" applyFill="1" applyBorder="1"/>
    <xf numFmtId="168" fontId="57" fillId="0" borderId="0" xfId="55" applyNumberFormat="1" applyFont="1" applyFill="1" applyBorder="1"/>
    <xf numFmtId="168" fontId="61" fillId="0" borderId="0" xfId="55" applyNumberFormat="1" applyFont="1" applyFill="1" applyBorder="1"/>
    <xf numFmtId="3" fontId="57" fillId="0" borderId="134" xfId="0" applyNumberFormat="1" applyFont="1" applyBorder="1"/>
    <xf numFmtId="2" fontId="60" fillId="0" borderId="134" xfId="0" applyNumberFormat="1" applyFont="1" applyBorder="1"/>
    <xf numFmtId="4" fontId="60" fillId="0" borderId="134" xfId="0" applyNumberFormat="1" applyFont="1" applyBorder="1"/>
    <xf numFmtId="3" fontId="60" fillId="28" borderId="134" xfId="0" applyNumberFormat="1" applyFont="1" applyFill="1" applyBorder="1"/>
    <xf numFmtId="170" fontId="63" fillId="35" borderId="121" xfId="79" applyNumberFormat="1" applyFont="1" applyFill="1" applyBorder="1" applyAlignment="1">
      <alignment horizontal="center"/>
    </xf>
    <xf numFmtId="3" fontId="49" fillId="28" borderId="136" xfId="0" applyNumberFormat="1" applyFont="1" applyFill="1" applyBorder="1"/>
    <xf numFmtId="1" fontId="0" fillId="0" borderId="136" xfId="0" applyNumberFormat="1" applyBorder="1" applyProtection="1">
      <protection locked="0"/>
    </xf>
    <xf numFmtId="1" fontId="0" fillId="0" borderId="16" xfId="0" applyNumberFormat="1" applyBorder="1" applyProtection="1">
      <protection locked="0"/>
    </xf>
    <xf numFmtId="0" fontId="0" fillId="0" borderId="16" xfId="0" applyBorder="1" applyProtection="1">
      <protection locked="0"/>
    </xf>
    <xf numFmtId="0" fontId="0" fillId="0" borderId="136" xfId="0" applyBorder="1" applyProtection="1">
      <protection locked="0"/>
    </xf>
    <xf numFmtId="0" fontId="31" fillId="28" borderId="136" xfId="0" applyFont="1" applyFill="1" applyBorder="1"/>
    <xf numFmtId="2" fontId="49" fillId="0" borderId="136" xfId="0" applyNumberFormat="1" applyFont="1" applyBorder="1"/>
    <xf numFmtId="3" fontId="49" fillId="0" borderId="136" xfId="0" applyNumberFormat="1" applyFont="1" applyBorder="1"/>
    <xf numFmtId="166" fontId="49" fillId="0" borderId="136" xfId="0" applyNumberFormat="1" applyFont="1" applyBorder="1"/>
    <xf numFmtId="1" fontId="31" fillId="0" borderId="136" xfId="0" applyNumberFormat="1" applyFont="1" applyBorder="1"/>
    <xf numFmtId="0" fontId="49" fillId="0" borderId="136" xfId="0" applyFont="1" applyBorder="1"/>
    <xf numFmtId="4" fontId="50" fillId="28" borderId="136" xfId="0" applyNumberFormat="1" applyFont="1" applyFill="1" applyBorder="1"/>
    <xf numFmtId="0" fontId="49" fillId="28" borderId="136" xfId="0" applyFont="1" applyFill="1" applyBorder="1"/>
    <xf numFmtId="3" fontId="31" fillId="28" borderId="136" xfId="0" applyNumberFormat="1" applyFont="1" applyFill="1" applyBorder="1"/>
    <xf numFmtId="3" fontId="31" fillId="0" borderId="136" xfId="0" applyNumberFormat="1" applyFont="1" applyBorder="1"/>
    <xf numFmtId="3" fontId="49" fillId="0" borderId="136" xfId="0" applyNumberFormat="1" applyFont="1" applyBorder="1" applyAlignment="1">
      <alignment wrapText="1"/>
    </xf>
    <xf numFmtId="3" fontId="46" fillId="20" borderId="136" xfId="0" applyNumberFormat="1" applyFont="1" applyFill="1" applyBorder="1"/>
    <xf numFmtId="0" fontId="31" fillId="0" borderId="136" xfId="0" applyFont="1" applyBorder="1" applyAlignment="1">
      <alignment horizontal="right" wrapText="1"/>
    </xf>
    <xf numFmtId="0" fontId="31" fillId="0" borderId="136" xfId="0" applyFont="1" applyBorder="1"/>
    <xf numFmtId="0" fontId="51" fillId="0" borderId="136" xfId="0" applyFont="1" applyBorder="1" applyAlignment="1">
      <alignment vertical="center"/>
    </xf>
    <xf numFmtId="0" fontId="52" fillId="0" borderId="136" xfId="0" applyFont="1" applyBorder="1" applyAlignment="1">
      <alignment textRotation="90"/>
    </xf>
    <xf numFmtId="3" fontId="52" fillId="0" borderId="136" xfId="0" applyNumberFormat="1" applyFont="1" applyBorder="1"/>
    <xf numFmtId="166" fontId="52" fillId="0" borderId="136" xfId="0" applyNumberFormat="1" applyFont="1" applyBorder="1"/>
    <xf numFmtId="1" fontId="51" fillId="0" borderId="136" xfId="0" applyNumberFormat="1" applyFont="1" applyBorder="1"/>
    <xf numFmtId="0" fontId="52" fillId="0" borderId="136" xfId="0" applyFont="1" applyBorder="1"/>
    <xf numFmtId="3" fontId="52" fillId="28" borderId="136" xfId="0" applyNumberFormat="1" applyFont="1" applyFill="1" applyBorder="1"/>
    <xf numFmtId="0" fontId="51" fillId="0" borderId="136" xfId="0" applyFont="1" applyBorder="1"/>
    <xf numFmtId="0" fontId="0" fillId="0" borderId="137" xfId="0" applyBorder="1" applyProtection="1">
      <protection locked="0"/>
    </xf>
    <xf numFmtId="1" fontId="0" fillId="0" borderId="137" xfId="0" applyNumberFormat="1" applyBorder="1" applyProtection="1">
      <protection locked="0"/>
    </xf>
    <xf numFmtId="0" fontId="31" fillId="0" borderId="72" xfId="0" applyFont="1" applyBorder="1" applyAlignment="1">
      <alignment textRotation="90" wrapText="1"/>
    </xf>
    <xf numFmtId="0" fontId="48" fillId="0" borderId="72" xfId="0" applyFont="1" applyBorder="1" applyAlignment="1">
      <alignment textRotation="90" wrapText="1"/>
    </xf>
    <xf numFmtId="0" fontId="59" fillId="0" borderId="72" xfId="0" applyFont="1" applyBorder="1" applyAlignment="1">
      <alignment textRotation="90" wrapText="1"/>
    </xf>
    <xf numFmtId="0" fontId="31" fillId="28" borderId="72" xfId="0" applyFont="1" applyFill="1" applyBorder="1" applyAlignment="1">
      <alignment textRotation="90" wrapText="1"/>
    </xf>
    <xf numFmtId="0" fontId="48" fillId="20" borderId="72" xfId="0" applyFont="1" applyFill="1" applyBorder="1" applyAlignment="1">
      <alignment vertical="center" textRotation="90" wrapText="1"/>
    </xf>
    <xf numFmtId="0" fontId="49" fillId="0" borderId="72" xfId="0" applyFont="1" applyBorder="1" applyAlignment="1">
      <alignment horizontal="center" wrapText="1"/>
    </xf>
    <xf numFmtId="0" fontId="31" fillId="0" borderId="72" xfId="0" applyFont="1" applyBorder="1" applyAlignment="1">
      <alignment horizontal="center" vertical="center" wrapText="1"/>
    </xf>
    <xf numFmtId="0" fontId="31" fillId="0" borderId="19" xfId="0" applyFont="1" applyBorder="1" applyAlignment="1">
      <alignment horizontal="center" vertical="center" wrapText="1"/>
    </xf>
    <xf numFmtId="0" fontId="31" fillId="0" borderId="139" xfId="0" applyFont="1" applyBorder="1"/>
    <xf numFmtId="3" fontId="52" fillId="0" borderId="139" xfId="0" applyNumberFormat="1" applyFont="1" applyBorder="1"/>
    <xf numFmtId="0" fontId="31" fillId="0" borderId="135" xfId="0" applyFont="1" applyBorder="1"/>
    <xf numFmtId="1" fontId="0" fillId="0" borderId="135" xfId="0" applyNumberFormat="1" applyBorder="1" applyProtection="1">
      <protection locked="0"/>
    </xf>
    <xf numFmtId="3" fontId="52" fillId="0" borderId="135" xfId="0" applyNumberFormat="1" applyFont="1" applyBorder="1"/>
    <xf numFmtId="3" fontId="46" fillId="20" borderId="135" xfId="0" applyNumberFormat="1" applyFont="1" applyFill="1" applyBorder="1"/>
    <xf numFmtId="3" fontId="52" fillId="0" borderId="141" xfId="0" applyNumberFormat="1" applyFont="1" applyBorder="1"/>
    <xf numFmtId="2" fontId="49" fillId="0" borderId="136" xfId="3" applyNumberFormat="1" applyFont="1" applyBorder="1"/>
    <xf numFmtId="3" fontId="49" fillId="0" borderId="136" xfId="3" applyNumberFormat="1" applyFont="1" applyBorder="1"/>
    <xf numFmtId="166" fontId="49" fillId="0" borderId="136" xfId="3" applyNumberFormat="1" applyFont="1" applyBorder="1"/>
    <xf numFmtId="1" fontId="31" fillId="0" borderId="136" xfId="3" applyNumberFormat="1" applyFont="1" applyBorder="1"/>
    <xf numFmtId="0" fontId="49" fillId="0" borderId="136" xfId="3" applyFont="1" applyBorder="1"/>
    <xf numFmtId="3" fontId="49" fillId="28" borderId="136" xfId="3" applyNumberFormat="1" applyFont="1" applyFill="1" applyBorder="1"/>
    <xf numFmtId="4" fontId="50" fillId="28" borderId="136" xfId="3" applyNumberFormat="1" applyFont="1" applyFill="1" applyBorder="1"/>
    <xf numFmtId="0" fontId="49" fillId="28" borderId="136" xfId="3" applyFont="1" applyFill="1" applyBorder="1"/>
    <xf numFmtId="0" fontId="31" fillId="28" borderId="136" xfId="3" applyFont="1" applyFill="1" applyBorder="1"/>
    <xf numFmtId="3" fontId="31" fillId="28" borderId="136" xfId="3" applyNumberFormat="1" applyFont="1" applyFill="1" applyBorder="1"/>
    <xf numFmtId="3" fontId="31" fillId="0" borderId="136" xfId="3" applyNumberFormat="1" applyFont="1" applyBorder="1"/>
    <xf numFmtId="3" fontId="49" fillId="0" borderId="136" xfId="3" applyNumberFormat="1" applyFont="1" applyBorder="1" applyAlignment="1">
      <alignment wrapText="1"/>
    </xf>
    <xf numFmtId="3" fontId="46" fillId="20" borderId="136" xfId="3" applyNumberFormat="1" applyFont="1" applyFill="1" applyBorder="1"/>
    <xf numFmtId="0" fontId="31" fillId="0" borderId="136" xfId="3" applyFont="1" applyBorder="1" applyAlignment="1">
      <alignment horizontal="right" wrapText="1"/>
    </xf>
    <xf numFmtId="0" fontId="31" fillId="0" borderId="139" xfId="3" applyFont="1" applyBorder="1"/>
    <xf numFmtId="0" fontId="31" fillId="0" borderId="136" xfId="3" applyFont="1" applyBorder="1"/>
    <xf numFmtId="0" fontId="52" fillId="0" borderId="135" xfId="3" applyFont="1" applyBorder="1" applyAlignment="1">
      <alignment textRotation="90"/>
    </xf>
    <xf numFmtId="3" fontId="52" fillId="0" borderId="135" xfId="3" applyNumberFormat="1" applyFont="1" applyBorder="1"/>
    <xf numFmtId="166" fontId="52" fillId="0" borderId="135" xfId="3" applyNumberFormat="1" applyFont="1" applyBorder="1"/>
    <xf numFmtId="1" fontId="51" fillId="0" borderId="135" xfId="3" applyNumberFormat="1" applyFont="1" applyBorder="1"/>
    <xf numFmtId="0" fontId="52" fillId="0" borderId="135" xfId="3" applyFont="1" applyBorder="1"/>
    <xf numFmtId="3" fontId="52" fillId="28" borderId="135" xfId="3" applyNumberFormat="1" applyFont="1" applyFill="1" applyBorder="1"/>
    <xf numFmtId="3" fontId="51" fillId="20" borderId="135" xfId="3" applyNumberFormat="1" applyFont="1" applyFill="1" applyBorder="1"/>
    <xf numFmtId="3" fontId="52" fillId="0" borderId="141" xfId="3" applyNumberFormat="1" applyFont="1" applyBorder="1"/>
    <xf numFmtId="0" fontId="31" fillId="0" borderId="136" xfId="0" applyFont="1" applyBorder="1" applyAlignment="1">
      <alignment horizontal="left" vertical="center"/>
    </xf>
    <xf numFmtId="0" fontId="51" fillId="0" borderId="136" xfId="0" applyFont="1" applyBorder="1" applyAlignment="1">
      <alignment horizontal="left" vertical="center"/>
    </xf>
    <xf numFmtId="2" fontId="31" fillId="0" borderId="136" xfId="0" applyNumberFormat="1" applyFont="1" applyBorder="1"/>
    <xf numFmtId="0" fontId="49" fillId="0" borderId="136" xfId="0" applyFont="1" applyBorder="1" applyAlignment="1">
      <alignment vertical="top"/>
    </xf>
    <xf numFmtId="0" fontId="0" fillId="0" borderId="71" xfId="0" applyBorder="1" applyAlignment="1" applyProtection="1">
      <alignment vertical="center"/>
      <protection locked="0"/>
    </xf>
    <xf numFmtId="0" fontId="46" fillId="0" borderId="72" xfId="0" applyFont="1" applyBorder="1" applyAlignment="1">
      <alignment horizontal="center" vertical="center" wrapText="1"/>
    </xf>
    <xf numFmtId="0" fontId="47" fillId="0" borderId="72" xfId="0" applyFont="1" applyBorder="1" applyAlignment="1">
      <alignment textRotation="90" wrapText="1"/>
    </xf>
    <xf numFmtId="0" fontId="0" fillId="0" borderId="140" xfId="0" applyBorder="1" applyProtection="1">
      <protection locked="0"/>
    </xf>
    <xf numFmtId="0" fontId="51" fillId="0" borderId="135" xfId="3" applyFont="1" applyBorder="1"/>
    <xf numFmtId="0" fontId="0" fillId="0" borderId="44" xfId="0" applyBorder="1" applyProtection="1">
      <protection locked="0"/>
    </xf>
    <xf numFmtId="0" fontId="0" fillId="0" borderId="144" xfId="0" applyBorder="1" applyProtection="1">
      <protection locked="0"/>
    </xf>
    <xf numFmtId="0" fontId="31" fillId="0" borderId="136" xfId="3" applyFont="1" applyBorder="1" applyAlignment="1">
      <alignment horizontal="left" vertical="center"/>
    </xf>
    <xf numFmtId="0" fontId="49" fillId="0" borderId="136" xfId="3" applyFont="1" applyBorder="1" applyAlignment="1">
      <alignment vertical="top"/>
    </xf>
    <xf numFmtId="2" fontId="31" fillId="0" borderId="136" xfId="3" applyNumberFormat="1" applyFont="1" applyBorder="1"/>
    <xf numFmtId="0" fontId="46" fillId="0" borderId="72" xfId="3" applyFont="1" applyBorder="1" applyAlignment="1">
      <alignment horizontal="center" vertical="center" wrapText="1"/>
    </xf>
    <xf numFmtId="0" fontId="47" fillId="0" borderId="72" xfId="3" applyFont="1" applyBorder="1" applyAlignment="1">
      <alignment textRotation="90" wrapText="1"/>
    </xf>
    <xf numFmtId="0" fontId="31" fillId="0" borderId="72" xfId="3" applyFont="1" applyBorder="1" applyAlignment="1">
      <alignment horizontal="center" vertical="center" wrapText="1"/>
    </xf>
    <xf numFmtId="0" fontId="31" fillId="0" borderId="72" xfId="3" applyFont="1" applyBorder="1" applyAlignment="1">
      <alignment textRotation="90" wrapText="1"/>
    </xf>
    <xf numFmtId="0" fontId="48" fillId="0" borderId="72" xfId="3" applyFont="1" applyBorder="1" applyAlignment="1">
      <alignment textRotation="90" wrapText="1"/>
    </xf>
    <xf numFmtId="0" fontId="31" fillId="28" borderId="72" xfId="3" applyFont="1" applyFill="1" applyBorder="1" applyAlignment="1">
      <alignment textRotation="90" wrapText="1"/>
    </xf>
    <xf numFmtId="0" fontId="48" fillId="20" borderId="72" xfId="3" applyFont="1" applyFill="1" applyBorder="1" applyAlignment="1">
      <alignment vertical="center" textRotation="90" wrapText="1"/>
    </xf>
    <xf numFmtId="0" fontId="49" fillId="0" borderId="72" xfId="3" applyFont="1" applyBorder="1" applyAlignment="1">
      <alignment horizontal="center" wrapText="1"/>
    </xf>
    <xf numFmtId="0" fontId="31" fillId="0" borderId="19" xfId="3" applyFont="1" applyBorder="1" applyAlignment="1">
      <alignment horizontal="center" vertical="center" wrapText="1"/>
    </xf>
    <xf numFmtId="0" fontId="51" fillId="0" borderId="135" xfId="3" applyFont="1" applyBorder="1" applyAlignment="1">
      <alignment horizontal="left" vertical="center"/>
    </xf>
    <xf numFmtId="0" fontId="51" fillId="0" borderId="135" xfId="3" applyFont="1" applyBorder="1" applyAlignment="1">
      <alignment vertical="center"/>
    </xf>
    <xf numFmtId="0" fontId="0" fillId="0" borderId="138" xfId="0" applyBorder="1" applyAlignment="1" applyProtection="1">
      <alignment vertical="center"/>
      <protection locked="0"/>
    </xf>
    <xf numFmtId="170" fontId="70" fillId="35" borderId="121" xfId="55" applyNumberFormat="1" applyFont="1" applyFill="1" applyBorder="1" applyAlignment="1" applyProtection="1">
      <alignment horizontal="center" vertical="center"/>
    </xf>
    <xf numFmtId="170" fontId="72" fillId="35" borderId="122" xfId="78" applyNumberFormat="1" applyFont="1" applyFill="1" applyBorder="1" applyAlignment="1">
      <alignment horizontal="center" wrapText="1"/>
    </xf>
    <xf numFmtId="0" fontId="27" fillId="0" borderId="96" xfId="0" applyFont="1" applyBorder="1" applyAlignment="1">
      <alignment horizontal="right"/>
    </xf>
    <xf numFmtId="49" fontId="0" fillId="24" borderId="12" xfId="0" applyNumberFormat="1" applyFill="1" applyBorder="1" applyAlignment="1" applyProtection="1">
      <alignment wrapText="1"/>
      <protection locked="0"/>
    </xf>
    <xf numFmtId="0" fontId="0" fillId="0" borderId="146" xfId="0" applyBorder="1" applyProtection="1">
      <protection locked="0"/>
    </xf>
    <xf numFmtId="1" fontId="0" fillId="0" borderId="146" xfId="0" applyNumberFormat="1" applyBorder="1" applyProtection="1">
      <protection locked="0"/>
    </xf>
    <xf numFmtId="3" fontId="0" fillId="0" borderId="146" xfId="0" applyNumberFormat="1" applyBorder="1" applyProtection="1">
      <protection locked="0"/>
    </xf>
    <xf numFmtId="0" fontId="0" fillId="0" borderId="147" xfId="0" applyBorder="1" applyProtection="1">
      <protection locked="0"/>
    </xf>
    <xf numFmtId="0" fontId="2" fillId="0" borderId="147" xfId="0" applyFont="1" applyBorder="1"/>
    <xf numFmtId="3" fontId="86" fillId="0" borderId="147" xfId="0" applyNumberFormat="1" applyFont="1" applyBorder="1"/>
    <xf numFmtId="0" fontId="0" fillId="0" borderId="147" xfId="0" applyBorder="1"/>
    <xf numFmtId="0" fontId="86" fillId="0" borderId="147" xfId="0" applyFont="1" applyBorder="1"/>
    <xf numFmtId="0" fontId="0" fillId="0" borderId="147" xfId="0" quotePrefix="1" applyBorder="1"/>
    <xf numFmtId="0" fontId="79" fillId="0" borderId="123" xfId="0" applyFont="1" applyBorder="1" applyAlignment="1">
      <alignment horizontal="center" wrapText="1"/>
    </xf>
    <xf numFmtId="0" fontId="81" fillId="0" borderId="123" xfId="0" applyFont="1" applyBorder="1" applyAlignment="1">
      <alignment horizontal="center" wrapText="1"/>
    </xf>
    <xf numFmtId="0" fontId="81" fillId="0" borderId="0" xfId="0" applyFont="1" applyAlignment="1">
      <alignment horizontal="center" wrapText="1"/>
    </xf>
    <xf numFmtId="0" fontId="0" fillId="28" borderId="147" xfId="0" applyFill="1" applyBorder="1"/>
    <xf numFmtId="0" fontId="0" fillId="0" borderId="148" xfId="0" applyBorder="1" applyProtection="1">
      <protection locked="0"/>
    </xf>
    <xf numFmtId="3" fontId="86" fillId="0" borderId="148" xfId="0" applyNumberFormat="1" applyFont="1" applyBorder="1"/>
    <xf numFmtId="0" fontId="86" fillId="0" borderId="148" xfId="0" applyFont="1" applyBorder="1"/>
    <xf numFmtId="0" fontId="0" fillId="0" borderId="148" xfId="0" applyBorder="1"/>
    <xf numFmtId="0" fontId="49" fillId="0" borderId="0" xfId="37" applyFont="1"/>
    <xf numFmtId="0" fontId="49" fillId="0" borderId="0" xfId="37" applyFont="1" applyAlignment="1">
      <alignment horizontal="center"/>
    </xf>
    <xf numFmtId="0" fontId="49" fillId="0" borderId="0" xfId="37" applyFont="1" applyAlignment="1">
      <alignment horizontal="right"/>
    </xf>
    <xf numFmtId="0" fontId="56" fillId="33" borderId="0" xfId="37" applyFont="1" applyFill="1" applyAlignment="1">
      <alignment horizontal="center"/>
    </xf>
    <xf numFmtId="0" fontId="57" fillId="0" borderId="149" xfId="37" applyFont="1" applyBorder="1" applyAlignment="1">
      <alignment textRotation="90" wrapText="1"/>
    </xf>
    <xf numFmtId="0" fontId="57" fillId="0" borderId="149" xfId="37" applyFont="1" applyBorder="1" applyAlignment="1">
      <alignment textRotation="90"/>
    </xf>
    <xf numFmtId="0" fontId="58" fillId="0" borderId="149" xfId="37" applyFont="1" applyBorder="1" applyAlignment="1">
      <alignment textRotation="90"/>
    </xf>
    <xf numFmtId="0" fontId="59" fillId="33" borderId="149" xfId="37" applyFont="1" applyFill="1" applyBorder="1" applyAlignment="1">
      <alignment textRotation="90"/>
    </xf>
    <xf numFmtId="3" fontId="59" fillId="33" borderId="149" xfId="37" applyNumberFormat="1" applyFont="1" applyFill="1" applyBorder="1" applyAlignment="1">
      <alignment horizontal="right" textRotation="90" wrapText="1"/>
    </xf>
    <xf numFmtId="0" fontId="57" fillId="28" borderId="149" xfId="37" applyFont="1" applyFill="1" applyBorder="1" applyAlignment="1">
      <alignment horizontal="right" textRotation="90" wrapText="1"/>
    </xf>
    <xf numFmtId="0" fontId="59" fillId="33" borderId="149" xfId="37" applyFont="1" applyFill="1" applyBorder="1" applyAlignment="1">
      <alignment textRotation="90" wrapText="1"/>
    </xf>
    <xf numFmtId="3" fontId="57" fillId="28" borderId="149" xfId="37" applyNumberFormat="1" applyFont="1" applyFill="1" applyBorder="1" applyAlignment="1">
      <alignment horizontal="right" textRotation="90" wrapText="1"/>
    </xf>
    <xf numFmtId="0" fontId="57" fillId="0" borderId="149" xfId="37" applyFont="1" applyBorder="1"/>
    <xf numFmtId="4" fontId="60" fillId="0" borderId="149" xfId="37" applyNumberFormat="1" applyFont="1" applyBorder="1"/>
    <xf numFmtId="3" fontId="57" fillId="0" borderId="149" xfId="37" applyNumberFormat="1" applyFont="1" applyBorder="1"/>
    <xf numFmtId="3" fontId="60" fillId="0" borderId="149" xfId="37" applyNumberFormat="1" applyFont="1" applyBorder="1"/>
    <xf numFmtId="1" fontId="57" fillId="0" borderId="149" xfId="37" applyNumberFormat="1" applyFont="1" applyBorder="1"/>
    <xf numFmtId="3" fontId="57" fillId="33" borderId="149" xfId="37" applyNumberFormat="1" applyFont="1" applyFill="1" applyBorder="1"/>
    <xf numFmtId="3" fontId="60" fillId="28" borderId="149" xfId="37" applyNumberFormat="1" applyFont="1" applyFill="1" applyBorder="1"/>
    <xf numFmtId="168" fontId="57" fillId="33" borderId="149" xfId="62" applyNumberFormat="1" applyFont="1" applyFill="1" applyBorder="1"/>
    <xf numFmtId="1" fontId="57" fillId="0" borderId="150" xfId="37" applyNumberFormat="1" applyFont="1" applyBorder="1"/>
    <xf numFmtId="0" fontId="49" fillId="0" borderId="149" xfId="37" applyFont="1" applyBorder="1"/>
    <xf numFmtId="0" fontId="87" fillId="0" borderId="149" xfId="37" applyFont="1" applyBorder="1" applyAlignment="1">
      <alignment horizontal="right"/>
    </xf>
    <xf numFmtId="0" fontId="87" fillId="0" borderId="149" xfId="37" applyFont="1" applyBorder="1"/>
    <xf numFmtId="1" fontId="49" fillId="0" borderId="149" xfId="37" applyNumberFormat="1" applyFont="1" applyBorder="1"/>
    <xf numFmtId="3" fontId="49" fillId="0" borderId="149" xfId="37" applyNumberFormat="1" applyFont="1" applyBorder="1"/>
    <xf numFmtId="1" fontId="49" fillId="0" borderId="16" xfId="37" applyNumberFormat="1" applyFont="1" applyBorder="1"/>
    <xf numFmtId="0" fontId="57" fillId="0" borderId="150" xfId="37" applyFont="1" applyBorder="1"/>
    <xf numFmtId="0" fontId="59" fillId="33" borderId="149" xfId="37" applyFont="1" applyFill="1" applyBorder="1"/>
    <xf numFmtId="3" fontId="59" fillId="33" borderId="149" xfId="37" applyNumberFormat="1" applyFont="1" applyFill="1" applyBorder="1"/>
    <xf numFmtId="0" fontId="57" fillId="38" borderId="0" xfId="37" applyFont="1" applyFill="1"/>
    <xf numFmtId="0" fontId="59" fillId="38" borderId="0" xfId="37" applyFont="1" applyFill="1"/>
    <xf numFmtId="3" fontId="59" fillId="38" borderId="0" xfId="37" applyNumberFormat="1" applyFont="1" applyFill="1"/>
    <xf numFmtId="0" fontId="57" fillId="29" borderId="149" xfId="37" applyFont="1" applyFill="1" applyBorder="1"/>
    <xf numFmtId="0" fontId="57" fillId="34" borderId="149" xfId="37" applyFont="1" applyFill="1" applyBorder="1"/>
    <xf numFmtId="171" fontId="57" fillId="33" borderId="149" xfId="37" applyNumberFormat="1" applyFont="1" applyFill="1" applyBorder="1"/>
    <xf numFmtId="0" fontId="88" fillId="34" borderId="149" xfId="37" applyFont="1" applyFill="1" applyBorder="1"/>
    <xf numFmtId="0" fontId="0" fillId="28" borderId="0" xfId="0" applyFill="1" applyProtection="1">
      <protection locked="0"/>
    </xf>
    <xf numFmtId="0" fontId="2" fillId="0" borderId="147" xfId="0" applyFont="1" applyBorder="1" applyProtection="1">
      <protection locked="0"/>
    </xf>
    <xf numFmtId="0" fontId="80" fillId="2" borderId="147" xfId="0" applyFont="1" applyFill="1" applyBorder="1" applyProtection="1">
      <protection locked="0"/>
    </xf>
    <xf numFmtId="0" fontId="0" fillId="2" borderId="147" xfId="0" applyFill="1" applyBorder="1" applyProtection="1">
      <protection locked="0"/>
    </xf>
    <xf numFmtId="1" fontId="0" fillId="2" borderId="0" xfId="0" applyNumberFormat="1" applyFill="1"/>
    <xf numFmtId="0" fontId="80" fillId="2" borderId="147" xfId="0" applyFont="1" applyFill="1" applyBorder="1" applyAlignment="1">
      <alignment vertical="center"/>
    </xf>
    <xf numFmtId="3" fontId="86" fillId="2" borderId="147" xfId="0" applyNumberFormat="1" applyFont="1" applyFill="1" applyBorder="1"/>
    <xf numFmtId="0" fontId="82" fillId="2" borderId="147" xfId="0" applyFont="1" applyFill="1" applyBorder="1" applyAlignment="1">
      <alignment vertical="center"/>
    </xf>
    <xf numFmtId="0" fontId="0" fillId="2" borderId="0" xfId="0" applyFill="1" applyProtection="1">
      <protection locked="0"/>
    </xf>
    <xf numFmtId="0" fontId="82" fillId="2" borderId="0" xfId="0" applyFont="1" applyFill="1"/>
    <xf numFmtId="0" fontId="0" fillId="2" borderId="0" xfId="0" applyFill="1"/>
    <xf numFmtId="0" fontId="0" fillId="2" borderId="0" xfId="0" applyFill="1" applyAlignment="1">
      <alignment horizontal="right"/>
    </xf>
    <xf numFmtId="0" fontId="81" fillId="2" borderId="0" xfId="0" applyFont="1" applyFill="1" applyAlignment="1">
      <alignment horizontal="left" wrapText="1"/>
    </xf>
    <xf numFmtId="0" fontId="0" fillId="2" borderId="0" xfId="0" applyFill="1" applyAlignment="1">
      <alignment horizontal="left"/>
    </xf>
    <xf numFmtId="0" fontId="82" fillId="2" borderId="0" xfId="0" applyFont="1" applyFill="1" applyAlignment="1">
      <alignment horizontal="left"/>
    </xf>
    <xf numFmtId="3" fontId="0" fillId="2" borderId="0" xfId="0" applyNumberFormat="1" applyFill="1" applyAlignment="1">
      <alignment horizontal="left"/>
    </xf>
    <xf numFmtId="3" fontId="0" fillId="2" borderId="0" xfId="0" applyNumberFormat="1" applyFill="1" applyAlignment="1">
      <alignment horizontal="right"/>
    </xf>
    <xf numFmtId="3" fontId="0" fillId="2" borderId="0" xfId="0" applyNumberFormat="1" applyFill="1"/>
    <xf numFmtId="0" fontId="80" fillId="2" borderId="0" xfId="0" applyFont="1" applyFill="1" applyAlignment="1">
      <alignment horizontal="left"/>
    </xf>
    <xf numFmtId="3" fontId="0" fillId="2" borderId="0" xfId="0" applyNumberFormat="1" applyFill="1" applyProtection="1">
      <protection locked="0"/>
    </xf>
    <xf numFmtId="0" fontId="89" fillId="0" borderId="0" xfId="0" applyFont="1" applyProtection="1">
      <protection locked="0"/>
    </xf>
    <xf numFmtId="49" fontId="2" fillId="0" borderId="0" xfId="0" applyNumberFormat="1" applyFont="1" applyAlignment="1">
      <alignment horizontal="right"/>
    </xf>
    <xf numFmtId="49" fontId="2" fillId="0" borderId="0" xfId="0" quotePrefix="1" applyNumberFormat="1" applyFont="1" applyAlignment="1">
      <alignment horizontal="right"/>
    </xf>
    <xf numFmtId="0" fontId="82" fillId="29" borderId="0" xfId="0" applyFont="1" applyFill="1" applyAlignment="1">
      <alignment horizontal="left"/>
    </xf>
    <xf numFmtId="0" fontId="0" fillId="29" borderId="0" xfId="0" applyFill="1" applyProtection="1">
      <protection locked="0"/>
    </xf>
    <xf numFmtId="3" fontId="0" fillId="29" borderId="0" xfId="0" applyNumberFormat="1" applyFill="1" applyAlignment="1">
      <alignment horizontal="left"/>
    </xf>
    <xf numFmtId="3" fontId="0" fillId="29" borderId="0" xfId="0" applyNumberFormat="1" applyFill="1" applyAlignment="1">
      <alignment horizontal="right"/>
    </xf>
    <xf numFmtId="3" fontId="0" fillId="29" borderId="0" xfId="0" applyNumberFormat="1" applyFill="1" applyProtection="1">
      <protection locked="0"/>
    </xf>
    <xf numFmtId="3" fontId="0" fillId="29" borderId="0" xfId="0" applyNumberFormat="1" applyFill="1"/>
    <xf numFmtId="0" fontId="82" fillId="29" borderId="0" xfId="0" applyFont="1" applyFill="1"/>
    <xf numFmtId="0" fontId="49" fillId="39" borderId="0" xfId="0" applyFont="1" applyFill="1"/>
    <xf numFmtId="0" fontId="49" fillId="39" borderId="0" xfId="0" applyFont="1" applyFill="1" applyAlignment="1">
      <alignment horizontal="center"/>
    </xf>
    <xf numFmtId="0" fontId="49" fillId="39" borderId="0" xfId="0" applyFont="1" applyFill="1" applyAlignment="1">
      <alignment horizontal="right"/>
    </xf>
    <xf numFmtId="0" fontId="56" fillId="39" borderId="0" xfId="0" applyFont="1" applyFill="1" applyAlignment="1">
      <alignment horizontal="center"/>
    </xf>
    <xf numFmtId="0" fontId="0" fillId="39" borderId="0" xfId="0" applyFill="1" applyProtection="1">
      <protection locked="0"/>
    </xf>
    <xf numFmtId="0" fontId="65" fillId="39" borderId="0" xfId="80" applyFont="1" applyFill="1" applyAlignment="1">
      <alignment horizontal="left"/>
    </xf>
    <xf numFmtId="170" fontId="73" fillId="39" borderId="0" xfId="78" applyNumberFormat="1" applyFont="1" applyFill="1" applyAlignment="1">
      <alignment horizontal="center"/>
    </xf>
    <xf numFmtId="0" fontId="76" fillId="39" borderId="0" xfId="78" applyFont="1" applyFill="1" applyAlignment="1">
      <alignment wrapText="1"/>
    </xf>
    <xf numFmtId="0" fontId="74" fillId="39" borderId="0" xfId="78" applyFont="1" applyFill="1" applyAlignment="1">
      <alignment horizontal="left" wrapText="1"/>
    </xf>
    <xf numFmtId="170" fontId="73" fillId="39" borderId="0" xfId="79" applyNumberFormat="1" applyFont="1" applyFill="1" applyAlignment="1">
      <alignment horizontal="center"/>
    </xf>
    <xf numFmtId="0" fontId="57" fillId="0" borderId="0" xfId="37" applyFont="1"/>
    <xf numFmtId="0" fontId="59" fillId="0" borderId="0" xfId="37" applyFont="1"/>
    <xf numFmtId="3" fontId="59" fillId="0" borderId="0" xfId="37" applyNumberFormat="1" applyFont="1"/>
    <xf numFmtId="0" fontId="0" fillId="20" borderId="0" xfId="0" applyFill="1" applyProtection="1">
      <protection locked="0"/>
    </xf>
    <xf numFmtId="1" fontId="2" fillId="20" borderId="0" xfId="0" applyNumberFormat="1" applyFont="1" applyFill="1" applyProtection="1">
      <protection locked="0"/>
    </xf>
    <xf numFmtId="0" fontId="90" fillId="0" borderId="0" xfId="0" applyFont="1" applyAlignment="1">
      <alignment horizontal="right"/>
    </xf>
    <xf numFmtId="0" fontId="90" fillId="0" borderId="0" xfId="0" applyFont="1"/>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8" fillId="23" borderId="20" xfId="0" applyFont="1" applyFill="1" applyBorder="1" applyAlignment="1">
      <alignment horizontal="left" vertical="top" wrapText="1"/>
    </xf>
    <xf numFmtId="0" fontId="38" fillId="23" borderId="35" xfId="0" applyFont="1" applyFill="1" applyBorder="1" applyAlignment="1">
      <alignment horizontal="left" vertical="top" wrapText="1"/>
    </xf>
    <xf numFmtId="0" fontId="38"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0" fillId="23" borderId="0" xfId="0" applyFill="1" applyAlignment="1">
      <alignment horizontal="center" vertical="center" wrapText="1"/>
    </xf>
    <xf numFmtId="0" fontId="48" fillId="39" borderId="0" xfId="0" applyFont="1" applyFill="1" applyAlignment="1">
      <alignment horizontal="left"/>
    </xf>
    <xf numFmtId="0" fontId="49" fillId="39" borderId="0" xfId="0" applyFont="1" applyFill="1" applyAlignment="1">
      <alignment horizontal="left"/>
    </xf>
    <xf numFmtId="0" fontId="0" fillId="0" borderId="145" xfId="0" applyBorder="1" applyAlignment="1" applyProtection="1">
      <alignment horizontal="center" vertical="center"/>
      <protection locked="0"/>
    </xf>
    <xf numFmtId="0" fontId="0" fillId="0" borderId="143"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48" fillId="0" borderId="45" xfId="0" applyFont="1" applyBorder="1" applyAlignment="1">
      <alignment horizontal="center"/>
    </xf>
    <xf numFmtId="0" fontId="0" fillId="0" borderId="142" xfId="0" applyBorder="1" applyAlignment="1" applyProtection="1">
      <alignment horizontal="center" vertical="center"/>
      <protection locked="0"/>
    </xf>
    <xf numFmtId="0" fontId="0" fillId="0" borderId="75" xfId="0" applyBorder="1" applyAlignment="1" applyProtection="1">
      <alignment horizontal="center" vertical="center"/>
      <protection locked="0"/>
    </xf>
    <xf numFmtId="3" fontId="57" fillId="28" borderId="130" xfId="0" applyNumberFormat="1" applyFont="1" applyFill="1" applyBorder="1" applyAlignment="1">
      <alignment horizontal="center"/>
    </xf>
    <xf numFmtId="3" fontId="57" fillId="28" borderId="131" xfId="0" applyNumberFormat="1" applyFont="1" applyFill="1" applyBorder="1" applyAlignment="1">
      <alignment horizontal="center"/>
    </xf>
    <xf numFmtId="3" fontId="57" fillId="28" borderId="128" xfId="0" applyNumberFormat="1" applyFont="1" applyFill="1" applyBorder="1" applyAlignment="1">
      <alignment horizontal="center"/>
    </xf>
    <xf numFmtId="3" fontId="57" fillId="28" borderId="129" xfId="0" applyNumberFormat="1" applyFont="1" applyFill="1" applyBorder="1" applyAlignment="1">
      <alignment horizontal="center"/>
    </xf>
    <xf numFmtId="3" fontId="57" fillId="28" borderId="132" xfId="0" applyNumberFormat="1" applyFont="1" applyFill="1" applyBorder="1" applyAlignment="1">
      <alignment horizontal="center"/>
    </xf>
    <xf numFmtId="3" fontId="57" fillId="28" borderId="133" xfId="0" applyNumberFormat="1" applyFont="1" applyFill="1" applyBorder="1" applyAlignment="1">
      <alignment horizontal="center"/>
    </xf>
    <xf numFmtId="0" fontId="49" fillId="0" borderId="0" xfId="37" applyFont="1" applyAlignment="1">
      <alignment horizontal="center"/>
    </xf>
    <xf numFmtId="0" fontId="48" fillId="0" borderId="45" xfId="37" applyFont="1" applyBorder="1" applyAlignment="1">
      <alignment horizontal="center"/>
    </xf>
    <xf numFmtId="0" fontId="0" fillId="0" borderId="125" xfId="0" applyBorder="1" applyAlignment="1" applyProtection="1">
      <alignment horizontal="center"/>
      <protection locked="0"/>
    </xf>
    <xf numFmtId="0" fontId="0" fillId="0" borderId="126" xfId="0" applyBorder="1" applyAlignment="1" applyProtection="1">
      <alignment horizontal="center"/>
      <protection locked="0"/>
    </xf>
    <xf numFmtId="0" fontId="0" fillId="0" borderId="127" xfId="0" applyBorder="1" applyAlignment="1" applyProtection="1">
      <alignment horizontal="center"/>
      <protection locked="0"/>
    </xf>
    <xf numFmtId="0" fontId="2" fillId="0" borderId="123" xfId="0" applyFont="1" applyBorder="1" applyAlignment="1" applyProtection="1">
      <alignment horizontal="center" vertical="center"/>
      <protection locked="0"/>
    </xf>
    <xf numFmtId="0" fontId="0" fillId="0" borderId="123" xfId="0" applyBorder="1" applyAlignment="1" applyProtection="1">
      <alignment horizontal="center" vertical="center"/>
      <protection locked="0"/>
    </xf>
    <xf numFmtId="0" fontId="0" fillId="0" borderId="123" xfId="0" applyBorder="1" applyAlignment="1" applyProtection="1">
      <alignment horizontal="center"/>
      <protection locked="0"/>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2" xfId="0" applyFont="1" applyFill="1" applyBorder="1" applyAlignment="1">
      <alignment horizontal="center"/>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3" fillId="0" borderId="28" xfId="0" applyFont="1" applyBorder="1" applyAlignment="1">
      <alignment horizontal="right"/>
    </xf>
    <xf numFmtId="0" fontId="33" fillId="0" borderId="14" xfId="0" applyFont="1" applyBorder="1" applyAlignment="1">
      <alignment horizontal="right"/>
    </xf>
    <xf numFmtId="0" fontId="33"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0" fillId="0" borderId="13" xfId="0" applyBorder="1" applyAlignment="1">
      <alignment horizontal="center"/>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7"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2" fillId="0" borderId="11" xfId="0" applyFont="1" applyBorder="1" applyAlignment="1">
      <alignment horizontal="left" wrapText="1"/>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40"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5"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3"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cellXfs>
  <cellStyles count="83">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xfId="55" builtinId="3"/>
    <cellStyle name="Comma 2" xfId="53" xr:uid="{00000000-0005-0000-0000-00001A000000}"/>
    <cellStyle name="Comma 2 2" xfId="62" xr:uid="{00000000-0005-0000-0000-00001B000000}"/>
    <cellStyle name="Comma 2 2 2" xfId="76" xr:uid="{00000000-0005-0000-0000-00001C000000}"/>
    <cellStyle name="Comma 2 3" xfId="69" xr:uid="{00000000-0005-0000-0000-00001D000000}"/>
    <cellStyle name="Comma 3" xfId="63" xr:uid="{00000000-0005-0000-0000-00001E000000}"/>
    <cellStyle name="Comma 3 2" xfId="77" xr:uid="{00000000-0005-0000-0000-00001F000000}"/>
    <cellStyle name="Comma 4" xfId="70" xr:uid="{00000000-0005-0000-0000-000020000000}"/>
    <cellStyle name="Comma 5" xfId="82" xr:uid="{00000000-0005-0000-0000-000021000000}"/>
    <cellStyle name="Geras" xfId="29" xr:uid="{00000000-0005-0000-0000-000022000000}"/>
    <cellStyle name="Īįū÷ķūé_Ėčńņ17" xfId="30" xr:uid="{00000000-0005-0000-0000-000023000000}"/>
    <cellStyle name="Įprastas 2" xfId="32" xr:uid="{00000000-0005-0000-0000-000024000000}"/>
    <cellStyle name="Įprastas 2 2" xfId="33" xr:uid="{00000000-0005-0000-0000-000025000000}"/>
    <cellStyle name="Įprastas 3" xfId="2" xr:uid="{00000000-0005-0000-0000-000026000000}"/>
    <cellStyle name="Įspėjimo tekstas" xfId="34" xr:uid="{00000000-0005-0000-0000-000027000000}"/>
    <cellStyle name="Išvestis" xfId="31" xr:uid="{00000000-0005-0000-0000-000028000000}"/>
    <cellStyle name="Išvestis 2" xfId="57" xr:uid="{00000000-0005-0000-0000-000029000000}"/>
    <cellStyle name="Išvestis 2 2" xfId="71" xr:uid="{00000000-0005-0000-0000-00002A000000}"/>
    <cellStyle name="Išvestis 3" xfId="64" xr:uid="{00000000-0005-0000-0000-00002B000000}"/>
    <cellStyle name="Įvestis" xfId="35" xr:uid="{00000000-0005-0000-0000-00002C000000}"/>
    <cellStyle name="Įvestis 2" xfId="58" xr:uid="{00000000-0005-0000-0000-00002D000000}"/>
    <cellStyle name="Įvestis 2 2" xfId="72" xr:uid="{00000000-0005-0000-0000-00002E000000}"/>
    <cellStyle name="Įvestis 3" xfId="65" xr:uid="{00000000-0005-0000-0000-00002F000000}"/>
    <cellStyle name="Neutralus" xfId="36" xr:uid="{00000000-0005-0000-0000-000030000000}"/>
    <cellStyle name="Normal" xfId="0" builtinId="0"/>
    <cellStyle name="Normal 2" xfId="1" xr:uid="{00000000-0005-0000-0000-000032000000}"/>
    <cellStyle name="Normal 2 2" xfId="37" xr:uid="{00000000-0005-0000-0000-000033000000}"/>
    <cellStyle name="Normal 2 3" xfId="81" xr:uid="{00000000-0005-0000-0000-000034000000}"/>
    <cellStyle name="Normal 3" xfId="38" xr:uid="{00000000-0005-0000-0000-000035000000}"/>
    <cellStyle name="Normal 4" xfId="39" xr:uid="{00000000-0005-0000-0000-000036000000}"/>
    <cellStyle name="Normal 5" xfId="3" xr:uid="{00000000-0005-0000-0000-000037000000}"/>
    <cellStyle name="Normal_A.Argentina" xfId="80" xr:uid="{00000000-0005-0000-0000-000038000000}"/>
    <cellStyle name="Normal_Samatos2004 02 09" xfId="78" xr:uid="{00000000-0005-0000-0000-000039000000}"/>
    <cellStyle name="Normal_Sheet1" xfId="79" xr:uid="{00000000-0005-0000-0000-00003A000000}"/>
    <cellStyle name="Paryškinimas 1" xfId="40" xr:uid="{00000000-0005-0000-0000-00003B000000}"/>
    <cellStyle name="Paryškinimas 2" xfId="41" xr:uid="{00000000-0005-0000-0000-00003C000000}"/>
    <cellStyle name="Paryškinimas 3" xfId="42" xr:uid="{00000000-0005-0000-0000-00003D000000}"/>
    <cellStyle name="Paryškinimas 4" xfId="43" xr:uid="{00000000-0005-0000-0000-00003E000000}"/>
    <cellStyle name="Paryškinimas 5" xfId="44" xr:uid="{00000000-0005-0000-0000-00003F000000}"/>
    <cellStyle name="Paryškinimas 6" xfId="45" xr:uid="{00000000-0005-0000-0000-000040000000}"/>
    <cellStyle name="Pastaba" xfId="46" xr:uid="{00000000-0005-0000-0000-000041000000}"/>
    <cellStyle name="Pastaba 2" xfId="59" xr:uid="{00000000-0005-0000-0000-000042000000}"/>
    <cellStyle name="Pastaba 2 2" xfId="73" xr:uid="{00000000-0005-0000-0000-000043000000}"/>
    <cellStyle name="Pastaba 3" xfId="66" xr:uid="{00000000-0005-0000-0000-000044000000}"/>
    <cellStyle name="Pavadinimas" xfId="47" xr:uid="{00000000-0005-0000-0000-000045000000}"/>
    <cellStyle name="Percent" xfId="56" builtinId="5"/>
    <cellStyle name="Percent 2" xfId="54" xr:uid="{00000000-0005-0000-0000-000047000000}"/>
    <cellStyle name="Skaičiavimas" xfId="48" xr:uid="{00000000-0005-0000-0000-000048000000}"/>
    <cellStyle name="Skaičiavimas 2" xfId="60" xr:uid="{00000000-0005-0000-0000-000049000000}"/>
    <cellStyle name="Skaičiavimas 2 2" xfId="74" xr:uid="{00000000-0005-0000-0000-00004A000000}"/>
    <cellStyle name="Skaičiavimas 3" xfId="67" xr:uid="{00000000-0005-0000-0000-00004B000000}"/>
    <cellStyle name="Style 1" xfId="49" xr:uid="{00000000-0005-0000-0000-00004C000000}"/>
    <cellStyle name="Suma" xfId="50" xr:uid="{00000000-0005-0000-0000-00004D000000}"/>
    <cellStyle name="Suma 2" xfId="61" xr:uid="{00000000-0005-0000-0000-00004E000000}"/>
    <cellStyle name="Suma 2 2" xfId="75" xr:uid="{00000000-0005-0000-0000-00004F000000}"/>
    <cellStyle name="Suma 3" xfId="68" xr:uid="{00000000-0005-0000-0000-000050000000}"/>
    <cellStyle name="Susietas langelis" xfId="51" xr:uid="{00000000-0005-0000-0000-000051000000}"/>
    <cellStyle name="Tikrinimo langelis" xfId="52" xr:uid="{00000000-0005-0000-0000-000052000000}"/>
  </cellStyles>
  <dxfs count="121">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ill>
        <patternFill>
          <bgColor theme="7" tint="0.59996337778862885"/>
        </patternFill>
      </fill>
    </dxf>
    <dxf>
      <font>
        <color auto="1"/>
      </font>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A0D2DC"/>
      <color rgb="FFCCECFF"/>
      <color rgb="FFFFFFFF"/>
      <color rgb="FFFF7C80"/>
      <color rgb="FFCC99FF"/>
      <color rgb="FFAFBB0D"/>
      <color rgb="FFC89800"/>
      <color rgb="FFFF99CC"/>
      <color rgb="FFCC9900"/>
      <color rgb="FF6FD3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Drop" dropStyle="combo" dx="16" fmlaRange="Data1!$B$2:$B$16" noThreeD="1" sel="15"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checked="Checked"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13, 11, 8, 5" sel="0" seltype="multi" val="6">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8"/>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8"/>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8"/>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5242560</xdr:colOff>
          <xdr:row>18</xdr:row>
          <xdr:rowOff>220980</xdr:rowOff>
        </xdr:from>
        <xdr:to>
          <xdr:col>5</xdr:col>
          <xdr:colOff>1280160</xdr:colOff>
          <xdr:row>20</xdr:row>
          <xdr:rowOff>0</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30480</xdr:rowOff>
        </xdr:from>
        <xdr:to>
          <xdr:col>5</xdr:col>
          <xdr:colOff>1249680</xdr:colOff>
          <xdr:row>22</xdr:row>
          <xdr:rowOff>7620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13</xdr:row>
          <xdr:rowOff>7620</xdr:rowOff>
        </xdr:from>
        <xdr:to>
          <xdr:col>5</xdr:col>
          <xdr:colOff>1287780</xdr:colOff>
          <xdr:row>14</xdr:row>
          <xdr:rowOff>38100</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17</xdr:row>
          <xdr:rowOff>30480</xdr:rowOff>
        </xdr:from>
        <xdr:to>
          <xdr:col>5</xdr:col>
          <xdr:colOff>175260</xdr:colOff>
          <xdr:row>17</xdr:row>
          <xdr:rowOff>297180</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236220</xdr:colOff>
          <xdr:row>17</xdr:row>
          <xdr:rowOff>7620</xdr:rowOff>
        </xdr:from>
        <xdr:to>
          <xdr:col>5</xdr:col>
          <xdr:colOff>1325880</xdr:colOff>
          <xdr:row>17</xdr:row>
          <xdr:rowOff>297180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175260</xdr:colOff>
          <xdr:row>10</xdr:row>
          <xdr:rowOff>220980</xdr:rowOff>
        </xdr:from>
        <xdr:to>
          <xdr:col>5</xdr:col>
          <xdr:colOff>1379220</xdr:colOff>
          <xdr:row>12</xdr:row>
          <xdr:rowOff>7620</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7620</xdr:colOff>
          <xdr:row>28</xdr:row>
          <xdr:rowOff>7620</xdr:rowOff>
        </xdr:from>
        <xdr:to>
          <xdr:col>7</xdr:col>
          <xdr:colOff>533400</xdr:colOff>
          <xdr:row>28</xdr:row>
          <xdr:rowOff>335280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30</xdr:row>
          <xdr:rowOff>7620</xdr:rowOff>
        </xdr:from>
        <xdr:to>
          <xdr:col>7</xdr:col>
          <xdr:colOff>533400</xdr:colOff>
          <xdr:row>30</xdr:row>
          <xdr:rowOff>335280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32</xdr:row>
          <xdr:rowOff>7620</xdr:rowOff>
        </xdr:from>
        <xdr:to>
          <xdr:col>7</xdr:col>
          <xdr:colOff>533400</xdr:colOff>
          <xdr:row>32</xdr:row>
          <xdr:rowOff>335280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34</xdr:row>
          <xdr:rowOff>7620</xdr:rowOff>
        </xdr:from>
        <xdr:to>
          <xdr:col>7</xdr:col>
          <xdr:colOff>533400</xdr:colOff>
          <xdr:row>34</xdr:row>
          <xdr:rowOff>335280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xdr:colOff>
          <xdr:row>36</xdr:row>
          <xdr:rowOff>7620</xdr:rowOff>
        </xdr:from>
        <xdr:to>
          <xdr:col>7</xdr:col>
          <xdr:colOff>533400</xdr:colOff>
          <xdr:row>36</xdr:row>
          <xdr:rowOff>335280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5326380</xdr:colOff>
          <xdr:row>44</xdr:row>
          <xdr:rowOff>198120</xdr:rowOff>
        </xdr:from>
        <xdr:to>
          <xdr:col>8</xdr:col>
          <xdr:colOff>30480</xdr:colOff>
          <xdr:row>47</xdr:row>
          <xdr:rowOff>30480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lt-LT" sz="1400" b="0" i="0" u="none" strike="noStrike" baseline="0">
                  <a:solidFill>
                    <a:srgbClr val="339966"/>
                  </a:solidFill>
                  <a:latin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441960</xdr:colOff>
          <xdr:row>28</xdr:row>
          <xdr:rowOff>38100</xdr:rowOff>
        </xdr:from>
        <xdr:to>
          <xdr:col>2</xdr:col>
          <xdr:colOff>1508760</xdr:colOff>
          <xdr:row>29</xdr:row>
          <xdr:rowOff>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426720</xdr:colOff>
          <xdr:row>30</xdr:row>
          <xdr:rowOff>38100</xdr:rowOff>
        </xdr:from>
        <xdr:to>
          <xdr:col>2</xdr:col>
          <xdr:colOff>1508760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441960</xdr:colOff>
          <xdr:row>32</xdr:row>
          <xdr:rowOff>38100</xdr:rowOff>
        </xdr:from>
        <xdr:to>
          <xdr:col>2</xdr:col>
          <xdr:colOff>1485900</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426720</xdr:colOff>
          <xdr:row>34</xdr:row>
          <xdr:rowOff>7620</xdr:rowOff>
        </xdr:from>
        <xdr:to>
          <xdr:col>2</xdr:col>
          <xdr:colOff>1470660</xdr:colOff>
          <xdr:row>35</xdr:row>
          <xdr:rowOff>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36</xdr:row>
          <xdr:rowOff>38100</xdr:rowOff>
        </xdr:from>
        <xdr:to>
          <xdr:col>2</xdr:col>
          <xdr:colOff>1485900</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14</xdr:row>
          <xdr:rowOff>198120</xdr:rowOff>
        </xdr:from>
        <xdr:to>
          <xdr:col>5</xdr:col>
          <xdr:colOff>518160</xdr:colOff>
          <xdr:row>16</xdr:row>
          <xdr:rowOff>106680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9</xdr:row>
          <xdr:rowOff>7620</xdr:rowOff>
        </xdr:from>
        <xdr:to>
          <xdr:col>9</xdr:col>
          <xdr:colOff>518160</xdr:colOff>
          <xdr:row>9</xdr:row>
          <xdr:rowOff>289560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518160</xdr:colOff>
          <xdr:row>13</xdr:row>
          <xdr:rowOff>289560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7620</xdr:rowOff>
        </xdr:from>
        <xdr:to>
          <xdr:col>9</xdr:col>
          <xdr:colOff>518160</xdr:colOff>
          <xdr:row>17</xdr:row>
          <xdr:rowOff>289560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198120</xdr:rowOff>
        </xdr:from>
        <xdr:to>
          <xdr:col>9</xdr:col>
          <xdr:colOff>518160</xdr:colOff>
          <xdr:row>41</xdr:row>
          <xdr:rowOff>7620</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152400</xdr:rowOff>
        </xdr:from>
        <xdr:to>
          <xdr:col>9</xdr:col>
          <xdr:colOff>937260</xdr:colOff>
          <xdr:row>51</xdr:row>
          <xdr:rowOff>175260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000" b="0" i="0" u="none" strike="noStrike" baseline="0">
                  <a:solidFill>
                    <a:srgbClr val="000000"/>
                  </a:solidFill>
                  <a:latin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21</xdr:row>
          <xdr:rowOff>457200</xdr:rowOff>
        </xdr:from>
        <xdr:to>
          <xdr:col>9</xdr:col>
          <xdr:colOff>518160</xdr:colOff>
          <xdr:row>21</xdr:row>
          <xdr:rowOff>723900</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15</xdr:row>
          <xdr:rowOff>7620</xdr:rowOff>
        </xdr:from>
        <xdr:to>
          <xdr:col>9</xdr:col>
          <xdr:colOff>518160</xdr:colOff>
          <xdr:row>16</xdr:row>
          <xdr:rowOff>60960</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2430780</xdr:colOff>
          <xdr:row>4</xdr:row>
          <xdr:rowOff>182880</xdr:rowOff>
        </xdr:from>
        <xdr:to>
          <xdr:col>3</xdr:col>
          <xdr:colOff>2933700</xdr:colOff>
          <xdr:row>5</xdr:row>
          <xdr:rowOff>220980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B00-000001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1188720</xdr:colOff>
          <xdr:row>5</xdr:row>
          <xdr:rowOff>182880</xdr:rowOff>
        </xdr:from>
        <xdr:to>
          <xdr:col>7</xdr:col>
          <xdr:colOff>1699260</xdr:colOff>
          <xdr:row>6</xdr:row>
          <xdr:rowOff>220980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B00-0000024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35</xdr:row>
          <xdr:rowOff>45720</xdr:rowOff>
        </xdr:from>
        <xdr:to>
          <xdr:col>3</xdr:col>
          <xdr:colOff>83820</xdr:colOff>
          <xdr:row>36</xdr:row>
          <xdr:rowOff>106680</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D00-000001C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3695700</xdr:colOff>
          <xdr:row>3</xdr:row>
          <xdr:rowOff>152400</xdr:rowOff>
        </xdr:from>
        <xdr:to>
          <xdr:col>2</xdr:col>
          <xdr:colOff>5905500</xdr:colOff>
          <xdr:row>3</xdr:row>
          <xdr:rowOff>601980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E00-000009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1554480</xdr:colOff>
          <xdr:row>3</xdr:row>
          <xdr:rowOff>175260</xdr:rowOff>
        </xdr:from>
        <xdr:to>
          <xdr:col>2</xdr:col>
          <xdr:colOff>3055620</xdr:colOff>
          <xdr:row>3</xdr:row>
          <xdr:rowOff>609600</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E00-00000A8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327660</xdr:colOff>
          <xdr:row>3</xdr:row>
          <xdr:rowOff>182880</xdr:rowOff>
        </xdr:from>
        <xdr:to>
          <xdr:col>2</xdr:col>
          <xdr:colOff>1813560</xdr:colOff>
          <xdr:row>3</xdr:row>
          <xdr:rowOff>579120</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2042160</xdr:colOff>
          <xdr:row>3</xdr:row>
          <xdr:rowOff>175260</xdr:rowOff>
        </xdr:from>
        <xdr:to>
          <xdr:col>2</xdr:col>
          <xdr:colOff>3528060</xdr:colOff>
          <xdr:row>3</xdr:row>
          <xdr:rowOff>571500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3764280</xdr:colOff>
          <xdr:row>3</xdr:row>
          <xdr:rowOff>152400</xdr:rowOff>
        </xdr:from>
        <xdr:to>
          <xdr:col>2</xdr:col>
          <xdr:colOff>5250180</xdr:colOff>
          <xdr:row>3</xdr:row>
          <xdr:rowOff>563880</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5509260</xdr:colOff>
          <xdr:row>3</xdr:row>
          <xdr:rowOff>175260</xdr:rowOff>
        </xdr:from>
        <xdr:to>
          <xdr:col>2</xdr:col>
          <xdr:colOff>5852160</xdr:colOff>
          <xdr:row>3</xdr:row>
          <xdr:rowOff>571500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a:p>
              <a:pPr algn="ctr" rtl="0">
                <a:defRPr sz="1000"/>
              </a:pPr>
              <a:endParaRPr lang="lt-LT" sz="1100" b="0" i="0" u="none" strike="noStrike" baseline="0">
                <a:solidFill>
                  <a:srgbClr val="000000"/>
                </a:solidFill>
                <a:latin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2</xdr:row>
          <xdr:rowOff>190500</xdr:rowOff>
        </xdr:from>
        <xdr:to>
          <xdr:col>3</xdr:col>
          <xdr:colOff>1188720</xdr:colOff>
          <xdr:row>4</xdr:row>
          <xdr:rowOff>76200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000-000003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3</xdr:row>
          <xdr:rowOff>0</xdr:rowOff>
        </xdr:from>
        <xdr:to>
          <xdr:col>4</xdr:col>
          <xdr:colOff>617220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000-000004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76200</xdr:colOff>
          <xdr:row>8</xdr:row>
          <xdr:rowOff>7620</xdr:rowOff>
        </xdr:from>
        <xdr:to>
          <xdr:col>4</xdr:col>
          <xdr:colOff>617220</xdr:colOff>
          <xdr:row>8</xdr:row>
          <xdr:rowOff>236220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000-000005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30</xdr:row>
          <xdr:rowOff>236220</xdr:rowOff>
        </xdr:from>
        <xdr:to>
          <xdr:col>4</xdr:col>
          <xdr:colOff>617220</xdr:colOff>
          <xdr:row>31</xdr:row>
          <xdr:rowOff>190500</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000-000006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83820</xdr:colOff>
          <xdr:row>81</xdr:row>
          <xdr:rowOff>7620</xdr:rowOff>
        </xdr:from>
        <xdr:to>
          <xdr:col>4</xdr:col>
          <xdr:colOff>632460</xdr:colOff>
          <xdr:row>82</xdr:row>
          <xdr:rowOff>7620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000-000007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7033260</xdr:colOff>
          <xdr:row>93</xdr:row>
          <xdr:rowOff>99060</xdr:rowOff>
        </xdr:from>
        <xdr:to>
          <xdr:col>2</xdr:col>
          <xdr:colOff>7383780</xdr:colOff>
          <xdr:row>93</xdr:row>
          <xdr:rowOff>411480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000-000008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83820</xdr:colOff>
          <xdr:row>90</xdr:row>
          <xdr:rowOff>7620</xdr:rowOff>
        </xdr:from>
        <xdr:to>
          <xdr:col>4</xdr:col>
          <xdr:colOff>647700</xdr:colOff>
          <xdr:row>90</xdr:row>
          <xdr:rowOff>228600</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000-000009E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381000</xdr:colOff>
          <xdr:row>10</xdr:row>
          <xdr:rowOff>228600</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373380</xdr:colOff>
          <xdr:row>6</xdr:row>
          <xdr:rowOff>236220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373380</xdr:colOff>
          <xdr:row>89</xdr:row>
          <xdr:rowOff>7620</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38100</xdr:rowOff>
        </xdr:from>
        <xdr:to>
          <xdr:col>3</xdr:col>
          <xdr:colOff>373380</xdr:colOff>
          <xdr:row>99</xdr:row>
          <xdr:rowOff>266700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373380</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144780</xdr:colOff>
          <xdr:row>4</xdr:row>
          <xdr:rowOff>0</xdr:rowOff>
        </xdr:from>
        <xdr:to>
          <xdr:col>4</xdr:col>
          <xdr:colOff>480060</xdr:colOff>
          <xdr:row>4</xdr:row>
          <xdr:rowOff>228600</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1</xdr:row>
          <xdr:rowOff>175260</xdr:rowOff>
        </xdr:from>
        <xdr:to>
          <xdr:col>6</xdr:col>
          <xdr:colOff>906780</xdr:colOff>
          <xdr:row>2</xdr:row>
          <xdr:rowOff>228600</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38100</xdr:rowOff>
        </xdr:from>
        <xdr:to>
          <xdr:col>0</xdr:col>
          <xdr:colOff>274320</xdr:colOff>
          <xdr:row>11</xdr:row>
          <xdr:rowOff>0</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30480</xdr:rowOff>
        </xdr:from>
        <xdr:to>
          <xdr:col>0</xdr:col>
          <xdr:colOff>266700</xdr:colOff>
          <xdr:row>22</xdr:row>
          <xdr:rowOff>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274320</xdr:colOff>
          <xdr:row>33</xdr:row>
          <xdr:rowOff>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44</xdr:row>
          <xdr:rowOff>38100</xdr:rowOff>
        </xdr:from>
        <xdr:to>
          <xdr:col>0</xdr:col>
          <xdr:colOff>251460</xdr:colOff>
          <xdr:row>44</xdr:row>
          <xdr:rowOff>220980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38100</xdr:rowOff>
        </xdr:from>
        <xdr:to>
          <xdr:col>0</xdr:col>
          <xdr:colOff>251460</xdr:colOff>
          <xdr:row>55</xdr:row>
          <xdr:rowOff>220980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66</xdr:row>
          <xdr:rowOff>30480</xdr:rowOff>
        </xdr:from>
        <xdr:to>
          <xdr:col>0</xdr:col>
          <xdr:colOff>251460</xdr:colOff>
          <xdr:row>66</xdr:row>
          <xdr:rowOff>190500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77</xdr:row>
          <xdr:rowOff>38100</xdr:rowOff>
        </xdr:from>
        <xdr:to>
          <xdr:col>0</xdr:col>
          <xdr:colOff>251460</xdr:colOff>
          <xdr:row>77</xdr:row>
          <xdr:rowOff>198120</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190500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45720</xdr:rowOff>
        </xdr:from>
        <xdr:to>
          <xdr:col>1</xdr:col>
          <xdr:colOff>0</xdr:colOff>
          <xdr:row>44</xdr:row>
          <xdr:rowOff>0</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88</xdr:row>
          <xdr:rowOff>30480</xdr:rowOff>
        </xdr:from>
        <xdr:to>
          <xdr:col>0</xdr:col>
          <xdr:colOff>251460</xdr:colOff>
          <xdr:row>88</xdr:row>
          <xdr:rowOff>198120</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83820</xdr:colOff>
          <xdr:row>99</xdr:row>
          <xdr:rowOff>45720</xdr:rowOff>
        </xdr:from>
        <xdr:to>
          <xdr:col>0</xdr:col>
          <xdr:colOff>236220</xdr:colOff>
          <xdr:row>99</xdr:row>
          <xdr:rowOff>220980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110</xdr:row>
          <xdr:rowOff>7620</xdr:rowOff>
        </xdr:from>
        <xdr:to>
          <xdr:col>3</xdr:col>
          <xdr:colOff>381000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373380</xdr:colOff>
          <xdr:row>8</xdr:row>
          <xdr:rowOff>236220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228600</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381000</xdr:colOff>
          <xdr:row>10</xdr:row>
          <xdr:rowOff>228600</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373380</xdr:colOff>
          <xdr:row>6</xdr:row>
          <xdr:rowOff>236220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373380</xdr:colOff>
          <xdr:row>89</xdr:row>
          <xdr:rowOff>7620</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38100</xdr:rowOff>
        </xdr:from>
        <xdr:to>
          <xdr:col>3</xdr:col>
          <xdr:colOff>373380</xdr:colOff>
          <xdr:row>99</xdr:row>
          <xdr:rowOff>266700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373380</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xdr:colOff>
          <xdr:row>4</xdr:row>
          <xdr:rowOff>7620</xdr:rowOff>
        </xdr:from>
        <xdr:to>
          <xdr:col>4</xdr:col>
          <xdr:colOff>464820</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1</xdr:row>
          <xdr:rowOff>175260</xdr:rowOff>
        </xdr:from>
        <xdr:to>
          <xdr:col>6</xdr:col>
          <xdr:colOff>906780</xdr:colOff>
          <xdr:row>2</xdr:row>
          <xdr:rowOff>228600</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38100</xdr:rowOff>
        </xdr:from>
        <xdr:to>
          <xdr:col>0</xdr:col>
          <xdr:colOff>274320</xdr:colOff>
          <xdr:row>11</xdr:row>
          <xdr:rowOff>0</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44</xdr:row>
          <xdr:rowOff>38100</xdr:rowOff>
        </xdr:from>
        <xdr:to>
          <xdr:col>0</xdr:col>
          <xdr:colOff>251460</xdr:colOff>
          <xdr:row>44</xdr:row>
          <xdr:rowOff>220980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38100</xdr:rowOff>
        </xdr:from>
        <xdr:to>
          <xdr:col>0</xdr:col>
          <xdr:colOff>251460</xdr:colOff>
          <xdr:row>55</xdr:row>
          <xdr:rowOff>220980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66</xdr:row>
          <xdr:rowOff>30480</xdr:rowOff>
        </xdr:from>
        <xdr:to>
          <xdr:col>0</xdr:col>
          <xdr:colOff>251460</xdr:colOff>
          <xdr:row>66</xdr:row>
          <xdr:rowOff>190500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77</xdr:row>
          <xdr:rowOff>38100</xdr:rowOff>
        </xdr:from>
        <xdr:to>
          <xdr:col>0</xdr:col>
          <xdr:colOff>251460</xdr:colOff>
          <xdr:row>77</xdr:row>
          <xdr:rowOff>198120</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190500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88</xdr:row>
          <xdr:rowOff>30480</xdr:rowOff>
        </xdr:from>
        <xdr:to>
          <xdr:col>0</xdr:col>
          <xdr:colOff>251460</xdr:colOff>
          <xdr:row>88</xdr:row>
          <xdr:rowOff>198120</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83820</xdr:colOff>
          <xdr:row>99</xdr:row>
          <xdr:rowOff>45720</xdr:rowOff>
        </xdr:from>
        <xdr:to>
          <xdr:col>0</xdr:col>
          <xdr:colOff>236220</xdr:colOff>
          <xdr:row>99</xdr:row>
          <xdr:rowOff>220980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373380</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38100</xdr:rowOff>
        </xdr:from>
        <xdr:to>
          <xdr:col>0</xdr:col>
          <xdr:colOff>274320</xdr:colOff>
          <xdr:row>22</xdr:row>
          <xdr:rowOff>0</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32</xdr:row>
          <xdr:rowOff>45720</xdr:rowOff>
        </xdr:from>
        <xdr:to>
          <xdr:col>0</xdr:col>
          <xdr:colOff>266700</xdr:colOff>
          <xdr:row>33</xdr:row>
          <xdr:rowOff>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45720</xdr:rowOff>
        </xdr:from>
        <xdr:to>
          <xdr:col>1</xdr:col>
          <xdr:colOff>0</xdr:colOff>
          <xdr:row>44</xdr:row>
          <xdr:rowOff>0</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373380</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228600</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116</xdr:row>
          <xdr:rowOff>7620</xdr:rowOff>
        </xdr:from>
        <xdr:to>
          <xdr:col>3</xdr:col>
          <xdr:colOff>1371600</xdr:colOff>
          <xdr:row>116</xdr:row>
          <xdr:rowOff>228600</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381000</xdr:colOff>
          <xdr:row>10</xdr:row>
          <xdr:rowOff>228600</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373380</xdr:colOff>
          <xdr:row>6</xdr:row>
          <xdr:rowOff>236220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373380</xdr:colOff>
          <xdr:row>89</xdr:row>
          <xdr:rowOff>7620</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38100</xdr:rowOff>
        </xdr:from>
        <xdr:to>
          <xdr:col>3</xdr:col>
          <xdr:colOff>373380</xdr:colOff>
          <xdr:row>99</xdr:row>
          <xdr:rowOff>266700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373380</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7620</xdr:rowOff>
        </xdr:from>
        <xdr:to>
          <xdr:col>4</xdr:col>
          <xdr:colOff>441960</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1</xdr:row>
          <xdr:rowOff>175260</xdr:rowOff>
        </xdr:from>
        <xdr:to>
          <xdr:col>6</xdr:col>
          <xdr:colOff>906780</xdr:colOff>
          <xdr:row>2</xdr:row>
          <xdr:rowOff>228600</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38100</xdr:rowOff>
        </xdr:from>
        <xdr:to>
          <xdr:col>0</xdr:col>
          <xdr:colOff>274320</xdr:colOff>
          <xdr:row>43</xdr:row>
          <xdr:rowOff>144780</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44</xdr:row>
          <xdr:rowOff>38100</xdr:rowOff>
        </xdr:from>
        <xdr:to>
          <xdr:col>0</xdr:col>
          <xdr:colOff>251460</xdr:colOff>
          <xdr:row>44</xdr:row>
          <xdr:rowOff>220980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38100</xdr:rowOff>
        </xdr:from>
        <xdr:to>
          <xdr:col>0</xdr:col>
          <xdr:colOff>251460</xdr:colOff>
          <xdr:row>55</xdr:row>
          <xdr:rowOff>220980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66</xdr:row>
          <xdr:rowOff>30480</xdr:rowOff>
        </xdr:from>
        <xdr:to>
          <xdr:col>0</xdr:col>
          <xdr:colOff>251460</xdr:colOff>
          <xdr:row>66</xdr:row>
          <xdr:rowOff>190500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77</xdr:row>
          <xdr:rowOff>38100</xdr:rowOff>
        </xdr:from>
        <xdr:to>
          <xdr:col>0</xdr:col>
          <xdr:colOff>251460</xdr:colOff>
          <xdr:row>77</xdr:row>
          <xdr:rowOff>198120</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190500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88</xdr:row>
          <xdr:rowOff>30480</xdr:rowOff>
        </xdr:from>
        <xdr:to>
          <xdr:col>0</xdr:col>
          <xdr:colOff>251460</xdr:colOff>
          <xdr:row>88</xdr:row>
          <xdr:rowOff>198120</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83820</xdr:colOff>
          <xdr:row>99</xdr:row>
          <xdr:rowOff>45720</xdr:rowOff>
        </xdr:from>
        <xdr:to>
          <xdr:col>0</xdr:col>
          <xdr:colOff>236220</xdr:colOff>
          <xdr:row>99</xdr:row>
          <xdr:rowOff>220980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373380</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38100</xdr:rowOff>
        </xdr:from>
        <xdr:to>
          <xdr:col>0</xdr:col>
          <xdr:colOff>274320</xdr:colOff>
          <xdr:row>43</xdr:row>
          <xdr:rowOff>144780</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274320</xdr:colOff>
          <xdr:row>43</xdr:row>
          <xdr:rowOff>144780</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45720</xdr:rowOff>
        </xdr:from>
        <xdr:to>
          <xdr:col>1</xdr:col>
          <xdr:colOff>0</xdr:colOff>
          <xdr:row>44</xdr:row>
          <xdr:rowOff>0</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373380</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228600</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381000</xdr:colOff>
          <xdr:row>10</xdr:row>
          <xdr:rowOff>228600</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373380</xdr:colOff>
          <xdr:row>6</xdr:row>
          <xdr:rowOff>236220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373380</xdr:colOff>
          <xdr:row>89</xdr:row>
          <xdr:rowOff>7620</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38100</xdr:rowOff>
        </xdr:from>
        <xdr:to>
          <xdr:col>3</xdr:col>
          <xdr:colOff>373380</xdr:colOff>
          <xdr:row>99</xdr:row>
          <xdr:rowOff>266700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373380</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106680</xdr:colOff>
          <xdr:row>4</xdr:row>
          <xdr:rowOff>0</xdr:rowOff>
        </xdr:from>
        <xdr:to>
          <xdr:col>4</xdr:col>
          <xdr:colOff>441960</xdr:colOff>
          <xdr:row>4</xdr:row>
          <xdr:rowOff>228600</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1</xdr:row>
          <xdr:rowOff>175260</xdr:rowOff>
        </xdr:from>
        <xdr:to>
          <xdr:col>6</xdr:col>
          <xdr:colOff>906780</xdr:colOff>
          <xdr:row>2</xdr:row>
          <xdr:rowOff>228600</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38100</xdr:rowOff>
        </xdr:from>
        <xdr:to>
          <xdr:col>0</xdr:col>
          <xdr:colOff>274320</xdr:colOff>
          <xdr:row>10</xdr:row>
          <xdr:rowOff>198120</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30480</xdr:rowOff>
        </xdr:from>
        <xdr:to>
          <xdr:col>0</xdr:col>
          <xdr:colOff>266700</xdr:colOff>
          <xdr:row>21</xdr:row>
          <xdr:rowOff>190500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44</xdr:row>
          <xdr:rowOff>38100</xdr:rowOff>
        </xdr:from>
        <xdr:to>
          <xdr:col>0</xdr:col>
          <xdr:colOff>251460</xdr:colOff>
          <xdr:row>44</xdr:row>
          <xdr:rowOff>220980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38100</xdr:rowOff>
        </xdr:from>
        <xdr:to>
          <xdr:col>0</xdr:col>
          <xdr:colOff>251460</xdr:colOff>
          <xdr:row>55</xdr:row>
          <xdr:rowOff>220980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66</xdr:row>
          <xdr:rowOff>30480</xdr:rowOff>
        </xdr:from>
        <xdr:to>
          <xdr:col>0</xdr:col>
          <xdr:colOff>251460</xdr:colOff>
          <xdr:row>66</xdr:row>
          <xdr:rowOff>190500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77</xdr:row>
          <xdr:rowOff>38100</xdr:rowOff>
        </xdr:from>
        <xdr:to>
          <xdr:col>0</xdr:col>
          <xdr:colOff>251460</xdr:colOff>
          <xdr:row>77</xdr:row>
          <xdr:rowOff>198120</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88</xdr:row>
          <xdr:rowOff>30480</xdr:rowOff>
        </xdr:from>
        <xdr:to>
          <xdr:col>0</xdr:col>
          <xdr:colOff>251460</xdr:colOff>
          <xdr:row>88</xdr:row>
          <xdr:rowOff>198120</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83820</xdr:colOff>
          <xdr:row>99</xdr:row>
          <xdr:rowOff>45720</xdr:rowOff>
        </xdr:from>
        <xdr:to>
          <xdr:col>0</xdr:col>
          <xdr:colOff>236220</xdr:colOff>
          <xdr:row>99</xdr:row>
          <xdr:rowOff>220980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373380</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274320</xdr:colOff>
          <xdr:row>32</xdr:row>
          <xdr:rowOff>198120</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45720</xdr:rowOff>
        </xdr:from>
        <xdr:to>
          <xdr:col>1</xdr:col>
          <xdr:colOff>0</xdr:colOff>
          <xdr:row>43</xdr:row>
          <xdr:rowOff>198120</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190500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373380</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228600</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30480</xdr:colOff>
          <xdr:row>10</xdr:row>
          <xdr:rowOff>0</xdr:rowOff>
        </xdr:from>
        <xdr:to>
          <xdr:col>3</xdr:col>
          <xdr:colOff>381000</xdr:colOff>
          <xdr:row>10</xdr:row>
          <xdr:rowOff>228600</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6</xdr:row>
          <xdr:rowOff>7620</xdr:rowOff>
        </xdr:from>
        <xdr:to>
          <xdr:col>3</xdr:col>
          <xdr:colOff>373380</xdr:colOff>
          <xdr:row>6</xdr:row>
          <xdr:rowOff>236220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88</xdr:row>
          <xdr:rowOff>0</xdr:rowOff>
        </xdr:from>
        <xdr:to>
          <xdr:col>3</xdr:col>
          <xdr:colOff>373380</xdr:colOff>
          <xdr:row>89</xdr:row>
          <xdr:rowOff>7620</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99</xdr:row>
          <xdr:rowOff>38100</xdr:rowOff>
        </xdr:from>
        <xdr:to>
          <xdr:col>3</xdr:col>
          <xdr:colOff>373380</xdr:colOff>
          <xdr:row>99</xdr:row>
          <xdr:rowOff>266700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116</xdr:row>
          <xdr:rowOff>7620</xdr:rowOff>
        </xdr:from>
        <xdr:to>
          <xdr:col>3</xdr:col>
          <xdr:colOff>373380</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137160</xdr:colOff>
          <xdr:row>4</xdr:row>
          <xdr:rowOff>7620</xdr:rowOff>
        </xdr:from>
        <xdr:to>
          <xdr:col>4</xdr:col>
          <xdr:colOff>464820</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45720</xdr:colOff>
          <xdr:row>1</xdr:row>
          <xdr:rowOff>175260</xdr:rowOff>
        </xdr:from>
        <xdr:to>
          <xdr:col>6</xdr:col>
          <xdr:colOff>906780</xdr:colOff>
          <xdr:row>2</xdr:row>
          <xdr:rowOff>228600</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38100</xdr:rowOff>
        </xdr:from>
        <xdr:to>
          <xdr:col>0</xdr:col>
          <xdr:colOff>274320</xdr:colOff>
          <xdr:row>10</xdr:row>
          <xdr:rowOff>198120</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21</xdr:row>
          <xdr:rowOff>30480</xdr:rowOff>
        </xdr:from>
        <xdr:to>
          <xdr:col>0</xdr:col>
          <xdr:colOff>266700</xdr:colOff>
          <xdr:row>21</xdr:row>
          <xdr:rowOff>190500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44</xdr:row>
          <xdr:rowOff>38100</xdr:rowOff>
        </xdr:from>
        <xdr:to>
          <xdr:col>0</xdr:col>
          <xdr:colOff>251460</xdr:colOff>
          <xdr:row>44</xdr:row>
          <xdr:rowOff>220980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55</xdr:row>
          <xdr:rowOff>38100</xdr:rowOff>
        </xdr:from>
        <xdr:to>
          <xdr:col>0</xdr:col>
          <xdr:colOff>251460</xdr:colOff>
          <xdr:row>55</xdr:row>
          <xdr:rowOff>220980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66</xdr:row>
          <xdr:rowOff>30480</xdr:rowOff>
        </xdr:from>
        <xdr:to>
          <xdr:col>0</xdr:col>
          <xdr:colOff>251460</xdr:colOff>
          <xdr:row>66</xdr:row>
          <xdr:rowOff>190500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77</xdr:row>
          <xdr:rowOff>38100</xdr:rowOff>
        </xdr:from>
        <xdr:to>
          <xdr:col>0</xdr:col>
          <xdr:colOff>251460</xdr:colOff>
          <xdr:row>77</xdr:row>
          <xdr:rowOff>198120</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99060</xdr:colOff>
          <xdr:row>88</xdr:row>
          <xdr:rowOff>30480</xdr:rowOff>
        </xdr:from>
        <xdr:to>
          <xdr:col>0</xdr:col>
          <xdr:colOff>251460</xdr:colOff>
          <xdr:row>88</xdr:row>
          <xdr:rowOff>198120</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83820</xdr:colOff>
          <xdr:row>99</xdr:row>
          <xdr:rowOff>45720</xdr:rowOff>
        </xdr:from>
        <xdr:to>
          <xdr:col>0</xdr:col>
          <xdr:colOff>236220</xdr:colOff>
          <xdr:row>99</xdr:row>
          <xdr:rowOff>220980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110</xdr:row>
          <xdr:rowOff>7620</xdr:rowOff>
        </xdr:from>
        <xdr:to>
          <xdr:col>3</xdr:col>
          <xdr:colOff>373380</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xdr:row>
          <xdr:rowOff>30480</xdr:rowOff>
        </xdr:from>
        <xdr:to>
          <xdr:col>1</xdr:col>
          <xdr:colOff>0</xdr:colOff>
          <xdr:row>9</xdr:row>
          <xdr:rowOff>190500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32</xdr:row>
          <xdr:rowOff>38100</xdr:rowOff>
        </xdr:from>
        <xdr:to>
          <xdr:col>0</xdr:col>
          <xdr:colOff>274320</xdr:colOff>
          <xdr:row>32</xdr:row>
          <xdr:rowOff>198120</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45720</xdr:rowOff>
        </xdr:from>
        <xdr:to>
          <xdr:col>1</xdr:col>
          <xdr:colOff>0</xdr:colOff>
          <xdr:row>43</xdr:row>
          <xdr:rowOff>198120</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7620</xdr:colOff>
          <xdr:row>8</xdr:row>
          <xdr:rowOff>7620</xdr:rowOff>
        </xdr:from>
        <xdr:to>
          <xdr:col>3</xdr:col>
          <xdr:colOff>373380</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30480</xdr:colOff>
          <xdr:row>21</xdr:row>
          <xdr:rowOff>0</xdr:rowOff>
        </xdr:from>
        <xdr:to>
          <xdr:col>4</xdr:col>
          <xdr:colOff>0</xdr:colOff>
          <xdr:row>21</xdr:row>
          <xdr:rowOff>228600</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11906</xdr:colOff>
      <xdr:row>236</xdr:row>
      <xdr:rowOff>23812</xdr:rowOff>
    </xdr:from>
    <xdr:to>
      <xdr:col>17</xdr:col>
      <xdr:colOff>88106</xdr:colOff>
      <xdr:row>249</xdr:row>
      <xdr:rowOff>23812</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452437" y="61757718"/>
          <a:ext cx="24031575" cy="247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t-LT" sz="1100" baseline="0"/>
            <a:t>LT turi ambasadas ir konsulatus 44 šalyse. Planuojama steigti 5 atstovybes ir 1 konsulatą. Tose šalyse, kur jau yra ambasada arba konsulatas (tokios šalys yra 2), naujo konsulato ar atstovybės steigimas skaičiuojamas, kaip pusė ambasados. Todėl bendras išvestinis naujai steigiamų atstovybių skaičius yra 5, kas sudaro 11,4 proc. atstovybių skaičiaus padidėjimą.</a:t>
          </a:r>
        </a:p>
        <a:p>
          <a:r>
            <a:rPr lang="lt-LT" sz="1100">
              <a:solidFill>
                <a:schemeClr val="dk1"/>
              </a:solidFill>
              <a:effectLst/>
              <a:latin typeface="+mn-lt"/>
              <a:ea typeface="+mn-ea"/>
              <a:cs typeface="+mn-cs"/>
            </a:rPr>
            <a:t>P</a:t>
          </a:r>
          <a:r>
            <a:rPr lang="en-US" sz="1100">
              <a:solidFill>
                <a:schemeClr val="dk1"/>
              </a:solidFill>
              <a:effectLst/>
              <a:latin typeface="+mn-lt"/>
              <a:ea typeface="+mn-ea"/>
              <a:cs typeface="+mn-cs"/>
            </a:rPr>
            <a:t>agal</a:t>
          </a:r>
          <a:r>
            <a:rPr lang="en-US" sz="1100" baseline="0">
              <a:solidFill>
                <a:schemeClr val="dk1"/>
              </a:solidFill>
              <a:effectLst/>
              <a:latin typeface="+mn-lt"/>
              <a:ea typeface="+mn-ea"/>
              <a:cs typeface="+mn-cs"/>
            </a:rPr>
            <a:t> atlik</a:t>
          </a:r>
          <a:r>
            <a:rPr lang="lt-LT" sz="1100" baseline="0">
              <a:solidFill>
                <a:schemeClr val="dk1"/>
              </a:solidFill>
              <a:effectLst/>
              <a:latin typeface="+mn-lt"/>
              <a:ea typeface="+mn-ea"/>
              <a:cs typeface="+mn-cs"/>
            </a:rPr>
            <a:t>tą tyrimą (</a:t>
          </a:r>
          <a:r>
            <a:rPr lang="lt-LT">
              <a:hlinkClick xmlns:r="http://schemas.openxmlformats.org/officeDocument/2006/relationships" r:id=""/>
            </a:rPr>
            <a:t>DISCUSSION PAPERS IN DIPLOMACY NO 119: ECONOMIC DIPLOMACY, THE LEVEL OF DEVELOPMENT AND TRADE (clingendael.org)</a:t>
          </a:r>
          <a:r>
            <a:rPr lang="lt-LT"/>
            <a:t>)</a:t>
          </a:r>
          <a:r>
            <a:rPr lang="lt-LT" sz="1100" baseline="0">
              <a:solidFill>
                <a:schemeClr val="dk1"/>
              </a:solidFill>
              <a:effectLst/>
              <a:latin typeface="+mn-lt"/>
              <a:ea typeface="+mn-ea"/>
              <a:cs typeface="+mn-cs"/>
            </a:rPr>
            <a:t>, 10 proc. išplėstas diplomatinių atstovybių ir konsulatų tinklas gali nuo 0,5 iki 0,9 proc. padidinti prekybos srautus. </a:t>
          </a:r>
          <a:endParaRPr lang="lt-LT">
            <a:effectLst/>
          </a:endParaRPr>
        </a:p>
        <a:p>
          <a:r>
            <a:rPr lang="lt-LT" sz="1100" baseline="0">
              <a:solidFill>
                <a:schemeClr val="dk1"/>
              </a:solidFill>
              <a:effectLst/>
              <a:latin typeface="+mn-lt"/>
              <a:ea typeface="+mn-ea"/>
              <a:cs typeface="+mn-cs"/>
            </a:rPr>
            <a:t>Prekybos srautų pokytis  priklauso nuo šalies steigiančios atstovybes ekonominio išsivystymo lygio, nuo šalių, kuriose steigiamos atstovybės, ekonominio išsivystymo lygio, taip pat nuo to ar steigiamos atstovybės ir konsulatai, ar eksporto skatinimu užsiima eksporto agentūrų darbuotojai. </a:t>
          </a:r>
          <a:endParaRPr lang="lt-LT">
            <a:effectLst/>
          </a:endParaRPr>
        </a:p>
        <a:p>
          <a:r>
            <a:rPr lang="lt-LT" sz="1100" baseline="0">
              <a:solidFill>
                <a:schemeClr val="dk1"/>
              </a:solidFill>
              <a:effectLst/>
              <a:latin typeface="+mn-lt"/>
              <a:ea typeface="+mn-ea"/>
              <a:cs typeface="+mn-cs"/>
            </a:rPr>
            <a:t>Silpnos  (šalys, kuriose BVP vienam žmogui tenka mažiau nei 20000 USD) ir vidutinio stiprumo ekonomikos (šalys, kuriose  BVP vienam žmgui tenka tarp 20000 ir 40000 USD) šalių atstovybių atidarymas panašaus ekonominio išsivystymo šalyse sudaro ženkliai didesnį poveikį eksporto apimtims, nei atstovybių atidarymas stiprių ekonomikų šalyse (šalys, kuriose BVP vienam žmogui tenka daugiau nei 40000 USD) . Tuo tarpu silpnos  ir vidutinio stiprumo ekonomikos šalių  eksporto agentūrų darbuotojų daromas poveikis eksporto apimtims panašaus ekonominio išsivystymo šalyse  yra didesnis, nei atidarant naujas atstovybes (žr. minėto tyrimo 2 lentelę (</a:t>
          </a:r>
          <a:r>
            <a:rPr lang="lt-LT" sz="1100">
              <a:solidFill>
                <a:schemeClr val="dk1"/>
              </a:solidFill>
              <a:effectLst/>
              <a:latin typeface="+mn-lt"/>
              <a:ea typeface="+mn-ea"/>
              <a:cs typeface="+mn-cs"/>
            </a:rPr>
            <a:t>Table 2: 'within' and 'between' effects)</a:t>
          </a:r>
          <a:endParaRPr lang="lt-LT">
            <a:effectLst/>
          </a:endParaRPr>
        </a:p>
        <a:p>
          <a:r>
            <a:rPr lang="lt-LT" sz="1100" baseline="0">
              <a:solidFill>
                <a:schemeClr val="dk1"/>
              </a:solidFill>
              <a:effectLst/>
              <a:latin typeface="+mn-lt"/>
              <a:ea typeface="+mn-ea"/>
              <a:cs typeface="+mn-cs"/>
            </a:rPr>
            <a:t>Lietuva priskirtina prie vidutinio stiprumo ekonomikų.  </a:t>
          </a:r>
          <a:endParaRPr lang="lt-LT">
            <a:effectLst/>
          </a:endParaRPr>
        </a:p>
        <a:p>
          <a:r>
            <a:rPr lang="lt-LT" sz="1100" baseline="0">
              <a:solidFill>
                <a:schemeClr val="dk1"/>
              </a:solidFill>
              <a:effectLst/>
              <a:latin typeface="+mn-lt"/>
              <a:ea typeface="+mn-ea"/>
              <a:cs typeface="+mn-cs"/>
            </a:rPr>
            <a:t>Vertinant įtaką eksportui, ekonominės diplomatijos funkcijas atliekantys diplomatai ir padėjėjai ekonomikai bus prilyginti eksporto agentūrų darbuotojams</a:t>
          </a:r>
          <a:r>
            <a:rPr lang="en-US" sz="1100" baseline="0">
              <a:solidFill>
                <a:schemeClr val="dk1"/>
              </a:solidFill>
              <a:effectLst/>
              <a:latin typeface="+mn-lt"/>
              <a:ea typeface="+mn-ea"/>
              <a:cs typeface="+mn-cs"/>
            </a:rPr>
            <a:t> (tose </a:t>
          </a:r>
          <a:r>
            <a:rPr lang="lt-LT" sz="1100" baseline="0">
              <a:solidFill>
                <a:schemeClr val="dk1"/>
              </a:solidFill>
              <a:effectLst/>
              <a:latin typeface="+mn-lt"/>
              <a:ea typeface="+mn-ea"/>
              <a:cs typeface="+mn-cs"/>
            </a:rPr>
            <a:t>šalyse, kuriose dirba ekonominės diplomatijos funkcijas atliekantys diplomatai arba komercijos atašė, naujai steigiamų padėjėjų ekonomikai sukuriama pridėtinė vertė sudarys 33 proc.  kitų pareigybių sukuriamos pridėtinės vertės)  . </a:t>
          </a:r>
          <a:endParaRPr lang="lt-LT">
            <a:effectLst/>
          </a:endParaRPr>
        </a:p>
        <a:p>
          <a:r>
            <a:rPr lang="lt-LT" sz="1100" baseline="0"/>
            <a:t>Poveikis skaičiuojamas nuo antrų metų įsteigus ambasadą, konsulatą arba pareigybę.</a:t>
          </a:r>
        </a:p>
        <a:p>
          <a:r>
            <a:rPr lang="lt-LT" sz="1100" baseline="0"/>
            <a:t>Ataskaitiniai metai, nuo kurių skaičiuojamas pokytis yra 2021 m.</a:t>
          </a:r>
          <a:r>
            <a:rPr lang="en-US" sz="1100" baseline="0"/>
            <a:t> (Lietuvos statistikos departamento duomenys).</a:t>
          </a:r>
          <a:r>
            <a:rPr lang="lt-LT" sz="1100" baseline="0"/>
            <a:t> Ekonomikos diplomatų ir padėjėjų pareigybėms  - 2022 m.</a:t>
          </a:r>
        </a:p>
        <a:p>
          <a:r>
            <a:rPr lang="lt-LT" sz="1100" baseline="0"/>
            <a:t>Primama prielaida, kad tokį patį poveikį ambasadų, konsulatų ir pareigybių steigimas turės ir užsienio investicijų pokyčiui, tačiau ataskaitinia</a:t>
          </a:r>
          <a:r>
            <a:rPr lang="en-US" sz="1100" baseline="0"/>
            <a:t>i</a:t>
          </a:r>
          <a:r>
            <a:rPr lang="lt-LT" sz="1100" baseline="0"/>
            <a:t> metai, nuo kurių skaičiuojamas pokytis yra 2020 m. </a:t>
          </a:r>
          <a:r>
            <a:rPr lang="en-US" sz="1100" baseline="0"/>
            <a:t>Investicij</a:t>
          </a:r>
          <a:r>
            <a:rPr lang="lt-LT" sz="1100" baseline="0"/>
            <a:t>ų nauda skaičiuojama kaip sukuriamos pridėtinės vertės nuo eksporto apimčių. </a:t>
          </a:r>
          <a:r>
            <a:rPr lang="lt-LT" sz="1100">
              <a:solidFill>
                <a:schemeClr val="dk1"/>
              </a:solidFill>
              <a:effectLst/>
              <a:latin typeface="+mn-lt"/>
              <a:ea typeface="+mn-ea"/>
              <a:cs typeface="+mn-cs"/>
            </a:rPr>
            <a:t>Lietuvos</a:t>
          </a:r>
          <a:r>
            <a:rPr lang="lt-LT" sz="1100" baseline="0">
              <a:solidFill>
                <a:schemeClr val="dk1"/>
              </a:solidFill>
              <a:effectLst/>
              <a:latin typeface="+mn-lt"/>
              <a:ea typeface="+mn-ea"/>
              <a:cs typeface="+mn-cs"/>
            </a:rPr>
            <a:t> statistikos departamento duomenimis </a:t>
          </a:r>
          <a:r>
            <a:rPr lang="lt-LT" sz="1100">
              <a:solidFill>
                <a:schemeClr val="dk1"/>
              </a:solidFill>
              <a:effectLst/>
              <a:latin typeface="+mn-lt"/>
              <a:ea typeface="+mn-ea"/>
              <a:cs typeface="+mn-cs"/>
            </a:rPr>
            <a:t>bendras</a:t>
          </a:r>
          <a:r>
            <a:rPr lang="lt-LT" sz="1100" baseline="0">
              <a:solidFill>
                <a:schemeClr val="dk1"/>
              </a:solidFill>
              <a:effectLst/>
              <a:latin typeface="+mn-lt"/>
              <a:ea typeface="+mn-ea"/>
              <a:cs typeface="+mn-cs"/>
            </a:rPr>
            <a:t> pridėtinės vertės p</a:t>
          </a:r>
          <a:r>
            <a:rPr lang="lt-LT" sz="1100">
              <a:solidFill>
                <a:schemeClr val="dk1"/>
              </a:solidFill>
              <a:effectLst/>
              <a:latin typeface="+mn-lt"/>
              <a:ea typeface="+mn-ea"/>
              <a:cs typeface="+mn-cs"/>
            </a:rPr>
            <a:t>enkių metų vidurkis imant visų dydžių įmonių grupes sudaro </a:t>
          </a:r>
          <a:r>
            <a:rPr lang="en-US" sz="1100">
              <a:solidFill>
                <a:schemeClr val="dk1"/>
              </a:solidFill>
              <a:effectLst/>
              <a:latin typeface="+mn-lt"/>
              <a:ea typeface="+mn-ea"/>
              <a:cs typeface="+mn-cs"/>
            </a:rPr>
            <a:t>23,5</a:t>
          </a:r>
          <a:r>
            <a:rPr lang="lt-LT" sz="1100">
              <a:solidFill>
                <a:schemeClr val="dk1"/>
              </a:solidFill>
              <a:effectLst/>
              <a:latin typeface="+mn-lt"/>
              <a:ea typeface="+mn-ea"/>
              <a:cs typeface="+mn-cs"/>
            </a:rPr>
            <a:t> proc.</a:t>
          </a:r>
          <a:r>
            <a:rPr lang="en-US" sz="1100">
              <a:solidFill>
                <a:schemeClr val="dk1"/>
              </a:solidFill>
              <a:effectLst/>
              <a:latin typeface="+mn-lt"/>
              <a:ea typeface="+mn-ea"/>
              <a:cs typeface="+mn-cs"/>
            </a:rPr>
            <a:t> nuo apyvartos (pardavimų). </a:t>
          </a:r>
          <a:r>
            <a:rPr lang="lt-LT" sz="1100">
              <a:solidFill>
                <a:schemeClr val="dk1"/>
              </a:solidFill>
              <a:effectLst/>
              <a:latin typeface="+mn-lt"/>
              <a:ea typeface="+mn-ea"/>
              <a:cs typeface="+mn-cs"/>
            </a:rPr>
            <a:t>Priimama prielaida,</a:t>
          </a:r>
          <a:r>
            <a:rPr lang="lt-LT" sz="1100" baseline="0">
              <a:solidFill>
                <a:schemeClr val="dk1"/>
              </a:solidFill>
              <a:effectLst/>
              <a:latin typeface="+mn-lt"/>
              <a:ea typeface="+mn-ea"/>
              <a:cs typeface="+mn-cs"/>
            </a:rPr>
            <a:t> kad užsienio investicijos sukuria  tokią pačia dalį pridėtinės vertės.</a:t>
          </a:r>
        </a:p>
        <a:p>
          <a:pPr marL="0" marR="0" lvl="0" indent="0" defTabSz="914400" eaLnBrk="1" fontAlgn="auto" latinLnBrk="0" hangingPunct="1">
            <a:lnSpc>
              <a:spcPct val="100000"/>
            </a:lnSpc>
            <a:spcBef>
              <a:spcPts val="0"/>
            </a:spcBef>
            <a:spcAft>
              <a:spcPts val="0"/>
            </a:spcAft>
            <a:buClrTx/>
            <a:buSzTx/>
            <a:buFontTx/>
            <a:buNone/>
            <a:tabLst/>
            <a:defRPr/>
          </a:pPr>
          <a:r>
            <a:rPr lang="lt-LT"/>
            <a:t>Atsižvelgiant į tai,</a:t>
          </a:r>
          <a:r>
            <a:rPr lang="lt-LT" baseline="0"/>
            <a:t> kad steigiant naujas atstovybes joms mus nuomojamos patalpos,  scenarijų pinigų srautuose nekilnojamojo turto likutinė vertė neskaičiuojama.  </a:t>
          </a:r>
          <a:endParaRPr lang="en-US"/>
        </a:p>
      </xdr:txBody>
    </xdr:sp>
    <xdr:clientData/>
  </xdr:twoCellAnchor>
  <xdr:twoCellAnchor>
    <xdr:from>
      <xdr:col>1</xdr:col>
      <xdr:colOff>0</xdr:colOff>
      <xdr:row>173</xdr:row>
      <xdr:rowOff>161925</xdr:rowOff>
    </xdr:from>
    <xdr:to>
      <xdr:col>3</xdr:col>
      <xdr:colOff>19050</xdr:colOff>
      <xdr:row>181</xdr:row>
      <xdr:rowOff>38100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42900" y="48596550"/>
          <a:ext cx="5581650"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lt-LT" sz="1100"/>
        </a:p>
      </xdr:txBody>
    </xdr:sp>
    <xdr:clientData/>
  </xdr:twoCellAnchor>
  <xdr:twoCellAnchor>
    <xdr:from>
      <xdr:col>1</xdr:col>
      <xdr:colOff>0</xdr:colOff>
      <xdr:row>173</xdr:row>
      <xdr:rowOff>161925</xdr:rowOff>
    </xdr:from>
    <xdr:to>
      <xdr:col>3</xdr:col>
      <xdr:colOff>19050</xdr:colOff>
      <xdr:row>181</xdr:row>
      <xdr:rowOff>38100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342900" y="48596550"/>
          <a:ext cx="5581650"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t-LT" sz="1100"/>
            <a:t>Kiekviena</a:t>
          </a:r>
          <a:r>
            <a:rPr lang="lt-LT" sz="1100" baseline="0"/>
            <a:t> dimplomatinio tinklo plėtrai pasirinkta valstybė vertinama balais pagal atskirus aspektus: politinės svarbos, regioninės svarbos, ekonominės svarbos ir konsulinės/diasporos svarbos. Šį vertinimą atliko </a:t>
          </a:r>
          <a:r>
            <a:rPr lang="lt-LT" sz="1100" baseline="0">
              <a:solidFill>
                <a:schemeClr val="dk1"/>
              </a:solidFill>
              <a:effectLst/>
              <a:latin typeface="+mn-lt"/>
              <a:ea typeface="+mn-ea"/>
              <a:cs typeface="+mn-cs"/>
            </a:rPr>
            <a:t>ministerijos ekspertai, </a:t>
          </a:r>
          <a:r>
            <a:rPr lang="lt-LT" sz="1100" baseline="0"/>
            <a:t>suteikdami balus. Taip pat papildomą politinį vertimą atliko ministerijos vadovybė.</a:t>
          </a:r>
        </a:p>
        <a:p>
          <a:r>
            <a:rPr lang="lt-LT" sz="1100" baseline="0"/>
            <a:t>Scenarijai buvo sukurti pagal kiekvieną aspektą, į juos įtraukiant po 5 daugiausiai balų pagal konkretų aspektą surinkusias valstybes.</a:t>
          </a:r>
          <a:endParaRPr lang="lt-LT" sz="1100"/>
        </a:p>
      </xdr:txBody>
    </xdr:sp>
    <xdr:clientData/>
  </xdr:twoCellAnchor>
  <xdr:twoCellAnchor>
    <xdr:from>
      <xdr:col>0</xdr:col>
      <xdr:colOff>333375</xdr:colOff>
      <xdr:row>191</xdr:row>
      <xdr:rowOff>152400</xdr:rowOff>
    </xdr:from>
    <xdr:to>
      <xdr:col>3</xdr:col>
      <xdr:colOff>0</xdr:colOff>
      <xdr:row>199</xdr:row>
      <xdr:rowOff>0</xdr:rowOff>
    </xdr:to>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333375" y="52206525"/>
          <a:ext cx="5572125"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lt-LT" sz="1100"/>
            <a:t>Daugiakriterinei analizei yra naudojami</a:t>
          </a:r>
          <a:r>
            <a:rPr lang="lt-LT" sz="1100" baseline="0"/>
            <a:t> kiekvieno scenarijaus šalių balų vidurkiai pagal atskirus aspektus.</a:t>
          </a:r>
          <a:endParaRPr lang="lt-LT" sz="1100"/>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335280</xdr:colOff>
          <xdr:row>1</xdr:row>
          <xdr:rowOff>182880</xdr:rowOff>
        </xdr:from>
        <xdr:to>
          <xdr:col>6</xdr:col>
          <xdr:colOff>1203960</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900-0000015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7620</xdr:colOff>
          <xdr:row>23</xdr:row>
          <xdr:rowOff>0</xdr:rowOff>
        </xdr:from>
        <xdr:to>
          <xdr:col>1</xdr:col>
          <xdr:colOff>3223260</xdr:colOff>
          <xdr:row>24</xdr:row>
          <xdr:rowOff>60960</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A00-0000016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100" b="0" i="0" u="none" strike="noStrike" baseline="0">
                  <a:solidFill>
                    <a:srgbClr val="000000"/>
                  </a:solidFill>
                  <a:latin typeface="Calibri"/>
                  <a:cs typeface="Calibri"/>
                </a:rPr>
                <a:t>Rodyti/nerodyti finansinės analizės rodiklius</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irida Zalieckaitė" refreshedDate="44298.50049849537" createdVersion="6" refreshedVersion="6" minRefreshableVersion="3" recordCount="5" xr:uid="{00000000-000A-0000-FFFF-FFFF01000000}">
  <cacheSource type="worksheet">
    <worksheetSource ref="I1:I6" sheet="Data1"/>
  </cacheSource>
  <cacheFields count="1">
    <cacheField name="Alternatyvos" numFmtId="0">
      <sharedItems count="6">
        <s v="Alternatyva 1"/>
        <s v="Alternatyva 2"/>
        <s v="Alternatyva 3"/>
        <s v=""/>
        <s v="Alternatyva 5" u="1"/>
        <s v="Alternatyva 4"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us Radžiūnas" refreshedDate="44967.371622800929" createdVersion="6" refreshedVersion="6" minRefreshableVersion="3" recordCount="66" xr:uid="{00000000-000A-0000-FFFF-FFFF02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ntainsMixedTypes="1" containsNumber="1" containsInteger="1" minValue="0" maxValue="0" count="21">
        <s v="PRIEMONĖS INVESTICIJOS"/>
        <s v="REGULIACINĖS VEIKLOS"/>
        <s v="Norminės"/>
        <s v="Veikla (nurodykite pavadinimą; suplanuotas investicijas pagrįskite prielaidų lape)_x000a_Analitinė studija dėl diplomatinio atstovavimo tinklo plėtros "/>
        <s v="Veikla"/>
        <s v="Mokestinės"/>
        <s v="Finansinės paskatos ir kitos išmokos"/>
        <s v="INVESTICINĖS VEIKLOS"/>
        <s v="Infrastruktūros vystymas"/>
        <s v="Ambasados Singapūre įsteigimas"/>
        <s v="Ambasadų kitose užsienio valstybėse įsteigimas (politinės/ekonominės svarbos scenarijus)"/>
        <s v="Valstybės veiklos tarptautinėse organizacijose pozicijų derinimo, stebėsenos sistemos sukūrimas"/>
        <n v="0"/>
        <s v="Paslaugų teikimas"/>
        <s v="Indijos–Ramiojo vandenynų regiono politikos studijų programos/-ų parengimas Lietuvos universitetuose"/>
        <s v="Investicijos į žinias ir žmogiškuosius išteklius"/>
        <s v="Ekonominės diplomatijos funkcijų stiprinimas"/>
        <s v="Darbo su diaspora funkcijų stiprinimas"/>
        <s v="Kursai diplomatams, dirbantiems su fondas Indijos–Ramiojo vandenynų regionu "/>
        <s v="Stipendijų fondas Indijos–Ramiojo vandenynų regiono studijų studentams"/>
        <s v="KOMUNIKACINĖS VEIKLOS"/>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11913215.205726113"/>
    </cacheField>
    <cacheField name="2022" numFmtId="3">
      <sharedItems containsSemiMixedTypes="0" containsString="0" containsNumber="1" containsInteger="1" minValue="0" maxValue="1730000"/>
    </cacheField>
    <cacheField name="2023" numFmtId="3">
      <sharedItems containsSemiMixedTypes="0" containsString="0" containsNumber="1" minValue="0" maxValue="3662763.9902444668"/>
    </cacheField>
    <cacheField name="2024" numFmtId="3">
      <sharedItems containsSemiMixedTypes="0" containsString="0" containsNumber="1" minValue="0" maxValue="2674577.9277790855"/>
    </cacheField>
    <cacheField name="2025" numFmtId="3">
      <sharedItems containsSemiMixedTypes="0" containsString="0" containsNumber="1" minValue="0" maxValue="3694152.8800625182"/>
    </cacheField>
    <cacheField name="2026" numFmtId="3">
      <sharedItems containsSemiMixedTypes="0" containsString="0" containsNumber="1" minValue="0" maxValue="117365.32044816241"/>
    </cacheField>
    <cacheField name="2027" numFmtId="3">
      <sharedItems containsSemiMixedTypes="0" containsString="0" containsNumber="1" minValue="0" maxValue="28981.851857499994"/>
    </cacheField>
    <cacheField name="2028" numFmtId="3">
      <sharedItems containsSemiMixedTypes="0" containsString="0" containsNumber="1" minValue="0" maxValue="5373.2353343804998"/>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 name="2121"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ius Radžiūnas" refreshedDate="44967.371625" createdVersion="6" refreshedVersion="6" minRefreshableVersion="3" recordCount="73" xr:uid="{00000000-000A-0000-FFFF-FFFF03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23">
        <s v="PRIEMONĖS INVESTICIJOS"/>
        <s v="REGULIACINĖS VEIKLOS"/>
        <s v="Norminės"/>
        <s v="Veikla (nurodykite pavadinimą; suplanuotas investicijas pagrįskite prielaidų lape)_x000a_Analitinė studija dėl diplomatinio atstovavimo tinklo plėtros "/>
        <s v="Veikla"/>
        <s v="Mokestinės"/>
        <s v="Finansinės paskatos ir kitos išmokos"/>
        <s v="INVESTICINĖS VEIKLOS"/>
        <s v="Infrastruktūros vystymas"/>
        <s v="Ambasados Singapūre įsteigimas"/>
        <s v="Ambasadų kitose užsienio valstybėse įsteigimas (politinės/ekonominės svarbos scenarijus)"/>
        <s v="Valstybės veiklos tarptautinėse organizacijose pozicijų derinimo, stebėsenos sistemos sukūrimas"/>
        <n v="0"/>
        <s v="Paslaugų teikimas"/>
        <s v="Indijos–Ramiojo vandenynų regiono politikos studijų programos/-ų parengimas Lietuvos universitetuose"/>
        <s v="Investicijos į žinias ir žmogiškuosius išteklius"/>
        <s v="Ekonominės diplomatijos funkcijų stiprinimas"/>
        <s v="Darbo su diaspora funkcijų stiprinimas"/>
        <s v="Kursai diplomatams, dirbantiems su fondas Indijos–Ramiojo vandenynų regionu "/>
        <s v="Stipendijų fondas Indijos–Ramiojo vandenynų regiono studijų studentams"/>
        <s v="KOMUNIKACINĖS VEIKLOS"/>
        <s v="Ekonominės diplomatijos plėtros sukurta pridėtinė vertė"/>
        <s v="Naujų atstovybių sukurta pridėtinė vertė"/>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minValue="0" maxValue="560493894.98824227"/>
    </cacheField>
    <cacheField name="2022" numFmtId="3">
      <sharedItems containsSemiMixedTypes="0" containsString="0" containsNumber="1" containsInteger="1" minValue="0" maxValue="1730000"/>
    </cacheField>
    <cacheField name="2023" numFmtId="3">
      <sharedItems containsSemiMixedTypes="0" containsString="0" containsNumber="1" minValue="0" maxValue="3662763.9902444668"/>
    </cacheField>
    <cacheField name="2024" numFmtId="3">
      <sharedItems containsSemiMixedTypes="0" containsString="0" containsNumber="1" minValue="0" maxValue="20652843.399999999"/>
    </cacheField>
    <cacheField name="2025" numFmtId="3">
      <sharedItems containsSemiMixedTypes="0" containsString="0" containsNumber="1" minValue="0" maxValue="23474903.015199997"/>
    </cacheField>
    <cacheField name="2026" numFmtId="3">
      <sharedItems containsSemiMixedTypes="0" containsString="0" containsNumber="1" minValue="0" maxValue="24132200.299625639"/>
    </cacheField>
    <cacheField name="2027" numFmtId="3">
      <sharedItems containsSemiMixedTypes="0" containsString="0" containsNumber="1" minValue="0" maxValue="24807901.908015121"/>
    </cacheField>
    <cacheField name="2028" numFmtId="3">
      <sharedItems containsSemiMixedTypes="0" containsString="0" containsNumber="1" minValue="0" maxValue="25502523.161439508"/>
    </cacheField>
    <cacheField name="2029" numFmtId="3">
      <sharedItems containsSemiMixedTypes="0" containsString="0" containsNumber="1" minValue="0" maxValue="26216593.80995984"/>
    </cacheField>
    <cacheField name="2030" numFmtId="3">
      <sharedItems containsSemiMixedTypes="0" containsString="0" containsNumber="1" minValue="0" maxValue="26950658.436638754"/>
    </cacheField>
    <cacheField name="2031" numFmtId="3">
      <sharedItems containsSemiMixedTypes="0" containsString="0" containsNumber="1" minValue="0" maxValue="27705276.872864597"/>
    </cacheField>
    <cacheField name="2032" numFmtId="3">
      <sharedItems containsSemiMixedTypes="0" containsString="0" containsNumber="1" minValue="0" maxValue="28481024.625304855"/>
    </cacheField>
    <cacheField name="2033" numFmtId="3">
      <sharedItems containsSemiMixedTypes="0" containsString="0" containsNumber="1" minValue="0" maxValue="29278493.314813346"/>
    </cacheField>
    <cacheField name="2034" numFmtId="3">
      <sharedItems containsSemiMixedTypes="0" containsString="0" containsNumber="1" minValue="0" maxValue="30098291.127628088"/>
    </cacheField>
    <cacheField name="2035" numFmtId="3">
      <sharedItems containsSemiMixedTypes="0" containsString="0" containsNumber="1" minValue="0" maxValue="30941043.27920175"/>
    </cacheField>
    <cacheField name="2036" numFmtId="3">
      <sharedItems containsSemiMixedTypes="0" containsString="0" containsNumber="1" minValue="0" maxValue="31807392.491019323"/>
    </cacheField>
    <cacheField name="2037" numFmtId="3">
      <sharedItems containsSemiMixedTypes="0" containsString="0" containsNumber="1" minValue="0" maxValue="32697999.480767898"/>
    </cacheField>
    <cacheField name="2038" numFmtId="3">
      <sharedItems containsSemiMixedTypes="0" containsString="0" containsNumber="1" minValue="0" maxValue="33613543.466229446"/>
    </cacheField>
    <cacheField name="2039" numFmtId="3">
      <sharedItems containsSemiMixedTypes="0" containsString="0" containsNumber="1" minValue="0" maxValue="34554722.683283836"/>
    </cacheField>
    <cacheField name="2040" numFmtId="3">
      <sharedItems containsSemiMixedTypes="0" containsString="0" containsNumber="1" minValue="0" maxValue="35522254.918415785"/>
    </cacheField>
    <cacheField name="2041" numFmtId="3">
      <sharedItems containsSemiMixedTypes="0" containsString="0" containsNumber="1" minValue="0" maxValue="36516878.05613146"/>
    </cacheField>
    <cacheField name="2042" numFmtId="3">
      <sharedItems containsSemiMixedTypes="0" containsString="0" containsNumber="1" minValue="0" maxValue="37539350.641703054"/>
    </cacheField>
    <cacheField name="2043" numFmtId="3">
      <sharedItems containsMixedTypes="1" containsNumber="1" containsInteger="1" minValue="0" maxValue="0"/>
    </cacheField>
    <cacheField name="2044" numFmtId="3">
      <sharedItems containsMixedTypes="1" containsNumber="1" containsInteger="1" minValue="0" maxValue="0"/>
    </cacheField>
    <cacheField name="2045" numFmtId="3">
      <sharedItems containsMixedTypes="1" containsNumber="1" containsInteger="1" minValue="0" maxValue="0"/>
    </cacheField>
    <cacheField name="2046" numFmtId="3">
      <sharedItems containsMixedTypes="1" containsNumber="1" containsInteger="1" minValue="0" maxValue="0"/>
    </cacheField>
    <cacheField name="2047" numFmtId="3">
      <sharedItems containsMixedTypes="1" containsNumber="1" containsInteger="1" minValue="0" maxValue="0"/>
    </cacheField>
    <cacheField name="2048" numFmtId="3">
      <sharedItems containsMixedTypes="1" containsNumber="1" containsInteger="1" minValue="0" maxValue="0"/>
    </cacheField>
    <cacheField name="2049" numFmtId="3">
      <sharedItems containsMixedTypes="1" containsNumber="1" containsInteger="1" minValue="0" maxValue="0"/>
    </cacheField>
    <cacheField name="2050" numFmtId="3">
      <sharedItems containsMixedTypes="1" containsNumber="1" containsInteger="1" minValue="0" maxValue="0"/>
    </cacheField>
    <cacheField name="2051" numFmtId="3">
      <sharedItems containsMixedTypes="1" containsNumber="1" containsInteger="1" minValue="0" maxValue="0"/>
    </cacheField>
    <cacheField name="2052" numFmtId="3">
      <sharedItems containsMixedTypes="1" containsNumber="1" containsInteger="1" minValue="0" maxValue="0"/>
    </cacheField>
    <cacheField name="2053" numFmtId="3">
      <sharedItems containsMixedTypes="1" containsNumber="1" containsInteger="1" minValue="0" maxValue="0"/>
    </cacheField>
    <cacheField name="2054" numFmtId="3">
      <sharedItems containsMixedTypes="1" containsNumber="1" containsInteger="1" minValue="0" maxValue="0"/>
    </cacheField>
    <cacheField name="2055" numFmtId="3">
      <sharedItems containsMixedTypes="1" containsNumber="1" containsInteger="1" minValue="0" maxValue="0"/>
    </cacheField>
    <cacheField name="2056" numFmtId="3">
      <sharedItems containsMixedTypes="1" containsNumber="1" containsInteger="1" minValue="0" maxValue="0"/>
    </cacheField>
    <cacheField name="2057" numFmtId="3">
      <sharedItems containsMixedTypes="1" containsNumber="1" containsInteger="1" minValue="0" maxValue="0"/>
    </cacheField>
    <cacheField name="2058" numFmtId="3">
      <sharedItems containsMixedTypes="1" containsNumber="1" containsInteger="1" minValue="0" maxValue="0"/>
    </cacheField>
    <cacheField name="2059" numFmtId="3">
      <sharedItems containsMixedTypes="1" containsNumber="1" containsInteger="1" minValue="0" maxValue="0"/>
    </cacheField>
    <cacheField name="2060" numFmtId="3">
      <sharedItems containsMixedTypes="1" containsNumber="1" containsInteger="1" minValue="0" maxValue="0"/>
    </cacheField>
    <cacheField name="2061" numFmtId="3">
      <sharedItems containsMixedTypes="1" containsNumber="1" containsInteger="1" minValue="0" maxValue="0"/>
    </cacheField>
    <cacheField name="2062" numFmtId="3">
      <sharedItems containsMixedTypes="1" containsNumber="1" containsInteger="1" minValue="0" maxValue="0"/>
    </cacheField>
    <cacheField name="2063" numFmtId="3">
      <sharedItems containsMixedTypes="1" containsNumber="1" containsInteger="1" minValue="0" maxValue="0"/>
    </cacheField>
    <cacheField name="2064" numFmtId="3">
      <sharedItems containsMixedTypes="1" containsNumber="1" containsInteger="1" minValue="0" maxValue="0"/>
    </cacheField>
    <cacheField name="2065" numFmtId="3">
      <sharedItems containsMixedTypes="1" containsNumber="1" containsInteger="1" minValue="0" maxValue="0"/>
    </cacheField>
    <cacheField name="2066" numFmtId="3">
      <sharedItems containsMixedTypes="1" containsNumber="1" containsInteger="1" minValue="0" maxValue="0"/>
    </cacheField>
    <cacheField name="2067" numFmtId="3">
      <sharedItems containsMixedTypes="1" containsNumber="1" containsInteger="1" minValue="0" maxValue="0"/>
    </cacheField>
    <cacheField name="2068" numFmtId="3">
      <sharedItems containsMixedTypes="1" containsNumber="1" containsInteger="1" minValue="0" maxValue="0"/>
    </cacheField>
    <cacheField name="2069" numFmtId="3">
      <sharedItems containsMixedTypes="1" containsNumber="1" containsInteger="1" minValue="0" maxValue="0"/>
    </cacheField>
    <cacheField name="2070" numFmtId="3">
      <sharedItems containsMixedTypes="1" containsNumber="1" containsInteger="1" minValue="0" maxValue="0"/>
    </cacheField>
    <cacheField name="2071" numFmtId="3">
      <sharedItems containsMixedTypes="1" containsNumber="1" containsInteger="1" minValue="0" maxValue="0"/>
    </cacheField>
    <cacheField name="2072" numFmtId="3">
      <sharedItems containsMixedTypes="1" containsNumber="1" containsInteger="1" minValue="0" maxValue="0"/>
    </cacheField>
    <cacheField name="2073" numFmtId="3">
      <sharedItems containsMixedTypes="1" containsNumber="1" containsInteger="1" minValue="0" maxValue="0"/>
    </cacheField>
    <cacheField name="2074" numFmtId="3">
      <sharedItems containsMixedTypes="1" containsNumber="1" containsInteger="1" minValue="0" maxValue="0"/>
    </cacheField>
    <cacheField name="2075" numFmtId="3">
      <sharedItems containsMixedTypes="1" containsNumber="1" containsInteger="1" minValue="0" maxValue="0"/>
    </cacheField>
    <cacheField name="2076" numFmtId="3">
      <sharedItems containsMixedTypes="1" containsNumber="1" containsInteger="1" minValue="0" maxValue="0"/>
    </cacheField>
    <cacheField name="2077" numFmtId="3">
      <sharedItems containsMixedTypes="1" containsNumber="1" containsInteger="1" minValue="0" maxValue="0"/>
    </cacheField>
    <cacheField name="2078" numFmtId="3">
      <sharedItems containsMixedTypes="1" containsNumber="1" containsInteger="1" minValue="0" maxValue="0"/>
    </cacheField>
    <cacheField name="2079" numFmtId="3">
      <sharedItems containsMixedTypes="1" containsNumber="1" containsInteger="1" minValue="0" maxValue="0"/>
    </cacheField>
    <cacheField name="2080" numFmtId="3">
      <sharedItems containsMixedTypes="1" containsNumber="1" containsInteger="1" minValue="0" maxValue="0"/>
    </cacheField>
    <cacheField name="2081" numFmtId="3">
      <sharedItems containsMixedTypes="1" containsNumber="1" containsInteger="1" minValue="0" maxValue="0"/>
    </cacheField>
    <cacheField name="2082" numFmtId="3">
      <sharedItems containsMixedTypes="1" containsNumber="1" containsInteger="1" minValue="0" maxValue="0"/>
    </cacheField>
    <cacheField name="2083" numFmtId="3">
      <sharedItems containsMixedTypes="1" containsNumber="1" containsInteger="1" minValue="0" maxValue="0"/>
    </cacheField>
    <cacheField name="2084" numFmtId="3">
      <sharedItems containsMixedTypes="1" containsNumber="1" containsInteger="1" minValue="0" maxValue="0"/>
    </cacheField>
    <cacheField name="2085" numFmtId="3">
      <sharedItems containsMixedTypes="1" containsNumber="1" containsInteger="1" minValue="0" maxValue="0"/>
    </cacheField>
    <cacheField name="2086" numFmtId="3">
      <sharedItems containsMixedTypes="1" containsNumber="1" containsInteger="1" minValue="0" maxValue="0"/>
    </cacheField>
    <cacheField name="2087" numFmtId="3">
      <sharedItems containsMixedTypes="1" containsNumber="1" containsInteger="1" minValue="0" maxValue="0"/>
    </cacheField>
    <cacheField name="2088" numFmtId="3">
      <sharedItems containsMixedTypes="1" containsNumber="1" containsInteger="1" minValue="0" maxValue="0"/>
    </cacheField>
    <cacheField name="2089" numFmtId="3">
      <sharedItems containsMixedTypes="1" containsNumber="1" containsInteger="1" minValue="0" maxValue="0"/>
    </cacheField>
    <cacheField name="2090" numFmtId="3">
      <sharedItems containsMixedTypes="1" containsNumber="1" containsInteger="1" minValue="0" maxValue="0"/>
    </cacheField>
    <cacheField name="2091" numFmtId="3">
      <sharedItems containsMixedTypes="1" containsNumber="1" containsInteger="1" minValue="0" maxValue="0"/>
    </cacheField>
    <cacheField name="2092" numFmtId="3">
      <sharedItems containsMixedTypes="1" containsNumber="1" containsInteger="1" minValue="0" maxValue="0"/>
    </cacheField>
    <cacheField name="2093" numFmtId="3">
      <sharedItems containsMixedTypes="1" containsNumber="1" containsInteger="1" minValue="0" maxValue="0"/>
    </cacheField>
    <cacheField name="2094" numFmtId="3">
      <sharedItems containsMixedTypes="1" containsNumber="1" containsInteger="1" minValue="0" maxValue="0"/>
    </cacheField>
    <cacheField name="2095" numFmtId="3">
      <sharedItems containsMixedTypes="1" containsNumber="1" containsInteger="1" minValue="0" maxValue="0"/>
    </cacheField>
    <cacheField name="2096" numFmtId="3">
      <sharedItems containsMixedTypes="1" containsNumber="1" containsInteger="1" minValue="0" maxValue="0"/>
    </cacheField>
    <cacheField name="2097" numFmtId="3">
      <sharedItems containsMixedTypes="1" containsNumber="1" containsInteger="1" minValue="0" maxValue="0"/>
    </cacheField>
    <cacheField name="2098" numFmtId="3">
      <sharedItems containsMixedTypes="1" containsNumber="1" containsInteger="1" minValue="0" maxValue="0"/>
    </cacheField>
    <cacheField name="2099" numFmtId="3">
      <sharedItems containsMixedTypes="1" containsNumber="1" containsInteger="1" minValue="0" maxValue="0"/>
    </cacheField>
    <cacheField name="2100" numFmtId="3">
      <sharedItems containsMixedTypes="1" containsNumber="1" containsInteger="1" minValue="0" maxValue="0"/>
    </cacheField>
    <cacheField name="2101" numFmtId="3">
      <sharedItems containsMixedTypes="1" containsNumber="1" containsInteger="1" minValue="0" maxValue="0"/>
    </cacheField>
    <cacheField name="2102" numFmtId="3">
      <sharedItems containsMixedTypes="1" containsNumber="1" containsInteger="1" minValue="0" maxValue="0"/>
    </cacheField>
    <cacheField name="2103" numFmtId="3">
      <sharedItems containsMixedTypes="1" containsNumber="1" containsInteger="1" minValue="0" maxValue="0"/>
    </cacheField>
    <cacheField name="2104" numFmtId="3">
      <sharedItems containsMixedTypes="1" containsNumber="1" containsInteger="1" minValue="0" maxValue="0"/>
    </cacheField>
    <cacheField name="2105" numFmtId="3">
      <sharedItems containsMixedTypes="1" containsNumber="1" containsInteger="1" minValue="0" maxValue="0"/>
    </cacheField>
    <cacheField name="2106" numFmtId="3">
      <sharedItems containsMixedTypes="1" containsNumber="1" containsInteger="1" minValue="0" maxValue="0"/>
    </cacheField>
    <cacheField name="2107" numFmtId="3">
      <sharedItems containsMixedTypes="1" containsNumber="1" containsInteger="1" minValue="0" maxValue="0"/>
    </cacheField>
    <cacheField name="2108" numFmtId="3">
      <sharedItems containsMixedTypes="1" containsNumber="1" containsInteger="1" minValue="0" maxValue="0"/>
    </cacheField>
    <cacheField name="2109" numFmtId="3">
      <sharedItems containsMixedTypes="1" containsNumber="1" containsInteger="1" minValue="0" maxValue="0"/>
    </cacheField>
    <cacheField name="2110" numFmtId="3">
      <sharedItems containsMixedTypes="1" containsNumber="1" containsInteger="1" minValue="0" maxValue="0"/>
    </cacheField>
    <cacheField name="2111" numFmtId="3">
      <sharedItems containsMixedTypes="1" containsNumber="1" containsInteger="1" minValue="0" maxValue="0"/>
    </cacheField>
    <cacheField name="2112" numFmtId="3">
      <sharedItems containsMixedTypes="1" containsNumber="1" containsInteger="1" minValue="0" maxValue="0"/>
    </cacheField>
    <cacheField name="2113" numFmtId="3">
      <sharedItems containsMixedTypes="1" containsNumber="1" containsInteger="1" minValue="0" maxValue="0"/>
    </cacheField>
    <cacheField name="2114" numFmtId="3">
      <sharedItems containsMixedTypes="1" containsNumber="1" containsInteger="1" minValue="0" maxValue="0"/>
    </cacheField>
    <cacheField name="2115" numFmtId="3">
      <sharedItems containsMixedTypes="1" containsNumber="1" containsInteger="1" minValue="0" maxValue="0"/>
    </cacheField>
    <cacheField name="2116" numFmtId="3">
      <sharedItems containsMixedTypes="1" containsNumber="1" containsInteger="1" minValue="0" maxValue="0"/>
    </cacheField>
    <cacheField name="2117" numFmtId="3">
      <sharedItems containsMixedTypes="1" containsNumber="1" containsInteger="1" minValue="0" maxValue="0"/>
    </cacheField>
    <cacheField name="2118" numFmtId="3">
      <sharedItems containsMixedTypes="1" containsNumber="1" containsInteger="1" minValue="0" maxValue="0"/>
    </cacheField>
    <cacheField name="2119" numFmtId="3">
      <sharedItems containsMixedTypes="1" containsNumber="1" containsInteger="1" minValue="0" maxValue="0"/>
    </cacheField>
    <cacheField name="2120" numFmtId="3">
      <sharedItems containsMixedTypes="1" containsNumber="1" containsInteger="1" minValue="0" maxValue="0"/>
    </cacheField>
    <cacheField name="2121" numFmtId="3">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count="5">
  <r>
    <x v="0"/>
  </r>
  <r>
    <x v="1"/>
  </r>
  <r>
    <x v="2"/>
  </r>
  <r>
    <x v="3"/>
  </r>
  <r>
    <x v="3"/>
  </r>
</pivotCacheRecords>
</file>

<file path=xl/pivotCache/pivotCacheRecords3.xml><?xml version="1.0" encoding="utf-8"?>
<pivotCacheRecords xmlns="http://schemas.openxmlformats.org/spreadsheetml/2006/main" xmlns:r="http://schemas.openxmlformats.org/officeDocument/2006/relationships" count="66">
  <r>
    <x v="0"/>
    <x v="0"/>
    <m/>
    <m/>
    <m/>
    <n v="11913215.205726113"/>
    <n v="1730000"/>
    <n v="3662763.9902444668"/>
    <n v="2674577.9277790855"/>
    <n v="3694152.8800625182"/>
    <n v="117365.32044816241"/>
    <n v="28981.851857499994"/>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1913215.205726113"/>
    <n v="1730000"/>
    <n v="3662763.9902444668"/>
    <n v="2674577.9277790855"/>
    <n v="3694152.8800625182"/>
    <n v="117365.32044816241"/>
    <n v="28981.851857499994"/>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0054321.3105"/>
    <n v="1730000"/>
    <n v="3244100.875"/>
    <n v="1866874.5708333333"/>
    <n v="3213345.86466666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730000"/>
    <n v="173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7688371.5004999992"/>
    <n v="0"/>
    <n v="3192600.875"/>
    <n v="1315206.5708333333"/>
    <n v="3180564.0546666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635949.81000000006"/>
    <n v="0"/>
    <n v="51500"/>
    <n v="551668"/>
    <n v="32781.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3"/>
    <m/>
    <m/>
    <m/>
    <n v="40073.030907499997"/>
    <n v="0"/>
    <n v="0"/>
    <n v="0"/>
    <n v="5463.6350000000002"/>
    <n v="5627.5440499999995"/>
    <n v="28981.8518574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4"/>
    <m/>
    <m/>
    <m/>
    <n v="40073.030907499997"/>
    <n v="0"/>
    <n v="0"/>
    <n v="0"/>
    <n v="5463.6350000000002"/>
    <n v="5627.5440499999995"/>
    <n v="28981.8518574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5"/>
    <m/>
    <m/>
    <m/>
    <n v="1818820.8643186137"/>
    <n v="0"/>
    <n v="418663.1152444667"/>
    <n v="807703.35694575217"/>
    <n v="475343.38039585185"/>
    <n v="111737.77639816242"/>
    <n v="0"/>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6"/>
    <m/>
    <m/>
    <m/>
    <n v="986652.30792797473"/>
    <n v="0"/>
    <n v="220880.73798290003"/>
    <n v="493528.62515905715"/>
    <n v="272242.9447860175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7"/>
    <m/>
    <m/>
    <m/>
    <n v="801278.0495562586"/>
    <n v="0"/>
    <n v="177182.3772615667"/>
    <n v="314174.73178669508"/>
    <n v="198183.16410983432"/>
    <n v="111737.7763981624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18"/>
    <m/>
    <m/>
    <m/>
    <n v="20600"/>
    <n v="0"/>
    <n v="206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19"/>
    <m/>
    <m/>
    <m/>
    <n v="10290.5068343805"/>
    <n v="0"/>
    <n v="0"/>
    <n v="0"/>
    <n v="4917.2714999999998"/>
    <n v="0"/>
    <n v="0"/>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73">
  <r>
    <x v="0"/>
    <x v="0"/>
    <m/>
    <m/>
    <m/>
    <n v="11913215.205726113"/>
    <n v="1730000"/>
    <n v="3662763.9902444668"/>
    <n v="2674577.9277790855"/>
    <n v="3694152.8800625182"/>
    <n v="117365.32044816241"/>
    <n v="28981.851857499994"/>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11913215.205726113"/>
    <n v="1730000"/>
    <n v="3662763.9902444668"/>
    <n v="2674577.9277790855"/>
    <n v="3694152.8800625182"/>
    <n v="117365.32044816241"/>
    <n v="28981.851857499994"/>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10054321.3105"/>
    <n v="1730000"/>
    <n v="3244100.875"/>
    <n v="1866874.5708333333"/>
    <n v="3213345.864666666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9"/>
    <m/>
    <m/>
    <m/>
    <n v="1730000"/>
    <n v="17300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10"/>
    <m/>
    <m/>
    <m/>
    <n v="7688371.5004999992"/>
    <n v="0"/>
    <n v="3192600.875"/>
    <n v="1315206.5708333333"/>
    <n v="3180564.054666666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11"/>
    <m/>
    <m/>
    <m/>
    <n v="635949.81000000006"/>
    <n v="0"/>
    <n v="51500"/>
    <n v="551668"/>
    <n v="32781.81"/>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13"/>
    <m/>
    <m/>
    <m/>
    <n v="40073.030907499997"/>
    <n v="0"/>
    <n v="0"/>
    <n v="0"/>
    <n v="5463.6350000000002"/>
    <n v="5627.5440499999995"/>
    <n v="28981.8518574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14"/>
    <m/>
    <m/>
    <m/>
    <n v="40073.030907499997"/>
    <n v="0"/>
    <n v="0"/>
    <n v="0"/>
    <n v="5463.6350000000002"/>
    <n v="5627.5440499999995"/>
    <n v="28981.851857499994"/>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5"/>
    <m/>
    <m/>
    <m/>
    <n v="1818820.8643186137"/>
    <n v="0"/>
    <n v="418663.1152444667"/>
    <n v="807703.35694575217"/>
    <n v="475343.38039585185"/>
    <n v="111737.77639816242"/>
    <n v="0"/>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16"/>
    <m/>
    <m/>
    <m/>
    <n v="986652.30792797473"/>
    <n v="0"/>
    <n v="220880.73798290003"/>
    <n v="493528.62515905715"/>
    <n v="272242.9447860175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17"/>
    <m/>
    <m/>
    <m/>
    <n v="801278.0495562586"/>
    <n v="0"/>
    <n v="177182.3772615667"/>
    <n v="314174.73178669508"/>
    <n v="198183.16410983432"/>
    <n v="111737.77639816242"/>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18"/>
    <m/>
    <m/>
    <m/>
    <n v="20600"/>
    <n v="0"/>
    <n v="2060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19"/>
    <m/>
    <m/>
    <m/>
    <n v="10290.5068343805"/>
    <n v="0"/>
    <n v="0"/>
    <n v="0"/>
    <n v="4917.2714999999998"/>
    <n v="0"/>
    <n v="0"/>
    <n v="5373.23533438049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2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21"/>
    <m/>
    <m/>
    <m/>
    <n v="560493894.98824227"/>
    <n v="0"/>
    <n v="0"/>
    <n v="20652843.399999999"/>
    <n v="23474903.015199997"/>
    <n v="24132200.299625639"/>
    <n v="24807901.908015121"/>
    <n v="25502523.161439508"/>
    <n v="26216593.80995984"/>
    <n v="26950658.436638754"/>
    <n v="27705276.872864597"/>
    <n v="28481024.625304855"/>
    <n v="29278493.314813346"/>
    <n v="30098291.127628088"/>
    <n v="30941043.27920175"/>
    <n v="31807392.491019323"/>
    <n v="32697999.480767898"/>
    <n v="33613543.466229446"/>
    <n v="34554722.683283836"/>
    <n v="35522254.918415785"/>
    <n v="36516878.05613146"/>
    <n v="37539350.641703054"/>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s v=""/>
  </r>
  <r>
    <x v="67"/>
    <x v="22"/>
    <m/>
    <m/>
    <m/>
    <n v="231831966.99842313"/>
    <n v="0"/>
    <n v="505344"/>
    <n v="9323985.1140000001"/>
    <n v="10346801.024684016"/>
    <n v="11618160.466832109"/>
    <n v="11716234.803917062"/>
    <n v="11815436.529135978"/>
    <n v="11915782.646717666"/>
    <n v="12017290.457474669"/>
    <n v="12119977.564278765"/>
    <n v="12223861.877640922"/>
    <n v="12328961.621394744"/>
    <n v="12435295.338488325"/>
    <n v="12542881.896884389"/>
    <n v="12651740.495571882"/>
    <n v="12761890.670690218"/>
    <n v="12873352.301770085"/>
    <n v="12986145.618090412"/>
    <n v="13100291.205156403"/>
    <n v="13215810.011298575"/>
    <n v="13332723.354396898"/>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1" applyNumberFormats="0" applyBorderFormats="0" applyFontFormats="0" applyPatternFormats="0" applyAlignmentFormats="0" applyWidthHeightFormats="1" dataCaption="Values" updatedVersion="6"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3"/>
        <item x="0"/>
        <item x="1"/>
        <item x="2"/>
        <item m="1" x="5"/>
        <item m="1" x="4"/>
        <item t="default"/>
      </items>
    </pivotField>
  </pivotFields>
  <rowFields count="1">
    <field x="0"/>
  </rowFields>
  <rowItems count="3">
    <i>
      <x v="1"/>
    </i>
    <i>
      <x v="2"/>
    </i>
    <i>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8" firstHeaderRow="1" firstDataRow="1" firstDataCol="1" rowPageCount="2" colPageCount="1"/>
  <pivotFields count="4">
    <pivotField axis="axisPage" multipleItemSelectionAllowed="1" showAll="0">
      <items count="16">
        <item h="1" x="0"/>
        <item h="1" x="1"/>
        <item h="1" x="2"/>
        <item h="1" x="3"/>
        <item x="4"/>
        <item h="1" x="5"/>
        <item h="1" x="6"/>
        <item x="7"/>
        <item h="1" x="8"/>
        <item h="1" x="9"/>
        <item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4">
    <i>
      <x/>
    </i>
    <i>
      <x v="27"/>
    </i>
    <i>
      <x v="42"/>
    </i>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A25" firstHeaderRow="1" firstDataRow="1" firstDataCol="1" rowPageCount="2" colPageCount="1"/>
  <pivotFields count="4">
    <pivotField axis="axisPage" multipleItemSelectionAllowed="1" showAll="0">
      <items count="16">
        <item h="1" x="0"/>
        <item h="1" x="1"/>
        <item h="1" x="2"/>
        <item h="1" x="3"/>
        <item x="4"/>
        <item h="1" x="5"/>
        <item h="1" x="6"/>
        <item x="7"/>
        <item h="1" x="8"/>
        <item h="1" x="9"/>
        <item x="10"/>
        <item h="1" x="11"/>
        <item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21">
    <i>
      <x v="3"/>
    </i>
    <i>
      <x v="7"/>
    </i>
    <i>
      <x v="17"/>
    </i>
    <i>
      <x v="19"/>
    </i>
    <i>
      <x v="20"/>
    </i>
    <i>
      <x v="33"/>
    </i>
    <i>
      <x v="34"/>
    </i>
    <i>
      <x v="51"/>
    </i>
    <i>
      <x v="53"/>
    </i>
    <i>
      <x v="54"/>
    </i>
    <i>
      <x v="55"/>
    </i>
    <i>
      <x v="56"/>
    </i>
    <i>
      <x v="61"/>
    </i>
    <i>
      <x v="65"/>
    </i>
    <i>
      <x v="77"/>
    </i>
    <i>
      <x v="78"/>
    </i>
    <i>
      <x v="79"/>
    </i>
    <i>
      <x v="80"/>
    </i>
    <i>
      <x v="83"/>
    </i>
    <i>
      <x v="84"/>
    </i>
    <i t="grand">
      <x/>
    </i>
  </rowItems>
  <colItems count="1">
    <i/>
  </colItem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PivotTable1" cacheId="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22"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22">
        <item h="1" x="6"/>
        <item h="1" x="8"/>
        <item h="1" x="15"/>
        <item h="1" x="7"/>
        <item h="1" x="20"/>
        <item h="1" x="5"/>
        <item h="1" x="2"/>
        <item h="1" x="13"/>
        <item h="1" x="0"/>
        <item h="1" x="1"/>
        <item h="1" x="4"/>
        <item x="3"/>
        <item x="9"/>
        <item x="11"/>
        <item x="12"/>
        <item x="16"/>
        <item x="17"/>
        <item x="10"/>
        <item x="14"/>
        <item x="18"/>
        <item x="1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defaultSubtotal="0"/>
  </pivotFields>
  <rowFields count="1">
    <field x="0"/>
  </rowFields>
  <rowItems count="18">
    <i>
      <x v="3"/>
    </i>
    <i>
      <x v="31"/>
    </i>
    <i>
      <x v="32"/>
    </i>
    <i>
      <x v="33"/>
    </i>
    <i>
      <x v="34"/>
    </i>
    <i>
      <x v="35"/>
    </i>
    <i>
      <x v="36"/>
    </i>
    <i>
      <x v="37"/>
    </i>
    <i>
      <x v="40"/>
    </i>
    <i>
      <x v="49"/>
    </i>
    <i>
      <x v="50"/>
    </i>
    <i>
      <x v="51"/>
    </i>
    <i>
      <x v="52"/>
    </i>
    <i>
      <x v="53"/>
    </i>
    <i>
      <x v="54"/>
    </i>
    <i>
      <x v="55"/>
    </i>
    <i>
      <x v="56"/>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100-000001000000}" name="PivotTable3" cacheId="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7"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24">
        <item h="1" x="6"/>
        <item h="1" x="8"/>
        <item h="1" x="15"/>
        <item h="1" x="7"/>
        <item h="1" x="20"/>
        <item h="1" x="5"/>
        <item h="1" x="2"/>
        <item h="1" x="13"/>
        <item h="1" x="0"/>
        <item h="1" x="1"/>
        <item h="1" x="4"/>
        <item h="1" x="12"/>
        <item x="3"/>
        <item x="9"/>
        <item x="11"/>
        <item x="16"/>
        <item x="17"/>
        <item x="21"/>
        <item x="22"/>
        <item x="10"/>
        <item x="14"/>
        <item x="18"/>
        <item x="19"/>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defaultSubtotal="0"/>
  </pivotFields>
  <rowFields count="1">
    <field x="0"/>
  </rowFields>
  <rowItems count="3">
    <i>
      <x v="66"/>
    </i>
    <i>
      <x v="67"/>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148.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4.vml"/><Relationship Id="rId7" Type="http://schemas.openxmlformats.org/officeDocument/2006/relationships/ctrlProp" Target="../ctrlProps/ctrlProp152.xml"/><Relationship Id="rId2" Type="http://schemas.openxmlformats.org/officeDocument/2006/relationships/drawing" Target="../drawings/drawing14.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comments" Target="../comments1.xml"/><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09375" defaultRowHeight="14.4"/>
  <cols>
    <col min="1" max="1" width="3.6640625" customWidth="1"/>
    <col min="2" max="2" width="36.88671875" customWidth="1"/>
    <col min="4" max="4" width="29.109375" bestFit="1" customWidth="1"/>
    <col min="5" max="5" width="94.6640625" bestFit="1" customWidth="1"/>
    <col min="6" max="6" width="11.88671875" bestFit="1" customWidth="1"/>
    <col min="7" max="7" width="29.33203125" bestFit="1" customWidth="1"/>
    <col min="8" max="8" width="30" bestFit="1" customWidth="1"/>
    <col min="9" max="9" width="14.88671875" bestFit="1" customWidth="1"/>
    <col min="10" max="10" width="10.44140625" bestFit="1" customWidth="1"/>
    <col min="11" max="11" width="37.33203125" customWidth="1"/>
    <col min="12" max="12" width="16.6640625" customWidth="1"/>
    <col min="13" max="13" width="13.109375" customWidth="1"/>
    <col min="14" max="14" width="21.109375" bestFit="1" customWidth="1"/>
    <col min="16" max="16" width="12.6640625" bestFit="1" customWidth="1"/>
    <col min="17" max="17" width="12.109375" bestFit="1" customWidth="1"/>
  </cols>
  <sheetData>
    <row r="1" spans="1:17" ht="9" customHeight="1">
      <c r="A1" s="21" t="s">
        <v>49</v>
      </c>
      <c r="B1" s="21" t="s">
        <v>50</v>
      </c>
      <c r="C1" s="21" t="s">
        <v>179</v>
      </c>
      <c r="D1" s="21" t="s">
        <v>51</v>
      </c>
      <c r="E1" s="21" t="s">
        <v>52</v>
      </c>
      <c r="F1" s="21" t="s">
        <v>178</v>
      </c>
      <c r="G1" s="21" t="s">
        <v>53</v>
      </c>
      <c r="H1" s="21" t="s">
        <v>157</v>
      </c>
      <c r="I1" s="21" t="s">
        <v>143</v>
      </c>
      <c r="J1" s="21" t="s">
        <v>154</v>
      </c>
      <c r="K1" s="21" t="s">
        <v>232</v>
      </c>
      <c r="L1" s="21" t="s">
        <v>233</v>
      </c>
      <c r="M1" s="169" t="s">
        <v>170</v>
      </c>
      <c r="N1" s="21" t="s">
        <v>239</v>
      </c>
      <c r="P1" s="21" t="s">
        <v>142</v>
      </c>
      <c r="Q1" s="21" t="s">
        <v>406</v>
      </c>
    </row>
    <row r="2" spans="1:17" ht="15.6">
      <c r="A2" s="22">
        <v>1</v>
      </c>
      <c r="B2" s="23" t="s">
        <v>54</v>
      </c>
      <c r="C2" s="22">
        <f t="shared" ref="C2:C33" si="0">INDEX(A:A,MATCH(D2,B:B,0),1)</f>
        <v>1</v>
      </c>
      <c r="D2" s="22" t="s">
        <v>54</v>
      </c>
      <c r="E2" s="22" t="s">
        <v>55</v>
      </c>
      <c r="F2" s="22" t="s">
        <v>56</v>
      </c>
      <c r="G2" s="22" t="s">
        <v>57</v>
      </c>
      <c r="H2">
        <v>15</v>
      </c>
      <c r="I2" t="str">
        <f>IF(Pradžia!I29=TRUE,"Alternatyva 1","")</f>
        <v>Alternatyva 1</v>
      </c>
      <c r="J2" s="33">
        <v>43831</v>
      </c>
      <c r="K2" s="64">
        <v>0</v>
      </c>
      <c r="L2" s="64">
        <v>0</v>
      </c>
      <c r="M2" s="84" t="s">
        <v>6</v>
      </c>
      <c r="N2">
        <v>1</v>
      </c>
      <c r="O2">
        <v>4</v>
      </c>
      <c r="P2" t="s">
        <v>6</v>
      </c>
      <c r="Q2" t="s">
        <v>401</v>
      </c>
    </row>
    <row r="3" spans="1:17" ht="15.6">
      <c r="A3" s="22">
        <v>2</v>
      </c>
      <c r="B3" s="23" t="s">
        <v>58</v>
      </c>
      <c r="C3" s="22">
        <f t="shared" si="0"/>
        <v>1</v>
      </c>
      <c r="D3" s="22" t="s">
        <v>54</v>
      </c>
      <c r="E3" s="22" t="s">
        <v>59</v>
      </c>
      <c r="F3" s="22" t="s">
        <v>56</v>
      </c>
      <c r="G3" s="22" t="s">
        <v>60</v>
      </c>
      <c r="H3">
        <v>5</v>
      </c>
      <c r="I3" t="str">
        <f>IF(Pradžia!I31=TRUE,"Alternatyva 2","")</f>
        <v>Alternatyva 2</v>
      </c>
      <c r="J3" s="33">
        <f ca="1">EDATE(TODAY(),48)</f>
        <v>46515</v>
      </c>
      <c r="K3" s="64">
        <v>0.05</v>
      </c>
      <c r="L3" s="64">
        <v>0.05</v>
      </c>
      <c r="M3" s="84" t="s">
        <v>7</v>
      </c>
      <c r="N3">
        <v>2</v>
      </c>
      <c r="P3" t="s">
        <v>7</v>
      </c>
      <c r="Q3" t="s">
        <v>402</v>
      </c>
    </row>
    <row r="4" spans="1:17" ht="15.6">
      <c r="A4" s="22">
        <v>3</v>
      </c>
      <c r="B4" s="23" t="s">
        <v>61</v>
      </c>
      <c r="C4" s="22">
        <f t="shared" si="0"/>
        <v>1</v>
      </c>
      <c r="D4" s="22" t="s">
        <v>54</v>
      </c>
      <c r="E4" s="22" t="s">
        <v>62</v>
      </c>
      <c r="F4" s="22" t="s">
        <v>56</v>
      </c>
      <c r="G4" s="22"/>
      <c r="H4">
        <v>8</v>
      </c>
      <c r="I4" t="str">
        <f>IF(Pradžia!I33=TRUE,"Alternatyva 3","")</f>
        <v>Alternatyva 3</v>
      </c>
      <c r="K4" s="64">
        <v>0.09</v>
      </c>
      <c r="L4" s="64">
        <v>0.09</v>
      </c>
      <c r="M4" s="84" t="s">
        <v>8</v>
      </c>
      <c r="N4">
        <v>3</v>
      </c>
      <c r="P4" t="s">
        <v>8</v>
      </c>
      <c r="Q4" t="s">
        <v>403</v>
      </c>
    </row>
    <row r="5" spans="1:17" ht="15.6">
      <c r="A5" s="22">
        <v>4</v>
      </c>
      <c r="B5" s="23" t="s">
        <v>63</v>
      </c>
      <c r="C5" s="22">
        <f t="shared" si="0"/>
        <v>1</v>
      </c>
      <c r="D5" s="22" t="s">
        <v>54</v>
      </c>
      <c r="E5" s="22" t="s">
        <v>64</v>
      </c>
      <c r="F5" s="22" t="s">
        <v>56</v>
      </c>
      <c r="G5" s="22"/>
      <c r="H5">
        <v>11</v>
      </c>
      <c r="I5" t="str">
        <f>IF(Pradžia!I35=TRUE,"Alternatyva 4","")</f>
        <v/>
      </c>
      <c r="K5" s="64">
        <v>0.21</v>
      </c>
      <c r="L5" s="64">
        <v>0.21</v>
      </c>
      <c r="N5">
        <v>4</v>
      </c>
      <c r="P5" t="s">
        <v>10</v>
      </c>
      <c r="Q5" t="s">
        <v>404</v>
      </c>
    </row>
    <row r="6" spans="1:17" ht="28.8">
      <c r="A6" s="22">
        <v>5</v>
      </c>
      <c r="B6" s="23" t="s">
        <v>65</v>
      </c>
      <c r="C6" s="22">
        <f t="shared" si="0"/>
        <v>1</v>
      </c>
      <c r="D6" s="22" t="s">
        <v>54</v>
      </c>
      <c r="E6" s="22" t="s">
        <v>66</v>
      </c>
      <c r="F6" s="22" t="s">
        <v>56</v>
      </c>
      <c r="G6" s="22"/>
      <c r="H6">
        <v>13</v>
      </c>
      <c r="I6" t="str">
        <f>IF(Pradžia!I37=TRUE,"Alternatyva 5","")</f>
        <v/>
      </c>
      <c r="K6" s="2" t="s">
        <v>237</v>
      </c>
      <c r="L6" s="2" t="s">
        <v>255</v>
      </c>
      <c r="N6">
        <v>5</v>
      </c>
      <c r="P6" t="s">
        <v>13</v>
      </c>
      <c r="Q6" t="s">
        <v>405</v>
      </c>
    </row>
    <row r="7" spans="1:17" ht="15.6">
      <c r="A7" s="22">
        <v>6</v>
      </c>
      <c r="B7" s="23" t="s">
        <v>67</v>
      </c>
      <c r="C7" s="22">
        <f t="shared" si="0"/>
        <v>1</v>
      </c>
      <c r="D7" s="22" t="s">
        <v>54</v>
      </c>
      <c r="E7" s="22" t="s">
        <v>68</v>
      </c>
      <c r="F7" s="22" t="s">
        <v>56</v>
      </c>
      <c r="G7" s="22"/>
      <c r="K7" s="2"/>
      <c r="N7">
        <v>6</v>
      </c>
    </row>
    <row r="8" spans="1:17" ht="15.6">
      <c r="A8" s="22">
        <v>7</v>
      </c>
      <c r="B8" s="23" t="s">
        <v>69</v>
      </c>
      <c r="C8" s="22">
        <f t="shared" si="0"/>
        <v>1</v>
      </c>
      <c r="D8" s="22" t="s">
        <v>54</v>
      </c>
      <c r="E8" s="22" t="s">
        <v>70</v>
      </c>
      <c r="F8" s="22" t="s">
        <v>56</v>
      </c>
      <c r="G8" s="22"/>
      <c r="N8">
        <v>7</v>
      </c>
    </row>
    <row r="9" spans="1:17" ht="15.6">
      <c r="A9" s="22">
        <v>8</v>
      </c>
      <c r="B9" s="23" t="s">
        <v>71</v>
      </c>
      <c r="C9" s="22">
        <f t="shared" si="0"/>
        <v>1</v>
      </c>
      <c r="D9" s="22" t="s">
        <v>54</v>
      </c>
      <c r="E9" s="22" t="s">
        <v>72</v>
      </c>
      <c r="F9" s="22" t="s">
        <v>56</v>
      </c>
      <c r="G9" s="22"/>
      <c r="N9">
        <v>8</v>
      </c>
    </row>
    <row r="10" spans="1:17" ht="15.6">
      <c r="A10" s="22">
        <v>9</v>
      </c>
      <c r="B10" s="23" t="s">
        <v>73</v>
      </c>
      <c r="C10" s="22">
        <f t="shared" si="0"/>
        <v>1</v>
      </c>
      <c r="D10" s="22" t="s">
        <v>54</v>
      </c>
      <c r="E10" s="22" t="s">
        <v>74</v>
      </c>
      <c r="F10" s="22" t="s">
        <v>56</v>
      </c>
      <c r="G10" s="22"/>
      <c r="K10" t="s">
        <v>254</v>
      </c>
      <c r="N10">
        <v>9</v>
      </c>
    </row>
    <row r="11" spans="1:17" ht="15.6">
      <c r="A11" s="22">
        <v>10</v>
      </c>
      <c r="B11" s="23" t="s">
        <v>75</v>
      </c>
      <c r="C11" s="22">
        <f t="shared" si="0"/>
        <v>1</v>
      </c>
      <c r="D11" s="22" t="s">
        <v>54</v>
      </c>
      <c r="E11" s="22" t="s">
        <v>76</v>
      </c>
      <c r="F11" s="22" t="s">
        <v>56</v>
      </c>
      <c r="G11" s="22"/>
      <c r="K11" t="s">
        <v>255</v>
      </c>
      <c r="N11">
        <v>10</v>
      </c>
    </row>
    <row r="12" spans="1:17" ht="15.6">
      <c r="A12" s="22">
        <v>11</v>
      </c>
      <c r="B12" s="23" t="s">
        <v>77</v>
      </c>
      <c r="C12" s="22">
        <f t="shared" si="0"/>
        <v>1</v>
      </c>
      <c r="D12" s="22" t="s">
        <v>54</v>
      </c>
      <c r="E12" s="22" t="s">
        <v>172</v>
      </c>
      <c r="F12" s="22" t="s">
        <v>56</v>
      </c>
      <c r="G12" s="22"/>
      <c r="N12">
        <v>11</v>
      </c>
    </row>
    <row r="13" spans="1:17" ht="15.6">
      <c r="A13" s="22">
        <v>12</v>
      </c>
      <c r="B13" s="23" t="s">
        <v>78</v>
      </c>
      <c r="C13" s="22">
        <f t="shared" si="0"/>
        <v>1</v>
      </c>
      <c r="D13" s="22" t="s">
        <v>54</v>
      </c>
      <c r="E13" s="22" t="s">
        <v>79</v>
      </c>
      <c r="F13" s="22" t="s">
        <v>56</v>
      </c>
      <c r="G13" s="22"/>
      <c r="N13">
        <v>12</v>
      </c>
    </row>
    <row r="14" spans="1:17" ht="15.6">
      <c r="A14" s="22">
        <v>13</v>
      </c>
      <c r="B14" s="23" t="s">
        <v>168</v>
      </c>
      <c r="C14" s="22">
        <f t="shared" si="0"/>
        <v>1</v>
      </c>
      <c r="D14" s="22" t="s">
        <v>54</v>
      </c>
      <c r="E14" s="22" t="s">
        <v>80</v>
      </c>
      <c r="F14" s="22" t="s">
        <v>56</v>
      </c>
      <c r="G14" s="22"/>
      <c r="N14">
        <v>13</v>
      </c>
    </row>
    <row r="15" spans="1:17" ht="15.6">
      <c r="A15" s="22">
        <v>14</v>
      </c>
      <c r="B15" s="23" t="s">
        <v>81</v>
      </c>
      <c r="C15" s="22">
        <f t="shared" si="0"/>
        <v>1</v>
      </c>
      <c r="D15" s="22" t="s">
        <v>54</v>
      </c>
      <c r="E15" s="22" t="s">
        <v>82</v>
      </c>
      <c r="F15" s="22" t="s">
        <v>56</v>
      </c>
      <c r="G15" s="22"/>
      <c r="N15">
        <v>14</v>
      </c>
    </row>
    <row r="16" spans="1:17" ht="15.6">
      <c r="A16" s="22">
        <v>15</v>
      </c>
      <c r="B16" s="23" t="s">
        <v>156</v>
      </c>
      <c r="C16" s="22">
        <f t="shared" si="0"/>
        <v>2</v>
      </c>
      <c r="D16" s="22" t="s">
        <v>58</v>
      </c>
      <c r="E16" s="22" t="s">
        <v>173</v>
      </c>
      <c r="F16" s="22" t="s">
        <v>56</v>
      </c>
      <c r="G16" s="22"/>
      <c r="N16">
        <v>15</v>
      </c>
    </row>
    <row r="17" spans="1:14" ht="15.6">
      <c r="A17" s="22"/>
      <c r="B17" s="22"/>
      <c r="C17" s="22">
        <f t="shared" si="0"/>
        <v>2</v>
      </c>
      <c r="D17" s="22" t="s">
        <v>58</v>
      </c>
      <c r="E17" s="22" t="s">
        <v>83</v>
      </c>
      <c r="F17" s="22" t="s">
        <v>56</v>
      </c>
      <c r="G17" s="22"/>
      <c r="N17">
        <v>16</v>
      </c>
    </row>
    <row r="18" spans="1:14" ht="15.6">
      <c r="A18" s="22"/>
      <c r="B18" s="22"/>
      <c r="C18" s="22">
        <f t="shared" si="0"/>
        <v>2</v>
      </c>
      <c r="D18" s="22" t="s">
        <v>58</v>
      </c>
      <c r="E18" s="22" t="s">
        <v>84</v>
      </c>
      <c r="F18" s="22" t="s">
        <v>56</v>
      </c>
      <c r="G18" s="22"/>
      <c r="N18">
        <v>17</v>
      </c>
    </row>
    <row r="19" spans="1:14" ht="15.6">
      <c r="A19" s="22"/>
      <c r="B19" s="22"/>
      <c r="C19" s="22">
        <f t="shared" si="0"/>
        <v>2</v>
      </c>
      <c r="D19" s="22" t="s">
        <v>58</v>
      </c>
      <c r="E19" s="22" t="s">
        <v>70</v>
      </c>
      <c r="F19" s="22" t="s">
        <v>56</v>
      </c>
      <c r="G19" s="22"/>
      <c r="N19">
        <v>18</v>
      </c>
    </row>
    <row r="20" spans="1:14" ht="15.6">
      <c r="A20" s="22"/>
      <c r="B20" s="22"/>
      <c r="C20" s="22">
        <f t="shared" si="0"/>
        <v>2</v>
      </c>
      <c r="D20" s="22" t="s">
        <v>58</v>
      </c>
      <c r="E20" s="22" t="s">
        <v>72</v>
      </c>
      <c r="F20" s="22" t="s">
        <v>56</v>
      </c>
      <c r="G20" s="22"/>
      <c r="N20">
        <v>19</v>
      </c>
    </row>
    <row r="21" spans="1:14" ht="15.6">
      <c r="A21" s="22"/>
      <c r="B21" s="22"/>
      <c r="C21" s="22">
        <f t="shared" si="0"/>
        <v>2</v>
      </c>
      <c r="D21" s="22" t="s">
        <v>58</v>
      </c>
      <c r="E21" s="22" t="s">
        <v>80</v>
      </c>
      <c r="F21" s="22" t="s">
        <v>56</v>
      </c>
      <c r="G21" s="22"/>
      <c r="N21">
        <v>20</v>
      </c>
    </row>
    <row r="22" spans="1:14" ht="15.6">
      <c r="A22" s="22"/>
      <c r="B22" s="22"/>
      <c r="C22" s="22">
        <f t="shared" si="0"/>
        <v>2</v>
      </c>
      <c r="D22" s="22" t="s">
        <v>58</v>
      </c>
      <c r="E22" s="22" t="s">
        <v>85</v>
      </c>
      <c r="F22" s="22" t="s">
        <v>56</v>
      </c>
      <c r="G22" s="22"/>
      <c r="N22">
        <v>21</v>
      </c>
    </row>
    <row r="23" spans="1:14" ht="15.6">
      <c r="A23" s="22"/>
      <c r="B23" s="22"/>
      <c r="C23" s="22">
        <f t="shared" si="0"/>
        <v>2</v>
      </c>
      <c r="D23" s="22" t="s">
        <v>58</v>
      </c>
      <c r="E23" s="22" t="s">
        <v>86</v>
      </c>
      <c r="F23" s="22" t="s">
        <v>180</v>
      </c>
      <c r="G23" s="22"/>
      <c r="N23">
        <v>22</v>
      </c>
    </row>
    <row r="24" spans="1:14" ht="15.6">
      <c r="A24" s="22"/>
      <c r="B24" s="22"/>
      <c r="C24" s="22">
        <f t="shared" si="0"/>
        <v>2</v>
      </c>
      <c r="D24" s="22" t="s">
        <v>58</v>
      </c>
      <c r="E24" s="22" t="s">
        <v>87</v>
      </c>
      <c r="F24" s="22" t="s">
        <v>56</v>
      </c>
      <c r="G24" s="22"/>
      <c r="N24">
        <v>23</v>
      </c>
    </row>
    <row r="25" spans="1:14" ht="15.6">
      <c r="A25" s="22"/>
      <c r="B25" s="22"/>
      <c r="C25" s="22">
        <f t="shared" si="0"/>
        <v>2</v>
      </c>
      <c r="D25" s="22" t="s">
        <v>58</v>
      </c>
      <c r="E25" s="22" t="s">
        <v>88</v>
      </c>
      <c r="F25" s="22" t="s">
        <v>56</v>
      </c>
      <c r="G25" s="22"/>
      <c r="N25">
        <v>24</v>
      </c>
    </row>
    <row r="26" spans="1:14" ht="15.6">
      <c r="A26" s="22"/>
      <c r="B26" s="22"/>
      <c r="C26" s="22">
        <f t="shared" si="0"/>
        <v>2</v>
      </c>
      <c r="D26" s="22" t="s">
        <v>58</v>
      </c>
      <c r="E26" s="22" t="s">
        <v>89</v>
      </c>
      <c r="F26" s="22" t="s">
        <v>56</v>
      </c>
      <c r="G26" s="22"/>
      <c r="N26">
        <v>25</v>
      </c>
    </row>
    <row r="27" spans="1:14" ht="15.6">
      <c r="A27" s="22"/>
      <c r="B27" s="22"/>
      <c r="C27" s="22">
        <f t="shared" si="0"/>
        <v>2</v>
      </c>
      <c r="D27" s="22" t="s">
        <v>58</v>
      </c>
      <c r="E27" s="22" t="s">
        <v>90</v>
      </c>
      <c r="F27" s="22" t="s">
        <v>180</v>
      </c>
      <c r="G27" s="22"/>
      <c r="N27">
        <v>26</v>
      </c>
    </row>
    <row r="28" spans="1:14" ht="15.6">
      <c r="A28" s="22"/>
      <c r="B28" s="22"/>
      <c r="C28" s="22">
        <f t="shared" si="0"/>
        <v>2</v>
      </c>
      <c r="D28" s="22" t="s">
        <v>58</v>
      </c>
      <c r="E28" s="22" t="s">
        <v>91</v>
      </c>
      <c r="F28" s="22" t="s">
        <v>180</v>
      </c>
      <c r="G28" s="22"/>
      <c r="N28">
        <v>27</v>
      </c>
    </row>
    <row r="29" spans="1:14" ht="15.6">
      <c r="A29" s="22"/>
      <c r="B29" s="22"/>
      <c r="C29" s="22">
        <f t="shared" si="0"/>
        <v>2</v>
      </c>
      <c r="D29" s="22" t="s">
        <v>58</v>
      </c>
      <c r="E29" s="22" t="s">
        <v>92</v>
      </c>
      <c r="F29" s="22" t="s">
        <v>180</v>
      </c>
      <c r="G29" s="22"/>
      <c r="N29">
        <v>28</v>
      </c>
    </row>
    <row r="30" spans="1:14" ht="15.6">
      <c r="A30" s="22"/>
      <c r="B30" s="22"/>
      <c r="C30" s="22">
        <f t="shared" si="0"/>
        <v>2</v>
      </c>
      <c r="D30" s="22" t="s">
        <v>58</v>
      </c>
      <c r="E30" s="22" t="s">
        <v>93</v>
      </c>
      <c r="F30" s="22" t="s">
        <v>56</v>
      </c>
      <c r="G30" s="22"/>
      <c r="N30">
        <v>29</v>
      </c>
    </row>
    <row r="31" spans="1:14" ht="15.6">
      <c r="A31" s="22"/>
      <c r="B31" s="22"/>
      <c r="C31" s="22">
        <f t="shared" si="0"/>
        <v>3</v>
      </c>
      <c r="D31" s="22" t="s">
        <v>61</v>
      </c>
      <c r="E31" s="22" t="s">
        <v>94</v>
      </c>
      <c r="F31" s="22" t="s">
        <v>56</v>
      </c>
      <c r="G31" s="22"/>
      <c r="N31">
        <v>30</v>
      </c>
    </row>
    <row r="32" spans="1:14" ht="15.6">
      <c r="A32" s="22"/>
      <c r="B32" s="22"/>
      <c r="C32" s="22">
        <f t="shared" si="0"/>
        <v>3</v>
      </c>
      <c r="D32" s="22" t="s">
        <v>61</v>
      </c>
      <c r="E32" s="22" t="s">
        <v>95</v>
      </c>
      <c r="F32" s="22" t="s">
        <v>56</v>
      </c>
      <c r="G32" s="22"/>
      <c r="N32">
        <v>31</v>
      </c>
    </row>
    <row r="33" spans="1:14" ht="15.6">
      <c r="A33" s="22"/>
      <c r="B33" s="22"/>
      <c r="C33" s="22">
        <f t="shared" si="0"/>
        <v>3</v>
      </c>
      <c r="D33" s="22" t="s">
        <v>61</v>
      </c>
      <c r="E33" s="22" t="s">
        <v>96</v>
      </c>
      <c r="F33" s="22" t="s">
        <v>56</v>
      </c>
      <c r="G33" s="22"/>
      <c r="N33">
        <v>32</v>
      </c>
    </row>
    <row r="34" spans="1:14" ht="15.6">
      <c r="A34" s="22"/>
      <c r="B34" s="22"/>
      <c r="C34" s="22">
        <f t="shared" ref="C34:C65" si="1">INDEX(A:A,MATCH(D34,B:B,0),1)</f>
        <v>3</v>
      </c>
      <c r="D34" s="22" t="s">
        <v>61</v>
      </c>
      <c r="E34" s="22" t="s">
        <v>97</v>
      </c>
      <c r="F34" s="22" t="s">
        <v>56</v>
      </c>
      <c r="G34" s="22"/>
      <c r="N34">
        <v>33</v>
      </c>
    </row>
    <row r="35" spans="1:14" ht="15.6">
      <c r="A35" s="22"/>
      <c r="B35" s="22"/>
      <c r="C35" s="22">
        <f t="shared" si="1"/>
        <v>4</v>
      </c>
      <c r="D35" s="22" t="s">
        <v>63</v>
      </c>
      <c r="E35" s="22" t="s">
        <v>174</v>
      </c>
      <c r="F35" s="22" t="s">
        <v>56</v>
      </c>
      <c r="G35" s="22"/>
      <c r="N35">
        <v>34</v>
      </c>
    </row>
    <row r="36" spans="1:14" ht="15.6">
      <c r="A36" s="22"/>
      <c r="B36" s="22"/>
      <c r="C36" s="22">
        <f t="shared" si="1"/>
        <v>4</v>
      </c>
      <c r="D36" s="22" t="s">
        <v>63</v>
      </c>
      <c r="E36" s="22" t="s">
        <v>98</v>
      </c>
      <c r="F36" s="22" t="s">
        <v>56</v>
      </c>
      <c r="G36" s="22"/>
      <c r="N36">
        <v>35</v>
      </c>
    </row>
    <row r="37" spans="1:14" ht="15.6">
      <c r="A37" s="22"/>
      <c r="B37" s="22"/>
      <c r="C37" s="22">
        <f t="shared" si="1"/>
        <v>4</v>
      </c>
      <c r="D37" s="22" t="s">
        <v>63</v>
      </c>
      <c r="E37" s="22" t="s">
        <v>80</v>
      </c>
      <c r="F37" s="22" t="s">
        <v>56</v>
      </c>
      <c r="G37" s="22"/>
      <c r="N37">
        <v>36</v>
      </c>
    </row>
    <row r="38" spans="1:14" ht="15.6">
      <c r="A38" s="22"/>
      <c r="B38" s="22"/>
      <c r="C38" s="22">
        <f t="shared" si="1"/>
        <v>4</v>
      </c>
      <c r="D38" s="22" t="s">
        <v>63</v>
      </c>
      <c r="E38" s="22" t="s">
        <v>70</v>
      </c>
      <c r="F38" s="22" t="s">
        <v>56</v>
      </c>
      <c r="G38" s="22"/>
      <c r="N38">
        <v>37</v>
      </c>
    </row>
    <row r="39" spans="1:14" ht="15.6">
      <c r="A39" s="22"/>
      <c r="B39" s="22"/>
      <c r="C39" s="22">
        <f t="shared" si="1"/>
        <v>5</v>
      </c>
      <c r="D39" s="22" t="s">
        <v>65</v>
      </c>
      <c r="E39" s="22" t="s">
        <v>99</v>
      </c>
      <c r="F39" s="22" t="s">
        <v>56</v>
      </c>
      <c r="G39" s="22"/>
      <c r="N39">
        <v>38</v>
      </c>
    </row>
    <row r="40" spans="1:14" ht="15.6">
      <c r="A40" s="22"/>
      <c r="B40" s="22"/>
      <c r="C40" s="22">
        <f t="shared" si="1"/>
        <v>6</v>
      </c>
      <c r="D40" s="22" t="s">
        <v>67</v>
      </c>
      <c r="E40" s="22" t="s">
        <v>100</v>
      </c>
      <c r="F40" s="22" t="s">
        <v>56</v>
      </c>
      <c r="G40" s="22"/>
      <c r="N40">
        <v>39</v>
      </c>
    </row>
    <row r="41" spans="1:14" ht="15.6">
      <c r="A41" s="22"/>
      <c r="B41" s="22"/>
      <c r="C41" s="22">
        <f t="shared" si="1"/>
        <v>6</v>
      </c>
      <c r="D41" s="22" t="s">
        <v>67</v>
      </c>
      <c r="E41" s="22" t="s">
        <v>101</v>
      </c>
      <c r="F41" s="22" t="s">
        <v>56</v>
      </c>
      <c r="G41" s="22"/>
      <c r="N41">
        <v>40</v>
      </c>
    </row>
    <row r="42" spans="1:14" ht="15.6">
      <c r="A42" s="22"/>
      <c r="B42" s="22"/>
      <c r="C42" s="22">
        <f t="shared" si="1"/>
        <v>6</v>
      </c>
      <c r="D42" s="22" t="s">
        <v>67</v>
      </c>
      <c r="E42" s="22" t="s">
        <v>175</v>
      </c>
      <c r="F42" s="22" t="s">
        <v>56</v>
      </c>
      <c r="G42" s="22"/>
      <c r="N42">
        <v>41</v>
      </c>
    </row>
    <row r="43" spans="1:14" ht="15.6">
      <c r="A43" s="22"/>
      <c r="B43" s="22"/>
      <c r="C43" s="22">
        <f t="shared" si="1"/>
        <v>6</v>
      </c>
      <c r="D43" s="22" t="s">
        <v>67</v>
      </c>
      <c r="E43" s="22" t="s">
        <v>102</v>
      </c>
      <c r="F43" s="22" t="s">
        <v>56</v>
      </c>
      <c r="G43" s="22"/>
      <c r="N43">
        <v>42</v>
      </c>
    </row>
    <row r="44" spans="1:14" ht="15.6">
      <c r="A44" s="22"/>
      <c r="B44" s="22"/>
      <c r="C44" s="22">
        <f t="shared" si="1"/>
        <v>6</v>
      </c>
      <c r="D44" s="22" t="s">
        <v>67</v>
      </c>
      <c r="E44" s="22" t="s">
        <v>103</v>
      </c>
      <c r="F44" s="22" t="s">
        <v>56</v>
      </c>
      <c r="G44" s="22"/>
      <c r="N44">
        <v>43</v>
      </c>
    </row>
    <row r="45" spans="1:14" ht="15.6">
      <c r="A45" s="22"/>
      <c r="B45" s="22"/>
      <c r="C45" s="22">
        <f t="shared" si="1"/>
        <v>6</v>
      </c>
      <c r="D45" s="22" t="s">
        <v>67</v>
      </c>
      <c r="E45" s="22" t="s">
        <v>104</v>
      </c>
      <c r="F45" s="22" t="s">
        <v>56</v>
      </c>
      <c r="G45" s="22"/>
      <c r="N45">
        <v>44</v>
      </c>
    </row>
    <row r="46" spans="1:14" ht="15.6">
      <c r="A46" s="22"/>
      <c r="B46" s="22"/>
      <c r="C46" s="22">
        <f t="shared" si="1"/>
        <v>7</v>
      </c>
      <c r="D46" s="22" t="s">
        <v>69</v>
      </c>
      <c r="E46" s="22" t="s">
        <v>174</v>
      </c>
      <c r="F46" s="22" t="s">
        <v>56</v>
      </c>
      <c r="G46" s="22"/>
      <c r="N46">
        <v>45</v>
      </c>
    </row>
    <row r="47" spans="1:14" ht="15.6">
      <c r="A47" s="22"/>
      <c r="B47" s="22"/>
      <c r="C47" s="22">
        <f t="shared" si="1"/>
        <v>7</v>
      </c>
      <c r="D47" s="22" t="s">
        <v>69</v>
      </c>
      <c r="E47" s="22" t="s">
        <v>98</v>
      </c>
      <c r="F47" s="22" t="s">
        <v>56</v>
      </c>
      <c r="G47" s="22"/>
      <c r="N47">
        <v>46</v>
      </c>
    </row>
    <row r="48" spans="1:14" ht="15.6">
      <c r="A48" s="22"/>
      <c r="B48" s="22"/>
      <c r="C48" s="22">
        <f t="shared" si="1"/>
        <v>7</v>
      </c>
      <c r="D48" s="22" t="s">
        <v>69</v>
      </c>
      <c r="E48" s="22" t="s">
        <v>105</v>
      </c>
      <c r="F48" s="22" t="s">
        <v>56</v>
      </c>
      <c r="G48" s="22"/>
      <c r="N48">
        <v>47</v>
      </c>
    </row>
    <row r="49" spans="1:14" ht="15.6">
      <c r="A49" s="22"/>
      <c r="B49" s="22"/>
      <c r="C49" s="22">
        <f t="shared" si="1"/>
        <v>7</v>
      </c>
      <c r="D49" s="22" t="s">
        <v>69</v>
      </c>
      <c r="E49" s="22" t="s">
        <v>106</v>
      </c>
      <c r="F49" s="22" t="s">
        <v>56</v>
      </c>
      <c r="G49" s="22"/>
      <c r="N49">
        <v>48</v>
      </c>
    </row>
    <row r="50" spans="1:14" ht="15.6">
      <c r="A50" s="22"/>
      <c r="B50" s="22"/>
      <c r="C50" s="22">
        <f t="shared" si="1"/>
        <v>7</v>
      </c>
      <c r="D50" s="22" t="s">
        <v>69</v>
      </c>
      <c r="E50" s="22" t="s">
        <v>107</v>
      </c>
      <c r="F50" s="22" t="s">
        <v>56</v>
      </c>
      <c r="G50" s="22"/>
      <c r="N50">
        <v>49</v>
      </c>
    </row>
    <row r="51" spans="1:14" ht="15.6">
      <c r="A51" s="22"/>
      <c r="B51" s="22"/>
      <c r="C51" s="22">
        <f t="shared" si="1"/>
        <v>7</v>
      </c>
      <c r="D51" s="22" t="s">
        <v>69</v>
      </c>
      <c r="E51" s="22" t="s">
        <v>139</v>
      </c>
      <c r="F51" s="22" t="s">
        <v>180</v>
      </c>
      <c r="G51" s="22"/>
      <c r="N51">
        <v>50</v>
      </c>
    </row>
    <row r="52" spans="1:14" ht="15.6">
      <c r="A52" s="22"/>
      <c r="B52" s="22"/>
      <c r="C52" s="22">
        <f t="shared" si="1"/>
        <v>7</v>
      </c>
      <c r="D52" s="22" t="s">
        <v>69</v>
      </c>
      <c r="E52" s="22" t="s">
        <v>108</v>
      </c>
      <c r="F52" s="22" t="s">
        <v>180</v>
      </c>
      <c r="G52" s="22"/>
      <c r="N52">
        <v>51</v>
      </c>
    </row>
    <row r="53" spans="1:14" ht="15.6">
      <c r="A53" s="22"/>
      <c r="B53" s="22"/>
      <c r="C53" s="22">
        <f t="shared" si="1"/>
        <v>7</v>
      </c>
      <c r="D53" s="22" t="s">
        <v>69</v>
      </c>
      <c r="E53" s="22" t="s">
        <v>109</v>
      </c>
      <c r="F53" s="22" t="s">
        <v>180</v>
      </c>
      <c r="G53" s="22"/>
      <c r="N53">
        <v>52</v>
      </c>
    </row>
    <row r="54" spans="1:14" ht="15.6">
      <c r="A54" s="22"/>
      <c r="B54" s="22"/>
      <c r="C54" s="22">
        <f t="shared" si="1"/>
        <v>8</v>
      </c>
      <c r="D54" s="22" t="s">
        <v>71</v>
      </c>
      <c r="E54" s="22" t="s">
        <v>110</v>
      </c>
      <c r="F54" s="22" t="s">
        <v>56</v>
      </c>
      <c r="G54" s="22"/>
      <c r="N54">
        <v>53</v>
      </c>
    </row>
    <row r="55" spans="1:14" ht="15.6">
      <c r="A55" s="22"/>
      <c r="B55" s="22"/>
      <c r="C55" s="22">
        <f t="shared" si="1"/>
        <v>8</v>
      </c>
      <c r="D55" s="22" t="s">
        <v>71</v>
      </c>
      <c r="E55" s="22" t="s">
        <v>111</v>
      </c>
      <c r="F55" s="22" t="s">
        <v>56</v>
      </c>
      <c r="G55" s="22"/>
      <c r="N55">
        <v>54</v>
      </c>
    </row>
    <row r="56" spans="1:14" ht="15.6">
      <c r="A56" s="22"/>
      <c r="B56" s="22"/>
      <c r="C56" s="22">
        <f t="shared" si="1"/>
        <v>8</v>
      </c>
      <c r="D56" s="22" t="s">
        <v>71</v>
      </c>
      <c r="E56" s="22" t="s">
        <v>112</v>
      </c>
      <c r="F56" s="22" t="s">
        <v>56</v>
      </c>
      <c r="G56" s="22"/>
      <c r="N56">
        <v>55</v>
      </c>
    </row>
    <row r="57" spans="1:14" ht="15.6">
      <c r="A57" s="22"/>
      <c r="B57" s="22"/>
      <c r="C57" s="22">
        <f t="shared" si="1"/>
        <v>8</v>
      </c>
      <c r="D57" s="22" t="s">
        <v>71</v>
      </c>
      <c r="E57" s="22" t="s">
        <v>113</v>
      </c>
      <c r="F57" s="22" t="s">
        <v>56</v>
      </c>
      <c r="G57" s="22"/>
      <c r="N57">
        <v>56</v>
      </c>
    </row>
    <row r="58" spans="1:14" ht="15.6">
      <c r="A58" s="22"/>
      <c r="B58" s="22"/>
      <c r="C58" s="22">
        <f t="shared" si="1"/>
        <v>8</v>
      </c>
      <c r="D58" s="22" t="s">
        <v>71</v>
      </c>
      <c r="E58" s="22" t="s">
        <v>114</v>
      </c>
      <c r="F58" s="22" t="s">
        <v>56</v>
      </c>
      <c r="G58" s="22"/>
      <c r="N58">
        <v>57</v>
      </c>
    </row>
    <row r="59" spans="1:14" ht="15.6">
      <c r="A59" s="22"/>
      <c r="B59" s="22"/>
      <c r="C59" s="22">
        <f t="shared" si="1"/>
        <v>8</v>
      </c>
      <c r="D59" s="22" t="s">
        <v>71</v>
      </c>
      <c r="E59" s="22" t="s">
        <v>115</v>
      </c>
      <c r="F59" s="22" t="s">
        <v>56</v>
      </c>
      <c r="G59" s="22"/>
      <c r="N59">
        <v>58</v>
      </c>
    </row>
    <row r="60" spans="1:14" ht="15.6">
      <c r="A60" s="22"/>
      <c r="B60" s="22"/>
      <c r="C60" s="22">
        <f t="shared" si="1"/>
        <v>8</v>
      </c>
      <c r="D60" s="22" t="s">
        <v>71</v>
      </c>
      <c r="E60" s="22" t="s">
        <v>116</v>
      </c>
      <c r="F60" s="22" t="s">
        <v>56</v>
      </c>
      <c r="G60" s="22"/>
      <c r="N60">
        <v>59</v>
      </c>
    </row>
    <row r="61" spans="1:14" ht="15.6">
      <c r="A61" s="22"/>
      <c r="B61" s="22"/>
      <c r="C61" s="22">
        <f t="shared" si="1"/>
        <v>8</v>
      </c>
      <c r="D61" s="22" t="s">
        <v>71</v>
      </c>
      <c r="E61" s="22" t="s">
        <v>117</v>
      </c>
      <c r="F61" s="22" t="s">
        <v>56</v>
      </c>
      <c r="G61" s="22"/>
    </row>
    <row r="62" spans="1:14" ht="15.6">
      <c r="A62" s="22"/>
      <c r="B62" s="22"/>
      <c r="C62" s="22">
        <f t="shared" si="1"/>
        <v>8</v>
      </c>
      <c r="D62" s="22" t="s">
        <v>71</v>
      </c>
      <c r="E62" s="22" t="s">
        <v>118</v>
      </c>
      <c r="F62" s="22" t="s">
        <v>56</v>
      </c>
      <c r="G62" s="22"/>
    </row>
    <row r="63" spans="1:14" ht="15.6">
      <c r="A63" s="22"/>
      <c r="B63" s="22"/>
      <c r="C63" s="22">
        <f t="shared" si="1"/>
        <v>8</v>
      </c>
      <c r="D63" s="22" t="s">
        <v>71</v>
      </c>
      <c r="E63" s="22" t="s">
        <v>119</v>
      </c>
      <c r="F63" s="22" t="s">
        <v>56</v>
      </c>
      <c r="G63" s="22"/>
    </row>
    <row r="64" spans="1:14" ht="15.6">
      <c r="A64" s="22"/>
      <c r="B64" s="22"/>
      <c r="C64" s="22">
        <f t="shared" si="1"/>
        <v>8</v>
      </c>
      <c r="D64" s="22" t="s">
        <v>71</v>
      </c>
      <c r="E64" s="22" t="s">
        <v>120</v>
      </c>
      <c r="F64" s="22" t="s">
        <v>56</v>
      </c>
      <c r="G64" s="22"/>
    </row>
    <row r="65" spans="1:7" ht="15.6">
      <c r="A65" s="22"/>
      <c r="B65" s="22"/>
      <c r="C65" s="22">
        <f t="shared" si="1"/>
        <v>8</v>
      </c>
      <c r="D65" s="22" t="s">
        <v>71</v>
      </c>
      <c r="E65" s="22" t="s">
        <v>121</v>
      </c>
      <c r="F65" s="22" t="s">
        <v>56</v>
      </c>
      <c r="G65" s="22"/>
    </row>
    <row r="66" spans="1:7" ht="15.6">
      <c r="A66" s="22"/>
      <c r="B66" s="22"/>
      <c r="C66" s="22">
        <f t="shared" ref="C66:C97" si="2">INDEX(A:A,MATCH(D66,B:B,0),1)</f>
        <v>8</v>
      </c>
      <c r="D66" s="22" t="s">
        <v>71</v>
      </c>
      <c r="E66" s="22" t="s">
        <v>122</v>
      </c>
      <c r="F66" s="22" t="s">
        <v>56</v>
      </c>
      <c r="G66" s="22"/>
    </row>
    <row r="67" spans="1:7" ht="15.6">
      <c r="A67" s="22"/>
      <c r="B67" s="22"/>
      <c r="C67" s="22">
        <f t="shared" si="2"/>
        <v>9</v>
      </c>
      <c r="D67" s="22" t="s">
        <v>123</v>
      </c>
      <c r="E67" s="22" t="s">
        <v>124</v>
      </c>
      <c r="F67" s="22" t="s">
        <v>56</v>
      </c>
      <c r="G67" s="22"/>
    </row>
    <row r="68" spans="1:7" ht="15.6">
      <c r="A68" s="22"/>
      <c r="B68" s="22"/>
      <c r="C68" s="22">
        <f t="shared" si="2"/>
        <v>9</v>
      </c>
      <c r="D68" s="22" t="s">
        <v>123</v>
      </c>
      <c r="E68" s="22" t="s">
        <v>125</v>
      </c>
      <c r="F68" s="22" t="s">
        <v>56</v>
      </c>
      <c r="G68" s="22"/>
    </row>
    <row r="69" spans="1:7" ht="15.6">
      <c r="A69" s="22"/>
      <c r="B69" s="22"/>
      <c r="C69" s="22">
        <f t="shared" si="2"/>
        <v>9</v>
      </c>
      <c r="D69" s="22" t="s">
        <v>123</v>
      </c>
      <c r="E69" s="22" t="s">
        <v>126</v>
      </c>
      <c r="F69" s="22" t="s">
        <v>56</v>
      </c>
      <c r="G69" s="22"/>
    </row>
    <row r="70" spans="1:7" ht="15.6">
      <c r="A70" s="22"/>
      <c r="B70" s="22"/>
      <c r="C70" s="22">
        <f t="shared" si="2"/>
        <v>9</v>
      </c>
      <c r="D70" s="22" t="s">
        <v>123</v>
      </c>
      <c r="E70" s="22" t="s">
        <v>127</v>
      </c>
      <c r="F70" s="22" t="s">
        <v>56</v>
      </c>
      <c r="G70" s="22"/>
    </row>
    <row r="71" spans="1:7" ht="15.6">
      <c r="A71" s="22"/>
      <c r="B71" s="22"/>
      <c r="C71" s="22">
        <f t="shared" si="2"/>
        <v>9</v>
      </c>
      <c r="D71" s="22" t="s">
        <v>123</v>
      </c>
      <c r="E71" s="22" t="s">
        <v>66</v>
      </c>
      <c r="F71" s="22" t="s">
        <v>56</v>
      </c>
      <c r="G71" s="22"/>
    </row>
    <row r="72" spans="1:7" ht="15.6">
      <c r="A72" s="22"/>
      <c r="B72" s="22"/>
      <c r="C72" s="22">
        <f t="shared" si="2"/>
        <v>9</v>
      </c>
      <c r="D72" s="22" t="s">
        <v>123</v>
      </c>
      <c r="E72" s="22" t="s">
        <v>176</v>
      </c>
      <c r="F72" s="22" t="s">
        <v>56</v>
      </c>
      <c r="G72" s="22"/>
    </row>
    <row r="73" spans="1:7" ht="15.6">
      <c r="A73" s="22"/>
      <c r="B73" s="22"/>
      <c r="C73" s="22">
        <f t="shared" si="2"/>
        <v>9</v>
      </c>
      <c r="D73" s="22" t="s">
        <v>123</v>
      </c>
      <c r="E73" s="22" t="s">
        <v>96</v>
      </c>
      <c r="F73" s="22" t="s">
        <v>56</v>
      </c>
      <c r="G73" s="22"/>
    </row>
    <row r="74" spans="1:7" ht="15.6">
      <c r="A74" s="22"/>
      <c r="B74" s="22"/>
      <c r="C74" s="22">
        <f t="shared" si="2"/>
        <v>10</v>
      </c>
      <c r="D74" s="22" t="s">
        <v>75</v>
      </c>
      <c r="E74" s="22" t="s">
        <v>66</v>
      </c>
      <c r="F74" s="22" t="s">
        <v>56</v>
      </c>
      <c r="G74" s="22"/>
    </row>
    <row r="75" spans="1:7" ht="15.6">
      <c r="A75" s="22"/>
      <c r="B75" s="22"/>
      <c r="C75" s="22">
        <f t="shared" si="2"/>
        <v>10</v>
      </c>
      <c r="D75" s="22" t="s">
        <v>75</v>
      </c>
      <c r="E75" s="22" t="s">
        <v>177</v>
      </c>
      <c r="F75" s="22" t="s">
        <v>56</v>
      </c>
      <c r="G75" s="22"/>
    </row>
    <row r="76" spans="1:7" ht="15.6">
      <c r="A76" s="22"/>
      <c r="B76" s="22"/>
      <c r="C76" s="22">
        <f t="shared" si="2"/>
        <v>10</v>
      </c>
      <c r="D76" s="22" t="s">
        <v>75</v>
      </c>
      <c r="E76" s="22" t="s">
        <v>85</v>
      </c>
      <c r="F76" s="22" t="s">
        <v>56</v>
      </c>
      <c r="G76" s="22"/>
    </row>
    <row r="77" spans="1:7" ht="15.6">
      <c r="A77" s="22"/>
      <c r="B77" s="22"/>
      <c r="C77" s="22">
        <f t="shared" si="2"/>
        <v>10</v>
      </c>
      <c r="D77" s="22" t="s">
        <v>75</v>
      </c>
      <c r="E77" s="22" t="s">
        <v>128</v>
      </c>
      <c r="F77" s="22" t="s">
        <v>180</v>
      </c>
      <c r="G77" s="22"/>
    </row>
    <row r="78" spans="1:7" ht="15.6">
      <c r="A78" s="22"/>
      <c r="B78" s="22"/>
      <c r="C78" s="22">
        <f t="shared" si="2"/>
        <v>10</v>
      </c>
      <c r="D78" s="22" t="s">
        <v>75</v>
      </c>
      <c r="E78" s="22" t="s">
        <v>129</v>
      </c>
      <c r="F78" s="22" t="s">
        <v>56</v>
      </c>
      <c r="G78" s="22"/>
    </row>
    <row r="79" spans="1:7" ht="15.6">
      <c r="A79" s="22"/>
      <c r="B79" s="22"/>
      <c r="C79" s="22">
        <f t="shared" si="2"/>
        <v>10</v>
      </c>
      <c r="D79" s="22" t="s">
        <v>75</v>
      </c>
      <c r="E79" s="22" t="s">
        <v>80</v>
      </c>
      <c r="F79" s="22" t="s">
        <v>56</v>
      </c>
      <c r="G79" s="22"/>
    </row>
    <row r="80" spans="1:7" ht="15.6">
      <c r="A80" s="22"/>
      <c r="B80" s="22"/>
      <c r="C80" s="22">
        <f t="shared" si="2"/>
        <v>10</v>
      </c>
      <c r="D80" s="22" t="s">
        <v>75</v>
      </c>
      <c r="E80" s="22" t="s">
        <v>70</v>
      </c>
      <c r="F80" s="22" t="s">
        <v>56</v>
      </c>
      <c r="G80" s="22"/>
    </row>
    <row r="81" spans="1:7" ht="15.6">
      <c r="A81" s="22"/>
      <c r="B81" s="22"/>
      <c r="C81" s="22">
        <f t="shared" si="2"/>
        <v>10</v>
      </c>
      <c r="D81" s="22" t="s">
        <v>75</v>
      </c>
      <c r="E81" s="22" t="s">
        <v>85</v>
      </c>
      <c r="F81" s="22" t="s">
        <v>180</v>
      </c>
      <c r="G81" s="22"/>
    </row>
    <row r="82" spans="1:7" ht="15.6">
      <c r="A82" s="22"/>
      <c r="B82" s="22"/>
      <c r="C82" s="22">
        <f t="shared" si="2"/>
        <v>10</v>
      </c>
      <c r="D82" s="22" t="s">
        <v>75</v>
      </c>
      <c r="E82" s="22" t="s">
        <v>86</v>
      </c>
      <c r="F82" s="22" t="s">
        <v>180</v>
      </c>
      <c r="G82" s="22"/>
    </row>
    <row r="83" spans="1:7" ht="15.6">
      <c r="A83" s="22"/>
      <c r="B83" s="22"/>
      <c r="C83" s="22">
        <f t="shared" si="2"/>
        <v>10</v>
      </c>
      <c r="D83" s="22" t="s">
        <v>75</v>
      </c>
      <c r="E83" s="22" t="s">
        <v>90</v>
      </c>
      <c r="F83" s="22" t="s">
        <v>180</v>
      </c>
      <c r="G83" s="22"/>
    </row>
    <row r="84" spans="1:7" ht="15.6">
      <c r="A84" s="22"/>
      <c r="B84" s="22"/>
      <c r="C84" s="22">
        <f t="shared" si="2"/>
        <v>11</v>
      </c>
      <c r="D84" s="22" t="s">
        <v>77</v>
      </c>
      <c r="E84" s="22" t="s">
        <v>130</v>
      </c>
      <c r="F84" s="22" t="s">
        <v>56</v>
      </c>
      <c r="G84" s="22"/>
    </row>
    <row r="85" spans="1:7" ht="15.6">
      <c r="A85" s="22"/>
      <c r="B85" s="22"/>
      <c r="C85" s="22">
        <f t="shared" si="2"/>
        <v>11</v>
      </c>
      <c r="D85" s="22" t="s">
        <v>77</v>
      </c>
      <c r="E85" s="22" t="s">
        <v>131</v>
      </c>
      <c r="F85" s="22" t="s">
        <v>56</v>
      </c>
      <c r="G85" s="22"/>
    </row>
    <row r="86" spans="1:7" ht="15.6">
      <c r="A86" s="22"/>
      <c r="B86" s="22"/>
      <c r="C86" s="22">
        <f t="shared" si="2"/>
        <v>11</v>
      </c>
      <c r="D86" s="22" t="s">
        <v>77</v>
      </c>
      <c r="E86" s="22" t="s">
        <v>132</v>
      </c>
      <c r="F86" s="22" t="s">
        <v>56</v>
      </c>
      <c r="G86" s="22"/>
    </row>
    <row r="87" spans="1:7" ht="15.6">
      <c r="A87" s="22"/>
      <c r="B87" s="22"/>
      <c r="C87" s="22">
        <f t="shared" si="2"/>
        <v>11</v>
      </c>
      <c r="D87" s="22" t="s">
        <v>77</v>
      </c>
      <c r="E87" s="22" t="s">
        <v>133</v>
      </c>
      <c r="F87" s="22" t="s">
        <v>56</v>
      </c>
      <c r="G87" s="22"/>
    </row>
    <row r="88" spans="1:7" ht="15.6">
      <c r="A88" s="22"/>
      <c r="B88" s="22"/>
      <c r="C88" s="22">
        <f t="shared" si="2"/>
        <v>12</v>
      </c>
      <c r="D88" s="22" t="s">
        <v>78</v>
      </c>
      <c r="E88" s="22" t="s">
        <v>134</v>
      </c>
      <c r="F88" s="22" t="s">
        <v>56</v>
      </c>
      <c r="G88" s="22"/>
    </row>
    <row r="89" spans="1:7" ht="15.6">
      <c r="A89" s="22"/>
      <c r="B89" s="22"/>
      <c r="C89" s="22">
        <f t="shared" si="2"/>
        <v>12</v>
      </c>
      <c r="D89" s="22" t="s">
        <v>78</v>
      </c>
      <c r="E89" s="22" t="s">
        <v>70</v>
      </c>
      <c r="F89" s="22" t="s">
        <v>56</v>
      </c>
      <c r="G89" s="22"/>
    </row>
    <row r="90" spans="1:7" ht="15.6">
      <c r="A90" s="22"/>
      <c r="B90" s="22"/>
      <c r="C90" s="22">
        <f t="shared" si="2"/>
        <v>12</v>
      </c>
      <c r="D90" s="22" t="s">
        <v>78</v>
      </c>
      <c r="E90" s="22" t="s">
        <v>72</v>
      </c>
      <c r="F90" s="22" t="s">
        <v>56</v>
      </c>
      <c r="G90" s="22"/>
    </row>
    <row r="91" spans="1:7" ht="15.6">
      <c r="A91" s="22"/>
      <c r="B91" s="22"/>
      <c r="C91" s="22">
        <f t="shared" si="2"/>
        <v>12</v>
      </c>
      <c r="D91" s="22" t="s">
        <v>78</v>
      </c>
      <c r="E91" s="22" t="s">
        <v>135</v>
      </c>
      <c r="F91" s="22" t="s">
        <v>180</v>
      </c>
      <c r="G91" s="22"/>
    </row>
    <row r="92" spans="1:7" ht="15.6">
      <c r="A92" s="22"/>
      <c r="B92" s="22"/>
      <c r="C92" s="22">
        <f t="shared" si="2"/>
        <v>12</v>
      </c>
      <c r="D92" s="22" t="s">
        <v>78</v>
      </c>
      <c r="E92" s="22" t="s">
        <v>136</v>
      </c>
      <c r="F92" s="22" t="s">
        <v>56</v>
      </c>
      <c r="G92" s="22"/>
    </row>
    <row r="93" spans="1:7" ht="15.6">
      <c r="A93" s="22"/>
      <c r="B93" s="22"/>
      <c r="C93" s="22">
        <f t="shared" si="2"/>
        <v>13</v>
      </c>
      <c r="D93" s="22" t="s">
        <v>168</v>
      </c>
      <c r="E93" s="22" t="s">
        <v>137</v>
      </c>
      <c r="F93" s="22" t="s">
        <v>56</v>
      </c>
      <c r="G93" s="22"/>
    </row>
    <row r="94" spans="1:7" ht="15.6">
      <c r="A94" s="22"/>
      <c r="B94" s="22"/>
      <c r="C94" s="22">
        <f t="shared" si="2"/>
        <v>13</v>
      </c>
      <c r="D94" s="22" t="s">
        <v>168</v>
      </c>
      <c r="E94" s="22" t="s">
        <v>138</v>
      </c>
      <c r="F94" s="22" t="s">
        <v>56</v>
      </c>
      <c r="G94" s="22"/>
    </row>
    <row r="95" spans="1:7" ht="15.6">
      <c r="A95" s="22"/>
      <c r="B95" s="22"/>
      <c r="C95" s="22">
        <f t="shared" si="2"/>
        <v>13</v>
      </c>
      <c r="D95" s="22" t="s">
        <v>168</v>
      </c>
      <c r="E95" s="22" t="s">
        <v>90</v>
      </c>
      <c r="F95" s="22" t="s">
        <v>180</v>
      </c>
      <c r="G95" s="22"/>
    </row>
    <row r="96" spans="1:7" ht="15.6">
      <c r="A96" s="22"/>
      <c r="B96" s="22"/>
      <c r="C96" s="22">
        <f t="shared" si="2"/>
        <v>13</v>
      </c>
      <c r="D96" s="22" t="s">
        <v>168</v>
      </c>
      <c r="E96" s="22" t="s">
        <v>139</v>
      </c>
      <c r="F96" s="22" t="s">
        <v>180</v>
      </c>
      <c r="G96" s="22"/>
    </row>
    <row r="97" spans="1:7" ht="15.6">
      <c r="A97" s="22"/>
      <c r="B97" s="22"/>
      <c r="C97" s="22">
        <f t="shared" si="2"/>
        <v>13</v>
      </c>
      <c r="D97" s="22" t="s">
        <v>168</v>
      </c>
      <c r="E97" s="22" t="s">
        <v>108</v>
      </c>
      <c r="F97" s="22" t="s">
        <v>180</v>
      </c>
      <c r="G97" s="22"/>
    </row>
    <row r="98" spans="1:7" ht="15.6">
      <c r="A98" s="22"/>
      <c r="B98" s="22"/>
      <c r="C98" s="22">
        <f>INDEX(A:A,MATCH(D98,B:B,0),1)</f>
        <v>14</v>
      </c>
      <c r="D98" s="22" t="s">
        <v>81</v>
      </c>
      <c r="E98" s="22" t="s">
        <v>124</v>
      </c>
      <c r="F98" s="22" t="s">
        <v>56</v>
      </c>
      <c r="G98" s="22"/>
    </row>
    <row r="99" spans="1:7" ht="15.6">
      <c r="A99" s="22"/>
      <c r="B99" s="22"/>
      <c r="C99" s="22">
        <f>INDEX(A:A,MATCH(D99,B:B,0),1)</f>
        <v>14</v>
      </c>
      <c r="D99" s="22" t="s">
        <v>81</v>
      </c>
      <c r="E99" s="22" t="s">
        <v>125</v>
      </c>
      <c r="F99" s="22" t="s">
        <v>56</v>
      </c>
      <c r="G99" s="22"/>
    </row>
    <row r="100" spans="1:7" ht="15.6">
      <c r="A100" s="22"/>
      <c r="B100" s="22"/>
      <c r="C100" s="22">
        <f>INDEX(A:A,MATCH(D100,B:B,0),1)</f>
        <v>14</v>
      </c>
      <c r="D100" s="22" t="s">
        <v>81</v>
      </c>
      <c r="E100" s="22" t="s">
        <v>140</v>
      </c>
      <c r="F100" s="22" t="s">
        <v>56</v>
      </c>
      <c r="G100" s="22"/>
    </row>
    <row r="101" spans="1:7" ht="15.6">
      <c r="A101" s="22"/>
      <c r="B101" s="22"/>
      <c r="C101" s="22">
        <f>INDEX(A:A,MATCH(D101,B:B,0),1)</f>
        <v>14</v>
      </c>
      <c r="D101" s="22" t="s">
        <v>81</v>
      </c>
      <c r="E101" s="22" t="s">
        <v>127</v>
      </c>
      <c r="F101" s="22" t="s">
        <v>56</v>
      </c>
      <c r="G101" s="22"/>
    </row>
    <row r="102" spans="1:7" ht="15.6">
      <c r="A102" s="22"/>
      <c r="B102" s="22"/>
      <c r="C102" s="22"/>
      <c r="G102" s="22"/>
    </row>
    <row r="103" spans="1:7" ht="15.6">
      <c r="A103" s="22"/>
      <c r="B103" s="22"/>
      <c r="G103" s="22"/>
    </row>
    <row r="104" spans="1:7" ht="15.6">
      <c r="A104" s="22"/>
      <c r="B104" s="22"/>
      <c r="G104" s="22"/>
    </row>
    <row r="105" spans="1:7" ht="15.6">
      <c r="A105" s="22"/>
      <c r="B105" s="22"/>
      <c r="G105" s="22"/>
    </row>
    <row r="106" spans="1:7" ht="15.6">
      <c r="A106" s="22"/>
      <c r="B106" s="22"/>
      <c r="G106" s="22"/>
    </row>
    <row r="107" spans="1:7" ht="15.6">
      <c r="A107" s="22"/>
      <c r="B107" s="22"/>
      <c r="G107" s="22"/>
    </row>
    <row r="108" spans="1:7" ht="15.6">
      <c r="A108" s="22"/>
      <c r="B108" s="22"/>
      <c r="G108" s="22"/>
    </row>
    <row r="109" spans="1:7" ht="15.6">
      <c r="A109" s="22"/>
      <c r="B109" s="22"/>
      <c r="G109" s="22"/>
    </row>
    <row r="110" spans="1:7" ht="15.6">
      <c r="A110" s="22"/>
      <c r="B110" s="22"/>
      <c r="G110" s="22"/>
    </row>
    <row r="111" spans="1:7" ht="15.6">
      <c r="A111" s="22"/>
      <c r="B111" s="22"/>
      <c r="G111" s="22"/>
    </row>
    <row r="112" spans="1:7" ht="15.6">
      <c r="A112" s="22"/>
      <c r="B112" s="22"/>
      <c r="G112" s="22"/>
    </row>
    <row r="113" spans="1:7" ht="15.6">
      <c r="A113" s="22"/>
      <c r="B113" s="22"/>
      <c r="G113" s="22"/>
    </row>
    <row r="114" spans="1:7" ht="15.6">
      <c r="A114" s="22"/>
      <c r="B114" s="22"/>
      <c r="G114" s="22"/>
    </row>
    <row r="115" spans="1:7" ht="15.6">
      <c r="A115" s="22"/>
      <c r="B115" s="22"/>
      <c r="G115" s="22"/>
    </row>
    <row r="116" spans="1:7" ht="15.6">
      <c r="A116" s="22"/>
      <c r="B116" s="22"/>
      <c r="G116" s="22"/>
    </row>
    <row r="117" spans="1:7" ht="15.6">
      <c r="A117" s="22"/>
      <c r="B117" s="22"/>
      <c r="G117" s="22"/>
    </row>
    <row r="118" spans="1:7" ht="15.6">
      <c r="A118" s="22"/>
      <c r="B118" s="22"/>
      <c r="G118" s="22"/>
    </row>
    <row r="119" spans="1:7" ht="15.6">
      <c r="A119" s="22"/>
      <c r="B119" s="22"/>
      <c r="G119" s="22"/>
    </row>
    <row r="120" spans="1:7" ht="15.6">
      <c r="A120" s="22"/>
      <c r="B120" s="22"/>
      <c r="G120" s="22"/>
    </row>
    <row r="121" spans="1:7" ht="15.6">
      <c r="A121" s="22"/>
      <c r="B121" s="22"/>
      <c r="G121" s="22"/>
    </row>
    <row r="122" spans="1:7" ht="15.6">
      <c r="A122" s="22"/>
      <c r="B122" s="22"/>
      <c r="G122" s="22"/>
    </row>
    <row r="123" spans="1:7" ht="15.6">
      <c r="A123" s="22"/>
      <c r="B123" s="22"/>
      <c r="G123" s="22"/>
    </row>
    <row r="124" spans="1:7" ht="15.6">
      <c r="A124" s="22"/>
      <c r="B124" s="22"/>
      <c r="G124" s="22"/>
    </row>
    <row r="125" spans="1:7" ht="15.6">
      <c r="A125" s="22"/>
      <c r="B125" s="22"/>
      <c r="G125" s="22"/>
    </row>
    <row r="126" spans="1:7" ht="15.6">
      <c r="A126" s="22"/>
      <c r="B126" s="22"/>
      <c r="G126" s="22"/>
    </row>
    <row r="127" spans="1:7" ht="15.6">
      <c r="A127" s="22"/>
      <c r="B127" s="22"/>
      <c r="G127" s="22"/>
    </row>
    <row r="128" spans="1:7" ht="15.6">
      <c r="A128" s="22"/>
      <c r="B128" s="22"/>
      <c r="G128" s="22"/>
    </row>
    <row r="129" spans="1:7" ht="15.6">
      <c r="A129" s="22"/>
      <c r="B129" s="22"/>
      <c r="G129" s="22"/>
    </row>
    <row r="130" spans="1:7" ht="15.6">
      <c r="A130" s="22"/>
      <c r="B130" s="22"/>
      <c r="G130" s="22"/>
    </row>
    <row r="131" spans="1:7" ht="15.6">
      <c r="A131" s="22"/>
      <c r="B131" s="22"/>
      <c r="G131" s="22"/>
    </row>
    <row r="132" spans="1:7" ht="15.6">
      <c r="A132" s="22"/>
      <c r="B132" s="22"/>
      <c r="G132" s="22"/>
    </row>
    <row r="133" spans="1:7" ht="15.6">
      <c r="A133" s="22"/>
      <c r="B133" s="22"/>
      <c r="G133" s="22"/>
    </row>
    <row r="134" spans="1:7" ht="15.6">
      <c r="A134" s="22"/>
      <c r="B134" s="22"/>
      <c r="G134" s="22"/>
    </row>
    <row r="135" spans="1:7" ht="15.6">
      <c r="A135" s="22"/>
      <c r="B135" s="22"/>
      <c r="G135" s="22"/>
    </row>
    <row r="136" spans="1:7" ht="15.6">
      <c r="A136" s="22"/>
      <c r="B136" s="22"/>
      <c r="G136" s="22"/>
    </row>
    <row r="137" spans="1:7" ht="15.6">
      <c r="A137" s="22"/>
      <c r="B137" s="22"/>
      <c r="G137" s="22"/>
    </row>
    <row r="138" spans="1:7" ht="15.6">
      <c r="A138" s="22"/>
      <c r="B138" s="22"/>
      <c r="G138" s="22"/>
    </row>
    <row r="139" spans="1:7" ht="15.6">
      <c r="A139" s="22"/>
      <c r="B139" s="22"/>
      <c r="G139" s="22"/>
    </row>
    <row r="140" spans="1:7" ht="15.6">
      <c r="A140" s="22"/>
      <c r="B140" s="22"/>
      <c r="G140" s="22"/>
    </row>
    <row r="141" spans="1:7" ht="15.6">
      <c r="A141" s="22"/>
      <c r="B141" s="22"/>
      <c r="G141" s="22"/>
    </row>
    <row r="142" spans="1:7" ht="15.6">
      <c r="A142" s="22"/>
      <c r="B142" s="22"/>
      <c r="G142" s="22"/>
    </row>
    <row r="143" spans="1:7" ht="15.6">
      <c r="A143" s="22"/>
      <c r="B143" s="22"/>
      <c r="G143" s="22"/>
    </row>
    <row r="144" spans="1:7" ht="15.6">
      <c r="A144" s="22"/>
      <c r="B144" s="22"/>
      <c r="G144" s="22"/>
    </row>
    <row r="145" spans="1:7" ht="15.6">
      <c r="A145" s="22"/>
      <c r="B145" s="22"/>
      <c r="G145" s="22"/>
    </row>
    <row r="146" spans="1:7" ht="15.6">
      <c r="A146" s="22"/>
      <c r="B146" s="22"/>
      <c r="G146" s="22"/>
    </row>
    <row r="147" spans="1:7" ht="15.6">
      <c r="A147" s="22"/>
      <c r="B147" s="22"/>
      <c r="G147" s="22"/>
    </row>
    <row r="148" spans="1:7" ht="15.6">
      <c r="A148" s="22"/>
      <c r="B148" s="22"/>
      <c r="G148" s="22"/>
    </row>
    <row r="149" spans="1:7" ht="15.6">
      <c r="A149" s="22"/>
      <c r="B149" s="22"/>
      <c r="G149" s="22"/>
    </row>
    <row r="150" spans="1:7" ht="15.6">
      <c r="A150" s="22"/>
      <c r="B150" s="22"/>
      <c r="G150" s="22"/>
    </row>
    <row r="151" spans="1:7" ht="15.6">
      <c r="A151" s="22"/>
      <c r="B151" s="22"/>
      <c r="G151" s="22"/>
    </row>
    <row r="152" spans="1:7" ht="15.6">
      <c r="A152" s="22"/>
      <c r="B152" s="22"/>
      <c r="G152" s="22"/>
    </row>
    <row r="153" spans="1:7" ht="15.6">
      <c r="A153" s="22"/>
      <c r="B153" s="22"/>
      <c r="G153" s="22"/>
    </row>
    <row r="154" spans="1:7" ht="15.6">
      <c r="A154" s="22"/>
      <c r="B154" s="22"/>
      <c r="G154" s="22"/>
    </row>
    <row r="155" spans="1:7" ht="15.6">
      <c r="A155" s="22"/>
      <c r="B155" s="22"/>
      <c r="G155" s="22"/>
    </row>
    <row r="156" spans="1:7" ht="15.6">
      <c r="A156" s="22"/>
      <c r="B156" s="22"/>
      <c r="G156" s="22"/>
    </row>
    <row r="157" spans="1:7" ht="15.6">
      <c r="A157" s="22"/>
      <c r="B157" s="22"/>
      <c r="G157" s="22"/>
    </row>
    <row r="158" spans="1:7" ht="15.6">
      <c r="A158" s="22"/>
      <c r="B158" s="22"/>
      <c r="G158" s="22"/>
    </row>
    <row r="159" spans="1:7" ht="15.6">
      <c r="A159" s="22"/>
      <c r="B159" s="22"/>
      <c r="G159" s="22"/>
    </row>
    <row r="160" spans="1:7" ht="15.6">
      <c r="A160" s="22"/>
      <c r="B160" s="22"/>
      <c r="G160" s="22"/>
    </row>
    <row r="161" spans="1:7" ht="15.6">
      <c r="A161" s="22"/>
      <c r="B161" s="22"/>
      <c r="G161" s="22"/>
    </row>
    <row r="162" spans="1:7" ht="15.6">
      <c r="A162" s="22"/>
      <c r="B162" s="22"/>
      <c r="G162" s="22"/>
    </row>
    <row r="163" spans="1:7" ht="15.6">
      <c r="A163" s="22"/>
      <c r="B163" s="22"/>
      <c r="G163" s="22"/>
    </row>
    <row r="164" spans="1:7" ht="15.6">
      <c r="A164" s="22"/>
      <c r="B164" s="22"/>
      <c r="G164" s="22"/>
    </row>
    <row r="165" spans="1:7" ht="15.6">
      <c r="A165" s="22"/>
      <c r="B165" s="22"/>
      <c r="G165" s="22"/>
    </row>
    <row r="166" spans="1:7" ht="15.6">
      <c r="A166" s="22"/>
      <c r="B166" s="22"/>
      <c r="G166" s="22"/>
    </row>
    <row r="167" spans="1:7" ht="15.6">
      <c r="A167" s="22"/>
      <c r="B167" s="22"/>
      <c r="G167" s="22"/>
    </row>
    <row r="168" spans="1:7" ht="15.6">
      <c r="A168" s="22"/>
      <c r="B168" s="22"/>
      <c r="G168" s="22"/>
    </row>
    <row r="169" spans="1:7" ht="15.6">
      <c r="A169" s="22"/>
      <c r="B169" s="22"/>
      <c r="G169" s="22"/>
    </row>
    <row r="170" spans="1:7" ht="15.6">
      <c r="A170" s="22"/>
      <c r="B170" s="22"/>
      <c r="G170" s="22"/>
    </row>
    <row r="171" spans="1:7" ht="15.6">
      <c r="A171" s="22"/>
      <c r="B171" s="22"/>
      <c r="G171" s="22"/>
    </row>
    <row r="172" spans="1:7" ht="15.6">
      <c r="A172" s="22"/>
      <c r="B172" s="22"/>
      <c r="G172" s="22"/>
    </row>
    <row r="173" spans="1:7" ht="15.6">
      <c r="A173" s="22"/>
      <c r="B173" s="22"/>
      <c r="G173" s="22"/>
    </row>
    <row r="174" spans="1:7" ht="15.6">
      <c r="A174" s="22"/>
      <c r="B174" s="22"/>
      <c r="G174" s="22"/>
    </row>
    <row r="175" spans="1:7" ht="15.6">
      <c r="A175" s="22"/>
      <c r="B175" s="22"/>
      <c r="G175" s="22"/>
    </row>
    <row r="176" spans="1:7" ht="15.6">
      <c r="A176" s="22"/>
      <c r="B176" s="22"/>
      <c r="G176" s="22"/>
    </row>
    <row r="177" spans="1:7" ht="15.6">
      <c r="A177" s="22"/>
      <c r="B177" s="22"/>
      <c r="G177" s="22"/>
    </row>
    <row r="178" spans="1:7" ht="15.6">
      <c r="A178" s="22"/>
      <c r="B178" s="22"/>
      <c r="G178" s="22"/>
    </row>
    <row r="179" spans="1:7" ht="15.6">
      <c r="A179" s="22"/>
      <c r="B179" s="22"/>
      <c r="G179" s="22"/>
    </row>
    <row r="180" spans="1:7" ht="15.6">
      <c r="A180" s="22"/>
      <c r="B180" s="22"/>
      <c r="G180" s="22"/>
    </row>
    <row r="181" spans="1:7" ht="15.6">
      <c r="A181" s="22"/>
      <c r="B181" s="22"/>
      <c r="G181" s="22"/>
    </row>
    <row r="182" spans="1:7" ht="15.6">
      <c r="A182" s="22"/>
      <c r="B182" s="22"/>
      <c r="G182" s="22"/>
    </row>
    <row r="183" spans="1:7" ht="15.6">
      <c r="A183" s="22"/>
      <c r="B183" s="22"/>
      <c r="G183" s="22"/>
    </row>
    <row r="184" spans="1:7" ht="15.6">
      <c r="A184" s="22"/>
      <c r="B184" s="22"/>
      <c r="G184" s="22"/>
    </row>
    <row r="185" spans="1:7" ht="15.6">
      <c r="A185" s="22"/>
      <c r="B185" s="22"/>
      <c r="G185" s="22"/>
    </row>
    <row r="186" spans="1:7" ht="15.6">
      <c r="A186" s="22"/>
      <c r="B186" s="22"/>
      <c r="G186" s="22"/>
    </row>
    <row r="187" spans="1:7" ht="15.6">
      <c r="A187" s="22"/>
      <c r="B187" s="22"/>
      <c r="G187" s="22"/>
    </row>
    <row r="188" spans="1:7" ht="15.6">
      <c r="A188" s="22"/>
      <c r="B188" s="22"/>
      <c r="G188" s="22"/>
    </row>
    <row r="189" spans="1:7" ht="15.6">
      <c r="A189" s="22"/>
      <c r="B189" s="22"/>
      <c r="G189" s="22"/>
    </row>
    <row r="190" spans="1:7" ht="15.6">
      <c r="A190" s="22"/>
      <c r="B190" s="22"/>
      <c r="G190" s="22"/>
    </row>
    <row r="191" spans="1:7" ht="15.6">
      <c r="A191" s="22"/>
      <c r="B191" s="22"/>
      <c r="G191" s="22"/>
    </row>
    <row r="192" spans="1:7" ht="15.6">
      <c r="A192" s="22"/>
      <c r="B192" s="22"/>
      <c r="G192" s="22"/>
    </row>
    <row r="193" spans="1:7" ht="15.6">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52F3C63D-4573-496B-A67E-C2D0E8BE5B2D}"/>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0">
    <tabColor theme="5" tint="0.59999389629810485"/>
    <pageSetUpPr fitToPage="1"/>
  </sheetPr>
  <dimension ref="B1:DD94"/>
  <sheetViews>
    <sheetView showGridLines="0" showRowColHeaders="0" zoomScale="90" zoomScaleNormal="90" workbookViewId="0">
      <pane xSplit="7" ySplit="5" topLeftCell="H18" activePane="bottomRight" state="frozenSplit"/>
      <selection pane="topRight" activeCell="J1" sqref="J1"/>
      <selection pane="bottomLeft" activeCell="A20" sqref="A20"/>
      <selection pane="bottomRight" activeCell="J8" sqref="J8"/>
    </sheetView>
  </sheetViews>
  <sheetFormatPr defaultColWidth="9.109375" defaultRowHeight="14.4"/>
  <cols>
    <col min="1" max="1" width="3.6640625" customWidth="1"/>
    <col min="2" max="2" width="5.88671875" customWidth="1"/>
    <col min="3" max="3" width="40.33203125" customWidth="1"/>
    <col min="4" max="4" width="12.441406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c r="B1" s="727"/>
      <c r="C1" s="805"/>
    </row>
    <row r="2" spans="2:107">
      <c r="B2" s="18" t="s">
        <v>31</v>
      </c>
    </row>
    <row r="3" spans="2:107">
      <c r="B3" t="s">
        <v>632</v>
      </c>
    </row>
    <row r="5" spans="2:107">
      <c r="B5" s="18" t="s">
        <v>206</v>
      </c>
    </row>
    <row r="6" spans="2:107">
      <c r="B6" s="31" t="s">
        <v>6</v>
      </c>
      <c r="C6" s="31"/>
      <c r="D6" s="31"/>
      <c r="E6" s="31"/>
      <c r="F6" s="786" t="s">
        <v>32</v>
      </c>
      <c r="G6" s="79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786" t="s">
        <v>9</v>
      </c>
      <c r="D7" s="787"/>
      <c r="E7" s="788"/>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18</v>
      </c>
      <c r="C8" s="777" t="s">
        <v>277</v>
      </c>
      <c r="D8" s="778"/>
      <c r="E8" s="779"/>
      <c r="F8" s="49">
        <f>H8+NPV(SD,I8:INDEX(I8:DC8,PAL))</f>
        <v>993494049.10936689</v>
      </c>
      <c r="G8" s="43">
        <f>SUMIF($H$6:$DC$6,"&lt;="&amp;PAL,$H8:$DC8)</f>
        <v>1744156918.0377769</v>
      </c>
      <c r="H8" s="43">
        <f>'Alternatyva 1'!H$117</f>
        <v>0</v>
      </c>
      <c r="I8" s="43">
        <f>'Alternatyva 1'!I$117</f>
        <v>986517.07499999995</v>
      </c>
      <c r="J8" s="43">
        <f>'Alternatyva 1'!J$117</f>
        <v>29971710.582949981</v>
      </c>
      <c r="K8" s="43">
        <f>'Alternatyva 1'!K$117</f>
        <v>39813188.262664638</v>
      </c>
      <c r="L8" s="43">
        <f>'Alternatyva 1'!L$117</f>
        <v>79971113.424679369</v>
      </c>
      <c r="M8" s="43">
        <f>'Alternatyva 1'!M$117</f>
        <v>81973812.617989585</v>
      </c>
      <c r="N8" s="43">
        <f>'Alternatyva 1'!N$117</f>
        <v>84031667.615582794</v>
      </c>
      <c r="O8" s="43">
        <f>'Alternatyva 1'!O$117</f>
        <v>86146238.087174118</v>
      </c>
      <c r="P8" s="43">
        <f>'Alternatyva 1'!P$117</f>
        <v>88319128.153823182</v>
      </c>
      <c r="Q8" s="43">
        <f>'Alternatyva 1'!Q$117</f>
        <v>90551987.658498988</v>
      </c>
      <c r="R8" s="43">
        <f>'Alternatyva 1'!R$117</f>
        <v>92846513.473009497</v>
      </c>
      <c r="S8" s="43">
        <f>'Alternatyva 1'!S$117</f>
        <v>95204450.842344388</v>
      </c>
      <c r="T8" s="43">
        <f>'Alternatyva 1'!T$117</f>
        <v>97627594.767496973</v>
      </c>
      <c r="U8" s="43">
        <f>'Alternatyva 1'!U$117</f>
        <v>100117791.42787302</v>
      </c>
      <c r="V8" s="43">
        <f>'Alternatyva 1'!V$117</f>
        <v>102676939.64441568</v>
      </c>
      <c r="W8" s="43">
        <f>'Alternatyva 1'!W$117</f>
        <v>105306992.38461655</v>
      </c>
      <c r="X8" s="43">
        <f>'Alternatyva 1'!X$117</f>
        <v>108009958.31061207</v>
      </c>
      <c r="Y8" s="43">
        <f>'Alternatyva 1'!Y$117</f>
        <v>110787903.37159793</v>
      </c>
      <c r="Z8" s="43">
        <f>'Alternatyva 1'!Z$117</f>
        <v>113642952.44183469</v>
      </c>
      <c r="AA8" s="43">
        <f>'Alternatyva 1'!AA$117</f>
        <v>116577291.00554751</v>
      </c>
      <c r="AB8" s="43">
        <f>'Alternatyva 1'!AB$117</f>
        <v>119593166.89006588</v>
      </c>
      <c r="AC8" s="43" t="e">
        <f>'Alternatyva 1'!AC$117</f>
        <v>#REF!</v>
      </c>
      <c r="AD8" s="43" t="e">
        <f>'Alternatyva 1'!AD$117</f>
        <v>#REF!</v>
      </c>
      <c r="AE8" s="43" t="e">
        <f>'Alternatyva 1'!AE$117</f>
        <v>#REF!</v>
      </c>
      <c r="AF8" s="43" t="e">
        <f>'Alternatyva 1'!AF$117</f>
        <v>#REF!</v>
      </c>
      <c r="AG8" s="43" t="e">
        <f>'Alternatyva 1'!AG$117</f>
        <v>#REF!</v>
      </c>
      <c r="AH8" s="43" t="e">
        <f>'Alternatyva 1'!AH$117</f>
        <v>#REF!</v>
      </c>
      <c r="AI8" s="43" t="e">
        <f>'Alternatyva 1'!AI$117</f>
        <v>#REF!</v>
      </c>
      <c r="AJ8" s="43" t="e">
        <f>'Alternatyva 1'!AJ$117</f>
        <v>#REF!</v>
      </c>
      <c r="AK8" s="43" t="e">
        <f>'Alternatyva 1'!AK$117</f>
        <v>#REF!</v>
      </c>
      <c r="AL8" s="43" t="e">
        <f>'Alternatyva 1'!AL$117</f>
        <v>#REF!</v>
      </c>
      <c r="AM8" s="43" t="e">
        <f>'Alternatyva 1'!AM$117</f>
        <v>#REF!</v>
      </c>
      <c r="AN8" s="43" t="e">
        <f>'Alternatyva 1'!AN$117</f>
        <v>#REF!</v>
      </c>
      <c r="AO8" s="43" t="e">
        <f>'Alternatyva 1'!AO$117</f>
        <v>#REF!</v>
      </c>
      <c r="AP8" s="43" t="e">
        <f>'Alternatyva 1'!AP$117</f>
        <v>#REF!</v>
      </c>
      <c r="AQ8" s="43" t="e">
        <f>'Alternatyva 1'!AQ$117</f>
        <v>#REF!</v>
      </c>
      <c r="AR8" s="43" t="e">
        <f>'Alternatyva 1'!AR$117</f>
        <v>#REF!</v>
      </c>
      <c r="AS8" s="43" t="e">
        <f>'Alternatyva 1'!AS$117</f>
        <v>#REF!</v>
      </c>
      <c r="AT8" s="43" t="e">
        <f>'Alternatyva 1'!AT$117</f>
        <v>#REF!</v>
      </c>
      <c r="AU8" s="43" t="e">
        <f>'Alternatyva 1'!AU$117</f>
        <v>#REF!</v>
      </c>
      <c r="AV8" s="43" t="e">
        <f>'Alternatyva 1'!AV$117</f>
        <v>#REF!</v>
      </c>
      <c r="AW8" s="43" t="e">
        <f>'Alternatyva 1'!AW$117</f>
        <v>#REF!</v>
      </c>
      <c r="AX8" s="43" t="e">
        <f>'Alternatyva 1'!AX$117</f>
        <v>#REF!</v>
      </c>
      <c r="AY8" s="43" t="e">
        <f>'Alternatyva 1'!AY$117</f>
        <v>#REF!</v>
      </c>
      <c r="AZ8" s="43" t="e">
        <f>'Alternatyva 1'!AZ$117</f>
        <v>#REF!</v>
      </c>
      <c r="BA8" s="43" t="e">
        <f>'Alternatyva 1'!BA$117</f>
        <v>#REF!</v>
      </c>
      <c r="BB8" s="43" t="e">
        <f>'Alternatyva 1'!BB$117</f>
        <v>#REF!</v>
      </c>
      <c r="BC8" s="43" t="e">
        <f>'Alternatyva 1'!BC$117</f>
        <v>#REF!</v>
      </c>
      <c r="BD8" s="43" t="e">
        <f>'Alternatyva 1'!BD$117</f>
        <v>#REF!</v>
      </c>
      <c r="BE8" s="43" t="e">
        <f>'Alternatyva 1'!BE$117</f>
        <v>#REF!</v>
      </c>
      <c r="BF8" s="43" t="e">
        <f>'Alternatyva 1'!BF$117</f>
        <v>#REF!</v>
      </c>
      <c r="BG8" s="43" t="e">
        <f>'Alternatyva 1'!BG$117</f>
        <v>#REF!</v>
      </c>
      <c r="BH8" s="43" t="e">
        <f>'Alternatyva 1'!BH$117</f>
        <v>#REF!</v>
      </c>
      <c r="BI8" s="43" t="e">
        <f>'Alternatyva 1'!BI$117</f>
        <v>#REF!</v>
      </c>
      <c r="BJ8" s="43" t="e">
        <f>'Alternatyva 1'!BJ$117</f>
        <v>#REF!</v>
      </c>
      <c r="BK8" s="43" t="e">
        <f>'Alternatyva 1'!BK$117</f>
        <v>#REF!</v>
      </c>
      <c r="BL8" s="43" t="e">
        <f>'Alternatyva 1'!BL$117</f>
        <v>#REF!</v>
      </c>
      <c r="BM8" s="43" t="e">
        <f>'Alternatyva 1'!BM$117</f>
        <v>#REF!</v>
      </c>
      <c r="BN8" s="43" t="e">
        <f>'Alternatyva 1'!BN$117</f>
        <v>#REF!</v>
      </c>
      <c r="BO8" s="43" t="e">
        <f>'Alternatyva 1'!BO$117</f>
        <v>#REF!</v>
      </c>
      <c r="BP8" s="43" t="e">
        <f>'Alternatyva 1'!BP$117</f>
        <v>#REF!</v>
      </c>
      <c r="BQ8" s="43" t="e">
        <f>'Alternatyva 1'!BQ$117</f>
        <v>#REF!</v>
      </c>
      <c r="BR8" s="43" t="e">
        <f>'Alternatyva 1'!BR$117</f>
        <v>#REF!</v>
      </c>
      <c r="BS8" s="43" t="e">
        <f>'Alternatyva 1'!BS$117</f>
        <v>#REF!</v>
      </c>
      <c r="BT8" s="43" t="e">
        <f>'Alternatyva 1'!BT$117</f>
        <v>#REF!</v>
      </c>
      <c r="BU8" s="43" t="e">
        <f>'Alternatyva 1'!BU$117</f>
        <v>#REF!</v>
      </c>
      <c r="BV8" s="43" t="e">
        <f>'Alternatyva 1'!BV$117</f>
        <v>#REF!</v>
      </c>
      <c r="BW8" s="43" t="e">
        <f>'Alternatyva 1'!BW$117</f>
        <v>#REF!</v>
      </c>
      <c r="BX8" s="43" t="e">
        <f>'Alternatyva 1'!BX$117</f>
        <v>#REF!</v>
      </c>
      <c r="BY8" s="43" t="e">
        <f>'Alternatyva 1'!BY$117</f>
        <v>#REF!</v>
      </c>
      <c r="BZ8" s="43" t="e">
        <f>'Alternatyva 1'!BZ$117</f>
        <v>#REF!</v>
      </c>
      <c r="CA8" s="43" t="e">
        <f>'Alternatyva 1'!CA$117</f>
        <v>#REF!</v>
      </c>
      <c r="CB8" s="43" t="e">
        <f>'Alternatyva 1'!CB$117</f>
        <v>#REF!</v>
      </c>
      <c r="CC8" s="43" t="e">
        <f>'Alternatyva 1'!CC$117</f>
        <v>#REF!</v>
      </c>
      <c r="CD8" s="43" t="e">
        <f>'Alternatyva 1'!CD$117</f>
        <v>#REF!</v>
      </c>
      <c r="CE8" s="43" t="e">
        <f>'Alternatyva 1'!CE$117</f>
        <v>#REF!</v>
      </c>
      <c r="CF8" s="43" t="e">
        <f>'Alternatyva 1'!CF$117</f>
        <v>#REF!</v>
      </c>
      <c r="CG8" s="43" t="e">
        <f>'Alternatyva 1'!CG$117</f>
        <v>#REF!</v>
      </c>
      <c r="CH8" s="43" t="e">
        <f>'Alternatyva 1'!CH$117</f>
        <v>#REF!</v>
      </c>
      <c r="CI8" s="43" t="e">
        <f>'Alternatyva 1'!CI$117</f>
        <v>#REF!</v>
      </c>
      <c r="CJ8" s="43" t="e">
        <f>'Alternatyva 1'!CJ$117</f>
        <v>#REF!</v>
      </c>
      <c r="CK8" s="43" t="e">
        <f>'Alternatyva 1'!CK$117</f>
        <v>#REF!</v>
      </c>
      <c r="CL8" s="43" t="e">
        <f>'Alternatyva 1'!CL$117</f>
        <v>#REF!</v>
      </c>
      <c r="CM8" s="43" t="e">
        <f>'Alternatyva 1'!CM$117</f>
        <v>#REF!</v>
      </c>
      <c r="CN8" s="43" t="e">
        <f>'Alternatyva 1'!CN$117</f>
        <v>#REF!</v>
      </c>
      <c r="CO8" s="43" t="e">
        <f>'Alternatyva 1'!CO$117</f>
        <v>#REF!</v>
      </c>
      <c r="CP8" s="43" t="e">
        <f>'Alternatyva 1'!CP$117</f>
        <v>#REF!</v>
      </c>
      <c r="CQ8" s="43" t="e">
        <f>'Alternatyva 1'!CQ$117</f>
        <v>#REF!</v>
      </c>
      <c r="CR8" s="43" t="e">
        <f>'Alternatyva 1'!CR$117</f>
        <v>#REF!</v>
      </c>
      <c r="CS8" s="43" t="e">
        <f>'Alternatyva 1'!CS$117</f>
        <v>#REF!</v>
      </c>
      <c r="CT8" s="43" t="e">
        <f>'Alternatyva 1'!CT$117</f>
        <v>#REF!</v>
      </c>
      <c r="CU8" s="43" t="e">
        <f>'Alternatyva 1'!CU$117</f>
        <v>#REF!</v>
      </c>
      <c r="CV8" s="43" t="e">
        <f>'Alternatyva 1'!CV$117</f>
        <v>#REF!</v>
      </c>
      <c r="CW8" s="43" t="e">
        <f>'Alternatyva 1'!CW$117</f>
        <v>#REF!</v>
      </c>
      <c r="CX8" s="43" t="e">
        <f>'Alternatyva 1'!CX$117</f>
        <v>#REF!</v>
      </c>
      <c r="CY8" s="43" t="e">
        <f>'Alternatyva 1'!CY$117</f>
        <v>#REF!</v>
      </c>
      <c r="CZ8" s="43" t="e">
        <f>'Alternatyva 1'!CZ$117</f>
        <v>#REF!</v>
      </c>
      <c r="DA8" s="43" t="e">
        <f>'Alternatyva 1'!DA$117</f>
        <v>#REF!</v>
      </c>
      <c r="DB8" s="43" t="e">
        <f>'Alternatyva 1'!DB$117</f>
        <v>#REF!</v>
      </c>
      <c r="DC8" s="43" t="e">
        <f>'Alternatyva 1'!DC$117</f>
        <v>#REF!</v>
      </c>
    </row>
    <row r="9" spans="2:107" ht="15" customHeight="1">
      <c r="B9" s="5" t="s">
        <v>28</v>
      </c>
      <c r="C9" s="777" t="s">
        <v>257</v>
      </c>
      <c r="D9" s="778"/>
      <c r="E9" s="779"/>
      <c r="F9" s="49">
        <f>H9+NPV(SD,I9:INDEX(I9:DC9,PAL))</f>
        <v>11922577.17278992</v>
      </c>
      <c r="G9" s="43">
        <f>SUMIF($H$6:$DC$6,"&lt;="&amp;PAL,$H9:$DC9)</f>
        <v>13225775.173787</v>
      </c>
      <c r="H9" s="43">
        <f>'Alternatyva 1'!H$8+'Alternatyva 1'!H$9-'Alternatyva 1'!H$113</f>
        <v>1730000</v>
      </c>
      <c r="I9" s="43">
        <f>'Alternatyva 1'!I$8+'Alternatyva 1'!I$9-'Alternatyva 1'!I$113</f>
        <v>3379303.0815815865</v>
      </c>
      <c r="J9" s="43">
        <f>'Alternatyva 1'!J$8+'Alternatyva 1'!J$9-'Alternatyva 1'!J$113</f>
        <v>3287482.3364698356</v>
      </c>
      <c r="K9" s="43">
        <f>'Alternatyva 1'!K$8+'Alternatyva 1'!K$9-'Alternatyva 1'!K$113</f>
        <v>4204655.0449917773</v>
      </c>
      <c r="L9" s="43">
        <f>'Alternatyva 1'!L$8+'Alternatyva 1'!L$9-'Alternatyva 1'!L$113</f>
        <v>4132.2314049586776</v>
      </c>
      <c r="M9" s="43">
        <f>'Alternatyva 1'!M$8+'Alternatyva 1'!M$9-'Alternatyva 1'!M$113</f>
        <v>20661.157024793389</v>
      </c>
      <c r="N9" s="43">
        <f>'Alternatyva 1'!N$8+'Alternatyva 1'!N$9-'Alternatyva 1'!N$113</f>
        <v>4500</v>
      </c>
      <c r="O9" s="43">
        <f>'Alternatyva 1'!O$8+'Alternatyva 1'!O$9-'Alternatyva 1'!O$113</f>
        <v>0</v>
      </c>
      <c r="P9" s="43">
        <f>'Alternatyva 1'!P$8+'Alternatyva 1'!P$9-'Alternatyva 1'!P$113</f>
        <v>0</v>
      </c>
      <c r="Q9" s="43">
        <f>'Alternatyva 1'!Q$8+'Alternatyva 1'!Q$9-'Alternatyva 1'!Q$113</f>
        <v>0</v>
      </c>
      <c r="R9" s="43">
        <f>'Alternatyva 1'!R$8+'Alternatyva 1'!R$9-'Alternatyva 1'!R$113</f>
        <v>99173.553719008269</v>
      </c>
      <c r="S9" s="43">
        <f>'Alternatyva 1'!S$8+'Alternatyva 1'!S$9-'Alternatyva 1'!S$113</f>
        <v>198347.10743801654</v>
      </c>
      <c r="T9" s="43">
        <f>'Alternatyva 1'!T$8+'Alternatyva 1'!T$9-'Alternatyva 1'!T$113</f>
        <v>99173.553719008269</v>
      </c>
      <c r="U9" s="43">
        <f>'Alternatyva 1'!U$8+'Alternatyva 1'!U$9-'Alternatyva 1'!U$113</f>
        <v>198347.10743801654</v>
      </c>
      <c r="V9" s="43">
        <f>'Alternatyva 1'!V$8+'Alternatyva 1'!V$9-'Alternatyva 1'!V$113</f>
        <v>0</v>
      </c>
      <c r="W9" s="43">
        <f>'Alternatyva 1'!W$8+'Alternatyva 1'!W$9-'Alternatyva 1'!W$113</f>
        <v>0</v>
      </c>
      <c r="X9" s="43">
        <f>'Alternatyva 1'!X$8+'Alternatyva 1'!X$9-'Alternatyva 1'!X$113</f>
        <v>0</v>
      </c>
      <c r="Y9" s="43">
        <f>'Alternatyva 1'!Y$8+'Alternatyva 1'!Y$9-'Alternatyva 1'!Y$113</f>
        <v>0</v>
      </c>
      <c r="Z9" s="43">
        <f>'Alternatyva 1'!Z$8+'Alternatyva 1'!Z$9-'Alternatyva 1'!Z$113</f>
        <v>0</v>
      </c>
      <c r="AA9" s="43">
        <f>'Alternatyva 1'!AA$8+'Alternatyva 1'!AA$9-'Alternatyva 1'!AA$113</f>
        <v>0</v>
      </c>
      <c r="AB9" s="43">
        <f>'Alternatyva 1'!AB$8+'Alternatyva 1'!AB$9-'Alternatyva 1'!AB$113</f>
        <v>0</v>
      </c>
      <c r="AC9" s="43">
        <f>'Alternatyva 1'!AC$8+'Alternatyva 1'!AC$9-'Alternatyva 1'!AC$113</f>
        <v>0</v>
      </c>
      <c r="AD9" s="43">
        <f>'Alternatyva 1'!AD$8+'Alternatyva 1'!AD$9-'Alternatyva 1'!AD$113</f>
        <v>0</v>
      </c>
      <c r="AE9" s="43">
        <f>'Alternatyva 1'!AE$8+'Alternatyva 1'!AE$9-'Alternatyva 1'!AE$113</f>
        <v>0</v>
      </c>
      <c r="AF9" s="43">
        <f>'Alternatyva 1'!AF$8+'Alternatyva 1'!AF$9-'Alternatyva 1'!AF$113</f>
        <v>0</v>
      </c>
      <c r="AG9" s="43">
        <f>'Alternatyva 1'!AG$8+'Alternatyva 1'!AG$9-'Alternatyva 1'!AG$113</f>
        <v>0</v>
      </c>
      <c r="AH9" s="43">
        <f>'Alternatyva 1'!AH$8+'Alternatyva 1'!AH$9-'Alternatyva 1'!AH$113</f>
        <v>0</v>
      </c>
      <c r="AI9" s="43">
        <f>'Alternatyva 1'!AI$8+'Alternatyva 1'!AI$9-'Alternatyva 1'!AI$113</f>
        <v>0</v>
      </c>
      <c r="AJ9" s="43">
        <f>'Alternatyva 1'!AJ$8+'Alternatyva 1'!AJ$9-'Alternatyva 1'!AJ$113</f>
        <v>0</v>
      </c>
      <c r="AK9" s="43">
        <f>'Alternatyva 1'!AK$8+'Alternatyva 1'!AK$9-'Alternatyva 1'!AK$113</f>
        <v>0</v>
      </c>
      <c r="AL9" s="43">
        <f>'Alternatyva 1'!AL$8+'Alternatyva 1'!AL$9-'Alternatyva 1'!AL$113</f>
        <v>0</v>
      </c>
      <c r="AM9" s="43">
        <f>'Alternatyva 1'!AM$8+'Alternatyva 1'!AM$9-'Alternatyva 1'!AM$113</f>
        <v>0</v>
      </c>
      <c r="AN9" s="43">
        <f>'Alternatyva 1'!AN$8+'Alternatyva 1'!AN$9-'Alternatyva 1'!AN$113</f>
        <v>0</v>
      </c>
      <c r="AO9" s="43">
        <f>'Alternatyva 1'!AO$8+'Alternatyva 1'!AO$9-'Alternatyva 1'!AO$113</f>
        <v>0</v>
      </c>
      <c r="AP9" s="43">
        <f>'Alternatyva 1'!AP$8+'Alternatyva 1'!AP$9-'Alternatyva 1'!AP$113</f>
        <v>0</v>
      </c>
      <c r="AQ9" s="43">
        <f>'Alternatyva 1'!AQ$8+'Alternatyva 1'!AQ$9-'Alternatyva 1'!AQ$113</f>
        <v>0</v>
      </c>
      <c r="AR9" s="43">
        <f>'Alternatyva 1'!AR$8+'Alternatyva 1'!AR$9-'Alternatyva 1'!AR$113</f>
        <v>0</v>
      </c>
      <c r="AS9" s="43">
        <f>'Alternatyva 1'!AS$8+'Alternatyva 1'!AS$9-'Alternatyva 1'!AS$113</f>
        <v>0</v>
      </c>
      <c r="AT9" s="43">
        <f>'Alternatyva 1'!AT$8+'Alternatyva 1'!AT$9-'Alternatyva 1'!AT$113</f>
        <v>0</v>
      </c>
      <c r="AU9" s="43">
        <f>'Alternatyva 1'!AU$8+'Alternatyva 1'!AU$9-'Alternatyva 1'!AU$113</f>
        <v>0</v>
      </c>
      <c r="AV9" s="43">
        <f>'Alternatyva 1'!AV$8+'Alternatyva 1'!AV$9-'Alternatyva 1'!AV$113</f>
        <v>0</v>
      </c>
      <c r="AW9" s="43">
        <f>'Alternatyva 1'!AW$8+'Alternatyva 1'!AW$9-'Alternatyva 1'!AW$113</f>
        <v>0</v>
      </c>
      <c r="AX9" s="43">
        <f>'Alternatyva 1'!AX$8+'Alternatyva 1'!AX$9-'Alternatyva 1'!AX$113</f>
        <v>0</v>
      </c>
      <c r="AY9" s="43">
        <f>'Alternatyva 1'!AY$8+'Alternatyva 1'!AY$9-'Alternatyva 1'!AY$113</f>
        <v>0</v>
      </c>
      <c r="AZ9" s="43">
        <f>'Alternatyva 1'!AZ$8+'Alternatyva 1'!AZ$9-'Alternatyva 1'!AZ$113</f>
        <v>0</v>
      </c>
      <c r="BA9" s="43">
        <f>'Alternatyva 1'!BA$8+'Alternatyva 1'!BA$9-'Alternatyva 1'!BA$113</f>
        <v>0</v>
      </c>
      <c r="BB9" s="43">
        <f>'Alternatyva 1'!BB$8+'Alternatyva 1'!BB$9-'Alternatyva 1'!BB$113</f>
        <v>0</v>
      </c>
      <c r="BC9" s="43">
        <f>'Alternatyva 1'!BC$8+'Alternatyva 1'!BC$9-'Alternatyva 1'!BC$113</f>
        <v>0</v>
      </c>
      <c r="BD9" s="43">
        <f>'Alternatyva 1'!BD$8+'Alternatyva 1'!BD$9-'Alternatyva 1'!BD$113</f>
        <v>0</v>
      </c>
      <c r="BE9" s="43">
        <f>'Alternatyva 1'!BE$8+'Alternatyva 1'!BE$9-'Alternatyva 1'!BE$113</f>
        <v>0</v>
      </c>
      <c r="BF9" s="43">
        <f>'Alternatyva 1'!BF$8+'Alternatyva 1'!BF$9-'Alternatyva 1'!BF$113</f>
        <v>0</v>
      </c>
      <c r="BG9" s="43">
        <f>'Alternatyva 1'!BG$8+'Alternatyva 1'!BG$9-'Alternatyva 1'!BG$113</f>
        <v>0</v>
      </c>
      <c r="BH9" s="43">
        <f>'Alternatyva 1'!BH$8+'Alternatyva 1'!BH$9-'Alternatyva 1'!BH$113</f>
        <v>0</v>
      </c>
      <c r="BI9" s="43">
        <f>'Alternatyva 1'!BI$8+'Alternatyva 1'!BI$9-'Alternatyva 1'!BI$113</f>
        <v>0</v>
      </c>
      <c r="BJ9" s="43">
        <f>'Alternatyva 1'!BJ$8+'Alternatyva 1'!BJ$9-'Alternatyva 1'!BJ$113</f>
        <v>0</v>
      </c>
      <c r="BK9" s="43">
        <f>'Alternatyva 1'!BK$8+'Alternatyva 1'!BK$9-'Alternatyva 1'!BK$113</f>
        <v>0</v>
      </c>
      <c r="BL9" s="43">
        <f>'Alternatyva 1'!BL$8+'Alternatyva 1'!BL$9-'Alternatyva 1'!BL$113</f>
        <v>0</v>
      </c>
      <c r="BM9" s="43">
        <f>'Alternatyva 1'!BM$8+'Alternatyva 1'!BM$9-'Alternatyva 1'!BM$113</f>
        <v>0</v>
      </c>
      <c r="BN9" s="43">
        <f>'Alternatyva 1'!BN$8+'Alternatyva 1'!BN$9-'Alternatyva 1'!BN$113</f>
        <v>0</v>
      </c>
      <c r="BO9" s="43">
        <f>'Alternatyva 1'!BO$8+'Alternatyva 1'!BO$9-'Alternatyva 1'!BO$113</f>
        <v>0</v>
      </c>
      <c r="BP9" s="43">
        <f>'Alternatyva 1'!BP$8+'Alternatyva 1'!BP$9-'Alternatyva 1'!BP$113</f>
        <v>0</v>
      </c>
      <c r="BQ9" s="43">
        <f>'Alternatyva 1'!BQ$8+'Alternatyva 1'!BQ$9-'Alternatyva 1'!BQ$113</f>
        <v>0</v>
      </c>
      <c r="BR9" s="43">
        <f>'Alternatyva 1'!BR$8+'Alternatyva 1'!BR$9-'Alternatyva 1'!BR$113</f>
        <v>0</v>
      </c>
      <c r="BS9" s="43">
        <f>'Alternatyva 1'!BS$8+'Alternatyva 1'!BS$9-'Alternatyva 1'!BS$113</f>
        <v>0</v>
      </c>
      <c r="BT9" s="43">
        <f>'Alternatyva 1'!BT$8+'Alternatyva 1'!BT$9-'Alternatyva 1'!BT$113</f>
        <v>0</v>
      </c>
      <c r="BU9" s="43">
        <f>'Alternatyva 1'!BU$8+'Alternatyva 1'!BU$9-'Alternatyva 1'!BU$113</f>
        <v>0</v>
      </c>
      <c r="BV9" s="43">
        <f>'Alternatyva 1'!BV$8+'Alternatyva 1'!BV$9-'Alternatyva 1'!BV$113</f>
        <v>0</v>
      </c>
      <c r="BW9" s="43">
        <f>'Alternatyva 1'!BW$8+'Alternatyva 1'!BW$9-'Alternatyva 1'!BW$113</f>
        <v>0</v>
      </c>
      <c r="BX9" s="43">
        <f>'Alternatyva 1'!BX$8+'Alternatyva 1'!BX$9-'Alternatyva 1'!BX$113</f>
        <v>0</v>
      </c>
      <c r="BY9" s="43">
        <f>'Alternatyva 1'!BY$8+'Alternatyva 1'!BY$9-'Alternatyva 1'!BY$113</f>
        <v>0</v>
      </c>
      <c r="BZ9" s="43">
        <f>'Alternatyva 1'!BZ$8+'Alternatyva 1'!BZ$9-'Alternatyva 1'!BZ$113</f>
        <v>0</v>
      </c>
      <c r="CA9" s="43">
        <f>'Alternatyva 1'!CA$8+'Alternatyva 1'!CA$9-'Alternatyva 1'!CA$113</f>
        <v>0</v>
      </c>
      <c r="CB9" s="43">
        <f>'Alternatyva 1'!CB$8+'Alternatyva 1'!CB$9-'Alternatyva 1'!CB$113</f>
        <v>0</v>
      </c>
      <c r="CC9" s="43">
        <f>'Alternatyva 1'!CC$8+'Alternatyva 1'!CC$9-'Alternatyva 1'!CC$113</f>
        <v>0</v>
      </c>
      <c r="CD9" s="43">
        <f>'Alternatyva 1'!CD$8+'Alternatyva 1'!CD$9-'Alternatyva 1'!CD$113</f>
        <v>0</v>
      </c>
      <c r="CE9" s="43">
        <f>'Alternatyva 1'!CE$8+'Alternatyva 1'!CE$9-'Alternatyva 1'!CE$113</f>
        <v>0</v>
      </c>
      <c r="CF9" s="43">
        <f>'Alternatyva 1'!CF$8+'Alternatyva 1'!CF$9-'Alternatyva 1'!CF$113</f>
        <v>0</v>
      </c>
      <c r="CG9" s="43">
        <f>'Alternatyva 1'!CG$8+'Alternatyva 1'!CG$9-'Alternatyva 1'!CG$113</f>
        <v>0</v>
      </c>
      <c r="CH9" s="43">
        <f>'Alternatyva 1'!CH$8+'Alternatyva 1'!CH$9-'Alternatyva 1'!CH$113</f>
        <v>0</v>
      </c>
      <c r="CI9" s="43">
        <f>'Alternatyva 1'!CI$8+'Alternatyva 1'!CI$9-'Alternatyva 1'!CI$113</f>
        <v>0</v>
      </c>
      <c r="CJ9" s="43">
        <f>'Alternatyva 1'!CJ$8+'Alternatyva 1'!CJ$9-'Alternatyva 1'!CJ$113</f>
        <v>0</v>
      </c>
      <c r="CK9" s="43">
        <f>'Alternatyva 1'!CK$8+'Alternatyva 1'!CK$9-'Alternatyva 1'!CK$113</f>
        <v>0</v>
      </c>
      <c r="CL9" s="43">
        <f>'Alternatyva 1'!CL$8+'Alternatyva 1'!CL$9-'Alternatyva 1'!CL$113</f>
        <v>0</v>
      </c>
      <c r="CM9" s="43">
        <f>'Alternatyva 1'!CM$8+'Alternatyva 1'!CM$9-'Alternatyva 1'!CM$113</f>
        <v>0</v>
      </c>
      <c r="CN9" s="43">
        <f>'Alternatyva 1'!CN$8+'Alternatyva 1'!CN$9-'Alternatyva 1'!CN$113</f>
        <v>0</v>
      </c>
      <c r="CO9" s="43">
        <f>'Alternatyva 1'!CO$8+'Alternatyva 1'!CO$9-'Alternatyva 1'!CO$113</f>
        <v>0</v>
      </c>
      <c r="CP9" s="43">
        <f>'Alternatyva 1'!CP$8+'Alternatyva 1'!CP$9-'Alternatyva 1'!CP$113</f>
        <v>0</v>
      </c>
      <c r="CQ9" s="43">
        <f>'Alternatyva 1'!CQ$8+'Alternatyva 1'!CQ$9-'Alternatyva 1'!CQ$113</f>
        <v>0</v>
      </c>
      <c r="CR9" s="43">
        <f>'Alternatyva 1'!CR$8+'Alternatyva 1'!CR$9-'Alternatyva 1'!CR$113</f>
        <v>0</v>
      </c>
      <c r="CS9" s="43">
        <f>'Alternatyva 1'!CS$8+'Alternatyva 1'!CS$9-'Alternatyva 1'!CS$113</f>
        <v>0</v>
      </c>
      <c r="CT9" s="43">
        <f>'Alternatyva 1'!CT$8+'Alternatyva 1'!CT$9-'Alternatyva 1'!CT$113</f>
        <v>0</v>
      </c>
      <c r="CU9" s="43">
        <f>'Alternatyva 1'!CU$8+'Alternatyva 1'!CU$9-'Alternatyva 1'!CU$113</f>
        <v>0</v>
      </c>
      <c r="CV9" s="43">
        <f>'Alternatyva 1'!CV$8+'Alternatyva 1'!CV$9-'Alternatyva 1'!CV$113</f>
        <v>0</v>
      </c>
      <c r="CW9" s="43">
        <f>'Alternatyva 1'!CW$8+'Alternatyva 1'!CW$9-'Alternatyva 1'!CW$113</f>
        <v>0</v>
      </c>
      <c r="CX9" s="43">
        <f>'Alternatyva 1'!CX$8+'Alternatyva 1'!CX$9-'Alternatyva 1'!CX$113</f>
        <v>0</v>
      </c>
      <c r="CY9" s="43">
        <f>'Alternatyva 1'!CY$8+'Alternatyva 1'!CY$9-'Alternatyva 1'!CY$113</f>
        <v>0</v>
      </c>
      <c r="CZ9" s="43">
        <f>'Alternatyva 1'!CZ$8+'Alternatyva 1'!CZ$9-'Alternatyva 1'!CZ$113</f>
        <v>0</v>
      </c>
      <c r="DA9" s="43">
        <f>'Alternatyva 1'!DA$8+'Alternatyva 1'!DA$9-'Alternatyva 1'!DA$113</f>
        <v>0</v>
      </c>
      <c r="DB9" s="43">
        <f>'Alternatyva 1'!DB$8+'Alternatyva 1'!DB$9-'Alternatyva 1'!DB$113</f>
        <v>0</v>
      </c>
      <c r="DC9" s="43">
        <f>'Alternatyva 1'!DC$8+'Alternatyva 1'!DC$9-'Alternatyva 1'!DC$113</f>
        <v>0</v>
      </c>
    </row>
    <row r="10" spans="2:107" ht="15" customHeight="1">
      <c r="B10" s="5" t="s">
        <v>209</v>
      </c>
      <c r="C10" s="777" t="s">
        <v>263</v>
      </c>
      <c r="D10" s="778"/>
      <c r="E10" s="779"/>
      <c r="F10" s="43">
        <f>H10+NPV(SD,I10:INDEX(I10:DC10,PAL))</f>
        <v>113887649.621988</v>
      </c>
      <c r="G10" s="43">
        <f>SUMIF($H$6:$DC$6,"&lt;="&amp;PAL,$H10:$DC10)</f>
        <v>191640865.77715251</v>
      </c>
      <c r="H10" s="43">
        <f>'Alternatyva 1'!H$89-'Alternatyva 1'!H$114</f>
        <v>0</v>
      </c>
      <c r="I10" s="43">
        <f>'Alternatyva 1'!I$89-'Alternatyva 1'!I$114</f>
        <v>1632000</v>
      </c>
      <c r="J10" s="43">
        <f>'Alternatyva 1'!J$89-'Alternatyva 1'!J$114</f>
        <v>4418628.6675319998</v>
      </c>
      <c r="K10" s="43">
        <f>'Alternatyva 1'!K$89-'Alternatyva 1'!K$114</f>
        <v>6899390.9378861338</v>
      </c>
      <c r="L10" s="43">
        <f>'Alternatyva 1'!L$89-'Alternatyva 1'!L$114</f>
        <v>10507520.3630432</v>
      </c>
      <c r="M10" s="43">
        <f>'Alternatyva 1'!M$89-'Alternatyva 1'!M$114</f>
        <v>10507520.3630432</v>
      </c>
      <c r="N10" s="43">
        <f>'Alternatyva 1'!N$89-'Alternatyva 1'!N$114</f>
        <v>10507520.3630432</v>
      </c>
      <c r="O10" s="43">
        <f>'Alternatyva 1'!O$89-'Alternatyva 1'!O$114</f>
        <v>10512020.3630432</v>
      </c>
      <c r="P10" s="43">
        <f>'Alternatyva 1'!P$89-'Alternatyva 1'!P$114</f>
        <v>10512020.3630432</v>
      </c>
      <c r="Q10" s="43">
        <f>'Alternatyva 1'!Q$89-'Alternatyva 1'!Q$114</f>
        <v>10512020.3630432</v>
      </c>
      <c r="R10" s="43">
        <f>'Alternatyva 1'!R$89-'Alternatyva 1'!R$114</f>
        <v>10512020.3630432</v>
      </c>
      <c r="S10" s="43">
        <f>'Alternatyva 1'!S$89-'Alternatyva 1'!S$114</f>
        <v>10512020.3630432</v>
      </c>
      <c r="T10" s="43">
        <f>'Alternatyva 1'!T$89-'Alternatyva 1'!T$114</f>
        <v>10512020.3630432</v>
      </c>
      <c r="U10" s="43">
        <f>'Alternatyva 1'!U$89-'Alternatyva 1'!U$114</f>
        <v>10512020.3630432</v>
      </c>
      <c r="V10" s="43">
        <f>'Alternatyva 1'!V$89-'Alternatyva 1'!V$114</f>
        <v>10512020.3630432</v>
      </c>
      <c r="W10" s="43">
        <f>'Alternatyva 1'!W$89-'Alternatyva 1'!W$114</f>
        <v>10512020.3630432</v>
      </c>
      <c r="X10" s="43">
        <f>'Alternatyva 1'!X$89-'Alternatyva 1'!X$114</f>
        <v>10512020.3630432</v>
      </c>
      <c r="Y10" s="43">
        <f>'Alternatyva 1'!Y$89-'Alternatyva 1'!Y$114</f>
        <v>10512020.3630432</v>
      </c>
      <c r="Z10" s="43">
        <f>'Alternatyva 1'!Z$89-'Alternatyva 1'!Z$114</f>
        <v>10512020.3630432</v>
      </c>
      <c r="AA10" s="43">
        <f>'Alternatyva 1'!AA$89-'Alternatyva 1'!AA$114</f>
        <v>10512020.3630432</v>
      </c>
      <c r="AB10" s="43">
        <f>'Alternatyva 1'!AB$89-'Alternatyva 1'!AB$114</f>
        <v>10512020.3630432</v>
      </c>
      <c r="AC10" s="43">
        <f>'Alternatyva 1'!AC$89-'Alternatyva 1'!AC$114</f>
        <v>2351431.8160736002</v>
      </c>
      <c r="AD10" s="43">
        <f>'Alternatyva 1'!AD$89-'Alternatyva 1'!AD$114</f>
        <v>2351431.8160736002</v>
      </c>
      <c r="AE10" s="43">
        <f>'Alternatyva 1'!AE$89-'Alternatyva 1'!AE$114</f>
        <v>2351431.8160736002</v>
      </c>
      <c r="AF10" s="43">
        <f>'Alternatyva 1'!AF$89-'Alternatyva 1'!AF$114</f>
        <v>2351431.8160736002</v>
      </c>
      <c r="AG10" s="43">
        <f>'Alternatyva 1'!AG$89-'Alternatyva 1'!AG$114</f>
        <v>2351431.8160736002</v>
      </c>
      <c r="AH10" s="43">
        <f>'Alternatyva 1'!AH$89-'Alternatyva 1'!AH$114</f>
        <v>2351431.8160736002</v>
      </c>
      <c r="AI10" s="43">
        <f>'Alternatyva 1'!AI$89-'Alternatyva 1'!AI$114</f>
        <v>2351431.8160736002</v>
      </c>
      <c r="AJ10" s="43">
        <f>'Alternatyva 1'!AJ$89-'Alternatyva 1'!AJ$114</f>
        <v>2351431.8160736002</v>
      </c>
      <c r="AK10" s="43">
        <f>'Alternatyva 1'!AK$89-'Alternatyva 1'!AK$114</f>
        <v>2351431.8160736002</v>
      </c>
      <c r="AL10" s="43">
        <f>'Alternatyva 1'!AL$89-'Alternatyva 1'!AL$114</f>
        <v>2351431.8160736002</v>
      </c>
      <c r="AM10" s="43">
        <f>'Alternatyva 1'!AM$89-'Alternatyva 1'!AM$114</f>
        <v>2351431.8160736002</v>
      </c>
      <c r="AN10" s="43">
        <f>'Alternatyva 1'!AN$89-'Alternatyva 1'!AN$114</f>
        <v>2351431.8160736002</v>
      </c>
      <c r="AO10" s="43">
        <f>'Alternatyva 1'!AO$89-'Alternatyva 1'!AO$114</f>
        <v>2351431.8160736002</v>
      </c>
      <c r="AP10" s="43">
        <f>'Alternatyva 1'!AP$89-'Alternatyva 1'!AP$114</f>
        <v>2351431.8160736002</v>
      </c>
      <c r="AQ10" s="43">
        <f>'Alternatyva 1'!AQ$89-'Alternatyva 1'!AQ$114</f>
        <v>2351431.8160736002</v>
      </c>
      <c r="AR10" s="43">
        <f>'Alternatyva 1'!AR$89-'Alternatyva 1'!AR$114</f>
        <v>2351431.8160736002</v>
      </c>
      <c r="AS10" s="43">
        <f>'Alternatyva 1'!AS$89-'Alternatyva 1'!AS$114</f>
        <v>2351431.8160736002</v>
      </c>
      <c r="AT10" s="43">
        <f>'Alternatyva 1'!AT$89-'Alternatyva 1'!AT$114</f>
        <v>2351431.8160736002</v>
      </c>
      <c r="AU10" s="43">
        <f>'Alternatyva 1'!AU$89-'Alternatyva 1'!AU$114</f>
        <v>2351431.8160736002</v>
      </c>
      <c r="AV10" s="43">
        <f>'Alternatyva 1'!AV$89-'Alternatyva 1'!AV$114</f>
        <v>2351431.8160736002</v>
      </c>
      <c r="AW10" s="43">
        <f>'Alternatyva 1'!AW$89-'Alternatyva 1'!AW$114</f>
        <v>2351431.8160736002</v>
      </c>
      <c r="AX10" s="43">
        <f>'Alternatyva 1'!AX$89-'Alternatyva 1'!AX$114</f>
        <v>2351431.8160736002</v>
      </c>
      <c r="AY10" s="43">
        <f>'Alternatyva 1'!AY$89-'Alternatyva 1'!AY$114</f>
        <v>2351431.8160736002</v>
      </c>
      <c r="AZ10" s="43">
        <f>'Alternatyva 1'!AZ$89-'Alternatyva 1'!AZ$114</f>
        <v>2351431.8160736002</v>
      </c>
      <c r="BA10" s="43">
        <f>'Alternatyva 1'!BA$89-'Alternatyva 1'!BA$114</f>
        <v>2351431.8160736002</v>
      </c>
      <c r="BB10" s="43">
        <f>'Alternatyva 1'!BB$89-'Alternatyva 1'!BB$114</f>
        <v>2351431.8160736002</v>
      </c>
      <c r="BC10" s="43">
        <f>'Alternatyva 1'!BC$89-'Alternatyva 1'!BC$114</f>
        <v>2351431.8160736002</v>
      </c>
      <c r="BD10" s="43">
        <f>'Alternatyva 1'!BD$89-'Alternatyva 1'!BD$114</f>
        <v>2351431.8160736002</v>
      </c>
      <c r="BE10" s="43">
        <f>'Alternatyva 1'!BE$89-'Alternatyva 1'!BE$114</f>
        <v>2351431.8160736002</v>
      </c>
      <c r="BF10" s="43">
        <f>'Alternatyva 1'!BF$89-'Alternatyva 1'!BF$114</f>
        <v>2351431.8160736002</v>
      </c>
      <c r="BG10" s="43">
        <f>'Alternatyva 1'!BG$89-'Alternatyva 1'!BG$114</f>
        <v>2351431.8160736002</v>
      </c>
      <c r="BH10" s="43">
        <f>'Alternatyva 1'!BH$89-'Alternatyva 1'!BH$114</f>
        <v>2351431.8160736002</v>
      </c>
      <c r="BI10" s="43">
        <f>'Alternatyva 1'!BI$89-'Alternatyva 1'!BI$114</f>
        <v>2351431.8160736002</v>
      </c>
      <c r="BJ10" s="43">
        <f>'Alternatyva 1'!BJ$89-'Alternatyva 1'!BJ$114</f>
        <v>2351431.8160736002</v>
      </c>
      <c r="BK10" s="43">
        <f>'Alternatyva 1'!BK$89-'Alternatyva 1'!BK$114</f>
        <v>2351431.8160736002</v>
      </c>
      <c r="BL10" s="43">
        <f>'Alternatyva 1'!BL$89-'Alternatyva 1'!BL$114</f>
        <v>2351431.8160736002</v>
      </c>
      <c r="BM10" s="43">
        <f>'Alternatyva 1'!BM$89-'Alternatyva 1'!BM$114</f>
        <v>2351431.8160736002</v>
      </c>
      <c r="BN10" s="43">
        <f>'Alternatyva 1'!BN$89-'Alternatyva 1'!BN$114</f>
        <v>2351431.8160736002</v>
      </c>
      <c r="BO10" s="43">
        <f>'Alternatyva 1'!BO$89-'Alternatyva 1'!BO$114</f>
        <v>2351431.8160736002</v>
      </c>
      <c r="BP10" s="43">
        <f>'Alternatyva 1'!BP$89-'Alternatyva 1'!BP$114</f>
        <v>2351431.8160736002</v>
      </c>
      <c r="BQ10" s="43">
        <f>'Alternatyva 1'!BQ$89-'Alternatyva 1'!BQ$114</f>
        <v>2351431.8160736002</v>
      </c>
      <c r="BR10" s="43">
        <f>'Alternatyva 1'!BR$89-'Alternatyva 1'!BR$114</f>
        <v>2351431.8160736002</v>
      </c>
      <c r="BS10" s="43">
        <f>'Alternatyva 1'!BS$89-'Alternatyva 1'!BS$114</f>
        <v>2351431.8160736002</v>
      </c>
      <c r="BT10" s="43">
        <f>'Alternatyva 1'!BT$89-'Alternatyva 1'!BT$114</f>
        <v>2351431.8160736002</v>
      </c>
      <c r="BU10" s="43">
        <f>'Alternatyva 1'!BU$89-'Alternatyva 1'!BU$114</f>
        <v>2351431.8160736002</v>
      </c>
      <c r="BV10" s="43">
        <f>'Alternatyva 1'!BV$89-'Alternatyva 1'!BV$114</f>
        <v>2351431.8160736002</v>
      </c>
      <c r="BW10" s="43">
        <f>'Alternatyva 1'!BW$89-'Alternatyva 1'!BW$114</f>
        <v>2351431.8160736002</v>
      </c>
      <c r="BX10" s="43">
        <f>'Alternatyva 1'!BX$89-'Alternatyva 1'!BX$114</f>
        <v>2351431.8160736002</v>
      </c>
      <c r="BY10" s="43">
        <f>'Alternatyva 1'!BY$89-'Alternatyva 1'!BY$114</f>
        <v>2351431.8160736002</v>
      </c>
      <c r="BZ10" s="43">
        <f>'Alternatyva 1'!BZ$89-'Alternatyva 1'!BZ$114</f>
        <v>2351431.8160736002</v>
      </c>
      <c r="CA10" s="43">
        <f>'Alternatyva 1'!CA$89-'Alternatyva 1'!CA$114</f>
        <v>2351431.8160736002</v>
      </c>
      <c r="CB10" s="43">
        <f>'Alternatyva 1'!CB$89-'Alternatyva 1'!CB$114</f>
        <v>2351431.8160736002</v>
      </c>
      <c r="CC10" s="43">
        <f>'Alternatyva 1'!CC$89-'Alternatyva 1'!CC$114</f>
        <v>2351431.8160736002</v>
      </c>
      <c r="CD10" s="43">
        <f>'Alternatyva 1'!CD$89-'Alternatyva 1'!CD$114</f>
        <v>2351431.8160736002</v>
      </c>
      <c r="CE10" s="43">
        <f>'Alternatyva 1'!CE$89-'Alternatyva 1'!CE$114</f>
        <v>2351431.8160736002</v>
      </c>
      <c r="CF10" s="43">
        <f>'Alternatyva 1'!CF$89-'Alternatyva 1'!CF$114</f>
        <v>2351431.8160736002</v>
      </c>
      <c r="CG10" s="43">
        <f>'Alternatyva 1'!CG$89-'Alternatyva 1'!CG$114</f>
        <v>2351431.8160736002</v>
      </c>
      <c r="CH10" s="43">
        <f>'Alternatyva 1'!CH$89-'Alternatyva 1'!CH$114</f>
        <v>2351431.8160736002</v>
      </c>
      <c r="CI10" s="43">
        <f>'Alternatyva 1'!CI$89-'Alternatyva 1'!CI$114</f>
        <v>2351431.8160736002</v>
      </c>
      <c r="CJ10" s="43">
        <f>'Alternatyva 1'!CJ$89-'Alternatyva 1'!CJ$114</f>
        <v>2351431.8160736002</v>
      </c>
      <c r="CK10" s="43">
        <f>'Alternatyva 1'!CK$89-'Alternatyva 1'!CK$114</f>
        <v>2351431.8160736002</v>
      </c>
      <c r="CL10" s="43">
        <f>'Alternatyva 1'!CL$89-'Alternatyva 1'!CL$114</f>
        <v>2351431.8160736002</v>
      </c>
      <c r="CM10" s="43">
        <f>'Alternatyva 1'!CM$89-'Alternatyva 1'!CM$114</f>
        <v>2351431.8160736002</v>
      </c>
      <c r="CN10" s="43">
        <f>'Alternatyva 1'!CN$89-'Alternatyva 1'!CN$114</f>
        <v>2351431.8160736002</v>
      </c>
      <c r="CO10" s="43">
        <f>'Alternatyva 1'!CO$89-'Alternatyva 1'!CO$114</f>
        <v>2351431.8160736002</v>
      </c>
      <c r="CP10" s="43">
        <f>'Alternatyva 1'!CP$89-'Alternatyva 1'!CP$114</f>
        <v>2351431.8160736002</v>
      </c>
      <c r="CQ10" s="43">
        <f>'Alternatyva 1'!CQ$89-'Alternatyva 1'!CQ$114</f>
        <v>2351431.8160736002</v>
      </c>
      <c r="CR10" s="43">
        <f>'Alternatyva 1'!CR$89-'Alternatyva 1'!CR$114</f>
        <v>2351431.8160736002</v>
      </c>
      <c r="CS10" s="43">
        <f>'Alternatyva 1'!CS$89-'Alternatyva 1'!CS$114</f>
        <v>2351431.8160736002</v>
      </c>
      <c r="CT10" s="43">
        <f>'Alternatyva 1'!CT$89-'Alternatyva 1'!CT$114</f>
        <v>2351431.8160736002</v>
      </c>
      <c r="CU10" s="43">
        <f>'Alternatyva 1'!CU$89-'Alternatyva 1'!CU$114</f>
        <v>2351431.8160736002</v>
      </c>
      <c r="CV10" s="43">
        <f>'Alternatyva 1'!CV$89-'Alternatyva 1'!CV$114</f>
        <v>2351431.8160736002</v>
      </c>
      <c r="CW10" s="43">
        <f>'Alternatyva 1'!CW$89-'Alternatyva 1'!CW$114</f>
        <v>2351431.8160736002</v>
      </c>
      <c r="CX10" s="43">
        <f>'Alternatyva 1'!CX$89-'Alternatyva 1'!CX$114</f>
        <v>2351431.8160736002</v>
      </c>
      <c r="CY10" s="43">
        <f>'Alternatyva 1'!CY$89-'Alternatyva 1'!CY$114</f>
        <v>2351431.8160736002</v>
      </c>
      <c r="CZ10" s="43">
        <f>'Alternatyva 1'!CZ$89-'Alternatyva 1'!CZ$114</f>
        <v>2351431.8160736002</v>
      </c>
      <c r="DA10" s="43">
        <f>'Alternatyva 1'!DA$89-'Alternatyva 1'!DA$114</f>
        <v>2351431.8160736002</v>
      </c>
      <c r="DB10" s="43">
        <f>'Alternatyva 1'!DB$89-'Alternatyva 1'!DB$114</f>
        <v>2351431.8160736002</v>
      </c>
      <c r="DC10" s="43">
        <f>'Alternatyva 1'!DC$89-'Alternatyva 1'!DC$114</f>
        <v>2351431.8160736002</v>
      </c>
    </row>
    <row r="11" spans="2:107" ht="15" customHeight="1">
      <c r="B11" s="5" t="s">
        <v>194</v>
      </c>
      <c r="C11" s="777" t="s">
        <v>16</v>
      </c>
      <c r="D11" s="778"/>
      <c r="E11" s="779"/>
      <c r="F11" s="49">
        <f>H11+NPV(FD,I11:INDEX(I11:DC11,PAL))</f>
        <v>0</v>
      </c>
      <c r="G11" s="43">
        <f>SUMIF($H$6:$DC$6,"&lt;="&amp;PAL,$H11:$DC11)</f>
        <v>0</v>
      </c>
      <c r="H11" s="43">
        <f>SUM('Alternatyva 1'!H$21,'Alternatyva 1'!H$32,'Alternatyva 1'!H$43,'Alternatyva 1'!H$55,'Alternatyva 1'!H$66,'Alternatyva 1'!H$77,'Alternatyva 1'!H$88)</f>
        <v>0</v>
      </c>
      <c r="I11" s="43">
        <f>SUM('Alternatyva 1'!I$21,'Alternatyva 1'!I$32,'Alternatyva 1'!I$43,'Alternatyva 1'!I$55,'Alternatyva 1'!I$66,'Alternatyva 1'!I$77,'Alternatyva 1'!I$88)</f>
        <v>0</v>
      </c>
      <c r="J11" s="43">
        <f>SUM('Alternatyva 1'!J$21,'Alternatyva 1'!J$32,'Alternatyva 1'!J$43,'Alternatyva 1'!J$55,'Alternatyva 1'!J$66,'Alternatyva 1'!J$77,'Alternatyva 1'!J$88)</f>
        <v>0</v>
      </c>
      <c r="K11" s="43">
        <f>SUM('Alternatyva 1'!K$21,'Alternatyva 1'!K$32,'Alternatyva 1'!K$43,'Alternatyva 1'!K$55,'Alternatyva 1'!K$66,'Alternatyva 1'!K$77,'Alternatyva 1'!K$88)</f>
        <v>0</v>
      </c>
      <c r="L11" s="43">
        <f>SUM('Alternatyva 1'!L$21,'Alternatyva 1'!L$32,'Alternatyva 1'!L$43,'Alternatyva 1'!L$55,'Alternatyva 1'!L$66,'Alternatyva 1'!L$77,'Alternatyva 1'!L$88)</f>
        <v>0</v>
      </c>
      <c r="M11" s="43">
        <f>SUM('Alternatyva 1'!M$21,'Alternatyva 1'!M$32,'Alternatyva 1'!M$43,'Alternatyva 1'!M$55,'Alternatyva 1'!M$66,'Alternatyva 1'!M$77,'Alternatyva 1'!M$88)</f>
        <v>0</v>
      </c>
      <c r="N11" s="43">
        <f>SUM('Alternatyva 1'!N$21,'Alternatyva 1'!N$32,'Alternatyva 1'!N$43,'Alternatyva 1'!N$55,'Alternatyva 1'!N$66,'Alternatyva 1'!N$77,'Alternatyva 1'!N$88)</f>
        <v>0</v>
      </c>
      <c r="O11" s="43">
        <f>SUM('Alternatyva 1'!O$21,'Alternatyva 1'!O$32,'Alternatyva 1'!O$43,'Alternatyva 1'!O$55,'Alternatyva 1'!O$66,'Alternatyva 1'!O$77,'Alternatyva 1'!O$88)</f>
        <v>0</v>
      </c>
      <c r="P11" s="43">
        <f>SUM('Alternatyva 1'!P$21,'Alternatyva 1'!P$32,'Alternatyva 1'!P$43,'Alternatyva 1'!P$55,'Alternatyva 1'!P$66,'Alternatyva 1'!P$77,'Alternatyva 1'!P$88)</f>
        <v>0</v>
      </c>
      <c r="Q11" s="43">
        <f>SUM('Alternatyva 1'!Q$21,'Alternatyva 1'!Q$32,'Alternatyva 1'!Q$43,'Alternatyva 1'!Q$55,'Alternatyva 1'!Q$66,'Alternatyva 1'!Q$77,'Alternatyva 1'!Q$88)</f>
        <v>0</v>
      </c>
      <c r="R11" s="43">
        <f>SUM('Alternatyva 1'!R$21,'Alternatyva 1'!R$32,'Alternatyva 1'!R$43,'Alternatyva 1'!R$55,'Alternatyva 1'!R$66,'Alternatyva 1'!R$77,'Alternatyva 1'!R$88)</f>
        <v>0</v>
      </c>
      <c r="S11" s="43">
        <f>SUM('Alternatyva 1'!S$21,'Alternatyva 1'!S$32,'Alternatyva 1'!S$43,'Alternatyva 1'!S$55,'Alternatyva 1'!S$66,'Alternatyva 1'!S$77,'Alternatyva 1'!S$88)</f>
        <v>0</v>
      </c>
      <c r="T11" s="43">
        <f>SUM('Alternatyva 1'!T$21,'Alternatyva 1'!T$32,'Alternatyva 1'!T$43,'Alternatyva 1'!T$55,'Alternatyva 1'!T$66,'Alternatyva 1'!T$77,'Alternatyva 1'!T$88)</f>
        <v>0</v>
      </c>
      <c r="U11" s="43">
        <f>SUM('Alternatyva 1'!U$21,'Alternatyva 1'!U$32,'Alternatyva 1'!U$43,'Alternatyva 1'!U$55,'Alternatyva 1'!U$66,'Alternatyva 1'!U$77,'Alternatyva 1'!U$88)</f>
        <v>0</v>
      </c>
      <c r="V11" s="43">
        <f>SUM('Alternatyva 1'!V$21,'Alternatyva 1'!V$32,'Alternatyva 1'!V$43,'Alternatyva 1'!V$55,'Alternatyva 1'!V$66,'Alternatyva 1'!V$77,'Alternatyva 1'!V$88)</f>
        <v>0</v>
      </c>
      <c r="W11" s="43">
        <f>SUM('Alternatyva 1'!W$21,'Alternatyva 1'!W$32,'Alternatyva 1'!W$43,'Alternatyva 1'!W$55,'Alternatyva 1'!W$66,'Alternatyva 1'!W$77,'Alternatyva 1'!W$88)</f>
        <v>0</v>
      </c>
      <c r="X11" s="43">
        <f>SUM('Alternatyva 1'!X$21,'Alternatyva 1'!X$32,'Alternatyva 1'!X$43,'Alternatyva 1'!X$55,'Alternatyva 1'!X$66,'Alternatyva 1'!X$77,'Alternatyva 1'!X$88)</f>
        <v>0</v>
      </c>
      <c r="Y11" s="43">
        <f>SUM('Alternatyva 1'!Y$21,'Alternatyva 1'!Y$32,'Alternatyva 1'!Y$43,'Alternatyva 1'!Y$55,'Alternatyva 1'!Y$66,'Alternatyva 1'!Y$77,'Alternatyva 1'!Y$88)</f>
        <v>0</v>
      </c>
      <c r="Z11" s="43">
        <f>SUM('Alternatyva 1'!Z$21,'Alternatyva 1'!Z$32,'Alternatyva 1'!Z$43,'Alternatyva 1'!Z$55,'Alternatyva 1'!Z$66,'Alternatyva 1'!Z$77,'Alternatyva 1'!Z$88)</f>
        <v>0</v>
      </c>
      <c r="AA11" s="43">
        <f>SUM('Alternatyva 1'!AA$21,'Alternatyva 1'!AA$32,'Alternatyva 1'!AA$43,'Alternatyva 1'!AA$55,'Alternatyva 1'!AA$66,'Alternatyva 1'!AA$77,'Alternatyva 1'!AA$88)</f>
        <v>0</v>
      </c>
      <c r="AB11" s="43">
        <f>SUM('Alternatyva 1'!AB$21,'Alternatyva 1'!AB$32,'Alternatyva 1'!AB$43,'Alternatyva 1'!AB$55,'Alternatyva 1'!AB$66,'Alternatyva 1'!AB$77,'Alternatyva 1'!AB$88)</f>
        <v>0</v>
      </c>
      <c r="AC11" s="43">
        <f>SUM('Alternatyva 1'!AC$21,'Alternatyva 1'!AC$32,'Alternatyva 1'!AC$43,'Alternatyva 1'!AC$55,'Alternatyva 1'!AC$66,'Alternatyva 1'!AC$77,'Alternatyva 1'!AC$88)</f>
        <v>0</v>
      </c>
      <c r="AD11" s="43">
        <f>SUM('Alternatyva 1'!AD$21,'Alternatyva 1'!AD$32,'Alternatyva 1'!AD$43,'Alternatyva 1'!AD$55,'Alternatyva 1'!AD$66,'Alternatyva 1'!AD$77,'Alternatyva 1'!AD$88)</f>
        <v>0</v>
      </c>
      <c r="AE11" s="43">
        <f>SUM('Alternatyva 1'!AE$21,'Alternatyva 1'!AE$32,'Alternatyva 1'!AE$43,'Alternatyva 1'!AE$55,'Alternatyva 1'!AE$66,'Alternatyva 1'!AE$77,'Alternatyva 1'!AE$88)</f>
        <v>0</v>
      </c>
      <c r="AF11" s="43">
        <f>SUM('Alternatyva 1'!AF$21,'Alternatyva 1'!AF$32,'Alternatyva 1'!AF$43,'Alternatyva 1'!AF$55,'Alternatyva 1'!AF$66,'Alternatyva 1'!AF$77,'Alternatyva 1'!AF$88)</f>
        <v>0</v>
      </c>
      <c r="AG11" s="43">
        <f>SUM('Alternatyva 1'!AG$21,'Alternatyva 1'!AG$32,'Alternatyva 1'!AG$43,'Alternatyva 1'!AG$55,'Alternatyva 1'!AG$66,'Alternatyva 1'!AG$77,'Alternatyva 1'!AG$88)</f>
        <v>0</v>
      </c>
      <c r="AH11" s="43">
        <f>SUM('Alternatyva 1'!AH$21,'Alternatyva 1'!AH$32,'Alternatyva 1'!AH$43,'Alternatyva 1'!AH$55,'Alternatyva 1'!AH$66,'Alternatyva 1'!AH$77,'Alternatyva 1'!AH$88)</f>
        <v>0</v>
      </c>
      <c r="AI11" s="43">
        <f>SUM('Alternatyva 1'!AI$21,'Alternatyva 1'!AI$32,'Alternatyva 1'!AI$43,'Alternatyva 1'!AI$55,'Alternatyva 1'!AI$66,'Alternatyva 1'!AI$77,'Alternatyva 1'!AI$88)</f>
        <v>0</v>
      </c>
      <c r="AJ11" s="43">
        <f>SUM('Alternatyva 1'!AJ$21,'Alternatyva 1'!AJ$32,'Alternatyva 1'!AJ$43,'Alternatyva 1'!AJ$55,'Alternatyva 1'!AJ$66,'Alternatyva 1'!AJ$77,'Alternatyva 1'!AJ$88)</f>
        <v>0</v>
      </c>
      <c r="AK11" s="43">
        <f>SUM('Alternatyva 1'!AK$21,'Alternatyva 1'!AK$32,'Alternatyva 1'!AK$43,'Alternatyva 1'!AK$55,'Alternatyva 1'!AK$66,'Alternatyva 1'!AK$77,'Alternatyva 1'!AK$88)</f>
        <v>0</v>
      </c>
      <c r="AL11" s="43">
        <f>SUM('Alternatyva 1'!AL$21,'Alternatyva 1'!AL$32,'Alternatyva 1'!AL$43,'Alternatyva 1'!AL$55,'Alternatyva 1'!AL$66,'Alternatyva 1'!AL$77,'Alternatyva 1'!AL$88)</f>
        <v>0</v>
      </c>
      <c r="AM11" s="43">
        <f>SUM('Alternatyva 1'!AM$21,'Alternatyva 1'!AM$32,'Alternatyva 1'!AM$43,'Alternatyva 1'!AM$55,'Alternatyva 1'!AM$66,'Alternatyva 1'!AM$77,'Alternatyva 1'!AM$88)</f>
        <v>0</v>
      </c>
      <c r="AN11" s="43">
        <f>SUM('Alternatyva 1'!AN$21,'Alternatyva 1'!AN$32,'Alternatyva 1'!AN$43,'Alternatyva 1'!AN$55,'Alternatyva 1'!AN$66,'Alternatyva 1'!AN$77,'Alternatyva 1'!AN$88)</f>
        <v>0</v>
      </c>
      <c r="AO11" s="43">
        <f>SUM('Alternatyva 1'!AO$21,'Alternatyva 1'!AO$32,'Alternatyva 1'!AO$43,'Alternatyva 1'!AO$55,'Alternatyva 1'!AO$66,'Alternatyva 1'!AO$77,'Alternatyva 1'!AO$88)</f>
        <v>0</v>
      </c>
      <c r="AP11" s="43">
        <f>SUM('Alternatyva 1'!AP$21,'Alternatyva 1'!AP$32,'Alternatyva 1'!AP$43,'Alternatyva 1'!AP$55,'Alternatyva 1'!AP$66,'Alternatyva 1'!AP$77,'Alternatyva 1'!AP$88)</f>
        <v>0</v>
      </c>
      <c r="AQ11" s="43">
        <f>SUM('Alternatyva 1'!AQ$21,'Alternatyva 1'!AQ$32,'Alternatyva 1'!AQ$43,'Alternatyva 1'!AQ$55,'Alternatyva 1'!AQ$66,'Alternatyva 1'!AQ$77,'Alternatyva 1'!AQ$88)</f>
        <v>0</v>
      </c>
      <c r="AR11" s="43">
        <f>SUM('Alternatyva 1'!AR$21,'Alternatyva 1'!AR$32,'Alternatyva 1'!AR$43,'Alternatyva 1'!AR$55,'Alternatyva 1'!AR$66,'Alternatyva 1'!AR$77,'Alternatyva 1'!AR$88)</f>
        <v>0</v>
      </c>
      <c r="AS11" s="43">
        <f>SUM('Alternatyva 1'!AS$21,'Alternatyva 1'!AS$32,'Alternatyva 1'!AS$43,'Alternatyva 1'!AS$55,'Alternatyva 1'!AS$66,'Alternatyva 1'!AS$77,'Alternatyva 1'!AS$88)</f>
        <v>0</v>
      </c>
      <c r="AT11" s="43">
        <f>SUM('Alternatyva 1'!AT$21,'Alternatyva 1'!AT$32,'Alternatyva 1'!AT$43,'Alternatyva 1'!AT$55,'Alternatyva 1'!AT$66,'Alternatyva 1'!AT$77,'Alternatyva 1'!AT$88)</f>
        <v>0</v>
      </c>
      <c r="AU11" s="43">
        <f>SUM('Alternatyva 1'!AU$21,'Alternatyva 1'!AU$32,'Alternatyva 1'!AU$43,'Alternatyva 1'!AU$55,'Alternatyva 1'!AU$66,'Alternatyva 1'!AU$77,'Alternatyva 1'!AU$88)</f>
        <v>0</v>
      </c>
      <c r="AV11" s="43">
        <f>SUM('Alternatyva 1'!AV$21,'Alternatyva 1'!AV$32,'Alternatyva 1'!AV$43,'Alternatyva 1'!AV$55,'Alternatyva 1'!AV$66,'Alternatyva 1'!AV$77,'Alternatyva 1'!AV$88)</f>
        <v>0</v>
      </c>
      <c r="AW11" s="43">
        <f>SUM('Alternatyva 1'!AW$21,'Alternatyva 1'!AW$32,'Alternatyva 1'!AW$43,'Alternatyva 1'!AW$55,'Alternatyva 1'!AW$66,'Alternatyva 1'!AW$77,'Alternatyva 1'!AW$88)</f>
        <v>0</v>
      </c>
      <c r="AX11" s="43">
        <f>SUM('Alternatyva 1'!AX$21,'Alternatyva 1'!AX$32,'Alternatyva 1'!AX$43,'Alternatyva 1'!AX$55,'Alternatyva 1'!AX$66,'Alternatyva 1'!AX$77,'Alternatyva 1'!AX$88)</f>
        <v>0</v>
      </c>
      <c r="AY11" s="43">
        <f>SUM('Alternatyva 1'!AY$21,'Alternatyva 1'!AY$32,'Alternatyva 1'!AY$43,'Alternatyva 1'!AY$55,'Alternatyva 1'!AY$66,'Alternatyva 1'!AY$77,'Alternatyva 1'!AY$88)</f>
        <v>0</v>
      </c>
      <c r="AZ11" s="43">
        <f>SUM('Alternatyva 1'!AZ$21,'Alternatyva 1'!AZ$32,'Alternatyva 1'!AZ$43,'Alternatyva 1'!AZ$55,'Alternatyva 1'!AZ$66,'Alternatyva 1'!AZ$77,'Alternatyva 1'!AZ$88)</f>
        <v>0</v>
      </c>
      <c r="BA11" s="43">
        <f>SUM('Alternatyva 1'!BA$21,'Alternatyva 1'!BA$32,'Alternatyva 1'!BA$43,'Alternatyva 1'!BA$55,'Alternatyva 1'!BA$66,'Alternatyva 1'!BA$77,'Alternatyva 1'!BA$88)</f>
        <v>0</v>
      </c>
      <c r="BB11" s="43">
        <f>SUM('Alternatyva 1'!BB$21,'Alternatyva 1'!BB$32,'Alternatyva 1'!BB$43,'Alternatyva 1'!BB$55,'Alternatyva 1'!BB$66,'Alternatyva 1'!BB$77,'Alternatyva 1'!BB$88)</f>
        <v>0</v>
      </c>
      <c r="BC11" s="43">
        <f>SUM('Alternatyva 1'!BC$21,'Alternatyva 1'!BC$32,'Alternatyva 1'!BC$43,'Alternatyva 1'!BC$55,'Alternatyva 1'!BC$66,'Alternatyva 1'!BC$77,'Alternatyva 1'!BC$88)</f>
        <v>0</v>
      </c>
      <c r="BD11" s="43">
        <f>SUM('Alternatyva 1'!BD$21,'Alternatyva 1'!BD$32,'Alternatyva 1'!BD$43,'Alternatyva 1'!BD$55,'Alternatyva 1'!BD$66,'Alternatyva 1'!BD$77,'Alternatyva 1'!BD$88)</f>
        <v>0</v>
      </c>
      <c r="BE11" s="43">
        <f>SUM('Alternatyva 1'!BE$21,'Alternatyva 1'!BE$32,'Alternatyva 1'!BE$43,'Alternatyva 1'!BE$55,'Alternatyva 1'!BE$66,'Alternatyva 1'!BE$77,'Alternatyva 1'!BE$88)</f>
        <v>0</v>
      </c>
      <c r="BF11" s="43">
        <f>SUM('Alternatyva 1'!BF$21,'Alternatyva 1'!BF$32,'Alternatyva 1'!BF$43,'Alternatyva 1'!BF$55,'Alternatyva 1'!BF$66,'Alternatyva 1'!BF$77,'Alternatyva 1'!BF$88)</f>
        <v>0</v>
      </c>
      <c r="BG11" s="43">
        <f>SUM('Alternatyva 1'!BG$21,'Alternatyva 1'!BG$32,'Alternatyva 1'!BG$43,'Alternatyva 1'!BG$55,'Alternatyva 1'!BG$66,'Alternatyva 1'!BG$77,'Alternatyva 1'!BG$88)</f>
        <v>0</v>
      </c>
      <c r="BH11" s="43">
        <f>SUM('Alternatyva 1'!BH$21,'Alternatyva 1'!BH$32,'Alternatyva 1'!BH$43,'Alternatyva 1'!BH$55,'Alternatyva 1'!BH$66,'Alternatyva 1'!BH$77,'Alternatyva 1'!BH$88)</f>
        <v>0</v>
      </c>
      <c r="BI11" s="43">
        <f>SUM('Alternatyva 1'!BI$21,'Alternatyva 1'!BI$32,'Alternatyva 1'!BI$43,'Alternatyva 1'!BI$55,'Alternatyva 1'!BI$66,'Alternatyva 1'!BI$77,'Alternatyva 1'!BI$88)</f>
        <v>0</v>
      </c>
      <c r="BJ11" s="43">
        <f>SUM('Alternatyva 1'!BJ$21,'Alternatyva 1'!BJ$32,'Alternatyva 1'!BJ$43,'Alternatyva 1'!BJ$55,'Alternatyva 1'!BJ$66,'Alternatyva 1'!BJ$77,'Alternatyva 1'!BJ$88)</f>
        <v>0</v>
      </c>
      <c r="BK11" s="43">
        <f>SUM('Alternatyva 1'!BK$21,'Alternatyva 1'!BK$32,'Alternatyva 1'!BK$43,'Alternatyva 1'!BK$55,'Alternatyva 1'!BK$66,'Alternatyva 1'!BK$77,'Alternatyva 1'!BK$88)</f>
        <v>0</v>
      </c>
      <c r="BL11" s="43">
        <f>SUM('Alternatyva 1'!BL$21,'Alternatyva 1'!BL$32,'Alternatyva 1'!BL$43,'Alternatyva 1'!BL$55,'Alternatyva 1'!BL$66,'Alternatyva 1'!BL$77,'Alternatyva 1'!BL$88)</f>
        <v>0</v>
      </c>
      <c r="BM11" s="43">
        <f>SUM('Alternatyva 1'!BM$21,'Alternatyva 1'!BM$32,'Alternatyva 1'!BM$43,'Alternatyva 1'!BM$55,'Alternatyva 1'!BM$66,'Alternatyva 1'!BM$77,'Alternatyva 1'!BM$88)</f>
        <v>0</v>
      </c>
      <c r="BN11" s="43">
        <f>SUM('Alternatyva 1'!BN$21,'Alternatyva 1'!BN$32,'Alternatyva 1'!BN$43,'Alternatyva 1'!BN$55,'Alternatyva 1'!BN$66,'Alternatyva 1'!BN$77,'Alternatyva 1'!BN$88)</f>
        <v>0</v>
      </c>
      <c r="BO11" s="43">
        <f>SUM('Alternatyva 1'!BO$21,'Alternatyva 1'!BO$32,'Alternatyva 1'!BO$43,'Alternatyva 1'!BO$55,'Alternatyva 1'!BO$66,'Alternatyva 1'!BO$77,'Alternatyva 1'!BO$88)</f>
        <v>0</v>
      </c>
      <c r="BP11" s="43">
        <f>SUM('Alternatyva 1'!BP$21,'Alternatyva 1'!BP$32,'Alternatyva 1'!BP$43,'Alternatyva 1'!BP$55,'Alternatyva 1'!BP$66,'Alternatyva 1'!BP$77,'Alternatyva 1'!BP$88)</f>
        <v>0</v>
      </c>
      <c r="BQ11" s="43">
        <f>SUM('Alternatyva 1'!BQ$21,'Alternatyva 1'!BQ$32,'Alternatyva 1'!BQ$43,'Alternatyva 1'!BQ$55,'Alternatyva 1'!BQ$66,'Alternatyva 1'!BQ$77,'Alternatyva 1'!BQ$88)</f>
        <v>0</v>
      </c>
      <c r="BR11" s="43">
        <f>SUM('Alternatyva 1'!BR$21,'Alternatyva 1'!BR$32,'Alternatyva 1'!BR$43,'Alternatyva 1'!BR$55,'Alternatyva 1'!BR$66,'Alternatyva 1'!BR$77,'Alternatyva 1'!BR$88)</f>
        <v>0</v>
      </c>
      <c r="BS11" s="43">
        <f>SUM('Alternatyva 1'!BS$21,'Alternatyva 1'!BS$32,'Alternatyva 1'!BS$43,'Alternatyva 1'!BS$55,'Alternatyva 1'!BS$66,'Alternatyva 1'!BS$77,'Alternatyva 1'!BS$88)</f>
        <v>0</v>
      </c>
      <c r="BT11" s="43">
        <f>SUM('Alternatyva 1'!BT$21,'Alternatyva 1'!BT$32,'Alternatyva 1'!BT$43,'Alternatyva 1'!BT$55,'Alternatyva 1'!BT$66,'Alternatyva 1'!BT$77,'Alternatyva 1'!BT$88)</f>
        <v>0</v>
      </c>
      <c r="BU11" s="43">
        <f>SUM('Alternatyva 1'!BU$21,'Alternatyva 1'!BU$32,'Alternatyva 1'!BU$43,'Alternatyva 1'!BU$55,'Alternatyva 1'!BU$66,'Alternatyva 1'!BU$77,'Alternatyva 1'!BU$88)</f>
        <v>0</v>
      </c>
      <c r="BV11" s="43">
        <f>SUM('Alternatyva 1'!BV$21,'Alternatyva 1'!BV$32,'Alternatyva 1'!BV$43,'Alternatyva 1'!BV$55,'Alternatyva 1'!BV$66,'Alternatyva 1'!BV$77,'Alternatyva 1'!BV$88)</f>
        <v>0</v>
      </c>
      <c r="BW11" s="43">
        <f>SUM('Alternatyva 1'!BW$21,'Alternatyva 1'!BW$32,'Alternatyva 1'!BW$43,'Alternatyva 1'!BW$55,'Alternatyva 1'!BW$66,'Alternatyva 1'!BW$77,'Alternatyva 1'!BW$88)</f>
        <v>0</v>
      </c>
      <c r="BX11" s="43">
        <f>SUM('Alternatyva 1'!BX$21,'Alternatyva 1'!BX$32,'Alternatyva 1'!BX$43,'Alternatyva 1'!BX$55,'Alternatyva 1'!BX$66,'Alternatyva 1'!BX$77,'Alternatyva 1'!BX$88)</f>
        <v>0</v>
      </c>
      <c r="BY11" s="43">
        <f>SUM('Alternatyva 1'!BY$21,'Alternatyva 1'!BY$32,'Alternatyva 1'!BY$43,'Alternatyva 1'!BY$55,'Alternatyva 1'!BY$66,'Alternatyva 1'!BY$77,'Alternatyva 1'!BY$88)</f>
        <v>0</v>
      </c>
      <c r="BZ11" s="43">
        <f>SUM('Alternatyva 1'!BZ$21,'Alternatyva 1'!BZ$32,'Alternatyva 1'!BZ$43,'Alternatyva 1'!BZ$55,'Alternatyva 1'!BZ$66,'Alternatyva 1'!BZ$77,'Alternatyva 1'!BZ$88)</f>
        <v>0</v>
      </c>
      <c r="CA11" s="43">
        <f>SUM('Alternatyva 1'!CA$21,'Alternatyva 1'!CA$32,'Alternatyva 1'!CA$43,'Alternatyva 1'!CA$55,'Alternatyva 1'!CA$66,'Alternatyva 1'!CA$77,'Alternatyva 1'!CA$88)</f>
        <v>0</v>
      </c>
      <c r="CB11" s="43">
        <f>SUM('Alternatyva 1'!CB$21,'Alternatyva 1'!CB$32,'Alternatyva 1'!CB$43,'Alternatyva 1'!CB$55,'Alternatyva 1'!CB$66,'Alternatyva 1'!CB$77,'Alternatyva 1'!CB$88)</f>
        <v>0</v>
      </c>
      <c r="CC11" s="43">
        <f>SUM('Alternatyva 1'!CC$21,'Alternatyva 1'!CC$32,'Alternatyva 1'!CC$43,'Alternatyva 1'!CC$55,'Alternatyva 1'!CC$66,'Alternatyva 1'!CC$77,'Alternatyva 1'!CC$88)</f>
        <v>0</v>
      </c>
      <c r="CD11" s="43">
        <f>SUM('Alternatyva 1'!CD$21,'Alternatyva 1'!CD$32,'Alternatyva 1'!CD$43,'Alternatyva 1'!CD$55,'Alternatyva 1'!CD$66,'Alternatyva 1'!CD$77,'Alternatyva 1'!CD$88)</f>
        <v>0</v>
      </c>
      <c r="CE11" s="43">
        <f>SUM('Alternatyva 1'!CE$21,'Alternatyva 1'!CE$32,'Alternatyva 1'!CE$43,'Alternatyva 1'!CE$55,'Alternatyva 1'!CE$66,'Alternatyva 1'!CE$77,'Alternatyva 1'!CE$88)</f>
        <v>0</v>
      </c>
      <c r="CF11" s="43">
        <f>SUM('Alternatyva 1'!CF$21,'Alternatyva 1'!CF$32,'Alternatyva 1'!CF$43,'Alternatyva 1'!CF$55,'Alternatyva 1'!CF$66,'Alternatyva 1'!CF$77,'Alternatyva 1'!CF$88)</f>
        <v>0</v>
      </c>
      <c r="CG11" s="43">
        <f>SUM('Alternatyva 1'!CG$21,'Alternatyva 1'!CG$32,'Alternatyva 1'!CG$43,'Alternatyva 1'!CG$55,'Alternatyva 1'!CG$66,'Alternatyva 1'!CG$77,'Alternatyva 1'!CG$88)</f>
        <v>0</v>
      </c>
      <c r="CH11" s="43">
        <f>SUM('Alternatyva 1'!CH$21,'Alternatyva 1'!CH$32,'Alternatyva 1'!CH$43,'Alternatyva 1'!CH$55,'Alternatyva 1'!CH$66,'Alternatyva 1'!CH$77,'Alternatyva 1'!CH$88)</f>
        <v>0</v>
      </c>
      <c r="CI11" s="43">
        <f>SUM('Alternatyva 1'!CI$21,'Alternatyva 1'!CI$32,'Alternatyva 1'!CI$43,'Alternatyva 1'!CI$55,'Alternatyva 1'!CI$66,'Alternatyva 1'!CI$77,'Alternatyva 1'!CI$88)</f>
        <v>0</v>
      </c>
      <c r="CJ11" s="43">
        <f>SUM('Alternatyva 1'!CJ$21,'Alternatyva 1'!CJ$32,'Alternatyva 1'!CJ$43,'Alternatyva 1'!CJ$55,'Alternatyva 1'!CJ$66,'Alternatyva 1'!CJ$77,'Alternatyva 1'!CJ$88)</f>
        <v>0</v>
      </c>
      <c r="CK11" s="43">
        <f>SUM('Alternatyva 1'!CK$21,'Alternatyva 1'!CK$32,'Alternatyva 1'!CK$43,'Alternatyva 1'!CK$55,'Alternatyva 1'!CK$66,'Alternatyva 1'!CK$77,'Alternatyva 1'!CK$88)</f>
        <v>0</v>
      </c>
      <c r="CL11" s="43">
        <f>SUM('Alternatyva 1'!CL$21,'Alternatyva 1'!CL$32,'Alternatyva 1'!CL$43,'Alternatyva 1'!CL$55,'Alternatyva 1'!CL$66,'Alternatyva 1'!CL$77,'Alternatyva 1'!CL$88)</f>
        <v>0</v>
      </c>
      <c r="CM11" s="43">
        <f>SUM('Alternatyva 1'!CM$21,'Alternatyva 1'!CM$32,'Alternatyva 1'!CM$43,'Alternatyva 1'!CM$55,'Alternatyva 1'!CM$66,'Alternatyva 1'!CM$77,'Alternatyva 1'!CM$88)</f>
        <v>0</v>
      </c>
      <c r="CN11" s="43">
        <f>SUM('Alternatyva 1'!CN$21,'Alternatyva 1'!CN$32,'Alternatyva 1'!CN$43,'Alternatyva 1'!CN$55,'Alternatyva 1'!CN$66,'Alternatyva 1'!CN$77,'Alternatyva 1'!CN$88)</f>
        <v>0</v>
      </c>
      <c r="CO11" s="43">
        <f>SUM('Alternatyva 1'!CO$21,'Alternatyva 1'!CO$32,'Alternatyva 1'!CO$43,'Alternatyva 1'!CO$55,'Alternatyva 1'!CO$66,'Alternatyva 1'!CO$77,'Alternatyva 1'!CO$88)</f>
        <v>0</v>
      </c>
      <c r="CP11" s="43">
        <f>SUM('Alternatyva 1'!CP$21,'Alternatyva 1'!CP$32,'Alternatyva 1'!CP$43,'Alternatyva 1'!CP$55,'Alternatyva 1'!CP$66,'Alternatyva 1'!CP$77,'Alternatyva 1'!CP$88)</f>
        <v>0</v>
      </c>
      <c r="CQ11" s="43">
        <f>SUM('Alternatyva 1'!CQ$21,'Alternatyva 1'!CQ$32,'Alternatyva 1'!CQ$43,'Alternatyva 1'!CQ$55,'Alternatyva 1'!CQ$66,'Alternatyva 1'!CQ$77,'Alternatyva 1'!CQ$88)</f>
        <v>0</v>
      </c>
      <c r="CR11" s="43">
        <f>SUM('Alternatyva 1'!CR$21,'Alternatyva 1'!CR$32,'Alternatyva 1'!CR$43,'Alternatyva 1'!CR$55,'Alternatyva 1'!CR$66,'Alternatyva 1'!CR$77,'Alternatyva 1'!CR$88)</f>
        <v>0</v>
      </c>
      <c r="CS11" s="43">
        <f>SUM('Alternatyva 1'!CS$21,'Alternatyva 1'!CS$32,'Alternatyva 1'!CS$43,'Alternatyva 1'!CS$55,'Alternatyva 1'!CS$66,'Alternatyva 1'!CS$77,'Alternatyva 1'!CS$88)</f>
        <v>0</v>
      </c>
      <c r="CT11" s="43">
        <f>SUM('Alternatyva 1'!CT$21,'Alternatyva 1'!CT$32,'Alternatyva 1'!CT$43,'Alternatyva 1'!CT$55,'Alternatyva 1'!CT$66,'Alternatyva 1'!CT$77,'Alternatyva 1'!CT$88)</f>
        <v>0</v>
      </c>
      <c r="CU11" s="43">
        <f>SUM('Alternatyva 1'!CU$21,'Alternatyva 1'!CU$32,'Alternatyva 1'!CU$43,'Alternatyva 1'!CU$55,'Alternatyva 1'!CU$66,'Alternatyva 1'!CU$77,'Alternatyva 1'!CU$88)</f>
        <v>0</v>
      </c>
      <c r="CV11" s="43">
        <f>SUM('Alternatyva 1'!CV$21,'Alternatyva 1'!CV$32,'Alternatyva 1'!CV$43,'Alternatyva 1'!CV$55,'Alternatyva 1'!CV$66,'Alternatyva 1'!CV$77,'Alternatyva 1'!CV$88)</f>
        <v>0</v>
      </c>
      <c r="CW11" s="43">
        <f>SUM('Alternatyva 1'!CW$21,'Alternatyva 1'!CW$32,'Alternatyva 1'!CW$43,'Alternatyva 1'!CW$55,'Alternatyva 1'!CW$66,'Alternatyva 1'!CW$77,'Alternatyva 1'!CW$88)</f>
        <v>0</v>
      </c>
      <c r="CX11" s="43">
        <f>SUM('Alternatyva 1'!CX$21,'Alternatyva 1'!CX$32,'Alternatyva 1'!CX$43,'Alternatyva 1'!CX$55,'Alternatyva 1'!CX$66,'Alternatyva 1'!CX$77,'Alternatyva 1'!CX$88)</f>
        <v>0</v>
      </c>
      <c r="CY11" s="43">
        <f>SUM('Alternatyva 1'!CY$21,'Alternatyva 1'!CY$32,'Alternatyva 1'!CY$43,'Alternatyva 1'!CY$55,'Alternatyva 1'!CY$66,'Alternatyva 1'!CY$77,'Alternatyva 1'!CY$88)</f>
        <v>0</v>
      </c>
      <c r="CZ11" s="43">
        <f>SUM('Alternatyva 1'!CZ$21,'Alternatyva 1'!CZ$32,'Alternatyva 1'!CZ$43,'Alternatyva 1'!CZ$55,'Alternatyva 1'!CZ$66,'Alternatyva 1'!CZ$77,'Alternatyva 1'!CZ$88)</f>
        <v>0</v>
      </c>
      <c r="DA11" s="43">
        <f>SUM('Alternatyva 1'!DA$21,'Alternatyva 1'!DA$32,'Alternatyva 1'!DA$43,'Alternatyva 1'!DA$55,'Alternatyva 1'!DA$66,'Alternatyva 1'!DA$77,'Alternatyva 1'!DA$88)</f>
        <v>0</v>
      </c>
      <c r="DB11" s="43">
        <f>SUM('Alternatyva 1'!DB$21,'Alternatyva 1'!DB$32,'Alternatyva 1'!DB$43,'Alternatyva 1'!DB$55,'Alternatyva 1'!DB$66,'Alternatyva 1'!DB$77,'Alternatyva 1'!DB$88)</f>
        <v>0</v>
      </c>
      <c r="DC11" s="43">
        <f>SUM('Alternatyva 1'!DC$21,'Alternatyva 1'!DC$32,'Alternatyva 1'!DC$43,'Alternatyva 1'!DC$55,'Alternatyva 1'!DC$66,'Alternatyva 1'!DC$77,'Alternatyva 1'!DC$88)</f>
        <v>0</v>
      </c>
    </row>
    <row r="12" spans="2:107" ht="15" customHeight="1">
      <c r="B12" s="5" t="s">
        <v>195</v>
      </c>
      <c r="C12" s="777" t="s">
        <v>264</v>
      </c>
      <c r="D12" s="778"/>
      <c r="E12" s="779"/>
      <c r="F12" s="49">
        <f>H12+NPV(SD,I12:INDEX(I12:DC12,PAL))</f>
        <v>0</v>
      </c>
      <c r="G12" s="43">
        <f>SUMIF($H$6:$DC$6,"&lt;="&amp;PAL,$H12:$DC12)</f>
        <v>0</v>
      </c>
      <c r="H12" s="43">
        <f>H11-SUMPRODUCT('Alternatyva 1'!H$21:H$88,'Alternatyva 1'!$DH$21:$DH$88)</f>
        <v>0</v>
      </c>
      <c r="I12" s="43">
        <f>I11-SUMPRODUCT('Alternatyva 1'!I$21:I$88,'Alternatyva 1'!$DH$21:$DH$88)</f>
        <v>0</v>
      </c>
      <c r="J12" s="43">
        <f>J11-SUMPRODUCT('Alternatyva 1'!J$21:J$88,'Alternatyva 1'!$DH$21:$DH$88)</f>
        <v>0</v>
      </c>
      <c r="K12" s="43">
        <f>K11-SUMPRODUCT('Alternatyva 1'!K$21:K$88,'Alternatyva 1'!$DH$21:$DH$88)</f>
        <v>0</v>
      </c>
      <c r="L12" s="43">
        <f>L11-SUMPRODUCT('Alternatyva 1'!L$21:L$88,'Alternatyva 1'!$DH$21:$DH$88)</f>
        <v>0</v>
      </c>
      <c r="M12" s="43">
        <f>M11-SUMPRODUCT('Alternatyva 1'!M$21:M$88,'Alternatyva 1'!$DH$21:$DH$88)</f>
        <v>0</v>
      </c>
      <c r="N12" s="43">
        <f>N11-SUMPRODUCT('Alternatyva 1'!N$21:N$88,'Alternatyva 1'!$DH$21:$DH$88)</f>
        <v>0</v>
      </c>
      <c r="O12" s="43">
        <f>O11-SUMPRODUCT('Alternatyva 1'!O$21:O$88,'Alternatyva 1'!$DH$21:$DH$88)</f>
        <v>0</v>
      </c>
      <c r="P12" s="43">
        <f>P11-SUMPRODUCT('Alternatyva 1'!P$21:P$88,'Alternatyva 1'!$DH$21:$DH$88)</f>
        <v>0</v>
      </c>
      <c r="Q12" s="43">
        <f>Q11-SUMPRODUCT('Alternatyva 1'!Q$21:Q$88,'Alternatyva 1'!$DH$21:$DH$88)</f>
        <v>0</v>
      </c>
      <c r="R12" s="43">
        <f>R11-SUMPRODUCT('Alternatyva 1'!R$21:R$88,'Alternatyva 1'!$DH$21:$DH$88)</f>
        <v>0</v>
      </c>
      <c r="S12" s="43">
        <f>S11-SUMPRODUCT('Alternatyva 1'!S$21:S$88,'Alternatyva 1'!$DH$21:$DH$88)</f>
        <v>0</v>
      </c>
      <c r="T12" s="43">
        <f>T11-SUMPRODUCT('Alternatyva 1'!T$21:T$88,'Alternatyva 1'!$DH$21:$DH$88)</f>
        <v>0</v>
      </c>
      <c r="U12" s="43">
        <f>U11-SUMPRODUCT('Alternatyva 1'!U$21:U$88,'Alternatyva 1'!$DH$21:$DH$88)</f>
        <v>0</v>
      </c>
      <c r="V12" s="43">
        <f>V11-SUMPRODUCT('Alternatyva 1'!V$21:V$88,'Alternatyva 1'!$DH$21:$DH$88)</f>
        <v>0</v>
      </c>
      <c r="W12" s="43">
        <f>W11-SUMPRODUCT('Alternatyva 1'!W$21:W$88,'Alternatyva 1'!$DH$21:$DH$88)</f>
        <v>0</v>
      </c>
      <c r="X12" s="43">
        <f>X11-SUMPRODUCT('Alternatyva 1'!X$21:X$88,'Alternatyva 1'!$DH$21:$DH$88)</f>
        <v>0</v>
      </c>
      <c r="Y12" s="43">
        <f>Y11-SUMPRODUCT('Alternatyva 1'!Y$21:Y$88,'Alternatyva 1'!$DH$21:$DH$88)</f>
        <v>0</v>
      </c>
      <c r="Z12" s="43">
        <f>Z11-SUMPRODUCT('Alternatyva 1'!Z$21:Z$88,'Alternatyva 1'!$DH$21:$DH$88)</f>
        <v>0</v>
      </c>
      <c r="AA12" s="43">
        <f>AA11-SUMPRODUCT('Alternatyva 1'!AA$21:AA$88,'Alternatyva 1'!$DH$21:$DH$88)</f>
        <v>0</v>
      </c>
      <c r="AB12" s="43">
        <f>AB11-SUMPRODUCT('Alternatyva 1'!AB$21:AB$88,'Alternatyva 1'!$DH$21:$DH$88)</f>
        <v>0</v>
      </c>
      <c r="AC12" s="43">
        <f>AC11-SUMPRODUCT('Alternatyva 1'!AC$21:AC$88,'Alternatyva 1'!$DH$21:$DH$88)</f>
        <v>0</v>
      </c>
      <c r="AD12" s="43">
        <f>AD11-SUMPRODUCT('Alternatyva 1'!AD$21:AD$88,'Alternatyva 1'!$DH$21:$DH$88)</f>
        <v>0</v>
      </c>
      <c r="AE12" s="43">
        <f>AE11-SUMPRODUCT('Alternatyva 1'!AE$21:AE$88,'Alternatyva 1'!$DH$21:$DH$88)</f>
        <v>0</v>
      </c>
      <c r="AF12" s="43">
        <f>AF11-SUMPRODUCT('Alternatyva 1'!AF$21:AF$88,'Alternatyva 1'!$DH$21:$DH$88)</f>
        <v>0</v>
      </c>
      <c r="AG12" s="43">
        <f>AG11-SUMPRODUCT('Alternatyva 1'!AG$21:AG$88,'Alternatyva 1'!$DH$21:$DH$88)</f>
        <v>0</v>
      </c>
      <c r="AH12" s="43">
        <f>AH11-SUMPRODUCT('Alternatyva 1'!AH$21:AH$88,'Alternatyva 1'!$DH$21:$DH$88)</f>
        <v>0</v>
      </c>
      <c r="AI12" s="43">
        <f>AI11-SUMPRODUCT('Alternatyva 1'!AI$21:AI$88,'Alternatyva 1'!$DH$21:$DH$88)</f>
        <v>0</v>
      </c>
      <c r="AJ12" s="43">
        <f>AJ11-SUMPRODUCT('Alternatyva 1'!AJ$21:AJ$88,'Alternatyva 1'!$DH$21:$DH$88)</f>
        <v>0</v>
      </c>
      <c r="AK12" s="43">
        <f>AK11-SUMPRODUCT('Alternatyva 1'!AK$21:AK$88,'Alternatyva 1'!$DH$21:$DH$88)</f>
        <v>0</v>
      </c>
      <c r="AL12" s="43">
        <f>AL11-SUMPRODUCT('Alternatyva 1'!AL$21:AL$88,'Alternatyva 1'!$DH$21:$DH$88)</f>
        <v>0</v>
      </c>
      <c r="AM12" s="43">
        <f>AM11-SUMPRODUCT('Alternatyva 1'!AM$21:AM$88,'Alternatyva 1'!$DH$21:$DH$88)</f>
        <v>0</v>
      </c>
      <c r="AN12" s="43">
        <f>AN11-SUMPRODUCT('Alternatyva 1'!AN$21:AN$88,'Alternatyva 1'!$DH$21:$DH$88)</f>
        <v>0</v>
      </c>
      <c r="AO12" s="43">
        <f>AO11-SUMPRODUCT('Alternatyva 1'!AO$21:AO$88,'Alternatyva 1'!$DH$21:$DH$88)</f>
        <v>0</v>
      </c>
      <c r="AP12" s="43">
        <f>AP11-SUMPRODUCT('Alternatyva 1'!AP$21:AP$88,'Alternatyva 1'!$DH$21:$DH$88)</f>
        <v>0</v>
      </c>
      <c r="AQ12" s="43">
        <f>AQ11-SUMPRODUCT('Alternatyva 1'!AQ$21:AQ$88,'Alternatyva 1'!$DH$21:$DH$88)</f>
        <v>0</v>
      </c>
      <c r="AR12" s="43">
        <f>AR11-SUMPRODUCT('Alternatyva 1'!AR$21:AR$88,'Alternatyva 1'!$DH$21:$DH$88)</f>
        <v>0</v>
      </c>
      <c r="AS12" s="43">
        <f>AS11-SUMPRODUCT('Alternatyva 1'!AS$21:AS$88,'Alternatyva 1'!$DH$21:$DH$88)</f>
        <v>0</v>
      </c>
      <c r="AT12" s="43">
        <f>AT11-SUMPRODUCT('Alternatyva 1'!AT$21:AT$88,'Alternatyva 1'!$DH$21:$DH$88)</f>
        <v>0</v>
      </c>
      <c r="AU12" s="43">
        <f>AU11-SUMPRODUCT('Alternatyva 1'!AU$21:AU$88,'Alternatyva 1'!$DH$21:$DH$88)</f>
        <v>0</v>
      </c>
      <c r="AV12" s="43">
        <f>AV11-SUMPRODUCT('Alternatyva 1'!AV$21:AV$88,'Alternatyva 1'!$DH$21:$DH$88)</f>
        <v>0</v>
      </c>
      <c r="AW12" s="43">
        <f>AW11-SUMPRODUCT('Alternatyva 1'!AW$21:AW$88,'Alternatyva 1'!$DH$21:$DH$88)</f>
        <v>0</v>
      </c>
      <c r="AX12" s="43">
        <f>AX11-SUMPRODUCT('Alternatyva 1'!AX$21:AX$88,'Alternatyva 1'!$DH$21:$DH$88)</f>
        <v>0</v>
      </c>
      <c r="AY12" s="43">
        <f>AY11-SUMPRODUCT('Alternatyva 1'!AY$21:AY$88,'Alternatyva 1'!$DH$21:$DH$88)</f>
        <v>0</v>
      </c>
      <c r="AZ12" s="43">
        <f>AZ11-SUMPRODUCT('Alternatyva 1'!AZ$21:AZ$88,'Alternatyva 1'!$DH$21:$DH$88)</f>
        <v>0</v>
      </c>
      <c r="BA12" s="43">
        <f>BA11-SUMPRODUCT('Alternatyva 1'!BA$21:BA$88,'Alternatyva 1'!$DH$21:$DH$88)</f>
        <v>0</v>
      </c>
      <c r="BB12" s="43">
        <f>BB11-SUMPRODUCT('Alternatyva 1'!BB$21:BB$88,'Alternatyva 1'!$DH$21:$DH$88)</f>
        <v>0</v>
      </c>
      <c r="BC12" s="43">
        <f>BC11-SUMPRODUCT('Alternatyva 1'!BC$21:BC$88,'Alternatyva 1'!$DH$21:$DH$88)</f>
        <v>0</v>
      </c>
      <c r="BD12" s="43">
        <f>BD11-SUMPRODUCT('Alternatyva 1'!BD$21:BD$88,'Alternatyva 1'!$DH$21:$DH$88)</f>
        <v>0</v>
      </c>
      <c r="BE12" s="43">
        <f>BE11-SUMPRODUCT('Alternatyva 1'!BE$21:BE$88,'Alternatyva 1'!$DH$21:$DH$88)</f>
        <v>0</v>
      </c>
      <c r="BF12" s="43">
        <f>BF11-SUMPRODUCT('Alternatyva 1'!BF$21:BF$88,'Alternatyva 1'!$DH$21:$DH$88)</f>
        <v>0</v>
      </c>
      <c r="BG12" s="43">
        <f>BG11-SUMPRODUCT('Alternatyva 1'!BG$21:BG$88,'Alternatyva 1'!$DH$21:$DH$88)</f>
        <v>0</v>
      </c>
      <c r="BH12" s="43">
        <f>BH11-SUMPRODUCT('Alternatyva 1'!BH$21:BH$88,'Alternatyva 1'!$DH$21:$DH$88)</f>
        <v>0</v>
      </c>
      <c r="BI12" s="43">
        <f>BI11-SUMPRODUCT('Alternatyva 1'!BI$21:BI$88,'Alternatyva 1'!$DH$21:$DH$88)</f>
        <v>0</v>
      </c>
      <c r="BJ12" s="43">
        <f>BJ11-SUMPRODUCT('Alternatyva 1'!BJ$21:BJ$88,'Alternatyva 1'!$DH$21:$DH$88)</f>
        <v>0</v>
      </c>
      <c r="BK12" s="43">
        <f>BK11-SUMPRODUCT('Alternatyva 1'!BK$21:BK$88,'Alternatyva 1'!$DH$21:$DH$88)</f>
        <v>0</v>
      </c>
      <c r="BL12" s="43">
        <f>BL11-SUMPRODUCT('Alternatyva 1'!BL$21:BL$88,'Alternatyva 1'!$DH$21:$DH$88)</f>
        <v>0</v>
      </c>
      <c r="BM12" s="43">
        <f>BM11-SUMPRODUCT('Alternatyva 1'!BM$21:BM$88,'Alternatyva 1'!$DH$21:$DH$88)</f>
        <v>0</v>
      </c>
      <c r="BN12" s="43">
        <f>BN11-SUMPRODUCT('Alternatyva 1'!BN$21:BN$88,'Alternatyva 1'!$DH$21:$DH$88)</f>
        <v>0</v>
      </c>
      <c r="BO12" s="43">
        <f>BO11-SUMPRODUCT('Alternatyva 1'!BO$21:BO$88,'Alternatyva 1'!$DH$21:$DH$88)</f>
        <v>0</v>
      </c>
      <c r="BP12" s="43">
        <f>BP11-SUMPRODUCT('Alternatyva 1'!BP$21:BP$88,'Alternatyva 1'!$DH$21:$DH$88)</f>
        <v>0</v>
      </c>
      <c r="BQ12" s="43">
        <f>BQ11-SUMPRODUCT('Alternatyva 1'!BQ$21:BQ$88,'Alternatyva 1'!$DH$21:$DH$88)</f>
        <v>0</v>
      </c>
      <c r="BR12" s="43">
        <f>BR11-SUMPRODUCT('Alternatyva 1'!BR$21:BR$88,'Alternatyva 1'!$DH$21:$DH$88)</f>
        <v>0</v>
      </c>
      <c r="BS12" s="43">
        <f>BS11-SUMPRODUCT('Alternatyva 1'!BS$21:BS$88,'Alternatyva 1'!$DH$21:$DH$88)</f>
        <v>0</v>
      </c>
      <c r="BT12" s="43">
        <f>BT11-SUMPRODUCT('Alternatyva 1'!BT$21:BT$88,'Alternatyva 1'!$DH$21:$DH$88)</f>
        <v>0</v>
      </c>
      <c r="BU12" s="43">
        <f>BU11-SUMPRODUCT('Alternatyva 1'!BU$21:BU$88,'Alternatyva 1'!$DH$21:$DH$88)</f>
        <v>0</v>
      </c>
      <c r="BV12" s="43">
        <f>BV11-SUMPRODUCT('Alternatyva 1'!BV$21:BV$88,'Alternatyva 1'!$DH$21:$DH$88)</f>
        <v>0</v>
      </c>
      <c r="BW12" s="43">
        <f>BW11-SUMPRODUCT('Alternatyva 1'!BW$21:BW$88,'Alternatyva 1'!$DH$21:$DH$88)</f>
        <v>0</v>
      </c>
      <c r="BX12" s="43">
        <f>BX11-SUMPRODUCT('Alternatyva 1'!BX$21:BX$88,'Alternatyva 1'!$DH$21:$DH$88)</f>
        <v>0</v>
      </c>
      <c r="BY12" s="43">
        <f>BY11-SUMPRODUCT('Alternatyva 1'!BY$21:BY$88,'Alternatyva 1'!$DH$21:$DH$88)</f>
        <v>0</v>
      </c>
      <c r="BZ12" s="43">
        <f>BZ11-SUMPRODUCT('Alternatyva 1'!BZ$21:BZ$88,'Alternatyva 1'!$DH$21:$DH$88)</f>
        <v>0</v>
      </c>
      <c r="CA12" s="43">
        <f>CA11-SUMPRODUCT('Alternatyva 1'!CA$21:CA$88,'Alternatyva 1'!$DH$21:$DH$88)</f>
        <v>0</v>
      </c>
      <c r="CB12" s="43">
        <f>CB11-SUMPRODUCT('Alternatyva 1'!CB$21:CB$88,'Alternatyva 1'!$DH$21:$DH$88)</f>
        <v>0</v>
      </c>
      <c r="CC12" s="43">
        <f>CC11-SUMPRODUCT('Alternatyva 1'!CC$21:CC$88,'Alternatyva 1'!$DH$21:$DH$88)</f>
        <v>0</v>
      </c>
      <c r="CD12" s="43">
        <f>CD11-SUMPRODUCT('Alternatyva 1'!CD$21:CD$88,'Alternatyva 1'!$DH$21:$DH$88)</f>
        <v>0</v>
      </c>
      <c r="CE12" s="43">
        <f>CE11-SUMPRODUCT('Alternatyva 1'!CE$21:CE$88,'Alternatyva 1'!$DH$21:$DH$88)</f>
        <v>0</v>
      </c>
      <c r="CF12" s="43">
        <f>CF11-SUMPRODUCT('Alternatyva 1'!CF$21:CF$88,'Alternatyva 1'!$DH$21:$DH$88)</f>
        <v>0</v>
      </c>
      <c r="CG12" s="43">
        <f>CG11-SUMPRODUCT('Alternatyva 1'!CG$21:CG$88,'Alternatyva 1'!$DH$21:$DH$88)</f>
        <v>0</v>
      </c>
      <c r="CH12" s="43">
        <f>CH11-SUMPRODUCT('Alternatyva 1'!CH$21:CH$88,'Alternatyva 1'!$DH$21:$DH$88)</f>
        <v>0</v>
      </c>
      <c r="CI12" s="43">
        <f>CI11-SUMPRODUCT('Alternatyva 1'!CI$21:CI$88,'Alternatyva 1'!$DH$21:$DH$88)</f>
        <v>0</v>
      </c>
      <c r="CJ12" s="43">
        <f>CJ11-SUMPRODUCT('Alternatyva 1'!CJ$21:CJ$88,'Alternatyva 1'!$DH$21:$DH$88)</f>
        <v>0</v>
      </c>
      <c r="CK12" s="43">
        <f>CK11-SUMPRODUCT('Alternatyva 1'!CK$21:CK$88,'Alternatyva 1'!$DH$21:$DH$88)</f>
        <v>0</v>
      </c>
      <c r="CL12" s="43">
        <f>CL11-SUMPRODUCT('Alternatyva 1'!CL$21:CL$88,'Alternatyva 1'!$DH$21:$DH$88)</f>
        <v>0</v>
      </c>
      <c r="CM12" s="43">
        <f>CM11-SUMPRODUCT('Alternatyva 1'!CM$21:CM$88,'Alternatyva 1'!$DH$21:$DH$88)</f>
        <v>0</v>
      </c>
      <c r="CN12" s="43">
        <f>CN11-SUMPRODUCT('Alternatyva 1'!CN$21:CN$88,'Alternatyva 1'!$DH$21:$DH$88)</f>
        <v>0</v>
      </c>
      <c r="CO12" s="43">
        <f>CO11-SUMPRODUCT('Alternatyva 1'!CO$21:CO$88,'Alternatyva 1'!$DH$21:$DH$88)</f>
        <v>0</v>
      </c>
      <c r="CP12" s="43">
        <f>CP11-SUMPRODUCT('Alternatyva 1'!CP$21:CP$88,'Alternatyva 1'!$DH$21:$DH$88)</f>
        <v>0</v>
      </c>
      <c r="CQ12" s="43">
        <f>CQ11-SUMPRODUCT('Alternatyva 1'!CQ$21:CQ$88,'Alternatyva 1'!$DH$21:$DH$88)</f>
        <v>0</v>
      </c>
      <c r="CR12" s="43">
        <f>CR11-SUMPRODUCT('Alternatyva 1'!CR$21:CR$88,'Alternatyva 1'!$DH$21:$DH$88)</f>
        <v>0</v>
      </c>
      <c r="CS12" s="43">
        <f>CS11-SUMPRODUCT('Alternatyva 1'!CS$21:CS$88,'Alternatyva 1'!$DH$21:$DH$88)</f>
        <v>0</v>
      </c>
      <c r="CT12" s="43">
        <f>CT11-SUMPRODUCT('Alternatyva 1'!CT$21:CT$88,'Alternatyva 1'!$DH$21:$DH$88)</f>
        <v>0</v>
      </c>
      <c r="CU12" s="43">
        <f>CU11-SUMPRODUCT('Alternatyva 1'!CU$21:CU$88,'Alternatyva 1'!$DH$21:$DH$88)</f>
        <v>0</v>
      </c>
      <c r="CV12" s="43">
        <f>CV11-SUMPRODUCT('Alternatyva 1'!CV$21:CV$88,'Alternatyva 1'!$DH$21:$DH$88)</f>
        <v>0</v>
      </c>
      <c r="CW12" s="43">
        <f>CW11-SUMPRODUCT('Alternatyva 1'!CW$21:CW$88,'Alternatyva 1'!$DH$21:$DH$88)</f>
        <v>0</v>
      </c>
      <c r="CX12" s="43">
        <f>CX11-SUMPRODUCT('Alternatyva 1'!CX$21:CX$88,'Alternatyva 1'!$DH$21:$DH$88)</f>
        <v>0</v>
      </c>
      <c r="CY12" s="43">
        <f>CY11-SUMPRODUCT('Alternatyva 1'!CY$21:CY$88,'Alternatyva 1'!$DH$21:$DH$88)</f>
        <v>0</v>
      </c>
      <c r="CZ12" s="43">
        <f>CZ11-SUMPRODUCT('Alternatyva 1'!CZ$21:CZ$88,'Alternatyva 1'!$DH$21:$DH$88)</f>
        <v>0</v>
      </c>
      <c r="DA12" s="43">
        <f>DA11-SUMPRODUCT('Alternatyva 1'!DA$21:DA$88,'Alternatyva 1'!$DH$21:$DH$88)</f>
        <v>0</v>
      </c>
      <c r="DB12" s="43">
        <f>DB11-SUMPRODUCT('Alternatyva 1'!DB$21:DB$88,'Alternatyva 1'!$DH$21:$DH$88)</f>
        <v>0</v>
      </c>
      <c r="DC12" s="43">
        <f>DC11-SUMPRODUCT('Alternatyva 1'!DC$21:DC$88,'Alternatyva 1'!$DH$21:$DH$88)</f>
        <v>0</v>
      </c>
    </row>
    <row r="13" spans="2:107" ht="15" customHeight="1" thickBot="1">
      <c r="B13" s="5" t="s">
        <v>241</v>
      </c>
      <c r="C13" s="795" t="s">
        <v>162</v>
      </c>
      <c r="D13" s="796"/>
      <c r="E13" s="797"/>
      <c r="F13" s="49">
        <f>H13+NPV(SD,I13:INDEX(I13:DC13,PAL))</f>
        <v>867683822.31458926</v>
      </c>
      <c r="G13" s="43">
        <f>SUMIF($H$6:$DC$6,"&lt;="&amp;PAL,$H13:$DC13)</f>
        <v>1539290277.0868366</v>
      </c>
      <c r="H13" s="14">
        <f>H8-H9-H10+H12</f>
        <v>-1730000</v>
      </c>
      <c r="I13" s="14">
        <f t="shared" ref="I13:BT13" si="2">I8-I9-I10+I12</f>
        <v>-4024786.0065815868</v>
      </c>
      <c r="J13" s="14">
        <f>J8-J9-J10+J12</f>
        <v>22265599.578948144</v>
      </c>
      <c r="K13" s="14">
        <f t="shared" si="2"/>
        <v>28709142.279786728</v>
      </c>
      <c r="L13" s="14">
        <f t="shared" si="2"/>
        <v>69459460.830231205</v>
      </c>
      <c r="M13" s="14">
        <f t="shared" si="2"/>
        <v>71445631.09792158</v>
      </c>
      <c r="N13" s="14">
        <f t="shared" si="2"/>
        <v>73519647.25253959</v>
      </c>
      <c r="O13" s="14">
        <f t="shared" si="2"/>
        <v>75634217.724130914</v>
      </c>
      <c r="P13" s="14">
        <f t="shared" si="2"/>
        <v>77807107.790779978</v>
      </c>
      <c r="Q13" s="14">
        <f t="shared" si="2"/>
        <v>80039967.295455784</v>
      </c>
      <c r="R13" s="14">
        <f t="shared" si="2"/>
        <v>82235319.556247279</v>
      </c>
      <c r="S13" s="14">
        <f t="shared" si="2"/>
        <v>84494083.371863171</v>
      </c>
      <c r="T13" s="14">
        <f t="shared" si="2"/>
        <v>87016400.850734755</v>
      </c>
      <c r="U13" s="14">
        <f t="shared" si="2"/>
        <v>89407423.957391798</v>
      </c>
      <c r="V13" s="14">
        <f t="shared" si="2"/>
        <v>92164919.281372473</v>
      </c>
      <c r="W13" s="14">
        <f t="shared" si="2"/>
        <v>94794972.02157335</v>
      </c>
      <c r="X13" s="14">
        <f t="shared" si="2"/>
        <v>97497937.947568864</v>
      </c>
      <c r="Y13" s="14">
        <f t="shared" si="2"/>
        <v>100275883.00855473</v>
      </c>
      <c r="Z13" s="14">
        <f t="shared" si="2"/>
        <v>103130932.07879148</v>
      </c>
      <c r="AA13" s="14">
        <f t="shared" si="2"/>
        <v>106065270.6425043</v>
      </c>
      <c r="AB13" s="14">
        <f t="shared" si="2"/>
        <v>109081146.52702267</v>
      </c>
      <c r="AC13" s="14" t="e">
        <f t="shared" si="2"/>
        <v>#REF!</v>
      </c>
      <c r="AD13" s="14" t="e">
        <f t="shared" si="2"/>
        <v>#REF!</v>
      </c>
      <c r="AE13" s="14" t="e">
        <f t="shared" si="2"/>
        <v>#REF!</v>
      </c>
      <c r="AF13" s="14" t="e">
        <f t="shared" si="2"/>
        <v>#REF!</v>
      </c>
      <c r="AG13" s="14" t="e">
        <f t="shared" si="2"/>
        <v>#REF!</v>
      </c>
      <c r="AH13" s="14" t="e">
        <f t="shared" si="2"/>
        <v>#REF!</v>
      </c>
      <c r="AI13" s="14" t="e">
        <f t="shared" si="2"/>
        <v>#REF!</v>
      </c>
      <c r="AJ13" s="14" t="e">
        <f t="shared" si="2"/>
        <v>#REF!</v>
      </c>
      <c r="AK13" s="14" t="e">
        <f t="shared" si="2"/>
        <v>#REF!</v>
      </c>
      <c r="AL13" s="14" t="e">
        <f t="shared" si="2"/>
        <v>#REF!</v>
      </c>
      <c r="AM13" s="14" t="e">
        <f t="shared" si="2"/>
        <v>#REF!</v>
      </c>
      <c r="AN13" s="14" t="e">
        <f t="shared" si="2"/>
        <v>#REF!</v>
      </c>
      <c r="AO13" s="14" t="e">
        <f t="shared" si="2"/>
        <v>#REF!</v>
      </c>
      <c r="AP13" s="14" t="e">
        <f t="shared" si="2"/>
        <v>#REF!</v>
      </c>
      <c r="AQ13" s="14" t="e">
        <f t="shared" si="2"/>
        <v>#REF!</v>
      </c>
      <c r="AR13" s="14" t="e">
        <f t="shared" si="2"/>
        <v>#REF!</v>
      </c>
      <c r="AS13" s="14" t="e">
        <f t="shared" si="2"/>
        <v>#REF!</v>
      </c>
      <c r="AT13" s="14" t="e">
        <f t="shared" si="2"/>
        <v>#REF!</v>
      </c>
      <c r="AU13" s="14" t="e">
        <f t="shared" si="2"/>
        <v>#REF!</v>
      </c>
      <c r="AV13" s="14" t="e">
        <f t="shared" si="2"/>
        <v>#REF!</v>
      </c>
      <c r="AW13" s="14" t="e">
        <f t="shared" si="2"/>
        <v>#REF!</v>
      </c>
      <c r="AX13" s="14" t="e">
        <f t="shared" si="2"/>
        <v>#REF!</v>
      </c>
      <c r="AY13" s="14" t="e">
        <f t="shared" si="2"/>
        <v>#REF!</v>
      </c>
      <c r="AZ13" s="14" t="e">
        <f t="shared" si="2"/>
        <v>#REF!</v>
      </c>
      <c r="BA13" s="14" t="e">
        <f t="shared" si="2"/>
        <v>#REF!</v>
      </c>
      <c r="BB13" s="14" t="e">
        <f t="shared" si="2"/>
        <v>#REF!</v>
      </c>
      <c r="BC13" s="14" t="e">
        <f t="shared" si="2"/>
        <v>#REF!</v>
      </c>
      <c r="BD13" s="14" t="e">
        <f t="shared" si="2"/>
        <v>#REF!</v>
      </c>
      <c r="BE13" s="14" t="e">
        <f t="shared" si="2"/>
        <v>#REF!</v>
      </c>
      <c r="BF13" s="14" t="e">
        <f t="shared" si="2"/>
        <v>#REF!</v>
      </c>
      <c r="BG13" s="14" t="e">
        <f t="shared" si="2"/>
        <v>#REF!</v>
      </c>
      <c r="BH13" s="14" t="e">
        <f t="shared" si="2"/>
        <v>#REF!</v>
      </c>
      <c r="BI13" s="14" t="e">
        <f t="shared" si="2"/>
        <v>#REF!</v>
      </c>
      <c r="BJ13" s="14" t="e">
        <f t="shared" si="2"/>
        <v>#REF!</v>
      </c>
      <c r="BK13" s="14" t="e">
        <f t="shared" si="2"/>
        <v>#REF!</v>
      </c>
      <c r="BL13" s="14" t="e">
        <f t="shared" si="2"/>
        <v>#REF!</v>
      </c>
      <c r="BM13" s="14" t="e">
        <f t="shared" si="2"/>
        <v>#REF!</v>
      </c>
      <c r="BN13" s="14" t="e">
        <f t="shared" si="2"/>
        <v>#REF!</v>
      </c>
      <c r="BO13" s="14" t="e">
        <f t="shared" si="2"/>
        <v>#REF!</v>
      </c>
      <c r="BP13" s="14" t="e">
        <f t="shared" si="2"/>
        <v>#REF!</v>
      </c>
      <c r="BQ13" s="14" t="e">
        <f t="shared" si="2"/>
        <v>#REF!</v>
      </c>
      <c r="BR13" s="14" t="e">
        <f t="shared" si="2"/>
        <v>#REF!</v>
      </c>
      <c r="BS13" s="14" t="e">
        <f t="shared" si="2"/>
        <v>#REF!</v>
      </c>
      <c r="BT13" s="14" t="e">
        <f t="shared" si="2"/>
        <v>#REF!</v>
      </c>
      <c r="BU13" s="14" t="e">
        <f t="shared" ref="BU13:DC13" si="3">BU8-BU9-BU10+BU12</f>
        <v>#REF!</v>
      </c>
      <c r="BV13" s="14" t="e">
        <f t="shared" si="3"/>
        <v>#REF!</v>
      </c>
      <c r="BW13" s="14" t="e">
        <f t="shared" si="3"/>
        <v>#REF!</v>
      </c>
      <c r="BX13" s="14" t="e">
        <f t="shared" si="3"/>
        <v>#REF!</v>
      </c>
      <c r="BY13" s="14" t="e">
        <f t="shared" si="3"/>
        <v>#REF!</v>
      </c>
      <c r="BZ13" s="14" t="e">
        <f t="shared" si="3"/>
        <v>#REF!</v>
      </c>
      <c r="CA13" s="14" t="e">
        <f t="shared" si="3"/>
        <v>#REF!</v>
      </c>
      <c r="CB13" s="14" t="e">
        <f t="shared" si="3"/>
        <v>#REF!</v>
      </c>
      <c r="CC13" s="14" t="e">
        <f t="shared" si="3"/>
        <v>#REF!</v>
      </c>
      <c r="CD13" s="14" t="e">
        <f t="shared" si="3"/>
        <v>#REF!</v>
      </c>
      <c r="CE13" s="14" t="e">
        <f t="shared" si="3"/>
        <v>#REF!</v>
      </c>
      <c r="CF13" s="14" t="e">
        <f t="shared" si="3"/>
        <v>#REF!</v>
      </c>
      <c r="CG13" s="14" t="e">
        <f t="shared" si="3"/>
        <v>#REF!</v>
      </c>
      <c r="CH13" s="14" t="e">
        <f t="shared" si="3"/>
        <v>#REF!</v>
      </c>
      <c r="CI13" s="14" t="e">
        <f t="shared" si="3"/>
        <v>#REF!</v>
      </c>
      <c r="CJ13" s="14" t="e">
        <f t="shared" si="3"/>
        <v>#REF!</v>
      </c>
      <c r="CK13" s="14" t="e">
        <f t="shared" si="3"/>
        <v>#REF!</v>
      </c>
      <c r="CL13" s="14" t="e">
        <f t="shared" si="3"/>
        <v>#REF!</v>
      </c>
      <c r="CM13" s="14" t="e">
        <f t="shared" si="3"/>
        <v>#REF!</v>
      </c>
      <c r="CN13" s="14" t="e">
        <f t="shared" si="3"/>
        <v>#REF!</v>
      </c>
      <c r="CO13" s="14" t="e">
        <f t="shared" si="3"/>
        <v>#REF!</v>
      </c>
      <c r="CP13" s="14" t="e">
        <f t="shared" si="3"/>
        <v>#REF!</v>
      </c>
      <c r="CQ13" s="14" t="e">
        <f t="shared" si="3"/>
        <v>#REF!</v>
      </c>
      <c r="CR13" s="14" t="e">
        <f t="shared" si="3"/>
        <v>#REF!</v>
      </c>
      <c r="CS13" s="14" t="e">
        <f t="shared" si="3"/>
        <v>#REF!</v>
      </c>
      <c r="CT13" s="14" t="e">
        <f t="shared" si="3"/>
        <v>#REF!</v>
      </c>
      <c r="CU13" s="14" t="e">
        <f t="shared" si="3"/>
        <v>#REF!</v>
      </c>
      <c r="CV13" s="14" t="e">
        <f t="shared" si="3"/>
        <v>#REF!</v>
      </c>
      <c r="CW13" s="14" t="e">
        <f t="shared" si="3"/>
        <v>#REF!</v>
      </c>
      <c r="CX13" s="14" t="e">
        <f t="shared" si="3"/>
        <v>#REF!</v>
      </c>
      <c r="CY13" s="14" t="e">
        <f t="shared" si="3"/>
        <v>#REF!</v>
      </c>
      <c r="CZ13" s="14" t="e">
        <f t="shared" si="3"/>
        <v>#REF!</v>
      </c>
      <c r="DA13" s="14" t="e">
        <f t="shared" si="3"/>
        <v>#REF!</v>
      </c>
      <c r="DB13" s="14" t="e">
        <f t="shared" si="3"/>
        <v>#REF!</v>
      </c>
      <c r="DC13" s="14" t="e">
        <f t="shared" si="3"/>
        <v>#REF!</v>
      </c>
    </row>
    <row r="14" spans="2:107" ht="15" customHeight="1" thickBot="1">
      <c r="C14" s="802" t="s">
        <v>205</v>
      </c>
      <c r="D14" s="803"/>
      <c r="E14" s="803"/>
      <c r="F14" s="804"/>
      <c r="G14" s="55"/>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799" t="s">
        <v>29</v>
      </c>
      <c r="D15" s="800"/>
      <c r="E15" s="801"/>
      <c r="F15" s="50">
        <f>F13</f>
        <v>867683822.31458926</v>
      </c>
      <c r="G15" s="44"/>
    </row>
    <row r="16" spans="2:107" ht="15" customHeight="1">
      <c r="C16" s="792" t="s">
        <v>30</v>
      </c>
      <c r="D16" s="793"/>
      <c r="E16" s="794"/>
      <c r="F16" s="51">
        <f>IFERROR(IF(F10&lt;0,(F8-F10)/(F9-F12),(F8)/(F9+F10-F12)),"")</f>
        <v>7.8967670150532188</v>
      </c>
      <c r="G16" s="53"/>
    </row>
    <row r="17" spans="2:108" ht="15" customHeight="1" thickBot="1">
      <c r="C17" s="789" t="s">
        <v>196</v>
      </c>
      <c r="D17" s="790"/>
      <c r="E17" s="791"/>
      <c r="F17" s="172">
        <f>IFERROR(IRR(H13:INDEX(H13:DC13,PAL+1)),"-")</f>
        <v>2.6352645610573568</v>
      </c>
      <c r="G17" s="45"/>
    </row>
    <row r="18" spans="2:108" ht="15" customHeight="1" thickBot="1">
      <c r="C18" s="802" t="s">
        <v>197</v>
      </c>
      <c r="D18" s="803"/>
      <c r="E18" s="803"/>
      <c r="F18" s="804"/>
      <c r="G18" s="12" t="s">
        <v>33</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customHeight="1">
      <c r="C19" s="780" t="s">
        <v>201</v>
      </c>
      <c r="D19" s="781"/>
      <c r="E19" s="782"/>
      <c r="F19" s="61"/>
      <c r="G19" s="59">
        <f>SUMIF($H$6:$DC$6,"&lt;="&amp;PAL,$H19:$DC19)</f>
        <v>-198829806.24019569</v>
      </c>
      <c r="H19" s="14">
        <f>H11-'Alternatyva 1'!H$7+'Alternatyva 1'!H$115</f>
        <v>-1708000</v>
      </c>
      <c r="I19" s="14">
        <f>I11-'Alternatyva 1'!I$7+'Alternatyva 1'!I115</f>
        <v>-4900980.7675320003</v>
      </c>
      <c r="J19" s="14">
        <f>J11-'Alternatyva 1'!J$7+'Alternatyva 1'!J115</f>
        <v>-7587358.9378861329</v>
      </c>
      <c r="K19" s="14">
        <f>K11-'Alternatyva 1'!K$7+'Alternatyva 1'!K115</f>
        <v>-10781120.3630432</v>
      </c>
      <c r="L19" s="14">
        <f>L11-'Alternatyva 1'!L$7+'Alternatyva 1'!L115</f>
        <v>-10183520.3630432</v>
      </c>
      <c r="M19" s="14">
        <f>M11-'Alternatyva 1'!M$7+'Alternatyva 1'!M115</f>
        <v>-10203520.3630432</v>
      </c>
      <c r="N19" s="14">
        <f>N11-'Alternatyva 1'!N$7+'Alternatyva 1'!N115</f>
        <v>-10183020.3630432</v>
      </c>
      <c r="O19" s="14">
        <f>O11-'Alternatyva 1'!O$7+'Alternatyva 1'!O115</f>
        <v>-10183020.3630432</v>
      </c>
      <c r="P19" s="14">
        <f>P11-'Alternatyva 1'!P$7+'Alternatyva 1'!P115</f>
        <v>-10183020.3630432</v>
      </c>
      <c r="Q19" s="14">
        <f>Q11-'Alternatyva 1'!Q$7+'Alternatyva 1'!Q115</f>
        <v>-10183020.3630432</v>
      </c>
      <c r="R19" s="14">
        <f>R11-'Alternatyva 1'!R$7+'Alternatyva 1'!R115</f>
        <v>-10303020.3630432</v>
      </c>
      <c r="S19" s="14">
        <f>S11-'Alternatyva 1'!S$7+'Alternatyva 1'!S115</f>
        <v>-10423020.3630432</v>
      </c>
      <c r="T19" s="14">
        <f>T11-'Alternatyva 1'!T$7+'Alternatyva 1'!T115</f>
        <v>-10303020.3630432</v>
      </c>
      <c r="U19" s="14">
        <f>U11-'Alternatyva 1'!U$7+'Alternatyva 1'!U115</f>
        <v>-10423020.3630432</v>
      </c>
      <c r="V19" s="14">
        <f>V11-'Alternatyva 1'!V$7+'Alternatyva 1'!V115</f>
        <v>-10183020.3630432</v>
      </c>
      <c r="W19" s="14">
        <f>W11-'Alternatyva 1'!W$7+'Alternatyva 1'!W115</f>
        <v>-10183020.3630432</v>
      </c>
      <c r="X19" s="14">
        <f>X11-'Alternatyva 1'!X$7+'Alternatyva 1'!X115</f>
        <v>-10183020.3630432</v>
      </c>
      <c r="Y19" s="14">
        <f>Y11-'Alternatyva 1'!Y$7+'Alternatyva 1'!Y115</f>
        <v>-10183020.3630432</v>
      </c>
      <c r="Z19" s="14">
        <f>Z11-'Alternatyva 1'!Z$7+'Alternatyva 1'!Z115</f>
        <v>-10183020.3630432</v>
      </c>
      <c r="AA19" s="14">
        <f>AA11-'Alternatyva 1'!AA$7+'Alternatyva 1'!AA115</f>
        <v>-10183020.3630432</v>
      </c>
      <c r="AB19" s="14">
        <f>AB11-'Alternatyva 1'!AB$7+'Alternatyva 1'!AB115</f>
        <v>-10183020.3630432</v>
      </c>
      <c r="AC19" s="14">
        <f>AC11-'Alternatyva 1'!AC$7+'Alternatyva 1'!AC115</f>
        <v>-2329431.8160736002</v>
      </c>
      <c r="AD19" s="14">
        <f>AD11-'Alternatyva 1'!AD$7+'Alternatyva 1'!AD115</f>
        <v>-2329431.8160736002</v>
      </c>
      <c r="AE19" s="14">
        <f>AE11-'Alternatyva 1'!AE$7+'Alternatyva 1'!AE115</f>
        <v>-2329431.8160736002</v>
      </c>
      <c r="AF19" s="14">
        <f>AF11-'Alternatyva 1'!AF$7+'Alternatyva 1'!AF115</f>
        <v>-2329431.8160736002</v>
      </c>
      <c r="AG19" s="14">
        <f>AG11-'Alternatyva 1'!AG$7+'Alternatyva 1'!AG115</f>
        <v>-2329431.8160736002</v>
      </c>
      <c r="AH19" s="14">
        <f>AH11-'Alternatyva 1'!AH$7+'Alternatyva 1'!AH115</f>
        <v>-2329431.8160736002</v>
      </c>
      <c r="AI19" s="14">
        <f>AI11-'Alternatyva 1'!AI$7+'Alternatyva 1'!AI115</f>
        <v>-2329431.8160736002</v>
      </c>
      <c r="AJ19" s="14">
        <f>AJ11-'Alternatyva 1'!AJ$7+'Alternatyva 1'!AJ115</f>
        <v>-2329431.8160736002</v>
      </c>
      <c r="AK19" s="14">
        <f>AK11-'Alternatyva 1'!AK$7+'Alternatyva 1'!AK115</f>
        <v>-2329431.8160736002</v>
      </c>
      <c r="AL19" s="14">
        <f>AL11-'Alternatyva 1'!AL$7+'Alternatyva 1'!AL115</f>
        <v>-2329431.8160736002</v>
      </c>
      <c r="AM19" s="14">
        <f>AM11-'Alternatyva 1'!AM$7+'Alternatyva 1'!AM115</f>
        <v>-2329431.8160736002</v>
      </c>
      <c r="AN19" s="14">
        <f>AN11-'Alternatyva 1'!AN$7+'Alternatyva 1'!AN115</f>
        <v>-2329431.8160736002</v>
      </c>
      <c r="AO19" s="14">
        <f>AO11-'Alternatyva 1'!AO$7+'Alternatyva 1'!AO115</f>
        <v>-2329431.8160736002</v>
      </c>
      <c r="AP19" s="14">
        <f>AP11-'Alternatyva 1'!AP$7+'Alternatyva 1'!AP115</f>
        <v>-2329431.8160736002</v>
      </c>
      <c r="AQ19" s="14">
        <f>AQ11-'Alternatyva 1'!AQ$7+'Alternatyva 1'!AQ115</f>
        <v>-2329431.8160736002</v>
      </c>
      <c r="AR19" s="14">
        <f>AR11-'Alternatyva 1'!AR$7+'Alternatyva 1'!AR115</f>
        <v>-2329431.8160736002</v>
      </c>
      <c r="AS19" s="14">
        <f>AS11-'Alternatyva 1'!AS$7+'Alternatyva 1'!AS115</f>
        <v>-2329431.8160736002</v>
      </c>
      <c r="AT19" s="14">
        <f>AT11-'Alternatyva 1'!AT$7+'Alternatyva 1'!AT115</f>
        <v>-2329431.8160736002</v>
      </c>
      <c r="AU19" s="14">
        <f>AU11-'Alternatyva 1'!AU$7+'Alternatyva 1'!AU115</f>
        <v>-2329431.8160736002</v>
      </c>
      <c r="AV19" s="14">
        <f>AV11-'Alternatyva 1'!AV$7+'Alternatyva 1'!AV115</f>
        <v>-2329431.8160736002</v>
      </c>
      <c r="AW19" s="14">
        <f>AW11-'Alternatyva 1'!AW$7+'Alternatyva 1'!AW115</f>
        <v>-2329431.8160736002</v>
      </c>
      <c r="AX19" s="14">
        <f>AX11-'Alternatyva 1'!AX$7+'Alternatyva 1'!AX115</f>
        <v>-2329431.8160736002</v>
      </c>
      <c r="AY19" s="14">
        <f>AY11-'Alternatyva 1'!AY$7+'Alternatyva 1'!AY115</f>
        <v>-2329431.8160736002</v>
      </c>
      <c r="AZ19" s="14">
        <f>AZ11-'Alternatyva 1'!AZ$7+'Alternatyva 1'!AZ115</f>
        <v>-2329431.8160736002</v>
      </c>
      <c r="BA19" s="14">
        <f>BA11-'Alternatyva 1'!BA$7+'Alternatyva 1'!BA115</f>
        <v>-2329431.8160736002</v>
      </c>
      <c r="BB19" s="14">
        <f>BB11-'Alternatyva 1'!BB$7+'Alternatyva 1'!BB115</f>
        <v>-2329431.8160736002</v>
      </c>
      <c r="BC19" s="14">
        <f>BC11-'Alternatyva 1'!BC$7+'Alternatyva 1'!BC115</f>
        <v>-2329431.8160736002</v>
      </c>
      <c r="BD19" s="14">
        <f>BD11-'Alternatyva 1'!BD$7+'Alternatyva 1'!BD115</f>
        <v>-2329431.8160736002</v>
      </c>
      <c r="BE19" s="14">
        <f>BE11-'Alternatyva 1'!BE$7+'Alternatyva 1'!BE115</f>
        <v>-2329431.8160736002</v>
      </c>
      <c r="BF19" s="14">
        <f>BF11-'Alternatyva 1'!BF$7+'Alternatyva 1'!BF115</f>
        <v>-2329431.8160736002</v>
      </c>
      <c r="BG19" s="14">
        <f>BG11-'Alternatyva 1'!BG$7+'Alternatyva 1'!BG115</f>
        <v>-2329431.8160736002</v>
      </c>
      <c r="BH19" s="14">
        <f>BH11-'Alternatyva 1'!BH$7+'Alternatyva 1'!BH115</f>
        <v>-2329431.8160736002</v>
      </c>
      <c r="BI19" s="14">
        <f>BI11-'Alternatyva 1'!BI$7+'Alternatyva 1'!BI115</f>
        <v>-2329431.8160736002</v>
      </c>
      <c r="BJ19" s="14">
        <f>BJ11-'Alternatyva 1'!BJ$7+'Alternatyva 1'!BJ115</f>
        <v>-2329431.8160736002</v>
      </c>
      <c r="BK19" s="14">
        <f>BK11-'Alternatyva 1'!BK$7+'Alternatyva 1'!BK115</f>
        <v>-2329431.8160736002</v>
      </c>
      <c r="BL19" s="14">
        <f>BL11-'Alternatyva 1'!BL$7+'Alternatyva 1'!BL115</f>
        <v>-2329431.8160736002</v>
      </c>
      <c r="BM19" s="14">
        <f>BM11-'Alternatyva 1'!BM$7+'Alternatyva 1'!BM115</f>
        <v>-2329431.8160736002</v>
      </c>
      <c r="BN19" s="14">
        <f>BN11-'Alternatyva 1'!BN$7+'Alternatyva 1'!BN115</f>
        <v>-2329431.8160736002</v>
      </c>
      <c r="BO19" s="14">
        <f>BO11-'Alternatyva 1'!BO$7+'Alternatyva 1'!BO115</f>
        <v>-2329431.8160736002</v>
      </c>
      <c r="BP19" s="14">
        <f>BP11-'Alternatyva 1'!BP$7+'Alternatyva 1'!BP115</f>
        <v>-2329431.8160736002</v>
      </c>
      <c r="BQ19" s="14">
        <f>BQ11-'Alternatyva 1'!BQ$7+'Alternatyva 1'!BQ115</f>
        <v>-2329431.8160736002</v>
      </c>
      <c r="BR19" s="14">
        <f>BR11-'Alternatyva 1'!BR$7+'Alternatyva 1'!BR115</f>
        <v>-2329431.8160736002</v>
      </c>
      <c r="BS19" s="14">
        <f>BS11-'Alternatyva 1'!BS$7+'Alternatyva 1'!BS115</f>
        <v>-2329431.8160736002</v>
      </c>
      <c r="BT19" s="14">
        <f>BT11-'Alternatyva 1'!BT$7+'Alternatyva 1'!BT115</f>
        <v>-2329431.8160736002</v>
      </c>
      <c r="BU19" s="14">
        <f>BU11-'Alternatyva 1'!BU$7+'Alternatyva 1'!BU115</f>
        <v>-2329431.8160736002</v>
      </c>
      <c r="BV19" s="14">
        <f>BV11-'Alternatyva 1'!BV$7+'Alternatyva 1'!BV115</f>
        <v>-2329431.8160736002</v>
      </c>
      <c r="BW19" s="14">
        <f>BW11-'Alternatyva 1'!BW$7+'Alternatyva 1'!BW115</f>
        <v>-2329431.8160736002</v>
      </c>
      <c r="BX19" s="14">
        <f>BX11-'Alternatyva 1'!BX$7+'Alternatyva 1'!BX115</f>
        <v>-2329431.8160736002</v>
      </c>
      <c r="BY19" s="14">
        <f>BY11-'Alternatyva 1'!BY$7+'Alternatyva 1'!BY115</f>
        <v>-2329431.8160736002</v>
      </c>
      <c r="BZ19" s="14">
        <f>BZ11-'Alternatyva 1'!BZ$7+'Alternatyva 1'!BZ115</f>
        <v>-2329431.8160736002</v>
      </c>
      <c r="CA19" s="14">
        <f>CA11-'Alternatyva 1'!CA$7+'Alternatyva 1'!CA115</f>
        <v>-2329431.8160736002</v>
      </c>
      <c r="CB19" s="14">
        <f>CB11-'Alternatyva 1'!CB$7+'Alternatyva 1'!CB115</f>
        <v>-2329431.8160736002</v>
      </c>
      <c r="CC19" s="14">
        <f>CC11-'Alternatyva 1'!CC$7+'Alternatyva 1'!CC115</f>
        <v>-2329431.8160736002</v>
      </c>
      <c r="CD19" s="14">
        <f>CD11-'Alternatyva 1'!CD$7+'Alternatyva 1'!CD115</f>
        <v>-2329431.8160736002</v>
      </c>
      <c r="CE19" s="14">
        <f>CE11-'Alternatyva 1'!CE$7+'Alternatyva 1'!CE115</f>
        <v>-2329431.8160736002</v>
      </c>
      <c r="CF19" s="14">
        <f>CF11-'Alternatyva 1'!CF$7+'Alternatyva 1'!CF115</f>
        <v>-2329431.8160736002</v>
      </c>
      <c r="CG19" s="14">
        <f>CG11-'Alternatyva 1'!CG$7+'Alternatyva 1'!CG115</f>
        <v>-2329431.8160736002</v>
      </c>
      <c r="CH19" s="14">
        <f>CH11-'Alternatyva 1'!CH$7+'Alternatyva 1'!CH115</f>
        <v>-2329431.8160736002</v>
      </c>
      <c r="CI19" s="14">
        <f>CI11-'Alternatyva 1'!CI$7+'Alternatyva 1'!CI115</f>
        <v>-2329431.8160736002</v>
      </c>
      <c r="CJ19" s="14">
        <f>CJ11-'Alternatyva 1'!CJ$7+'Alternatyva 1'!CJ115</f>
        <v>-2329431.8160736002</v>
      </c>
      <c r="CK19" s="14">
        <f>CK11-'Alternatyva 1'!CK$7+'Alternatyva 1'!CK115</f>
        <v>-2329431.8160736002</v>
      </c>
      <c r="CL19" s="14">
        <f>CL11-'Alternatyva 1'!CL$7+'Alternatyva 1'!CL115</f>
        <v>-2329431.8160736002</v>
      </c>
      <c r="CM19" s="14">
        <f>CM11-'Alternatyva 1'!CM$7+'Alternatyva 1'!CM115</f>
        <v>-2329431.8160736002</v>
      </c>
      <c r="CN19" s="14">
        <f>CN11-'Alternatyva 1'!CN$7+'Alternatyva 1'!CN115</f>
        <v>-2329431.8160736002</v>
      </c>
      <c r="CO19" s="14">
        <f>CO11-'Alternatyva 1'!CO$7+'Alternatyva 1'!CO115</f>
        <v>-2329431.8160736002</v>
      </c>
      <c r="CP19" s="14">
        <f>CP11-'Alternatyva 1'!CP$7+'Alternatyva 1'!CP115</f>
        <v>-2329431.8160736002</v>
      </c>
      <c r="CQ19" s="14">
        <f>CQ11-'Alternatyva 1'!CQ$7+'Alternatyva 1'!CQ115</f>
        <v>-2329431.8160736002</v>
      </c>
      <c r="CR19" s="14">
        <f>CR11-'Alternatyva 1'!CR$7+'Alternatyva 1'!CR115</f>
        <v>-2329431.8160736002</v>
      </c>
      <c r="CS19" s="14">
        <f>CS11-'Alternatyva 1'!CS$7+'Alternatyva 1'!CS115</f>
        <v>-2329431.8160736002</v>
      </c>
      <c r="CT19" s="14">
        <f>CT11-'Alternatyva 1'!CT$7+'Alternatyva 1'!CT115</f>
        <v>-2329431.8160736002</v>
      </c>
      <c r="CU19" s="14">
        <f>CU11-'Alternatyva 1'!CU$7+'Alternatyva 1'!CU115</f>
        <v>-2329431.8160736002</v>
      </c>
      <c r="CV19" s="14">
        <f>CV11-'Alternatyva 1'!CV$7+'Alternatyva 1'!CV115</f>
        <v>-2329431.8160736002</v>
      </c>
      <c r="CW19" s="14">
        <f>CW11-'Alternatyva 1'!CW$7+'Alternatyva 1'!CW115</f>
        <v>-2329431.8160736002</v>
      </c>
      <c r="CX19" s="14">
        <f>CX11-'Alternatyva 1'!CX$7+'Alternatyva 1'!CX115</f>
        <v>-2329431.8160736002</v>
      </c>
      <c r="CY19" s="14">
        <f>CY11-'Alternatyva 1'!CY$7+'Alternatyva 1'!CY115</f>
        <v>-2329431.8160736002</v>
      </c>
      <c r="CZ19" s="14">
        <f>CZ11-'Alternatyva 1'!CZ$7+'Alternatyva 1'!CZ115</f>
        <v>-2329431.8160736002</v>
      </c>
      <c r="DA19" s="14">
        <f>DA11-'Alternatyva 1'!DA$7+'Alternatyva 1'!DA115</f>
        <v>-2329431.8160736002</v>
      </c>
      <c r="DB19" s="14">
        <f>DB11-'Alternatyva 1'!DB$7+'Alternatyva 1'!DB115</f>
        <v>-2329431.8160736002</v>
      </c>
      <c r="DC19" s="14">
        <f>DC11-'Alternatyva 1'!DC$7+'Alternatyva 1'!DC115</f>
        <v>-2329431.8160736002</v>
      </c>
    </row>
    <row r="20" spans="2:108" ht="15" customHeight="1">
      <c r="C20" s="783" t="s">
        <v>272</v>
      </c>
      <c r="D20" s="784"/>
      <c r="E20" s="785"/>
      <c r="F20" s="54">
        <f>H19+NPV(FD,I19:INDEX(I19:DC19,PAL))</f>
        <v>-133624892.96759719</v>
      </c>
      <c r="G20" s="53"/>
      <c r="H20" s="10"/>
      <c r="I20" s="10"/>
      <c r="J20" s="10"/>
      <c r="K20" s="10"/>
      <c r="L20" s="10"/>
      <c r="M20" s="10"/>
      <c r="N20" s="10"/>
      <c r="O20" s="10"/>
      <c r="P20" s="10"/>
      <c r="Q20" s="10"/>
      <c r="R20" s="10"/>
      <c r="S20" s="10"/>
      <c r="T20" s="10"/>
      <c r="U20" s="10"/>
      <c r="V20" s="10"/>
      <c r="W20" s="10"/>
      <c r="X20" s="10">
        <f>X12-'Alternatyva 1'!X7+'Alternatyva 1'!X112</f>
        <v>-10183020.3630432</v>
      </c>
      <c r="Y20" s="10">
        <f>Y12-'Alternatyva 1'!Y7+'Alternatyva 1'!Y112</f>
        <v>-10183020.3630432</v>
      </c>
      <c r="Z20" s="10">
        <f>Z12-'Alternatyva 1'!Z7+'Alternatyva 1'!Z112</f>
        <v>-10183020.3630432</v>
      </c>
      <c r="AA20" s="10">
        <f>AA12-'Alternatyva 1'!AA7+'Alternatyva 1'!AA112</f>
        <v>-10183020.3630432</v>
      </c>
      <c r="AB20" s="10">
        <f>AB12-'Alternatyva 1'!AB7+'Alternatyva 1'!AB112</f>
        <v>-10183020.3630432</v>
      </c>
      <c r="AC20" s="10">
        <f>AC12-'Alternatyva 1'!AC7+'Alternatyva 1'!AC112</f>
        <v>-2329431.8160736002</v>
      </c>
      <c r="AD20" s="10">
        <f>AD12-'Alternatyva 1'!AD7+'Alternatyva 1'!AD112</f>
        <v>-2329431.8160736002</v>
      </c>
      <c r="AE20" s="10">
        <f>AE12-'Alternatyva 1'!AE7+'Alternatyva 1'!AE112</f>
        <v>-2329431.8160736002</v>
      </c>
      <c r="AF20" s="10">
        <f>AF12-'Alternatyva 1'!AF7+'Alternatyva 1'!AF112</f>
        <v>-2329431.8160736002</v>
      </c>
      <c r="AG20" s="10">
        <f>AG12-'Alternatyva 1'!AG7+'Alternatyva 1'!AG112</f>
        <v>-2329431.8160736002</v>
      </c>
      <c r="AH20" s="10">
        <f>AH12-'Alternatyva 1'!AH7+'Alternatyva 1'!AH112</f>
        <v>-2329431.8160736002</v>
      </c>
      <c r="AI20" s="10">
        <f>AI12-'Alternatyva 1'!AI7+'Alternatyva 1'!AI112</f>
        <v>-2329431.8160736002</v>
      </c>
      <c r="AJ20" s="10">
        <f>AJ12-'Alternatyva 1'!AJ7+'Alternatyva 1'!AJ112</f>
        <v>-2329431.8160736002</v>
      </c>
      <c r="AK20" s="10">
        <f>AK12-'Alternatyva 1'!AK7+'Alternatyva 1'!AK112</f>
        <v>-2329431.8160736002</v>
      </c>
      <c r="AL20" s="10">
        <f>AL12-'Alternatyva 1'!AL7+'Alternatyva 1'!AL112</f>
        <v>-2329431.8160736002</v>
      </c>
      <c r="AM20" s="10">
        <f>AM12-'Alternatyva 1'!AM7+'Alternatyva 1'!AM112</f>
        <v>-2329431.8160736002</v>
      </c>
      <c r="AN20" s="10">
        <f>AN12-'Alternatyva 1'!AN7+'Alternatyva 1'!AN112</f>
        <v>-2329431.8160736002</v>
      </c>
      <c r="AO20" s="10">
        <f>AO12-'Alternatyva 1'!AO7+'Alternatyva 1'!AO112</f>
        <v>-2329431.8160736002</v>
      </c>
      <c r="AP20" s="10">
        <f>AP12-'Alternatyva 1'!AP7+'Alternatyva 1'!AP112</f>
        <v>-2329431.8160736002</v>
      </c>
      <c r="AQ20" s="10">
        <f>AQ12-'Alternatyva 1'!AQ7+'Alternatyva 1'!AQ112</f>
        <v>-2329431.8160736002</v>
      </c>
      <c r="AR20" s="10">
        <f>AR12-'Alternatyva 1'!AR7+'Alternatyva 1'!AR112</f>
        <v>-2329431.8160736002</v>
      </c>
      <c r="AS20" s="10">
        <f>AS12-'Alternatyva 1'!AS7+'Alternatyva 1'!AS112</f>
        <v>-2329431.8160736002</v>
      </c>
      <c r="AT20" s="10">
        <f>AT12-'Alternatyva 1'!AT7+'Alternatyva 1'!AT112</f>
        <v>-2329431.8160736002</v>
      </c>
      <c r="AU20" s="10">
        <f>AU12-'Alternatyva 1'!AU7+'Alternatyva 1'!AU112</f>
        <v>-2329431.8160736002</v>
      </c>
      <c r="AV20" s="10">
        <f>AV12-'Alternatyva 1'!AV7+'Alternatyva 1'!AV112</f>
        <v>-2329431.8160736002</v>
      </c>
      <c r="AW20" s="10">
        <f>AW12-'Alternatyva 1'!AW7+'Alternatyva 1'!AW112</f>
        <v>-2329431.8160736002</v>
      </c>
      <c r="AX20" s="10">
        <f>AX12-'Alternatyva 1'!AX7+'Alternatyva 1'!AX112</f>
        <v>-2329431.8160736002</v>
      </c>
      <c r="AY20" s="10">
        <f>AY12-'Alternatyva 1'!AY7+'Alternatyva 1'!AY112</f>
        <v>-2329431.8160736002</v>
      </c>
      <c r="AZ20" s="10">
        <f>AZ12-'Alternatyva 1'!AZ7+'Alternatyva 1'!AZ112</f>
        <v>-2329431.8160736002</v>
      </c>
      <c r="BA20" s="10">
        <f>BA12-'Alternatyva 1'!BA7+'Alternatyva 1'!BA112</f>
        <v>-2329431.8160736002</v>
      </c>
      <c r="BB20" s="10">
        <f>BB12-'Alternatyva 1'!BB7+'Alternatyva 1'!BB112</f>
        <v>-2329431.8160736002</v>
      </c>
      <c r="BC20" s="10">
        <f>BC12-'Alternatyva 1'!BC7+'Alternatyva 1'!BC112</f>
        <v>-2329431.8160736002</v>
      </c>
      <c r="BD20" s="10">
        <f>BD12-'Alternatyva 1'!BD7+'Alternatyva 1'!BD112</f>
        <v>-2329431.8160736002</v>
      </c>
      <c r="BE20" s="10">
        <f>BE12-'Alternatyva 1'!BE7+'Alternatyva 1'!BE112</f>
        <v>-2329431.8160736002</v>
      </c>
      <c r="BF20" s="10">
        <f>BF12-'Alternatyva 1'!BF7+'Alternatyva 1'!BF112</f>
        <v>-2329431.8160736002</v>
      </c>
      <c r="BG20" s="10">
        <f>BG12-'Alternatyva 1'!BG7+'Alternatyva 1'!BG112</f>
        <v>-2329431.8160736002</v>
      </c>
      <c r="BH20" s="10">
        <f>BH12-'Alternatyva 1'!BH7+'Alternatyva 1'!BH112</f>
        <v>-2329431.8160736002</v>
      </c>
      <c r="BI20" s="10">
        <f>BI12-'Alternatyva 1'!BI7+'Alternatyva 1'!BI112</f>
        <v>-2329431.8160736002</v>
      </c>
      <c r="BJ20" s="10">
        <f>BJ12-'Alternatyva 1'!BJ7+'Alternatyva 1'!BJ112</f>
        <v>-2329431.8160736002</v>
      </c>
      <c r="BK20" s="10">
        <f>BK12-'Alternatyva 1'!BK7+'Alternatyva 1'!BK112</f>
        <v>-2329431.8160736002</v>
      </c>
      <c r="BL20" s="10">
        <f>BL12-'Alternatyva 1'!BL7+'Alternatyva 1'!BL112</f>
        <v>-2329431.8160736002</v>
      </c>
      <c r="BM20" s="10">
        <f>BM12-'Alternatyva 1'!BM7+'Alternatyva 1'!BM112</f>
        <v>-2329431.8160736002</v>
      </c>
      <c r="BN20" s="10">
        <f>BN12-'Alternatyva 1'!BN7+'Alternatyva 1'!BN112</f>
        <v>-2329431.8160736002</v>
      </c>
      <c r="BO20" s="10">
        <f>BO12-'Alternatyva 1'!BO7+'Alternatyva 1'!BO112</f>
        <v>-2329431.8160736002</v>
      </c>
      <c r="BP20" s="10">
        <f>BP12-'Alternatyva 1'!BP7+'Alternatyva 1'!BP112</f>
        <v>-2329431.8160736002</v>
      </c>
      <c r="BQ20" s="10">
        <f>BQ12-'Alternatyva 1'!BQ7+'Alternatyva 1'!BQ112</f>
        <v>-2329431.8160736002</v>
      </c>
      <c r="BR20" s="10">
        <f>BR12-'Alternatyva 1'!BR7+'Alternatyva 1'!BR112</f>
        <v>-2329431.8160736002</v>
      </c>
      <c r="BS20" s="10">
        <f>BS12-'Alternatyva 1'!BS7+'Alternatyva 1'!BS112</f>
        <v>-2329431.8160736002</v>
      </c>
      <c r="BT20" s="10">
        <f>BT12-'Alternatyva 1'!BT7+'Alternatyva 1'!BT112</f>
        <v>-2329431.8160736002</v>
      </c>
      <c r="BU20" s="10">
        <f>BU12-'Alternatyva 1'!BU7+'Alternatyva 1'!BU112</f>
        <v>-2329431.8160736002</v>
      </c>
      <c r="BV20" s="10">
        <f>BV12-'Alternatyva 1'!BV7+'Alternatyva 1'!BV112</f>
        <v>-2329431.8160736002</v>
      </c>
      <c r="BW20" s="10">
        <f>BW12-'Alternatyva 1'!BW7+'Alternatyva 1'!BW112</f>
        <v>-2329431.8160736002</v>
      </c>
      <c r="BX20" s="10">
        <f>BX12-'Alternatyva 1'!BX7+'Alternatyva 1'!BX112</f>
        <v>-2329431.8160736002</v>
      </c>
      <c r="BY20" s="10">
        <f>BY12-'Alternatyva 1'!BY7+'Alternatyva 1'!BY112</f>
        <v>-2329431.8160736002</v>
      </c>
      <c r="BZ20" s="10">
        <f>BZ12-'Alternatyva 1'!BZ7+'Alternatyva 1'!BZ112</f>
        <v>-2329431.8160736002</v>
      </c>
      <c r="CA20" s="10">
        <f>CA12-'Alternatyva 1'!CA7+'Alternatyva 1'!CA112</f>
        <v>-2329431.8160736002</v>
      </c>
      <c r="CB20" s="10">
        <f>CB12-'Alternatyva 1'!CB7+'Alternatyva 1'!CB112</f>
        <v>-2329431.8160736002</v>
      </c>
      <c r="CC20" s="10">
        <f>CC12-'Alternatyva 1'!CC7+'Alternatyva 1'!CC112</f>
        <v>-2329431.8160736002</v>
      </c>
      <c r="CD20" s="10">
        <f>CD12-'Alternatyva 1'!CD7+'Alternatyva 1'!CD112</f>
        <v>-2329431.8160736002</v>
      </c>
      <c r="CE20" s="10">
        <f>CE12-'Alternatyva 1'!CE7+'Alternatyva 1'!CE112</f>
        <v>-2329431.8160736002</v>
      </c>
      <c r="CF20" s="10">
        <f>CF12-'Alternatyva 1'!CF7+'Alternatyva 1'!CF112</f>
        <v>-2329431.8160736002</v>
      </c>
      <c r="CG20" s="10">
        <f>CG12-'Alternatyva 1'!CG7+'Alternatyva 1'!CG112</f>
        <v>-2329431.8160736002</v>
      </c>
      <c r="CH20" s="10">
        <f>CH12-'Alternatyva 1'!CH7+'Alternatyva 1'!CH112</f>
        <v>-2329431.8160736002</v>
      </c>
      <c r="CI20" s="10">
        <f>CI12-'Alternatyva 1'!CI7+'Alternatyva 1'!CI112</f>
        <v>-2329431.8160736002</v>
      </c>
      <c r="CJ20" s="10">
        <f>CJ12-'Alternatyva 1'!CJ7+'Alternatyva 1'!CJ112</f>
        <v>-2329431.8160736002</v>
      </c>
      <c r="CK20" s="10">
        <f>CK12-'Alternatyva 1'!CK7+'Alternatyva 1'!CK112</f>
        <v>-2329431.8160736002</v>
      </c>
      <c r="CL20" s="10">
        <f>CL12-'Alternatyva 1'!CL7+'Alternatyva 1'!CL112</f>
        <v>-2329431.8160736002</v>
      </c>
      <c r="CM20" s="10">
        <f>CM12-'Alternatyva 1'!CM7+'Alternatyva 1'!CM112</f>
        <v>-2329431.8160736002</v>
      </c>
      <c r="CN20" s="10">
        <f>CN12-'Alternatyva 1'!CN7+'Alternatyva 1'!CN112</f>
        <v>-2329431.8160736002</v>
      </c>
      <c r="CO20" s="10">
        <f>CO12-'Alternatyva 1'!CO7+'Alternatyva 1'!CO112</f>
        <v>-2329431.8160736002</v>
      </c>
      <c r="CP20" s="10">
        <f>CP12-'Alternatyva 1'!CP7+'Alternatyva 1'!CP112</f>
        <v>-2329431.8160736002</v>
      </c>
      <c r="CQ20" s="10">
        <f>CQ12-'Alternatyva 1'!CQ7+'Alternatyva 1'!CQ112</f>
        <v>-2329431.8160736002</v>
      </c>
      <c r="CR20" s="10">
        <f>CR12-'Alternatyva 1'!CR7+'Alternatyva 1'!CR112</f>
        <v>-2329431.8160736002</v>
      </c>
      <c r="CS20" s="10">
        <f>CS12-'Alternatyva 1'!CS7+'Alternatyva 1'!CS112</f>
        <v>-2329431.8160736002</v>
      </c>
      <c r="CT20" s="10">
        <f>CT12-'Alternatyva 1'!CT7+'Alternatyva 1'!CT112</f>
        <v>-2329431.8160736002</v>
      </c>
      <c r="CU20" s="10">
        <f>CU12-'Alternatyva 1'!CU7+'Alternatyva 1'!CU112</f>
        <v>-2329431.8160736002</v>
      </c>
      <c r="CV20" s="10">
        <f>CV12-'Alternatyva 1'!CV7+'Alternatyva 1'!CV112</f>
        <v>-2329431.8160736002</v>
      </c>
      <c r="CW20" s="10">
        <f>CW12-'Alternatyva 1'!CW7+'Alternatyva 1'!CW112</f>
        <v>-2329431.8160736002</v>
      </c>
      <c r="CX20" s="10">
        <f>CX12-'Alternatyva 1'!CX7+'Alternatyva 1'!CX112</f>
        <v>-2329431.8160736002</v>
      </c>
      <c r="CY20" s="10">
        <f>CY12-'Alternatyva 1'!CY7+'Alternatyva 1'!CY112</f>
        <v>-2329431.8160736002</v>
      </c>
      <c r="CZ20" s="10">
        <f>CZ12-'Alternatyva 1'!CZ7+'Alternatyva 1'!CZ112</f>
        <v>-2329431.8160736002</v>
      </c>
      <c r="DA20" s="10">
        <f>DA12-'Alternatyva 1'!DA7+'Alternatyva 1'!DA112</f>
        <v>-2329431.8160736002</v>
      </c>
      <c r="DB20" s="10">
        <f>DB12-'Alternatyva 1'!DB7+'Alternatyva 1'!DB112</f>
        <v>-2329431.8160736002</v>
      </c>
      <c r="DC20" s="10">
        <f>DC12-'Alternatyva 1'!DC7+'Alternatyva 1'!DC112</f>
        <v>-2329431.8160736002</v>
      </c>
      <c r="DD20" s="10">
        <f>DD12-'Alternatyva 1'!DD7+'Alternatyva 1'!DD112</f>
        <v>0</v>
      </c>
    </row>
    <row r="21" spans="2:108" ht="15" customHeight="1">
      <c r="C21" s="783" t="s">
        <v>273</v>
      </c>
      <c r="D21" s="784"/>
      <c r="E21" s="785"/>
      <c r="F21" s="174" t="str">
        <f>IFERROR(IRR(H19:INDEX(H19:DC19,PAL+1)),"-")</f>
        <v>-</v>
      </c>
      <c r="G21" s="45"/>
      <c r="H21" s="10"/>
    </row>
    <row r="22" spans="2:108" ht="15" customHeight="1" thickBot="1">
      <c r="C22" s="789" t="s">
        <v>200</v>
      </c>
      <c r="D22" s="790"/>
      <c r="E22" s="791"/>
      <c r="F22" s="52">
        <f>IFERROR(IF('Alternatyva 1'!F$89&lt;0,SUM('Alternatyva 1'!F$100,-'Alternatyva 1'!F$115,-'Alternatyva 1'!F$89)/SUM('Alternatyva 1'!F$9,'Alternatyva 1'!F$8,-SNA!F11),SUM('Alternatyva 1'!F$100,-'Alternatyva 1'!F$115)/SUM('Alternatyva 1'!F$9,'Alternatyva 1'!F$8,-SNA!F11,'Alternatyva 1'!F$89)),"")</f>
        <v>3.0335185581180743E-2</v>
      </c>
      <c r="G22" s="45"/>
    </row>
    <row r="23" spans="2:108" ht="15" customHeight="1">
      <c r="B23" s="20"/>
      <c r="C23" s="58"/>
      <c r="D23" s="58"/>
      <c r="E23" s="58"/>
      <c r="F23" s="60"/>
      <c r="G23" s="45"/>
    </row>
    <row r="24" spans="2:108" ht="15" customHeight="1">
      <c r="B24" s="31" t="s">
        <v>7</v>
      </c>
      <c r="C24" s="31"/>
      <c r="D24" s="31"/>
      <c r="E24" s="31"/>
      <c r="F24" s="786" t="s">
        <v>32</v>
      </c>
      <c r="G24" s="798"/>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786" t="s">
        <v>9</v>
      </c>
      <c r="D25" s="787"/>
      <c r="E25" s="788"/>
      <c r="F25" s="13" t="s">
        <v>34</v>
      </c>
      <c r="G25" s="12" t="s">
        <v>33</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customHeight="1">
      <c r="B26" s="5" t="s">
        <v>18</v>
      </c>
      <c r="C26" s="777" t="s">
        <v>277</v>
      </c>
      <c r="D26" s="778"/>
      <c r="E26" s="779"/>
      <c r="F26" s="49">
        <f>H26+NPV(SD,I26:INDEX(I26:DC26,PAL))</f>
        <v>983056950.6891613</v>
      </c>
      <c r="G26" s="43">
        <f>SUMIF($H$6:$DC$6,"&lt;="&amp;PAL,$H26:$DC26)</f>
        <v>1725998052.0572</v>
      </c>
      <c r="H26" s="43">
        <f>'Alternatyva 2'!H$117</f>
        <v>0</v>
      </c>
      <c r="I26" s="43">
        <f>'Alternatyva 2'!I$117</f>
        <v>986517.07499999995</v>
      </c>
      <c r="J26" s="43">
        <f>'Alternatyva 2'!J$117</f>
        <v>29971710.582949981</v>
      </c>
      <c r="K26" s="43">
        <f>'Alternatyva 2'!K$117</f>
        <v>38957595.624164641</v>
      </c>
      <c r="L26" s="43">
        <f>'Alternatyva 2'!L$117</f>
        <v>79099264.526047871</v>
      </c>
      <c r="M26" s="43">
        <f>'Alternatyva 2'!M$117</f>
        <v>81085398.590284094</v>
      </c>
      <c r="N26" s="43">
        <f>'Alternatyva 2'!N$117</f>
        <v>83126373.721350878</v>
      </c>
      <c r="O26" s="43">
        <f>'Alternatyva 2'!O$117</f>
        <v>85223743.608951807</v>
      </c>
      <c r="P26" s="43">
        <f>'Alternatyva 2'!P$117</f>
        <v>87379106.280514657</v>
      </c>
      <c r="Q26" s="43">
        <f>'Alternatyva 2'!Q$117</f>
        <v>89594105.369597584</v>
      </c>
      <c r="R26" s="43">
        <f>'Alternatyva 2'!R$117</f>
        <v>91870431.420618981</v>
      </c>
      <c r="S26" s="43">
        <f>'Alternatyva 2'!S$117</f>
        <v>94209823.230958447</v>
      </c>
      <c r="T26" s="43">
        <f>'Alternatyva 2'!T$117</f>
        <v>96614069.231494695</v>
      </c>
      <c r="U26" s="43">
        <f>'Alternatyva 2'!U$117</f>
        <v>99085008.906686708</v>
      </c>
      <c r="V26" s="43">
        <f>'Alternatyva 2'!V$117</f>
        <v>101624534.25532681</v>
      </c>
      <c r="W26" s="43">
        <f>'Alternatyva 2'!W$117</f>
        <v>104234591.293135</v>
      </c>
      <c r="X26" s="43">
        <f>'Alternatyva 2'!X$117</f>
        <v>106917181.59839237</v>
      </c>
      <c r="Y26" s="43">
        <f>'Alternatyva 2'!Y$117</f>
        <v>109674363.90184607</v>
      </c>
      <c r="Z26" s="43">
        <f>'Alternatyva 2'!Z$117</f>
        <v>112508255.72215754</v>
      </c>
      <c r="AA26" s="43">
        <f>'Alternatyva 2'!AA$117</f>
        <v>115421035.04819649</v>
      </c>
      <c r="AB26" s="43">
        <f>'Alternatyva 2'!AB$117</f>
        <v>118414942.0695252</v>
      </c>
      <c r="AC26" s="43">
        <f>'Alternatyva 2'!AC$117</f>
        <v>0</v>
      </c>
      <c r="AD26" s="43">
        <f>'Alternatyva 2'!AD$117</f>
        <v>0</v>
      </c>
      <c r="AE26" s="43">
        <f>'Alternatyva 2'!AE$117</f>
        <v>0</v>
      </c>
      <c r="AF26" s="43">
        <f>'Alternatyva 2'!AF$117</f>
        <v>0</v>
      </c>
      <c r="AG26" s="43">
        <f>'Alternatyva 2'!AG$117</f>
        <v>0</v>
      </c>
      <c r="AH26" s="43">
        <f>'Alternatyva 2'!AH$117</f>
        <v>0</v>
      </c>
      <c r="AI26" s="43">
        <f>'Alternatyva 2'!AI$117</f>
        <v>0</v>
      </c>
      <c r="AJ26" s="43">
        <f>'Alternatyva 2'!AJ$117</f>
        <v>0</v>
      </c>
      <c r="AK26" s="43">
        <f>'Alternatyva 2'!AK$117</f>
        <v>0</v>
      </c>
      <c r="AL26" s="43">
        <f>'Alternatyva 2'!AL$117</f>
        <v>0</v>
      </c>
      <c r="AM26" s="43" t="e">
        <f>'Alternatyva 2'!AM$117</f>
        <v>#REF!</v>
      </c>
      <c r="AN26" s="43">
        <f>'Alternatyva 2'!AN$117</f>
        <v>0</v>
      </c>
      <c r="AO26" s="43">
        <f>'Alternatyva 2'!AO$117</f>
        <v>0</v>
      </c>
      <c r="AP26" s="43">
        <f>'Alternatyva 2'!AP$117</f>
        <v>0</v>
      </c>
      <c r="AQ26" s="43">
        <f>'Alternatyva 2'!AQ$117</f>
        <v>0</v>
      </c>
      <c r="AR26" s="43">
        <f>'Alternatyva 2'!AR$117</f>
        <v>0</v>
      </c>
      <c r="AS26" s="43">
        <f>'Alternatyva 2'!AS$117</f>
        <v>0</v>
      </c>
      <c r="AT26" s="43">
        <f>'Alternatyva 2'!AT$117</f>
        <v>0</v>
      </c>
      <c r="AU26" s="43">
        <f>'Alternatyva 2'!AU$117</f>
        <v>0</v>
      </c>
      <c r="AV26" s="43">
        <f>'Alternatyva 2'!AV$117</f>
        <v>0</v>
      </c>
      <c r="AW26" s="43">
        <f>'Alternatyva 2'!AW$117</f>
        <v>0</v>
      </c>
      <c r="AX26" s="43">
        <f>'Alternatyva 2'!AX$117</f>
        <v>0</v>
      </c>
      <c r="AY26" s="43">
        <f>'Alternatyva 2'!AY$117</f>
        <v>0</v>
      </c>
      <c r="AZ26" s="43">
        <f>'Alternatyva 2'!AZ$117</f>
        <v>0</v>
      </c>
      <c r="BA26" s="43">
        <f>'Alternatyva 2'!BA$117</f>
        <v>0</v>
      </c>
      <c r="BB26" s="43">
        <f>'Alternatyva 2'!BB$117</f>
        <v>0</v>
      </c>
      <c r="BC26" s="43">
        <f>'Alternatyva 2'!BC$117</f>
        <v>0</v>
      </c>
      <c r="BD26" s="43">
        <f>'Alternatyva 2'!BD$117</f>
        <v>0</v>
      </c>
      <c r="BE26" s="43">
        <f>'Alternatyva 2'!BE$117</f>
        <v>0</v>
      </c>
      <c r="BF26" s="43">
        <f>'Alternatyva 2'!BF$117</f>
        <v>0</v>
      </c>
      <c r="BG26" s="43">
        <f>'Alternatyva 2'!BG$117</f>
        <v>0</v>
      </c>
      <c r="BH26" s="43">
        <f>'Alternatyva 2'!BH$117</f>
        <v>0</v>
      </c>
      <c r="BI26" s="43">
        <f>'Alternatyva 2'!BI$117</f>
        <v>0</v>
      </c>
      <c r="BJ26" s="43">
        <f>'Alternatyva 2'!BJ$117</f>
        <v>0</v>
      </c>
      <c r="BK26" s="43">
        <f>'Alternatyva 2'!BK$117</f>
        <v>0</v>
      </c>
      <c r="BL26" s="43">
        <f>'Alternatyva 2'!BL$117</f>
        <v>0</v>
      </c>
      <c r="BM26" s="43">
        <f>'Alternatyva 2'!BM$117</f>
        <v>0</v>
      </c>
      <c r="BN26" s="43">
        <f>'Alternatyva 2'!BN$117</f>
        <v>0</v>
      </c>
      <c r="BO26" s="43">
        <f>'Alternatyva 2'!BO$117</f>
        <v>0</v>
      </c>
      <c r="BP26" s="43">
        <f>'Alternatyva 2'!BP$117</f>
        <v>0</v>
      </c>
      <c r="BQ26" s="43">
        <f>'Alternatyva 2'!BQ$117</f>
        <v>0</v>
      </c>
      <c r="BR26" s="43">
        <f>'Alternatyva 2'!BR$117</f>
        <v>0</v>
      </c>
      <c r="BS26" s="43">
        <f>'Alternatyva 2'!BS$117</f>
        <v>0</v>
      </c>
      <c r="BT26" s="43">
        <f>'Alternatyva 2'!BT$117</f>
        <v>0</v>
      </c>
      <c r="BU26" s="43">
        <f>'Alternatyva 2'!BU$117</f>
        <v>0</v>
      </c>
      <c r="BV26" s="43">
        <f>'Alternatyva 2'!BV$117</f>
        <v>0</v>
      </c>
      <c r="BW26" s="43">
        <f>'Alternatyva 2'!BW$117</f>
        <v>0</v>
      </c>
      <c r="BX26" s="43">
        <f>'Alternatyva 2'!BX$117</f>
        <v>0</v>
      </c>
      <c r="BY26" s="43">
        <f>'Alternatyva 2'!BY$117</f>
        <v>0</v>
      </c>
      <c r="BZ26" s="43">
        <f>'Alternatyva 2'!BZ$117</f>
        <v>0</v>
      </c>
      <c r="CA26" s="43">
        <f>'Alternatyva 2'!CA$117</f>
        <v>0</v>
      </c>
      <c r="CB26" s="43">
        <f>'Alternatyva 2'!CB$117</f>
        <v>0</v>
      </c>
      <c r="CC26" s="43">
        <f>'Alternatyva 2'!CC$117</f>
        <v>0</v>
      </c>
      <c r="CD26" s="43">
        <f>'Alternatyva 2'!CD$117</f>
        <v>0</v>
      </c>
      <c r="CE26" s="43">
        <f>'Alternatyva 2'!CE$117</f>
        <v>0</v>
      </c>
      <c r="CF26" s="43">
        <f>'Alternatyva 2'!CF$117</f>
        <v>0</v>
      </c>
      <c r="CG26" s="43">
        <f>'Alternatyva 2'!CG$117</f>
        <v>0</v>
      </c>
      <c r="CH26" s="43">
        <f>'Alternatyva 2'!CH$117</f>
        <v>0</v>
      </c>
      <c r="CI26" s="43">
        <f>'Alternatyva 2'!CI$117</f>
        <v>0</v>
      </c>
      <c r="CJ26" s="43">
        <f>'Alternatyva 2'!CJ$117</f>
        <v>0</v>
      </c>
      <c r="CK26" s="43">
        <f>'Alternatyva 2'!CK$117</f>
        <v>0</v>
      </c>
      <c r="CL26" s="43">
        <f>'Alternatyva 2'!CL$117</f>
        <v>0</v>
      </c>
      <c r="CM26" s="43">
        <f>'Alternatyva 2'!CM$117</f>
        <v>0</v>
      </c>
      <c r="CN26" s="43">
        <f>'Alternatyva 2'!CN$117</f>
        <v>0</v>
      </c>
      <c r="CO26" s="43">
        <f>'Alternatyva 2'!CO$117</f>
        <v>0</v>
      </c>
      <c r="CP26" s="43">
        <f>'Alternatyva 2'!CP$117</f>
        <v>0</v>
      </c>
      <c r="CQ26" s="43">
        <f>'Alternatyva 2'!CQ$117</f>
        <v>0</v>
      </c>
      <c r="CR26" s="43">
        <f>'Alternatyva 2'!CR$117</f>
        <v>0</v>
      </c>
      <c r="CS26" s="43">
        <f>'Alternatyva 2'!CS$117</f>
        <v>0</v>
      </c>
      <c r="CT26" s="43">
        <f>'Alternatyva 2'!CT$117</f>
        <v>0</v>
      </c>
      <c r="CU26" s="43">
        <f>'Alternatyva 2'!CU$117</f>
        <v>0</v>
      </c>
      <c r="CV26" s="43">
        <f>'Alternatyva 2'!CV$117</f>
        <v>0</v>
      </c>
      <c r="CW26" s="43">
        <f>'Alternatyva 2'!CW$117</f>
        <v>0</v>
      </c>
      <c r="CX26" s="43">
        <f>'Alternatyva 2'!CX$117</f>
        <v>0</v>
      </c>
      <c r="CY26" s="43">
        <f>'Alternatyva 2'!CY$117</f>
        <v>0</v>
      </c>
      <c r="CZ26" s="43">
        <f>'Alternatyva 2'!CZ$117</f>
        <v>0</v>
      </c>
      <c r="DA26" s="43">
        <f>'Alternatyva 2'!DA$117</f>
        <v>0</v>
      </c>
      <c r="DB26" s="43">
        <f>'Alternatyva 2'!DB$117</f>
        <v>0</v>
      </c>
      <c r="DC26" s="43">
        <f>'Alternatyva 2'!DC$117</f>
        <v>0</v>
      </c>
    </row>
    <row r="27" spans="2:108" ht="15" customHeight="1">
      <c r="B27" s="5" t="s">
        <v>28</v>
      </c>
      <c r="C27" s="777" t="s">
        <v>257</v>
      </c>
      <c r="D27" s="778"/>
      <c r="E27" s="779"/>
      <c r="F27" s="49">
        <f>H27+NPV(SD,I27:INDEX(I27:DC27,PAL))</f>
        <v>12030076.657432262</v>
      </c>
      <c r="G27" s="43">
        <f>SUMIF($H$6:$DC$6,"&lt;="&amp;PAL,$H27:$DC27)</f>
        <v>13344107.40519196</v>
      </c>
      <c r="H27" s="43">
        <f>'Alternatyva 2'!H$8+'Alternatyva 2'!H$9-'Alternatyva 2'!H$113</f>
        <v>1730000</v>
      </c>
      <c r="I27" s="43">
        <f>'Alternatyva 2'!I$8+'Alternatyva 2'!I$9-'Alternatyva 2'!I$113</f>
        <v>3387980.7675319999</v>
      </c>
      <c r="J27" s="43">
        <f>'Alternatyva 2'!J$8+'Alternatyva 2'!J$9-'Alternatyva 2'!J$113</f>
        <v>3391930.2703541331</v>
      </c>
      <c r="K27" s="43">
        <f>'Alternatyva 2'!K$8+'Alternatyva 2'!K$9-'Alternatyva 2'!K$113</f>
        <v>4209861.6565620247</v>
      </c>
      <c r="L27" s="43">
        <f>'Alternatyva 2'!L$8+'Alternatyva 2'!L$9-'Alternatyva 2'!L$113</f>
        <v>4132.2314049586776</v>
      </c>
      <c r="M27" s="43">
        <f>'Alternatyva 2'!M$8+'Alternatyva 2'!M$9-'Alternatyva 2'!M$113</f>
        <v>20661.157024793389</v>
      </c>
      <c r="N27" s="43">
        <f>'Alternatyva 2'!N$8+'Alternatyva 2'!N$9-'Alternatyva 2'!N$113</f>
        <v>4500</v>
      </c>
      <c r="O27" s="43">
        <f>'Alternatyva 2'!O$8+'Alternatyva 2'!O$9-'Alternatyva 2'!O$113</f>
        <v>0</v>
      </c>
      <c r="P27" s="43">
        <f>'Alternatyva 2'!P$8+'Alternatyva 2'!P$9-'Alternatyva 2'!P$113</f>
        <v>0</v>
      </c>
      <c r="Q27" s="43">
        <f>'Alternatyva 2'!Q$8+'Alternatyva 2'!Q$9-'Alternatyva 2'!Q$113</f>
        <v>0</v>
      </c>
      <c r="R27" s="43">
        <f>'Alternatyva 2'!R$8+'Alternatyva 2'!R$9-'Alternatyva 2'!R$113</f>
        <v>99173.553719008269</v>
      </c>
      <c r="S27" s="43">
        <f>'Alternatyva 2'!S$8+'Alternatyva 2'!S$9-'Alternatyva 2'!S$113</f>
        <v>198347.10743801654</v>
      </c>
      <c r="T27" s="43">
        <f>'Alternatyva 2'!T$8+'Alternatyva 2'!T$9-'Alternatyva 2'!T$113</f>
        <v>99173.553719008269</v>
      </c>
      <c r="U27" s="43">
        <f>'Alternatyva 2'!U$8+'Alternatyva 2'!U$9-'Alternatyva 2'!U$113</f>
        <v>198347.10743801654</v>
      </c>
      <c r="V27" s="43">
        <f>'Alternatyva 2'!V$8+'Alternatyva 2'!V$9-'Alternatyva 2'!V$113</f>
        <v>0</v>
      </c>
      <c r="W27" s="43">
        <f>'Alternatyva 2'!W$8+'Alternatyva 2'!W$9-'Alternatyva 2'!W$113</f>
        <v>0</v>
      </c>
      <c r="X27" s="43">
        <f>'Alternatyva 2'!X$8+'Alternatyva 2'!X$9-'Alternatyva 2'!X$113</f>
        <v>0</v>
      </c>
      <c r="Y27" s="43">
        <f>'Alternatyva 2'!Y$8+'Alternatyva 2'!Y$9-'Alternatyva 2'!Y$113</f>
        <v>0</v>
      </c>
      <c r="Z27" s="43">
        <f>'Alternatyva 2'!Z$8+'Alternatyva 2'!Z$9-'Alternatyva 2'!Z$113</f>
        <v>0</v>
      </c>
      <c r="AA27" s="43">
        <f>'Alternatyva 2'!AA$8+'Alternatyva 2'!AA$9-'Alternatyva 2'!AA$113</f>
        <v>0</v>
      </c>
      <c r="AB27" s="43">
        <f>'Alternatyva 2'!AB$8+'Alternatyva 2'!AB$9-'Alternatyva 2'!AB$113</f>
        <v>0</v>
      </c>
      <c r="AC27" s="43">
        <f>'Alternatyva 2'!AC$8+'Alternatyva 2'!AC$9-'Alternatyva 2'!AC$113</f>
        <v>0</v>
      </c>
      <c r="AD27" s="43">
        <f>'Alternatyva 2'!AD$8+'Alternatyva 2'!AD$9-'Alternatyva 2'!AD$113</f>
        <v>0</v>
      </c>
      <c r="AE27" s="43">
        <f>'Alternatyva 2'!AE$8+'Alternatyva 2'!AE$9-'Alternatyva 2'!AE$113</f>
        <v>0</v>
      </c>
      <c r="AF27" s="43">
        <f>'Alternatyva 2'!AF$8+'Alternatyva 2'!AF$9-'Alternatyva 2'!AF$113</f>
        <v>0</v>
      </c>
      <c r="AG27" s="43">
        <f>'Alternatyva 2'!AG$8+'Alternatyva 2'!AG$9-'Alternatyva 2'!AG$113</f>
        <v>0</v>
      </c>
      <c r="AH27" s="43">
        <f>'Alternatyva 2'!AH$8+'Alternatyva 2'!AH$9-'Alternatyva 2'!AH$113</f>
        <v>0</v>
      </c>
      <c r="AI27" s="43">
        <f>'Alternatyva 2'!AI$8+'Alternatyva 2'!AI$9-'Alternatyva 2'!AI$113</f>
        <v>0</v>
      </c>
      <c r="AJ27" s="43">
        <f>'Alternatyva 2'!AJ$8+'Alternatyva 2'!AJ$9-'Alternatyva 2'!AJ$113</f>
        <v>0</v>
      </c>
      <c r="AK27" s="43">
        <f>'Alternatyva 2'!AK$8+'Alternatyva 2'!AK$9-'Alternatyva 2'!AK$113</f>
        <v>0</v>
      </c>
      <c r="AL27" s="43">
        <f>'Alternatyva 2'!AL$8+'Alternatyva 2'!AL$9-'Alternatyva 2'!AL$113</f>
        <v>0</v>
      </c>
      <c r="AM27" s="43">
        <f>'Alternatyva 2'!AM$8+'Alternatyva 2'!AM$9-'Alternatyva 2'!AM$113</f>
        <v>0</v>
      </c>
      <c r="AN27" s="43">
        <f>'Alternatyva 2'!AN$8+'Alternatyva 2'!AN$9-'Alternatyva 2'!AN$113</f>
        <v>0</v>
      </c>
      <c r="AO27" s="43">
        <f>'Alternatyva 2'!AO$8+'Alternatyva 2'!AO$9-'Alternatyva 2'!AO$113</f>
        <v>0</v>
      </c>
      <c r="AP27" s="43">
        <f>'Alternatyva 2'!AP$8+'Alternatyva 2'!AP$9-'Alternatyva 2'!AP$113</f>
        <v>0</v>
      </c>
      <c r="AQ27" s="43">
        <f>'Alternatyva 2'!AQ$8+'Alternatyva 2'!AQ$9-'Alternatyva 2'!AQ$113</f>
        <v>0</v>
      </c>
      <c r="AR27" s="43">
        <f>'Alternatyva 2'!AR$8+'Alternatyva 2'!AR$9-'Alternatyva 2'!AR$113</f>
        <v>0</v>
      </c>
      <c r="AS27" s="43">
        <f>'Alternatyva 2'!AS$8+'Alternatyva 2'!AS$9-'Alternatyva 2'!AS$113</f>
        <v>0</v>
      </c>
      <c r="AT27" s="43">
        <f>'Alternatyva 2'!AT$8+'Alternatyva 2'!AT$9-'Alternatyva 2'!AT$113</f>
        <v>0</v>
      </c>
      <c r="AU27" s="43">
        <f>'Alternatyva 2'!AU$8+'Alternatyva 2'!AU$9-'Alternatyva 2'!AU$113</f>
        <v>0</v>
      </c>
      <c r="AV27" s="43">
        <f>'Alternatyva 2'!AV$8+'Alternatyva 2'!AV$9-'Alternatyva 2'!AV$113</f>
        <v>0</v>
      </c>
      <c r="AW27" s="43">
        <f>'Alternatyva 2'!AW$8+'Alternatyva 2'!AW$9-'Alternatyva 2'!AW$113</f>
        <v>0</v>
      </c>
      <c r="AX27" s="43">
        <f>'Alternatyva 2'!AX$8+'Alternatyva 2'!AX$9-'Alternatyva 2'!AX$113</f>
        <v>0</v>
      </c>
      <c r="AY27" s="43">
        <f>'Alternatyva 2'!AY$8+'Alternatyva 2'!AY$9-'Alternatyva 2'!AY$113</f>
        <v>0</v>
      </c>
      <c r="AZ27" s="43">
        <f>'Alternatyva 2'!AZ$8+'Alternatyva 2'!AZ$9-'Alternatyva 2'!AZ$113</f>
        <v>0</v>
      </c>
      <c r="BA27" s="43">
        <f>'Alternatyva 2'!BA$8+'Alternatyva 2'!BA$9-'Alternatyva 2'!BA$113</f>
        <v>0</v>
      </c>
      <c r="BB27" s="43">
        <f>'Alternatyva 2'!BB$8+'Alternatyva 2'!BB$9-'Alternatyva 2'!BB$113</f>
        <v>0</v>
      </c>
      <c r="BC27" s="43">
        <f>'Alternatyva 2'!BC$8+'Alternatyva 2'!BC$9-'Alternatyva 2'!BC$113</f>
        <v>0</v>
      </c>
      <c r="BD27" s="43">
        <f>'Alternatyva 2'!BD$8+'Alternatyva 2'!BD$9-'Alternatyva 2'!BD$113</f>
        <v>0</v>
      </c>
      <c r="BE27" s="43">
        <f>'Alternatyva 2'!BE$8+'Alternatyva 2'!BE$9-'Alternatyva 2'!BE$113</f>
        <v>0</v>
      </c>
      <c r="BF27" s="43">
        <f>'Alternatyva 2'!BF$8+'Alternatyva 2'!BF$9-'Alternatyva 2'!BF$113</f>
        <v>0</v>
      </c>
      <c r="BG27" s="43">
        <f>'Alternatyva 2'!BG$8+'Alternatyva 2'!BG$9-'Alternatyva 2'!BG$113</f>
        <v>0</v>
      </c>
      <c r="BH27" s="43">
        <f>'Alternatyva 2'!BH$8+'Alternatyva 2'!BH$9-'Alternatyva 2'!BH$113</f>
        <v>0</v>
      </c>
      <c r="BI27" s="43">
        <f>'Alternatyva 2'!BI$8+'Alternatyva 2'!BI$9-'Alternatyva 2'!BI$113</f>
        <v>0</v>
      </c>
      <c r="BJ27" s="43">
        <f>'Alternatyva 2'!BJ$8+'Alternatyva 2'!BJ$9-'Alternatyva 2'!BJ$113</f>
        <v>0</v>
      </c>
      <c r="BK27" s="43">
        <f>'Alternatyva 2'!BK$8+'Alternatyva 2'!BK$9-'Alternatyva 2'!BK$113</f>
        <v>0</v>
      </c>
      <c r="BL27" s="43">
        <f>'Alternatyva 2'!BL$8+'Alternatyva 2'!BL$9-'Alternatyva 2'!BL$113</f>
        <v>0</v>
      </c>
      <c r="BM27" s="43">
        <f>'Alternatyva 2'!BM$8+'Alternatyva 2'!BM$9-'Alternatyva 2'!BM$113</f>
        <v>0</v>
      </c>
      <c r="BN27" s="43">
        <f>'Alternatyva 2'!BN$8+'Alternatyva 2'!BN$9-'Alternatyva 2'!BN$113</f>
        <v>0</v>
      </c>
      <c r="BO27" s="43">
        <f>'Alternatyva 2'!BO$8+'Alternatyva 2'!BO$9-'Alternatyva 2'!BO$113</f>
        <v>0</v>
      </c>
      <c r="BP27" s="43">
        <f>'Alternatyva 2'!BP$8+'Alternatyva 2'!BP$9-'Alternatyva 2'!BP$113</f>
        <v>0</v>
      </c>
      <c r="BQ27" s="43">
        <f>'Alternatyva 2'!BQ$8+'Alternatyva 2'!BQ$9-'Alternatyva 2'!BQ$113</f>
        <v>0</v>
      </c>
      <c r="BR27" s="43">
        <f>'Alternatyva 2'!BR$8+'Alternatyva 2'!BR$9-'Alternatyva 2'!BR$113</f>
        <v>0</v>
      </c>
      <c r="BS27" s="43">
        <f>'Alternatyva 2'!BS$8+'Alternatyva 2'!BS$9-'Alternatyva 2'!BS$113</f>
        <v>0</v>
      </c>
      <c r="BT27" s="43">
        <f>'Alternatyva 2'!BT$8+'Alternatyva 2'!BT$9-'Alternatyva 2'!BT$113</f>
        <v>0</v>
      </c>
      <c r="BU27" s="43">
        <f>'Alternatyva 2'!BU$8+'Alternatyva 2'!BU$9-'Alternatyva 2'!BU$113</f>
        <v>0</v>
      </c>
      <c r="BV27" s="43">
        <f>'Alternatyva 2'!BV$8+'Alternatyva 2'!BV$9-'Alternatyva 2'!BV$113</f>
        <v>0</v>
      </c>
      <c r="BW27" s="43">
        <f>'Alternatyva 2'!BW$8+'Alternatyva 2'!BW$9-'Alternatyva 2'!BW$113</f>
        <v>0</v>
      </c>
      <c r="BX27" s="43">
        <f>'Alternatyva 2'!BX$8+'Alternatyva 2'!BX$9-'Alternatyva 2'!BX$113</f>
        <v>0</v>
      </c>
      <c r="BY27" s="43">
        <f>'Alternatyva 2'!BY$8+'Alternatyva 2'!BY$9-'Alternatyva 2'!BY$113</f>
        <v>0</v>
      </c>
      <c r="BZ27" s="43">
        <f>'Alternatyva 2'!BZ$8+'Alternatyva 2'!BZ$9-'Alternatyva 2'!BZ$113</f>
        <v>0</v>
      </c>
      <c r="CA27" s="43">
        <f>'Alternatyva 2'!CA$8+'Alternatyva 2'!CA$9-'Alternatyva 2'!CA$113</f>
        <v>0</v>
      </c>
      <c r="CB27" s="43">
        <f>'Alternatyva 2'!CB$8+'Alternatyva 2'!CB$9-'Alternatyva 2'!CB$113</f>
        <v>0</v>
      </c>
      <c r="CC27" s="43">
        <f>'Alternatyva 2'!CC$8+'Alternatyva 2'!CC$9-'Alternatyva 2'!CC$113</f>
        <v>0</v>
      </c>
      <c r="CD27" s="43">
        <f>'Alternatyva 2'!CD$8+'Alternatyva 2'!CD$9-'Alternatyva 2'!CD$113</f>
        <v>0</v>
      </c>
      <c r="CE27" s="43">
        <f>'Alternatyva 2'!CE$8+'Alternatyva 2'!CE$9-'Alternatyva 2'!CE$113</f>
        <v>0</v>
      </c>
      <c r="CF27" s="43">
        <f>'Alternatyva 2'!CF$8+'Alternatyva 2'!CF$9-'Alternatyva 2'!CF$113</f>
        <v>0</v>
      </c>
      <c r="CG27" s="43">
        <f>'Alternatyva 2'!CG$8+'Alternatyva 2'!CG$9-'Alternatyva 2'!CG$113</f>
        <v>0</v>
      </c>
      <c r="CH27" s="43">
        <f>'Alternatyva 2'!CH$8+'Alternatyva 2'!CH$9-'Alternatyva 2'!CH$113</f>
        <v>0</v>
      </c>
      <c r="CI27" s="43">
        <f>'Alternatyva 2'!CI$8+'Alternatyva 2'!CI$9-'Alternatyva 2'!CI$113</f>
        <v>0</v>
      </c>
      <c r="CJ27" s="43">
        <f>'Alternatyva 2'!CJ$8+'Alternatyva 2'!CJ$9-'Alternatyva 2'!CJ$113</f>
        <v>0</v>
      </c>
      <c r="CK27" s="43">
        <f>'Alternatyva 2'!CK$8+'Alternatyva 2'!CK$9-'Alternatyva 2'!CK$113</f>
        <v>0</v>
      </c>
      <c r="CL27" s="43">
        <f>'Alternatyva 2'!CL$8+'Alternatyva 2'!CL$9-'Alternatyva 2'!CL$113</f>
        <v>0</v>
      </c>
      <c r="CM27" s="43">
        <f>'Alternatyva 2'!CM$8+'Alternatyva 2'!CM$9-'Alternatyva 2'!CM$113</f>
        <v>0</v>
      </c>
      <c r="CN27" s="43">
        <f>'Alternatyva 2'!CN$8+'Alternatyva 2'!CN$9-'Alternatyva 2'!CN$113</f>
        <v>0</v>
      </c>
      <c r="CO27" s="43">
        <f>'Alternatyva 2'!CO$8+'Alternatyva 2'!CO$9-'Alternatyva 2'!CO$113</f>
        <v>0</v>
      </c>
      <c r="CP27" s="43">
        <f>'Alternatyva 2'!CP$8+'Alternatyva 2'!CP$9-'Alternatyva 2'!CP$113</f>
        <v>0</v>
      </c>
      <c r="CQ27" s="43">
        <f>'Alternatyva 2'!CQ$8+'Alternatyva 2'!CQ$9-'Alternatyva 2'!CQ$113</f>
        <v>0</v>
      </c>
      <c r="CR27" s="43">
        <f>'Alternatyva 2'!CR$8+'Alternatyva 2'!CR$9-'Alternatyva 2'!CR$113</f>
        <v>0</v>
      </c>
      <c r="CS27" s="43">
        <f>'Alternatyva 2'!CS$8+'Alternatyva 2'!CS$9-'Alternatyva 2'!CS$113</f>
        <v>0</v>
      </c>
      <c r="CT27" s="43">
        <f>'Alternatyva 2'!CT$8+'Alternatyva 2'!CT$9-'Alternatyva 2'!CT$113</f>
        <v>0</v>
      </c>
      <c r="CU27" s="43">
        <f>'Alternatyva 2'!CU$8+'Alternatyva 2'!CU$9-'Alternatyva 2'!CU$113</f>
        <v>0</v>
      </c>
      <c r="CV27" s="43">
        <f>'Alternatyva 2'!CV$8+'Alternatyva 2'!CV$9-'Alternatyva 2'!CV$113</f>
        <v>0</v>
      </c>
      <c r="CW27" s="43">
        <f>'Alternatyva 2'!CW$8+'Alternatyva 2'!CW$9-'Alternatyva 2'!CW$113</f>
        <v>0</v>
      </c>
      <c r="CX27" s="43">
        <f>'Alternatyva 2'!CX$8+'Alternatyva 2'!CX$9-'Alternatyva 2'!CX$113</f>
        <v>0</v>
      </c>
      <c r="CY27" s="43">
        <f>'Alternatyva 2'!CY$8+'Alternatyva 2'!CY$9-'Alternatyva 2'!CY$113</f>
        <v>0</v>
      </c>
      <c r="CZ27" s="43">
        <f>'Alternatyva 2'!CZ$8+'Alternatyva 2'!CZ$9-'Alternatyva 2'!CZ$113</f>
        <v>0</v>
      </c>
      <c r="DA27" s="43">
        <f>'Alternatyva 2'!DA$8+'Alternatyva 2'!DA$9-'Alternatyva 2'!DA$113</f>
        <v>0</v>
      </c>
      <c r="DB27" s="43">
        <f>'Alternatyva 2'!DB$8+'Alternatyva 2'!DB$9-'Alternatyva 2'!DB$113</f>
        <v>0</v>
      </c>
      <c r="DC27" s="43">
        <f>'Alternatyva 2'!DC$8+'Alternatyva 2'!DC$9-'Alternatyva 2'!DC$113</f>
        <v>0</v>
      </c>
    </row>
    <row r="28" spans="2:108" ht="15" customHeight="1">
      <c r="B28" s="5" t="s">
        <v>209</v>
      </c>
      <c r="C28" s="777" t="s">
        <v>263</v>
      </c>
      <c r="D28" s="778"/>
      <c r="E28" s="779"/>
      <c r="F28" s="43">
        <f>H28+NPV(SD,I28:INDEX(I28:DC28,PAL))</f>
        <v>113932181.38161717</v>
      </c>
      <c r="G28" s="43">
        <f>SUMIF($H$6:$DC$6,"&lt;="&amp;PAL,$H28:$DC28)</f>
        <v>191716465.77715251</v>
      </c>
      <c r="H28" s="43">
        <f>'Alternatyva 2'!H$89-'Alternatyva 2'!H$114</f>
        <v>0</v>
      </c>
      <c r="I28" s="43">
        <f>'Alternatyva 2'!I$89-'Alternatyva 2'!I$114</f>
        <v>1632000</v>
      </c>
      <c r="J28" s="43">
        <f>'Alternatyva 2'!J$89-'Alternatyva 2'!J$114</f>
        <v>4418628.6675319998</v>
      </c>
      <c r="K28" s="43">
        <f>'Alternatyva 2'!K$89-'Alternatyva 2'!K$114</f>
        <v>6903590.9378861338</v>
      </c>
      <c r="L28" s="43">
        <f>'Alternatyva 2'!L$89-'Alternatyva 2'!L$114</f>
        <v>10511720.3630432</v>
      </c>
      <c r="M28" s="43">
        <f>'Alternatyva 2'!M$89-'Alternatyva 2'!M$114</f>
        <v>10511720.3630432</v>
      </c>
      <c r="N28" s="43">
        <f>'Alternatyva 2'!N$89-'Alternatyva 2'!N$114</f>
        <v>10511720.3630432</v>
      </c>
      <c r="O28" s="43">
        <f>'Alternatyva 2'!O$89-'Alternatyva 2'!O$114</f>
        <v>10516220.3630432</v>
      </c>
      <c r="P28" s="43">
        <f>'Alternatyva 2'!P$89-'Alternatyva 2'!P$114</f>
        <v>10516220.3630432</v>
      </c>
      <c r="Q28" s="43">
        <f>'Alternatyva 2'!Q$89-'Alternatyva 2'!Q$114</f>
        <v>10516220.3630432</v>
      </c>
      <c r="R28" s="43">
        <f>'Alternatyva 2'!R$89-'Alternatyva 2'!R$114</f>
        <v>10516220.3630432</v>
      </c>
      <c r="S28" s="43">
        <f>'Alternatyva 2'!S$89-'Alternatyva 2'!S$114</f>
        <v>10516220.3630432</v>
      </c>
      <c r="T28" s="43">
        <f>'Alternatyva 2'!T$89-'Alternatyva 2'!T$114</f>
        <v>10516220.3630432</v>
      </c>
      <c r="U28" s="43">
        <f>'Alternatyva 2'!U$89-'Alternatyva 2'!U$114</f>
        <v>10516220.3630432</v>
      </c>
      <c r="V28" s="43">
        <f>'Alternatyva 2'!V$89-'Alternatyva 2'!V$114</f>
        <v>10516220.3630432</v>
      </c>
      <c r="W28" s="43">
        <f>'Alternatyva 2'!W$89-'Alternatyva 2'!W$114</f>
        <v>10516220.3630432</v>
      </c>
      <c r="X28" s="43">
        <f>'Alternatyva 2'!X$89-'Alternatyva 2'!X$114</f>
        <v>10516220.3630432</v>
      </c>
      <c r="Y28" s="43">
        <f>'Alternatyva 2'!Y$89-'Alternatyva 2'!Y$114</f>
        <v>10516220.3630432</v>
      </c>
      <c r="Z28" s="43">
        <f>'Alternatyva 2'!Z$89-'Alternatyva 2'!Z$114</f>
        <v>10516220.3630432</v>
      </c>
      <c r="AA28" s="43">
        <f>'Alternatyva 2'!AA$89-'Alternatyva 2'!AA$114</f>
        <v>10516220.3630432</v>
      </c>
      <c r="AB28" s="43">
        <f>'Alternatyva 2'!AB$89-'Alternatyva 2'!AB$114</f>
        <v>10516220.3630432</v>
      </c>
      <c r="AC28" s="43">
        <f>'Alternatyva 2'!AC$89-'Alternatyva 2'!AC$114</f>
        <v>2201603.0655936003</v>
      </c>
      <c r="AD28" s="43">
        <f>'Alternatyva 2'!AD$89-'Alternatyva 2'!AD$114</f>
        <v>2201603.0655936003</v>
      </c>
      <c r="AE28" s="43">
        <f>'Alternatyva 2'!AE$89-'Alternatyva 2'!AE$114</f>
        <v>2201603.0655936003</v>
      </c>
      <c r="AF28" s="43">
        <f>'Alternatyva 2'!AF$89-'Alternatyva 2'!AF$114</f>
        <v>2201603.0655936003</v>
      </c>
      <c r="AG28" s="43">
        <f>'Alternatyva 2'!AG$89-'Alternatyva 2'!AG$114</f>
        <v>2201603.0655936003</v>
      </c>
      <c r="AH28" s="43">
        <f>'Alternatyva 2'!AH$89-'Alternatyva 2'!AH$114</f>
        <v>2201603.0655936003</v>
      </c>
      <c r="AI28" s="43">
        <f>'Alternatyva 2'!AI$89-'Alternatyva 2'!AI$114</f>
        <v>2201603.0655936003</v>
      </c>
      <c r="AJ28" s="43">
        <f>'Alternatyva 2'!AJ$89-'Alternatyva 2'!AJ$114</f>
        <v>2201603.0655936003</v>
      </c>
      <c r="AK28" s="43">
        <f>'Alternatyva 2'!AK$89-'Alternatyva 2'!AK$114</f>
        <v>2201603.0655936003</v>
      </c>
      <c r="AL28" s="43">
        <f>'Alternatyva 2'!AL$89-'Alternatyva 2'!AL$114</f>
        <v>2201603.0655936003</v>
      </c>
      <c r="AM28" s="43">
        <f>'Alternatyva 2'!AM$89-'Alternatyva 2'!AM$114</f>
        <v>2201603.0655936003</v>
      </c>
      <c r="AN28" s="43">
        <f>'Alternatyva 2'!AN$89-'Alternatyva 2'!AN$114</f>
        <v>2201603.0655936003</v>
      </c>
      <c r="AO28" s="43">
        <f>'Alternatyva 2'!AO$89-'Alternatyva 2'!AO$114</f>
        <v>2201603.0655936003</v>
      </c>
      <c r="AP28" s="43">
        <f>'Alternatyva 2'!AP$89-'Alternatyva 2'!AP$114</f>
        <v>2201603.0655936003</v>
      </c>
      <c r="AQ28" s="43">
        <f>'Alternatyva 2'!AQ$89-'Alternatyva 2'!AQ$114</f>
        <v>2201603.0655936003</v>
      </c>
      <c r="AR28" s="43">
        <f>'Alternatyva 2'!AR$89-'Alternatyva 2'!AR$114</f>
        <v>2201603.0655936003</v>
      </c>
      <c r="AS28" s="43">
        <f>'Alternatyva 2'!AS$89-'Alternatyva 2'!AS$114</f>
        <v>2201603.0655936003</v>
      </c>
      <c r="AT28" s="43">
        <f>'Alternatyva 2'!AT$89-'Alternatyva 2'!AT$114</f>
        <v>2201603.0655936003</v>
      </c>
      <c r="AU28" s="43">
        <f>'Alternatyva 2'!AU$89-'Alternatyva 2'!AU$114</f>
        <v>2201603.0655936003</v>
      </c>
      <c r="AV28" s="43">
        <f>'Alternatyva 2'!AV$89-'Alternatyva 2'!AV$114</f>
        <v>2201603.0655936003</v>
      </c>
      <c r="AW28" s="43">
        <f>'Alternatyva 2'!AW$89-'Alternatyva 2'!AW$114</f>
        <v>2201603.0655936003</v>
      </c>
      <c r="AX28" s="43">
        <f>'Alternatyva 2'!AX$89-'Alternatyva 2'!AX$114</f>
        <v>2201603.0655936003</v>
      </c>
      <c r="AY28" s="43">
        <f>'Alternatyva 2'!AY$89-'Alternatyva 2'!AY$114</f>
        <v>2201603.0655936003</v>
      </c>
      <c r="AZ28" s="43">
        <f>'Alternatyva 2'!AZ$89-'Alternatyva 2'!AZ$114</f>
        <v>2201603.0655936003</v>
      </c>
      <c r="BA28" s="43">
        <f>'Alternatyva 2'!BA$89-'Alternatyva 2'!BA$114</f>
        <v>2201603.0655936003</v>
      </c>
      <c r="BB28" s="43">
        <f>'Alternatyva 2'!BB$89-'Alternatyva 2'!BB$114</f>
        <v>2201603.0655936003</v>
      </c>
      <c r="BC28" s="43">
        <f>'Alternatyva 2'!BC$89-'Alternatyva 2'!BC$114</f>
        <v>2201603.0655936003</v>
      </c>
      <c r="BD28" s="43">
        <f>'Alternatyva 2'!BD$89-'Alternatyva 2'!BD$114</f>
        <v>2201603.0655936003</v>
      </c>
      <c r="BE28" s="43">
        <f>'Alternatyva 2'!BE$89-'Alternatyva 2'!BE$114</f>
        <v>2201603.0655936003</v>
      </c>
      <c r="BF28" s="43">
        <f>'Alternatyva 2'!BF$89-'Alternatyva 2'!BF$114</f>
        <v>2201603.0655936003</v>
      </c>
      <c r="BG28" s="43">
        <f>'Alternatyva 2'!BG$89-'Alternatyva 2'!BG$114</f>
        <v>2201603.0655936003</v>
      </c>
      <c r="BH28" s="43">
        <f>'Alternatyva 2'!BH$89-'Alternatyva 2'!BH$114</f>
        <v>2201603.0655936003</v>
      </c>
      <c r="BI28" s="43">
        <f>'Alternatyva 2'!BI$89-'Alternatyva 2'!BI$114</f>
        <v>2201603.0655936003</v>
      </c>
      <c r="BJ28" s="43">
        <f>'Alternatyva 2'!BJ$89-'Alternatyva 2'!BJ$114</f>
        <v>2201603.0655936003</v>
      </c>
      <c r="BK28" s="43">
        <f>'Alternatyva 2'!BK$89-'Alternatyva 2'!BK$114</f>
        <v>2201603.0655936003</v>
      </c>
      <c r="BL28" s="43">
        <f>'Alternatyva 2'!BL$89-'Alternatyva 2'!BL$114</f>
        <v>2201603.0655936003</v>
      </c>
      <c r="BM28" s="43">
        <f>'Alternatyva 2'!BM$89-'Alternatyva 2'!BM$114</f>
        <v>2201603.0655936003</v>
      </c>
      <c r="BN28" s="43">
        <f>'Alternatyva 2'!BN$89-'Alternatyva 2'!BN$114</f>
        <v>2201603.0655936003</v>
      </c>
      <c r="BO28" s="43">
        <f>'Alternatyva 2'!BO$89-'Alternatyva 2'!BO$114</f>
        <v>2201603.0655936003</v>
      </c>
      <c r="BP28" s="43">
        <f>'Alternatyva 2'!BP$89-'Alternatyva 2'!BP$114</f>
        <v>2201603.0655936003</v>
      </c>
      <c r="BQ28" s="43">
        <f>'Alternatyva 2'!BQ$89-'Alternatyva 2'!BQ$114</f>
        <v>2201603.0655936003</v>
      </c>
      <c r="BR28" s="43">
        <f>'Alternatyva 2'!BR$89-'Alternatyva 2'!BR$114</f>
        <v>2201603.0655936003</v>
      </c>
      <c r="BS28" s="43">
        <f>'Alternatyva 2'!BS$89-'Alternatyva 2'!BS$114</f>
        <v>2201603.0655936003</v>
      </c>
      <c r="BT28" s="43">
        <f>'Alternatyva 2'!BT$89-'Alternatyva 2'!BT$114</f>
        <v>2201603.0655936003</v>
      </c>
      <c r="BU28" s="43">
        <f>'Alternatyva 2'!BU$89-'Alternatyva 2'!BU$114</f>
        <v>2201603.0655936003</v>
      </c>
      <c r="BV28" s="43">
        <f>'Alternatyva 2'!BV$89-'Alternatyva 2'!BV$114</f>
        <v>2201603.0655936003</v>
      </c>
      <c r="BW28" s="43">
        <f>'Alternatyva 2'!BW$89-'Alternatyva 2'!BW$114</f>
        <v>2201603.0655936003</v>
      </c>
      <c r="BX28" s="43">
        <f>'Alternatyva 2'!BX$89-'Alternatyva 2'!BX$114</f>
        <v>2201603.0655936003</v>
      </c>
      <c r="BY28" s="43">
        <f>'Alternatyva 2'!BY$89-'Alternatyva 2'!BY$114</f>
        <v>2201603.0655936003</v>
      </c>
      <c r="BZ28" s="43">
        <f>'Alternatyva 2'!BZ$89-'Alternatyva 2'!BZ$114</f>
        <v>2201603.0655936003</v>
      </c>
      <c r="CA28" s="43">
        <f>'Alternatyva 2'!CA$89-'Alternatyva 2'!CA$114</f>
        <v>2201603.0655936003</v>
      </c>
      <c r="CB28" s="43">
        <f>'Alternatyva 2'!CB$89-'Alternatyva 2'!CB$114</f>
        <v>2201603.0655936003</v>
      </c>
      <c r="CC28" s="43">
        <f>'Alternatyva 2'!CC$89-'Alternatyva 2'!CC$114</f>
        <v>2201603.0655936003</v>
      </c>
      <c r="CD28" s="43">
        <f>'Alternatyva 2'!CD$89-'Alternatyva 2'!CD$114</f>
        <v>2201603.0655936003</v>
      </c>
      <c r="CE28" s="43">
        <f>'Alternatyva 2'!CE$89-'Alternatyva 2'!CE$114</f>
        <v>2201603.0655936003</v>
      </c>
      <c r="CF28" s="43">
        <f>'Alternatyva 2'!CF$89-'Alternatyva 2'!CF$114</f>
        <v>2201603.0655936003</v>
      </c>
      <c r="CG28" s="43">
        <f>'Alternatyva 2'!CG$89-'Alternatyva 2'!CG$114</f>
        <v>2201603.0655936003</v>
      </c>
      <c r="CH28" s="43">
        <f>'Alternatyva 2'!CH$89-'Alternatyva 2'!CH$114</f>
        <v>2201603.0655936003</v>
      </c>
      <c r="CI28" s="43">
        <f>'Alternatyva 2'!CI$89-'Alternatyva 2'!CI$114</f>
        <v>2201603.0655936003</v>
      </c>
      <c r="CJ28" s="43">
        <f>'Alternatyva 2'!CJ$89-'Alternatyva 2'!CJ$114</f>
        <v>2201603.0655936003</v>
      </c>
      <c r="CK28" s="43">
        <f>'Alternatyva 2'!CK$89-'Alternatyva 2'!CK$114</f>
        <v>2201603.0655936003</v>
      </c>
      <c r="CL28" s="43">
        <f>'Alternatyva 2'!CL$89-'Alternatyva 2'!CL$114</f>
        <v>2201603.0655936003</v>
      </c>
      <c r="CM28" s="43">
        <f>'Alternatyva 2'!CM$89-'Alternatyva 2'!CM$114</f>
        <v>2201603.0655936003</v>
      </c>
      <c r="CN28" s="43">
        <f>'Alternatyva 2'!CN$89-'Alternatyva 2'!CN$114</f>
        <v>2201603.0655936003</v>
      </c>
      <c r="CO28" s="43">
        <f>'Alternatyva 2'!CO$89-'Alternatyva 2'!CO$114</f>
        <v>2201603.0655936003</v>
      </c>
      <c r="CP28" s="43">
        <f>'Alternatyva 2'!CP$89-'Alternatyva 2'!CP$114</f>
        <v>2201603.0655936003</v>
      </c>
      <c r="CQ28" s="43">
        <f>'Alternatyva 2'!CQ$89-'Alternatyva 2'!CQ$114</f>
        <v>2201603.0655936003</v>
      </c>
      <c r="CR28" s="43">
        <f>'Alternatyva 2'!CR$89-'Alternatyva 2'!CR$114</f>
        <v>2201603.0655936003</v>
      </c>
      <c r="CS28" s="43">
        <f>'Alternatyva 2'!CS$89-'Alternatyva 2'!CS$114</f>
        <v>2201603.0655936003</v>
      </c>
      <c r="CT28" s="43">
        <f>'Alternatyva 2'!CT$89-'Alternatyva 2'!CT$114</f>
        <v>2201603.0655936003</v>
      </c>
      <c r="CU28" s="43">
        <f>'Alternatyva 2'!CU$89-'Alternatyva 2'!CU$114</f>
        <v>2201603.0655936003</v>
      </c>
      <c r="CV28" s="43">
        <f>'Alternatyva 2'!CV$89-'Alternatyva 2'!CV$114</f>
        <v>2201603.0655936003</v>
      </c>
      <c r="CW28" s="43">
        <f>'Alternatyva 2'!CW$89-'Alternatyva 2'!CW$114</f>
        <v>2201603.0655936003</v>
      </c>
      <c r="CX28" s="43">
        <f>'Alternatyva 2'!CX$89-'Alternatyva 2'!CX$114</f>
        <v>2201603.0655936003</v>
      </c>
      <c r="CY28" s="43">
        <f>'Alternatyva 2'!CY$89-'Alternatyva 2'!CY$114</f>
        <v>2201603.0655936003</v>
      </c>
      <c r="CZ28" s="43">
        <f>'Alternatyva 2'!CZ$89-'Alternatyva 2'!CZ$114</f>
        <v>2201603.0655936003</v>
      </c>
      <c r="DA28" s="43">
        <f>'Alternatyva 2'!DA$89-'Alternatyva 2'!DA$114</f>
        <v>2201603.0655936003</v>
      </c>
      <c r="DB28" s="43">
        <f>'Alternatyva 2'!DB$89-'Alternatyva 2'!DB$114</f>
        <v>2201603.0655936003</v>
      </c>
      <c r="DC28" s="43">
        <f>'Alternatyva 2'!DC$89-'Alternatyva 2'!DC$114</f>
        <v>2201603.0655936003</v>
      </c>
    </row>
    <row r="29" spans="2:108" ht="15" customHeight="1">
      <c r="B29" s="5" t="s">
        <v>194</v>
      </c>
      <c r="C29" s="777" t="s">
        <v>16</v>
      </c>
      <c r="D29" s="778"/>
      <c r="E29" s="779"/>
      <c r="F29" s="49">
        <f>H29+NPV(FD,I29:INDEX(I29:DC29,PAL))</f>
        <v>0</v>
      </c>
      <c r="G29" s="43">
        <f>SUMIF($H$6:$DC$6,"&lt;="&amp;PAL,$H29:$DC29)</f>
        <v>0</v>
      </c>
      <c r="H29" s="43">
        <f>SUM('Alternatyva 2'!H$21,'Alternatyva 2'!H$32,'Alternatyva 2'!H$43,'Alternatyva 2'!H$55,'Alternatyva 2'!H$66,'Alternatyva 2'!H$77,'Alternatyva 2'!H$88)</f>
        <v>0</v>
      </c>
      <c r="I29" s="43">
        <f>SUM('Alternatyva 2'!I$21,'Alternatyva 2'!I$32,'Alternatyva 2'!I$43,'Alternatyva 2'!I$55,'Alternatyva 2'!I$66,'Alternatyva 2'!I$77,'Alternatyva 2'!I$88)</f>
        <v>0</v>
      </c>
      <c r="J29" s="43">
        <f>SUM('Alternatyva 2'!J$21,'Alternatyva 2'!J$32,'Alternatyva 2'!J$43,'Alternatyva 2'!J$55,'Alternatyva 2'!J$66,'Alternatyva 2'!J$77,'Alternatyva 2'!J$88)</f>
        <v>0</v>
      </c>
      <c r="K29" s="43">
        <f>SUM('Alternatyva 2'!K$21,'Alternatyva 2'!K$32,'Alternatyva 2'!K$43,'Alternatyva 2'!K$55,'Alternatyva 2'!K$66,'Alternatyva 2'!K$77,'Alternatyva 2'!K$88)</f>
        <v>0</v>
      </c>
      <c r="L29" s="43">
        <f>SUM('Alternatyva 2'!L$21,'Alternatyva 2'!L$32,'Alternatyva 2'!L$43,'Alternatyva 2'!L$55,'Alternatyva 2'!L$66,'Alternatyva 2'!L$77,'Alternatyva 2'!L$88)</f>
        <v>0</v>
      </c>
      <c r="M29" s="43">
        <f>SUM('Alternatyva 2'!M$21,'Alternatyva 2'!M$32,'Alternatyva 2'!M$43,'Alternatyva 2'!M$55,'Alternatyva 2'!M$66,'Alternatyva 2'!M$77,'Alternatyva 2'!M$88)</f>
        <v>0</v>
      </c>
      <c r="N29" s="43">
        <f>SUM('Alternatyva 2'!N$21,'Alternatyva 2'!N$32,'Alternatyva 2'!N$43,'Alternatyva 2'!N$55,'Alternatyva 2'!N$66,'Alternatyva 2'!N$77,'Alternatyva 2'!N$88)</f>
        <v>0</v>
      </c>
      <c r="O29" s="43">
        <f>SUM('Alternatyva 2'!O$21,'Alternatyva 2'!O$32,'Alternatyva 2'!O$43,'Alternatyva 2'!O$55,'Alternatyva 2'!O$66,'Alternatyva 2'!O$77,'Alternatyva 2'!O$88)</f>
        <v>0</v>
      </c>
      <c r="P29" s="43">
        <f>SUM('Alternatyva 2'!P$21,'Alternatyva 2'!P$32,'Alternatyva 2'!P$43,'Alternatyva 2'!P$55,'Alternatyva 2'!P$66,'Alternatyva 2'!P$77,'Alternatyva 2'!P$88)</f>
        <v>0</v>
      </c>
      <c r="Q29" s="43">
        <f>SUM('Alternatyva 2'!Q$21,'Alternatyva 2'!Q$32,'Alternatyva 2'!Q$43,'Alternatyva 2'!Q$55,'Alternatyva 2'!Q$66,'Alternatyva 2'!Q$77,'Alternatyva 2'!Q$88)</f>
        <v>0</v>
      </c>
      <c r="R29" s="43">
        <f>SUM('Alternatyva 2'!R$21,'Alternatyva 2'!R$32,'Alternatyva 2'!R$43,'Alternatyva 2'!R$55,'Alternatyva 2'!R$66,'Alternatyva 2'!R$77,'Alternatyva 2'!R$88)</f>
        <v>0</v>
      </c>
      <c r="S29" s="43">
        <f>SUM('Alternatyva 2'!S$21,'Alternatyva 2'!S$32,'Alternatyva 2'!S$43,'Alternatyva 2'!S$55,'Alternatyva 2'!S$66,'Alternatyva 2'!S$77,'Alternatyva 2'!S$88)</f>
        <v>0</v>
      </c>
      <c r="T29" s="43">
        <f>SUM('Alternatyva 2'!T$21,'Alternatyva 2'!T$32,'Alternatyva 2'!T$43,'Alternatyva 2'!T$55,'Alternatyva 2'!T$66,'Alternatyva 2'!T$77,'Alternatyva 2'!T$88)</f>
        <v>0</v>
      </c>
      <c r="U29" s="43">
        <f>SUM('Alternatyva 2'!U$21,'Alternatyva 2'!U$32,'Alternatyva 2'!U$43,'Alternatyva 2'!U$55,'Alternatyva 2'!U$66,'Alternatyva 2'!U$77,'Alternatyva 2'!U$88)</f>
        <v>0</v>
      </c>
      <c r="V29" s="43">
        <f>SUM('Alternatyva 2'!V$21,'Alternatyva 2'!V$32,'Alternatyva 2'!V$43,'Alternatyva 2'!V$55,'Alternatyva 2'!V$66,'Alternatyva 2'!V$77,'Alternatyva 2'!V$88)</f>
        <v>0</v>
      </c>
      <c r="W29" s="43">
        <f>SUM('Alternatyva 2'!W$21,'Alternatyva 2'!W$32,'Alternatyva 2'!W$43,'Alternatyva 2'!W$55,'Alternatyva 2'!W$66,'Alternatyva 2'!W$77,'Alternatyva 2'!W$88)</f>
        <v>0</v>
      </c>
      <c r="X29" s="43">
        <f>SUM('Alternatyva 2'!X$21,'Alternatyva 2'!X$32,'Alternatyva 2'!X$43,'Alternatyva 2'!X$55,'Alternatyva 2'!X$66,'Alternatyva 2'!X$77,'Alternatyva 2'!X$88)</f>
        <v>0</v>
      </c>
      <c r="Y29" s="43">
        <f>SUM('Alternatyva 2'!Y$21,'Alternatyva 2'!Y$32,'Alternatyva 2'!Y$43,'Alternatyva 2'!Y$55,'Alternatyva 2'!Y$66,'Alternatyva 2'!Y$77,'Alternatyva 2'!Y$88)</f>
        <v>0</v>
      </c>
      <c r="Z29" s="43">
        <f>SUM('Alternatyva 2'!Z$21,'Alternatyva 2'!Z$32,'Alternatyva 2'!Z$43,'Alternatyva 2'!Z$55,'Alternatyva 2'!Z$66,'Alternatyva 2'!Z$77,'Alternatyva 2'!Z$88)</f>
        <v>0</v>
      </c>
      <c r="AA29" s="43">
        <f>SUM('Alternatyva 2'!AA$21,'Alternatyva 2'!AA$32,'Alternatyva 2'!AA$43,'Alternatyva 2'!AA$55,'Alternatyva 2'!AA$66,'Alternatyva 2'!AA$77,'Alternatyva 2'!AA$88)</f>
        <v>0</v>
      </c>
      <c r="AB29" s="43">
        <f>SUM('Alternatyva 2'!AB$21,'Alternatyva 2'!AB$32,'Alternatyva 2'!AB$43,'Alternatyva 2'!AB$55,'Alternatyva 2'!AB$66,'Alternatyva 2'!AB$77,'Alternatyva 2'!AB$88)</f>
        <v>0</v>
      </c>
      <c r="AC29" s="43">
        <f>SUM('Alternatyva 2'!AC$21,'Alternatyva 2'!AC$32,'Alternatyva 2'!AC$43,'Alternatyva 2'!AC$55,'Alternatyva 2'!AC$66,'Alternatyva 2'!AC$77,'Alternatyva 2'!AC$88)</f>
        <v>0</v>
      </c>
      <c r="AD29" s="43">
        <f>SUM('Alternatyva 2'!AD$21,'Alternatyva 2'!AD$32,'Alternatyva 2'!AD$43,'Alternatyva 2'!AD$55,'Alternatyva 2'!AD$66,'Alternatyva 2'!AD$77,'Alternatyva 2'!AD$88)</f>
        <v>0</v>
      </c>
      <c r="AE29" s="43">
        <f>SUM('Alternatyva 2'!AE$21,'Alternatyva 2'!AE$32,'Alternatyva 2'!AE$43,'Alternatyva 2'!AE$55,'Alternatyva 2'!AE$66,'Alternatyva 2'!AE$77,'Alternatyva 2'!AE$88)</f>
        <v>0</v>
      </c>
      <c r="AF29" s="43">
        <f>SUM('Alternatyva 2'!AF$21,'Alternatyva 2'!AF$32,'Alternatyva 2'!AF$43,'Alternatyva 2'!AF$55,'Alternatyva 2'!AF$66,'Alternatyva 2'!AF$77,'Alternatyva 2'!AF$88)</f>
        <v>0</v>
      </c>
      <c r="AG29" s="43">
        <f>SUM('Alternatyva 2'!AG$21,'Alternatyva 2'!AG$32,'Alternatyva 2'!AG$43,'Alternatyva 2'!AG$55,'Alternatyva 2'!AG$66,'Alternatyva 2'!AG$77,'Alternatyva 2'!AG$88)</f>
        <v>0</v>
      </c>
      <c r="AH29" s="43">
        <f>SUM('Alternatyva 2'!AH$21,'Alternatyva 2'!AH$32,'Alternatyva 2'!AH$43,'Alternatyva 2'!AH$55,'Alternatyva 2'!AH$66,'Alternatyva 2'!AH$77,'Alternatyva 2'!AH$88)</f>
        <v>0</v>
      </c>
      <c r="AI29" s="43">
        <f>SUM('Alternatyva 2'!AI$21,'Alternatyva 2'!AI$32,'Alternatyva 2'!AI$43,'Alternatyva 2'!AI$55,'Alternatyva 2'!AI$66,'Alternatyva 2'!AI$77,'Alternatyva 2'!AI$88)</f>
        <v>0</v>
      </c>
      <c r="AJ29" s="43">
        <f>SUM('Alternatyva 2'!AJ$21,'Alternatyva 2'!AJ$32,'Alternatyva 2'!AJ$43,'Alternatyva 2'!AJ$55,'Alternatyva 2'!AJ$66,'Alternatyva 2'!AJ$77,'Alternatyva 2'!AJ$88)</f>
        <v>0</v>
      </c>
      <c r="AK29" s="43">
        <f>SUM('Alternatyva 2'!AK$21,'Alternatyva 2'!AK$32,'Alternatyva 2'!AK$43,'Alternatyva 2'!AK$55,'Alternatyva 2'!AK$66,'Alternatyva 2'!AK$77,'Alternatyva 2'!AK$88)</f>
        <v>0</v>
      </c>
      <c r="AL29" s="43">
        <f>SUM('Alternatyva 2'!AL$21,'Alternatyva 2'!AL$32,'Alternatyva 2'!AL$43,'Alternatyva 2'!AL$55,'Alternatyva 2'!AL$66,'Alternatyva 2'!AL$77,'Alternatyva 2'!AL$88)</f>
        <v>0</v>
      </c>
      <c r="AM29" s="43">
        <f>SUM('Alternatyva 2'!AM$21,'Alternatyva 2'!AM$32,'Alternatyva 2'!AM$43,'Alternatyva 2'!AM$55,'Alternatyva 2'!AM$66,'Alternatyva 2'!AM$77,'Alternatyva 2'!AM$88)</f>
        <v>0</v>
      </c>
      <c r="AN29" s="43">
        <f>SUM('Alternatyva 2'!AN$21,'Alternatyva 2'!AN$32,'Alternatyva 2'!AN$43,'Alternatyva 2'!AN$55,'Alternatyva 2'!AN$66,'Alternatyva 2'!AN$77,'Alternatyva 2'!AN$88)</f>
        <v>0</v>
      </c>
      <c r="AO29" s="43">
        <f>SUM('Alternatyva 2'!AO$21,'Alternatyva 2'!AO$32,'Alternatyva 2'!AO$43,'Alternatyva 2'!AO$55,'Alternatyva 2'!AO$66,'Alternatyva 2'!AO$77,'Alternatyva 2'!AO$88)</f>
        <v>0</v>
      </c>
      <c r="AP29" s="43">
        <f>SUM('Alternatyva 2'!AP$21,'Alternatyva 2'!AP$32,'Alternatyva 2'!AP$43,'Alternatyva 2'!AP$55,'Alternatyva 2'!AP$66,'Alternatyva 2'!AP$77,'Alternatyva 2'!AP$88)</f>
        <v>0</v>
      </c>
      <c r="AQ29" s="43">
        <f>SUM('Alternatyva 2'!AQ$21,'Alternatyva 2'!AQ$32,'Alternatyva 2'!AQ$43,'Alternatyva 2'!AQ$55,'Alternatyva 2'!AQ$66,'Alternatyva 2'!AQ$77,'Alternatyva 2'!AQ$88)</f>
        <v>0</v>
      </c>
      <c r="AR29" s="43">
        <f>SUM('Alternatyva 2'!AR$21,'Alternatyva 2'!AR$32,'Alternatyva 2'!AR$43,'Alternatyva 2'!AR$55,'Alternatyva 2'!AR$66,'Alternatyva 2'!AR$77,'Alternatyva 2'!AR$88)</f>
        <v>0</v>
      </c>
      <c r="AS29" s="43">
        <f>SUM('Alternatyva 2'!AS$21,'Alternatyva 2'!AS$32,'Alternatyva 2'!AS$43,'Alternatyva 2'!AS$55,'Alternatyva 2'!AS$66,'Alternatyva 2'!AS$77,'Alternatyva 2'!AS$88)</f>
        <v>0</v>
      </c>
      <c r="AT29" s="43">
        <f>SUM('Alternatyva 2'!AT$21,'Alternatyva 2'!AT$32,'Alternatyva 2'!AT$43,'Alternatyva 2'!AT$55,'Alternatyva 2'!AT$66,'Alternatyva 2'!AT$77,'Alternatyva 2'!AT$88)</f>
        <v>0</v>
      </c>
      <c r="AU29" s="43">
        <f>SUM('Alternatyva 2'!AU$21,'Alternatyva 2'!AU$32,'Alternatyva 2'!AU$43,'Alternatyva 2'!AU$55,'Alternatyva 2'!AU$66,'Alternatyva 2'!AU$77,'Alternatyva 2'!AU$88)</f>
        <v>0</v>
      </c>
      <c r="AV29" s="43">
        <f>SUM('Alternatyva 2'!AV$21,'Alternatyva 2'!AV$32,'Alternatyva 2'!AV$43,'Alternatyva 2'!AV$55,'Alternatyva 2'!AV$66,'Alternatyva 2'!AV$77,'Alternatyva 2'!AV$88)</f>
        <v>0</v>
      </c>
      <c r="AW29" s="43">
        <f>SUM('Alternatyva 2'!AW$21,'Alternatyva 2'!AW$32,'Alternatyva 2'!AW$43,'Alternatyva 2'!AW$55,'Alternatyva 2'!AW$66,'Alternatyva 2'!AW$77,'Alternatyva 2'!AW$88)</f>
        <v>0</v>
      </c>
      <c r="AX29" s="43">
        <f>SUM('Alternatyva 2'!AX$21,'Alternatyva 2'!AX$32,'Alternatyva 2'!AX$43,'Alternatyva 2'!AX$55,'Alternatyva 2'!AX$66,'Alternatyva 2'!AX$77,'Alternatyva 2'!AX$88)</f>
        <v>0</v>
      </c>
      <c r="AY29" s="43">
        <f>SUM('Alternatyva 2'!AY$21,'Alternatyva 2'!AY$32,'Alternatyva 2'!AY$43,'Alternatyva 2'!AY$55,'Alternatyva 2'!AY$66,'Alternatyva 2'!AY$77,'Alternatyva 2'!AY$88)</f>
        <v>0</v>
      </c>
      <c r="AZ29" s="43">
        <f>SUM('Alternatyva 2'!AZ$21,'Alternatyva 2'!AZ$32,'Alternatyva 2'!AZ$43,'Alternatyva 2'!AZ$55,'Alternatyva 2'!AZ$66,'Alternatyva 2'!AZ$77,'Alternatyva 2'!AZ$88)</f>
        <v>0</v>
      </c>
      <c r="BA29" s="43">
        <f>SUM('Alternatyva 2'!BA$21,'Alternatyva 2'!BA$32,'Alternatyva 2'!BA$43,'Alternatyva 2'!BA$55,'Alternatyva 2'!BA$66,'Alternatyva 2'!BA$77,'Alternatyva 2'!BA$88)</f>
        <v>0</v>
      </c>
      <c r="BB29" s="43">
        <f>SUM('Alternatyva 2'!BB$21,'Alternatyva 2'!BB$32,'Alternatyva 2'!BB$43,'Alternatyva 2'!BB$55,'Alternatyva 2'!BB$66,'Alternatyva 2'!BB$77,'Alternatyva 2'!BB$88)</f>
        <v>0</v>
      </c>
      <c r="BC29" s="43">
        <f>SUM('Alternatyva 2'!BC$21,'Alternatyva 2'!BC$32,'Alternatyva 2'!BC$43,'Alternatyva 2'!BC$55,'Alternatyva 2'!BC$66,'Alternatyva 2'!BC$77,'Alternatyva 2'!BC$88)</f>
        <v>0</v>
      </c>
      <c r="BD29" s="43">
        <f>SUM('Alternatyva 2'!BD$21,'Alternatyva 2'!BD$32,'Alternatyva 2'!BD$43,'Alternatyva 2'!BD$55,'Alternatyva 2'!BD$66,'Alternatyva 2'!BD$77,'Alternatyva 2'!BD$88)</f>
        <v>0</v>
      </c>
      <c r="BE29" s="43">
        <f>SUM('Alternatyva 2'!BE$21,'Alternatyva 2'!BE$32,'Alternatyva 2'!BE$43,'Alternatyva 2'!BE$55,'Alternatyva 2'!BE$66,'Alternatyva 2'!BE$77,'Alternatyva 2'!BE$88)</f>
        <v>0</v>
      </c>
      <c r="BF29" s="43">
        <f>SUM('Alternatyva 2'!BF$21,'Alternatyva 2'!BF$32,'Alternatyva 2'!BF$43,'Alternatyva 2'!BF$55,'Alternatyva 2'!BF$66,'Alternatyva 2'!BF$77,'Alternatyva 2'!BF$88)</f>
        <v>0</v>
      </c>
      <c r="BG29" s="43">
        <f>SUM('Alternatyva 2'!BG$21,'Alternatyva 2'!BG$32,'Alternatyva 2'!BG$43,'Alternatyva 2'!BG$55,'Alternatyva 2'!BG$66,'Alternatyva 2'!BG$77,'Alternatyva 2'!BG$88)</f>
        <v>0</v>
      </c>
      <c r="BH29" s="43">
        <f>SUM('Alternatyva 2'!BH$21,'Alternatyva 2'!BH$32,'Alternatyva 2'!BH$43,'Alternatyva 2'!BH$55,'Alternatyva 2'!BH$66,'Alternatyva 2'!BH$77,'Alternatyva 2'!BH$88)</f>
        <v>0</v>
      </c>
      <c r="BI29" s="43">
        <f>SUM('Alternatyva 2'!BI$21,'Alternatyva 2'!BI$32,'Alternatyva 2'!BI$43,'Alternatyva 2'!BI$55,'Alternatyva 2'!BI$66,'Alternatyva 2'!BI$77,'Alternatyva 2'!BI$88)</f>
        <v>0</v>
      </c>
      <c r="BJ29" s="43">
        <f>SUM('Alternatyva 2'!BJ$21,'Alternatyva 2'!BJ$32,'Alternatyva 2'!BJ$43,'Alternatyva 2'!BJ$55,'Alternatyva 2'!BJ$66,'Alternatyva 2'!BJ$77,'Alternatyva 2'!BJ$88)</f>
        <v>0</v>
      </c>
      <c r="BK29" s="43">
        <f>SUM('Alternatyva 2'!BK$21,'Alternatyva 2'!BK$32,'Alternatyva 2'!BK$43,'Alternatyva 2'!BK$55,'Alternatyva 2'!BK$66,'Alternatyva 2'!BK$77,'Alternatyva 2'!BK$88)</f>
        <v>0</v>
      </c>
      <c r="BL29" s="43">
        <f>SUM('Alternatyva 2'!BL$21,'Alternatyva 2'!BL$32,'Alternatyva 2'!BL$43,'Alternatyva 2'!BL$55,'Alternatyva 2'!BL$66,'Alternatyva 2'!BL$77,'Alternatyva 2'!BL$88)</f>
        <v>0</v>
      </c>
      <c r="BM29" s="43">
        <f>SUM('Alternatyva 2'!BM$21,'Alternatyva 2'!BM$32,'Alternatyva 2'!BM$43,'Alternatyva 2'!BM$55,'Alternatyva 2'!BM$66,'Alternatyva 2'!BM$77,'Alternatyva 2'!BM$88)</f>
        <v>0</v>
      </c>
      <c r="BN29" s="43">
        <f>SUM('Alternatyva 2'!BN$21,'Alternatyva 2'!BN$32,'Alternatyva 2'!BN$43,'Alternatyva 2'!BN$55,'Alternatyva 2'!BN$66,'Alternatyva 2'!BN$77,'Alternatyva 2'!BN$88)</f>
        <v>0</v>
      </c>
      <c r="BO29" s="43">
        <f>SUM('Alternatyva 2'!BO$21,'Alternatyva 2'!BO$32,'Alternatyva 2'!BO$43,'Alternatyva 2'!BO$55,'Alternatyva 2'!BO$66,'Alternatyva 2'!BO$77,'Alternatyva 2'!BO$88)</f>
        <v>0</v>
      </c>
      <c r="BP29" s="43">
        <f>SUM('Alternatyva 2'!BP$21,'Alternatyva 2'!BP$32,'Alternatyva 2'!BP$43,'Alternatyva 2'!BP$55,'Alternatyva 2'!BP$66,'Alternatyva 2'!BP$77,'Alternatyva 2'!BP$88)</f>
        <v>0</v>
      </c>
      <c r="BQ29" s="43">
        <f>SUM('Alternatyva 2'!BQ$21,'Alternatyva 2'!BQ$32,'Alternatyva 2'!BQ$43,'Alternatyva 2'!BQ$55,'Alternatyva 2'!BQ$66,'Alternatyva 2'!BQ$77,'Alternatyva 2'!BQ$88)</f>
        <v>0</v>
      </c>
      <c r="BR29" s="43">
        <f>SUM('Alternatyva 2'!BR$21,'Alternatyva 2'!BR$32,'Alternatyva 2'!BR$43,'Alternatyva 2'!BR$55,'Alternatyva 2'!BR$66,'Alternatyva 2'!BR$77,'Alternatyva 2'!BR$88)</f>
        <v>0</v>
      </c>
      <c r="BS29" s="43">
        <f>SUM('Alternatyva 2'!BS$21,'Alternatyva 2'!BS$32,'Alternatyva 2'!BS$43,'Alternatyva 2'!BS$55,'Alternatyva 2'!BS$66,'Alternatyva 2'!BS$77,'Alternatyva 2'!BS$88)</f>
        <v>0</v>
      </c>
      <c r="BT29" s="43">
        <f>SUM('Alternatyva 2'!BT$21,'Alternatyva 2'!BT$32,'Alternatyva 2'!BT$43,'Alternatyva 2'!BT$55,'Alternatyva 2'!BT$66,'Alternatyva 2'!BT$77,'Alternatyva 2'!BT$88)</f>
        <v>0</v>
      </c>
      <c r="BU29" s="43">
        <f>SUM('Alternatyva 2'!BU$21,'Alternatyva 2'!BU$32,'Alternatyva 2'!BU$43,'Alternatyva 2'!BU$55,'Alternatyva 2'!BU$66,'Alternatyva 2'!BU$77,'Alternatyva 2'!BU$88)</f>
        <v>0</v>
      </c>
      <c r="BV29" s="43">
        <f>SUM('Alternatyva 2'!BV$21,'Alternatyva 2'!BV$32,'Alternatyva 2'!BV$43,'Alternatyva 2'!BV$55,'Alternatyva 2'!BV$66,'Alternatyva 2'!BV$77,'Alternatyva 2'!BV$88)</f>
        <v>0</v>
      </c>
      <c r="BW29" s="43">
        <f>SUM('Alternatyva 2'!BW$21,'Alternatyva 2'!BW$32,'Alternatyva 2'!BW$43,'Alternatyva 2'!BW$55,'Alternatyva 2'!BW$66,'Alternatyva 2'!BW$77,'Alternatyva 2'!BW$88)</f>
        <v>0</v>
      </c>
      <c r="BX29" s="43">
        <f>SUM('Alternatyva 2'!BX$21,'Alternatyva 2'!BX$32,'Alternatyva 2'!BX$43,'Alternatyva 2'!BX$55,'Alternatyva 2'!BX$66,'Alternatyva 2'!BX$77,'Alternatyva 2'!BX$88)</f>
        <v>0</v>
      </c>
      <c r="BY29" s="43">
        <f>SUM('Alternatyva 2'!BY$21,'Alternatyva 2'!BY$32,'Alternatyva 2'!BY$43,'Alternatyva 2'!BY$55,'Alternatyva 2'!BY$66,'Alternatyva 2'!BY$77,'Alternatyva 2'!BY$88)</f>
        <v>0</v>
      </c>
      <c r="BZ29" s="43">
        <f>SUM('Alternatyva 2'!BZ$21,'Alternatyva 2'!BZ$32,'Alternatyva 2'!BZ$43,'Alternatyva 2'!BZ$55,'Alternatyva 2'!BZ$66,'Alternatyva 2'!BZ$77,'Alternatyva 2'!BZ$88)</f>
        <v>0</v>
      </c>
      <c r="CA29" s="43">
        <f>SUM('Alternatyva 2'!CA$21,'Alternatyva 2'!CA$32,'Alternatyva 2'!CA$43,'Alternatyva 2'!CA$55,'Alternatyva 2'!CA$66,'Alternatyva 2'!CA$77,'Alternatyva 2'!CA$88)</f>
        <v>0</v>
      </c>
      <c r="CB29" s="43">
        <f>SUM('Alternatyva 2'!CB$21,'Alternatyva 2'!CB$32,'Alternatyva 2'!CB$43,'Alternatyva 2'!CB$55,'Alternatyva 2'!CB$66,'Alternatyva 2'!CB$77,'Alternatyva 2'!CB$88)</f>
        <v>0</v>
      </c>
      <c r="CC29" s="43">
        <f>SUM('Alternatyva 2'!CC$21,'Alternatyva 2'!CC$32,'Alternatyva 2'!CC$43,'Alternatyva 2'!CC$55,'Alternatyva 2'!CC$66,'Alternatyva 2'!CC$77,'Alternatyva 2'!CC$88)</f>
        <v>0</v>
      </c>
      <c r="CD29" s="43">
        <f>SUM('Alternatyva 2'!CD$21,'Alternatyva 2'!CD$32,'Alternatyva 2'!CD$43,'Alternatyva 2'!CD$55,'Alternatyva 2'!CD$66,'Alternatyva 2'!CD$77,'Alternatyva 2'!CD$88)</f>
        <v>0</v>
      </c>
      <c r="CE29" s="43">
        <f>SUM('Alternatyva 2'!CE$21,'Alternatyva 2'!CE$32,'Alternatyva 2'!CE$43,'Alternatyva 2'!CE$55,'Alternatyva 2'!CE$66,'Alternatyva 2'!CE$77,'Alternatyva 2'!CE$88)</f>
        <v>0</v>
      </c>
      <c r="CF29" s="43">
        <f>SUM('Alternatyva 2'!CF$21,'Alternatyva 2'!CF$32,'Alternatyva 2'!CF$43,'Alternatyva 2'!CF$55,'Alternatyva 2'!CF$66,'Alternatyva 2'!CF$77,'Alternatyva 2'!CF$88)</f>
        <v>0</v>
      </c>
      <c r="CG29" s="43">
        <f>SUM('Alternatyva 2'!CG$21,'Alternatyva 2'!CG$32,'Alternatyva 2'!CG$43,'Alternatyva 2'!CG$55,'Alternatyva 2'!CG$66,'Alternatyva 2'!CG$77,'Alternatyva 2'!CG$88)</f>
        <v>0</v>
      </c>
      <c r="CH29" s="43">
        <f>SUM('Alternatyva 2'!CH$21,'Alternatyva 2'!CH$32,'Alternatyva 2'!CH$43,'Alternatyva 2'!CH$55,'Alternatyva 2'!CH$66,'Alternatyva 2'!CH$77,'Alternatyva 2'!CH$88)</f>
        <v>0</v>
      </c>
      <c r="CI29" s="43">
        <f>SUM('Alternatyva 2'!CI$21,'Alternatyva 2'!CI$32,'Alternatyva 2'!CI$43,'Alternatyva 2'!CI$55,'Alternatyva 2'!CI$66,'Alternatyva 2'!CI$77,'Alternatyva 2'!CI$88)</f>
        <v>0</v>
      </c>
      <c r="CJ29" s="43">
        <f>SUM('Alternatyva 2'!CJ$21,'Alternatyva 2'!CJ$32,'Alternatyva 2'!CJ$43,'Alternatyva 2'!CJ$55,'Alternatyva 2'!CJ$66,'Alternatyva 2'!CJ$77,'Alternatyva 2'!CJ$88)</f>
        <v>0</v>
      </c>
      <c r="CK29" s="43">
        <f>SUM('Alternatyva 2'!CK$21,'Alternatyva 2'!CK$32,'Alternatyva 2'!CK$43,'Alternatyva 2'!CK$55,'Alternatyva 2'!CK$66,'Alternatyva 2'!CK$77,'Alternatyva 2'!CK$88)</f>
        <v>0</v>
      </c>
      <c r="CL29" s="43">
        <f>SUM('Alternatyva 2'!CL$21,'Alternatyva 2'!CL$32,'Alternatyva 2'!CL$43,'Alternatyva 2'!CL$55,'Alternatyva 2'!CL$66,'Alternatyva 2'!CL$77,'Alternatyva 2'!CL$88)</f>
        <v>0</v>
      </c>
      <c r="CM29" s="43">
        <f>SUM('Alternatyva 2'!CM$21,'Alternatyva 2'!CM$32,'Alternatyva 2'!CM$43,'Alternatyva 2'!CM$55,'Alternatyva 2'!CM$66,'Alternatyva 2'!CM$77,'Alternatyva 2'!CM$88)</f>
        <v>0</v>
      </c>
      <c r="CN29" s="43">
        <f>SUM('Alternatyva 2'!CN$21,'Alternatyva 2'!CN$32,'Alternatyva 2'!CN$43,'Alternatyva 2'!CN$55,'Alternatyva 2'!CN$66,'Alternatyva 2'!CN$77,'Alternatyva 2'!CN$88)</f>
        <v>0</v>
      </c>
      <c r="CO29" s="43">
        <f>SUM('Alternatyva 2'!CO$21,'Alternatyva 2'!CO$32,'Alternatyva 2'!CO$43,'Alternatyva 2'!CO$55,'Alternatyva 2'!CO$66,'Alternatyva 2'!CO$77,'Alternatyva 2'!CO$88)</f>
        <v>0</v>
      </c>
      <c r="CP29" s="43">
        <f>SUM('Alternatyva 2'!CP$21,'Alternatyva 2'!CP$32,'Alternatyva 2'!CP$43,'Alternatyva 2'!CP$55,'Alternatyva 2'!CP$66,'Alternatyva 2'!CP$77,'Alternatyva 2'!CP$88)</f>
        <v>0</v>
      </c>
      <c r="CQ29" s="43">
        <f>SUM('Alternatyva 2'!CQ$21,'Alternatyva 2'!CQ$32,'Alternatyva 2'!CQ$43,'Alternatyva 2'!CQ$55,'Alternatyva 2'!CQ$66,'Alternatyva 2'!CQ$77,'Alternatyva 2'!CQ$88)</f>
        <v>0</v>
      </c>
      <c r="CR29" s="43">
        <f>SUM('Alternatyva 2'!CR$21,'Alternatyva 2'!CR$32,'Alternatyva 2'!CR$43,'Alternatyva 2'!CR$55,'Alternatyva 2'!CR$66,'Alternatyva 2'!CR$77,'Alternatyva 2'!CR$88)</f>
        <v>0</v>
      </c>
      <c r="CS29" s="43">
        <f>SUM('Alternatyva 2'!CS$21,'Alternatyva 2'!CS$32,'Alternatyva 2'!CS$43,'Alternatyva 2'!CS$55,'Alternatyva 2'!CS$66,'Alternatyva 2'!CS$77,'Alternatyva 2'!CS$88)</f>
        <v>0</v>
      </c>
      <c r="CT29" s="43">
        <f>SUM('Alternatyva 2'!CT$21,'Alternatyva 2'!CT$32,'Alternatyva 2'!CT$43,'Alternatyva 2'!CT$55,'Alternatyva 2'!CT$66,'Alternatyva 2'!CT$77,'Alternatyva 2'!CT$88)</f>
        <v>0</v>
      </c>
      <c r="CU29" s="43">
        <f>SUM('Alternatyva 2'!CU$21,'Alternatyva 2'!CU$32,'Alternatyva 2'!CU$43,'Alternatyva 2'!CU$55,'Alternatyva 2'!CU$66,'Alternatyva 2'!CU$77,'Alternatyva 2'!CU$88)</f>
        <v>0</v>
      </c>
      <c r="CV29" s="43">
        <f>SUM('Alternatyva 2'!CV$21,'Alternatyva 2'!CV$32,'Alternatyva 2'!CV$43,'Alternatyva 2'!CV$55,'Alternatyva 2'!CV$66,'Alternatyva 2'!CV$77,'Alternatyva 2'!CV$88)</f>
        <v>0</v>
      </c>
      <c r="CW29" s="43">
        <f>SUM('Alternatyva 2'!CW$21,'Alternatyva 2'!CW$32,'Alternatyva 2'!CW$43,'Alternatyva 2'!CW$55,'Alternatyva 2'!CW$66,'Alternatyva 2'!CW$77,'Alternatyva 2'!CW$88)</f>
        <v>0</v>
      </c>
      <c r="CX29" s="43">
        <f>SUM('Alternatyva 2'!CX$21,'Alternatyva 2'!CX$32,'Alternatyva 2'!CX$43,'Alternatyva 2'!CX$55,'Alternatyva 2'!CX$66,'Alternatyva 2'!CX$77,'Alternatyva 2'!CX$88)</f>
        <v>0</v>
      </c>
      <c r="CY29" s="43">
        <f>SUM('Alternatyva 2'!CY$21,'Alternatyva 2'!CY$32,'Alternatyva 2'!CY$43,'Alternatyva 2'!CY$55,'Alternatyva 2'!CY$66,'Alternatyva 2'!CY$77,'Alternatyva 2'!CY$88)</f>
        <v>0</v>
      </c>
      <c r="CZ29" s="43">
        <f>SUM('Alternatyva 2'!CZ$21,'Alternatyva 2'!CZ$32,'Alternatyva 2'!CZ$43,'Alternatyva 2'!CZ$55,'Alternatyva 2'!CZ$66,'Alternatyva 2'!CZ$77,'Alternatyva 2'!CZ$88)</f>
        <v>0</v>
      </c>
      <c r="DA29" s="43">
        <f>SUM('Alternatyva 2'!DA$21,'Alternatyva 2'!DA$32,'Alternatyva 2'!DA$43,'Alternatyva 2'!DA$55,'Alternatyva 2'!DA$66,'Alternatyva 2'!DA$77,'Alternatyva 2'!DA$88)</f>
        <v>0</v>
      </c>
      <c r="DB29" s="43">
        <f>SUM('Alternatyva 2'!DB$21,'Alternatyva 2'!DB$32,'Alternatyva 2'!DB$43,'Alternatyva 2'!DB$55,'Alternatyva 2'!DB$66,'Alternatyva 2'!DB$77,'Alternatyva 2'!DB$88)</f>
        <v>0</v>
      </c>
      <c r="DC29" s="43">
        <f>SUM('Alternatyva 2'!DC$21,'Alternatyva 2'!DC$32,'Alternatyva 2'!DC$43,'Alternatyva 2'!DC$55,'Alternatyva 2'!DC$66,'Alternatyva 2'!DC$77,'Alternatyva 2'!DC$88)</f>
        <v>0</v>
      </c>
    </row>
    <row r="30" spans="2:108" ht="15" customHeight="1">
      <c r="B30" s="5" t="s">
        <v>195</v>
      </c>
      <c r="C30" s="777" t="s">
        <v>264</v>
      </c>
      <c r="D30" s="778"/>
      <c r="E30" s="779"/>
      <c r="F30" s="49">
        <f>H30+NPV(SD,I30:INDEX(I30:DC30,PAL))</f>
        <v>0</v>
      </c>
      <c r="G30" s="43">
        <f>SUMIF($H$6:$DC$6,"&lt;="&amp;PAL,$H30:$DC30)</f>
        <v>0</v>
      </c>
      <c r="H30" s="43">
        <f>H29-SUMPRODUCT('Alternatyva 2'!H$21:H$88,'Alternatyva 2'!$DH$21:$DH$88)</f>
        <v>0</v>
      </c>
      <c r="I30" s="43">
        <f>I29-SUMPRODUCT('Alternatyva 2'!I$21:I$88,'Alternatyva 2'!$DH$21:$DH$88)</f>
        <v>0</v>
      </c>
      <c r="J30" s="43">
        <f>J29-SUMPRODUCT('Alternatyva 2'!J$21:J$88,'Alternatyva 2'!$DH$21:$DH$88)</f>
        <v>0</v>
      </c>
      <c r="K30" s="43">
        <f>K29-SUMPRODUCT('Alternatyva 2'!K$21:K$88,'Alternatyva 2'!$DH$21:$DH$88)</f>
        <v>0</v>
      </c>
      <c r="L30" s="43">
        <f>L29-SUMPRODUCT('Alternatyva 2'!L$21:L$88,'Alternatyva 2'!$DH$21:$DH$88)</f>
        <v>0</v>
      </c>
      <c r="M30" s="43">
        <f>M29-SUMPRODUCT('Alternatyva 2'!M$21:M$88,'Alternatyva 2'!$DH$21:$DH$88)</f>
        <v>0</v>
      </c>
      <c r="N30" s="43">
        <f>N29-SUMPRODUCT('Alternatyva 2'!N$21:N$88,'Alternatyva 2'!$DH$21:$DH$88)</f>
        <v>0</v>
      </c>
      <c r="O30" s="43">
        <f>O29-SUMPRODUCT('Alternatyva 2'!O$21:O$88,'Alternatyva 2'!$DH$21:$DH$88)</f>
        <v>0</v>
      </c>
      <c r="P30" s="43">
        <f>P29-SUMPRODUCT('Alternatyva 2'!P$21:P$88,'Alternatyva 2'!$DH$21:$DH$88)</f>
        <v>0</v>
      </c>
      <c r="Q30" s="43">
        <f>Q29-SUMPRODUCT('Alternatyva 2'!Q$21:Q$88,'Alternatyva 2'!$DH$21:$DH$88)</f>
        <v>0</v>
      </c>
      <c r="R30" s="43">
        <f>R29-SUMPRODUCT('Alternatyva 2'!R$21:R$88,'Alternatyva 2'!$DH$21:$DH$88)</f>
        <v>0</v>
      </c>
      <c r="S30" s="43">
        <f>S29-SUMPRODUCT('Alternatyva 2'!S$21:S$88,'Alternatyva 2'!$DH$21:$DH$88)</f>
        <v>0</v>
      </c>
      <c r="T30" s="43">
        <f>T29-SUMPRODUCT('Alternatyva 2'!T$21:T$88,'Alternatyva 2'!$DH$21:$DH$88)</f>
        <v>0</v>
      </c>
      <c r="U30" s="43">
        <f>U29-SUMPRODUCT('Alternatyva 2'!U$21:U$88,'Alternatyva 2'!$DH$21:$DH$88)</f>
        <v>0</v>
      </c>
      <c r="V30" s="43">
        <f>V29-SUMPRODUCT('Alternatyva 2'!V$21:V$88,'Alternatyva 2'!$DH$21:$DH$88)</f>
        <v>0</v>
      </c>
      <c r="W30" s="43">
        <f>W29-SUMPRODUCT('Alternatyva 2'!W$21:W$88,'Alternatyva 2'!$DH$21:$DH$88)</f>
        <v>0</v>
      </c>
      <c r="X30" s="43">
        <f>X29-SUMPRODUCT('Alternatyva 2'!X$21:X$88,'Alternatyva 2'!$DH$21:$DH$88)</f>
        <v>0</v>
      </c>
      <c r="Y30" s="43">
        <f>Y29-SUMPRODUCT('Alternatyva 2'!Y$21:Y$88,'Alternatyva 2'!$DH$21:$DH$88)</f>
        <v>0</v>
      </c>
      <c r="Z30" s="43">
        <f>Z29-SUMPRODUCT('Alternatyva 2'!Z$21:Z$88,'Alternatyva 2'!$DH$21:$DH$88)</f>
        <v>0</v>
      </c>
      <c r="AA30" s="43">
        <f>AA29-SUMPRODUCT('Alternatyva 2'!AA$21:AA$88,'Alternatyva 2'!$DH$21:$DH$88)</f>
        <v>0</v>
      </c>
      <c r="AB30" s="43">
        <f>AB29-SUMPRODUCT('Alternatyva 2'!AB$21:AB$88,'Alternatyva 2'!$DH$21:$DH$88)</f>
        <v>0</v>
      </c>
      <c r="AC30" s="43">
        <f>AC29-SUMPRODUCT('Alternatyva 2'!AC$21:AC$88,'Alternatyva 2'!$DH$21:$DH$88)</f>
        <v>0</v>
      </c>
      <c r="AD30" s="43">
        <f>AD29-SUMPRODUCT('Alternatyva 2'!AD$21:AD$88,'Alternatyva 2'!$DH$21:$DH$88)</f>
        <v>0</v>
      </c>
      <c r="AE30" s="43">
        <f>AE29-SUMPRODUCT('Alternatyva 2'!AE$21:AE$88,'Alternatyva 2'!$DH$21:$DH$88)</f>
        <v>0</v>
      </c>
      <c r="AF30" s="43">
        <f>AF29-SUMPRODUCT('Alternatyva 2'!AF$21:AF$88,'Alternatyva 2'!$DH$21:$DH$88)</f>
        <v>0</v>
      </c>
      <c r="AG30" s="43">
        <f>AG29-SUMPRODUCT('Alternatyva 2'!AG$21:AG$88,'Alternatyva 2'!$DH$21:$DH$88)</f>
        <v>0</v>
      </c>
      <c r="AH30" s="43">
        <f>AH29-SUMPRODUCT('Alternatyva 2'!AH$21:AH$88,'Alternatyva 2'!$DH$21:$DH$88)</f>
        <v>0</v>
      </c>
      <c r="AI30" s="43">
        <f>AI29-SUMPRODUCT('Alternatyva 2'!AI$21:AI$88,'Alternatyva 2'!$DH$21:$DH$88)</f>
        <v>0</v>
      </c>
      <c r="AJ30" s="43">
        <f>AJ29-SUMPRODUCT('Alternatyva 2'!AJ$21:AJ$88,'Alternatyva 2'!$DH$21:$DH$88)</f>
        <v>0</v>
      </c>
      <c r="AK30" s="43">
        <f>AK29-SUMPRODUCT('Alternatyva 2'!AK$21:AK$88,'Alternatyva 2'!$DH$21:$DH$88)</f>
        <v>0</v>
      </c>
      <c r="AL30" s="43">
        <f>AL29-SUMPRODUCT('Alternatyva 2'!AL$21:AL$88,'Alternatyva 2'!$DH$21:$DH$88)</f>
        <v>0</v>
      </c>
      <c r="AM30" s="43">
        <f>AM29-SUMPRODUCT('Alternatyva 2'!AM$21:AM$88,'Alternatyva 2'!$DH$21:$DH$88)</f>
        <v>0</v>
      </c>
      <c r="AN30" s="43">
        <f>AN29-SUMPRODUCT('Alternatyva 2'!AN$21:AN$88,'Alternatyva 2'!$DH$21:$DH$88)</f>
        <v>0</v>
      </c>
      <c r="AO30" s="43">
        <f>AO29-SUMPRODUCT('Alternatyva 2'!AO$21:AO$88,'Alternatyva 2'!$DH$21:$DH$88)</f>
        <v>0</v>
      </c>
      <c r="AP30" s="43">
        <f>AP29-SUMPRODUCT('Alternatyva 2'!AP$21:AP$88,'Alternatyva 2'!$DH$21:$DH$88)</f>
        <v>0</v>
      </c>
      <c r="AQ30" s="43">
        <f>AQ29-SUMPRODUCT('Alternatyva 2'!AQ$21:AQ$88,'Alternatyva 2'!$DH$21:$DH$88)</f>
        <v>0</v>
      </c>
      <c r="AR30" s="43">
        <f>AR29-SUMPRODUCT('Alternatyva 2'!AR$21:AR$88,'Alternatyva 2'!$DH$21:$DH$88)</f>
        <v>0</v>
      </c>
      <c r="AS30" s="43">
        <f>AS29-SUMPRODUCT('Alternatyva 2'!AS$21:AS$88,'Alternatyva 2'!$DH$21:$DH$88)</f>
        <v>0</v>
      </c>
      <c r="AT30" s="43">
        <f>AT29-SUMPRODUCT('Alternatyva 2'!AT$21:AT$88,'Alternatyva 2'!$DH$21:$DH$88)</f>
        <v>0</v>
      </c>
      <c r="AU30" s="43">
        <f>AU29-SUMPRODUCT('Alternatyva 2'!AU$21:AU$88,'Alternatyva 2'!$DH$21:$DH$88)</f>
        <v>0</v>
      </c>
      <c r="AV30" s="43">
        <f>AV29-SUMPRODUCT('Alternatyva 2'!AV$21:AV$88,'Alternatyva 2'!$DH$21:$DH$88)</f>
        <v>0</v>
      </c>
      <c r="AW30" s="43">
        <f>AW29-SUMPRODUCT('Alternatyva 2'!AW$21:AW$88,'Alternatyva 2'!$DH$21:$DH$88)</f>
        <v>0</v>
      </c>
      <c r="AX30" s="43">
        <f>AX29-SUMPRODUCT('Alternatyva 2'!AX$21:AX$88,'Alternatyva 2'!$DH$21:$DH$88)</f>
        <v>0</v>
      </c>
      <c r="AY30" s="43">
        <f>AY29-SUMPRODUCT('Alternatyva 2'!AY$21:AY$88,'Alternatyva 2'!$DH$21:$DH$88)</f>
        <v>0</v>
      </c>
      <c r="AZ30" s="43">
        <f>AZ29-SUMPRODUCT('Alternatyva 2'!AZ$21:AZ$88,'Alternatyva 2'!$DH$21:$DH$88)</f>
        <v>0</v>
      </c>
      <c r="BA30" s="43">
        <f>BA29-SUMPRODUCT('Alternatyva 2'!BA$21:BA$88,'Alternatyva 2'!$DH$21:$DH$88)</f>
        <v>0</v>
      </c>
      <c r="BB30" s="43">
        <f>BB29-SUMPRODUCT('Alternatyva 2'!BB$21:BB$88,'Alternatyva 2'!$DH$21:$DH$88)</f>
        <v>0</v>
      </c>
      <c r="BC30" s="43">
        <f>BC29-SUMPRODUCT('Alternatyva 2'!BC$21:BC$88,'Alternatyva 2'!$DH$21:$DH$88)</f>
        <v>0</v>
      </c>
      <c r="BD30" s="43">
        <f>BD29-SUMPRODUCT('Alternatyva 2'!BD$21:BD$88,'Alternatyva 2'!$DH$21:$DH$88)</f>
        <v>0</v>
      </c>
      <c r="BE30" s="43">
        <f>BE29-SUMPRODUCT('Alternatyva 2'!BE$21:BE$88,'Alternatyva 2'!$DH$21:$DH$88)</f>
        <v>0</v>
      </c>
      <c r="BF30" s="43">
        <f>BF29-SUMPRODUCT('Alternatyva 2'!BF$21:BF$88,'Alternatyva 2'!$DH$21:$DH$88)</f>
        <v>0</v>
      </c>
      <c r="BG30" s="43">
        <f>BG29-SUMPRODUCT('Alternatyva 2'!BG$21:BG$88,'Alternatyva 2'!$DH$21:$DH$88)</f>
        <v>0</v>
      </c>
      <c r="BH30" s="43">
        <f>BH29-SUMPRODUCT('Alternatyva 2'!BH$21:BH$88,'Alternatyva 2'!$DH$21:$DH$88)</f>
        <v>0</v>
      </c>
      <c r="BI30" s="43">
        <f>BI29-SUMPRODUCT('Alternatyva 2'!BI$21:BI$88,'Alternatyva 2'!$DH$21:$DH$88)</f>
        <v>0</v>
      </c>
      <c r="BJ30" s="43">
        <f>BJ29-SUMPRODUCT('Alternatyva 2'!BJ$21:BJ$88,'Alternatyva 2'!$DH$21:$DH$88)</f>
        <v>0</v>
      </c>
      <c r="BK30" s="43">
        <f>BK29-SUMPRODUCT('Alternatyva 2'!BK$21:BK$88,'Alternatyva 2'!$DH$21:$DH$88)</f>
        <v>0</v>
      </c>
      <c r="BL30" s="43">
        <f>BL29-SUMPRODUCT('Alternatyva 2'!BL$21:BL$88,'Alternatyva 2'!$DH$21:$DH$88)</f>
        <v>0</v>
      </c>
      <c r="BM30" s="43">
        <f>BM29-SUMPRODUCT('Alternatyva 2'!BM$21:BM$88,'Alternatyva 2'!$DH$21:$DH$88)</f>
        <v>0</v>
      </c>
      <c r="BN30" s="43">
        <f>BN29-SUMPRODUCT('Alternatyva 2'!BN$21:BN$88,'Alternatyva 2'!$DH$21:$DH$88)</f>
        <v>0</v>
      </c>
      <c r="BO30" s="43">
        <f>BO29-SUMPRODUCT('Alternatyva 2'!BO$21:BO$88,'Alternatyva 2'!$DH$21:$DH$88)</f>
        <v>0</v>
      </c>
      <c r="BP30" s="43">
        <f>BP29-SUMPRODUCT('Alternatyva 2'!BP$21:BP$88,'Alternatyva 2'!$DH$21:$DH$88)</f>
        <v>0</v>
      </c>
      <c r="BQ30" s="43">
        <f>BQ29-SUMPRODUCT('Alternatyva 2'!BQ$21:BQ$88,'Alternatyva 2'!$DH$21:$DH$88)</f>
        <v>0</v>
      </c>
      <c r="BR30" s="43">
        <f>BR29-SUMPRODUCT('Alternatyva 2'!BR$21:BR$88,'Alternatyva 2'!$DH$21:$DH$88)</f>
        <v>0</v>
      </c>
      <c r="BS30" s="43">
        <f>BS29-SUMPRODUCT('Alternatyva 2'!BS$21:BS$88,'Alternatyva 2'!$DH$21:$DH$88)</f>
        <v>0</v>
      </c>
      <c r="BT30" s="43">
        <f>BT29-SUMPRODUCT('Alternatyva 2'!BT$21:BT$88,'Alternatyva 2'!$DH$21:$DH$88)</f>
        <v>0</v>
      </c>
      <c r="BU30" s="43">
        <f>BU29-SUMPRODUCT('Alternatyva 2'!BU$21:BU$88,'Alternatyva 2'!$DH$21:$DH$88)</f>
        <v>0</v>
      </c>
      <c r="BV30" s="43">
        <f>BV29-SUMPRODUCT('Alternatyva 2'!BV$21:BV$88,'Alternatyva 2'!$DH$21:$DH$88)</f>
        <v>0</v>
      </c>
      <c r="BW30" s="43">
        <f>BW29-SUMPRODUCT('Alternatyva 2'!BW$21:BW$88,'Alternatyva 2'!$DH$21:$DH$88)</f>
        <v>0</v>
      </c>
      <c r="BX30" s="43">
        <f>BX29-SUMPRODUCT('Alternatyva 2'!BX$21:BX$88,'Alternatyva 2'!$DH$21:$DH$88)</f>
        <v>0</v>
      </c>
      <c r="BY30" s="43">
        <f>BY29-SUMPRODUCT('Alternatyva 2'!BY$21:BY$88,'Alternatyva 2'!$DH$21:$DH$88)</f>
        <v>0</v>
      </c>
      <c r="BZ30" s="43">
        <f>BZ29-SUMPRODUCT('Alternatyva 2'!BZ$21:BZ$88,'Alternatyva 2'!$DH$21:$DH$88)</f>
        <v>0</v>
      </c>
      <c r="CA30" s="43">
        <f>CA29-SUMPRODUCT('Alternatyva 2'!CA$21:CA$88,'Alternatyva 2'!$DH$21:$DH$88)</f>
        <v>0</v>
      </c>
      <c r="CB30" s="43">
        <f>CB29-SUMPRODUCT('Alternatyva 2'!CB$21:CB$88,'Alternatyva 2'!$DH$21:$DH$88)</f>
        <v>0</v>
      </c>
      <c r="CC30" s="43">
        <f>CC29-SUMPRODUCT('Alternatyva 2'!CC$21:CC$88,'Alternatyva 2'!$DH$21:$DH$88)</f>
        <v>0</v>
      </c>
      <c r="CD30" s="43">
        <f>CD29-SUMPRODUCT('Alternatyva 2'!CD$21:CD$88,'Alternatyva 2'!$DH$21:$DH$88)</f>
        <v>0</v>
      </c>
      <c r="CE30" s="43">
        <f>CE29-SUMPRODUCT('Alternatyva 2'!CE$21:CE$88,'Alternatyva 2'!$DH$21:$DH$88)</f>
        <v>0</v>
      </c>
      <c r="CF30" s="43">
        <f>CF29-SUMPRODUCT('Alternatyva 2'!CF$21:CF$88,'Alternatyva 2'!$DH$21:$DH$88)</f>
        <v>0</v>
      </c>
      <c r="CG30" s="43">
        <f>CG29-SUMPRODUCT('Alternatyva 2'!CG$21:CG$88,'Alternatyva 2'!$DH$21:$DH$88)</f>
        <v>0</v>
      </c>
      <c r="CH30" s="43">
        <f>CH29-SUMPRODUCT('Alternatyva 2'!CH$21:CH$88,'Alternatyva 2'!$DH$21:$DH$88)</f>
        <v>0</v>
      </c>
      <c r="CI30" s="43">
        <f>CI29-SUMPRODUCT('Alternatyva 2'!CI$21:CI$88,'Alternatyva 2'!$DH$21:$DH$88)</f>
        <v>0</v>
      </c>
      <c r="CJ30" s="43">
        <f>CJ29-SUMPRODUCT('Alternatyva 2'!CJ$21:CJ$88,'Alternatyva 2'!$DH$21:$DH$88)</f>
        <v>0</v>
      </c>
      <c r="CK30" s="43">
        <f>CK29-SUMPRODUCT('Alternatyva 2'!CK$21:CK$88,'Alternatyva 2'!$DH$21:$DH$88)</f>
        <v>0</v>
      </c>
      <c r="CL30" s="43">
        <f>CL29-SUMPRODUCT('Alternatyva 2'!CL$21:CL$88,'Alternatyva 2'!$DH$21:$DH$88)</f>
        <v>0</v>
      </c>
      <c r="CM30" s="43">
        <f>CM29-SUMPRODUCT('Alternatyva 2'!CM$21:CM$88,'Alternatyva 2'!$DH$21:$DH$88)</f>
        <v>0</v>
      </c>
      <c r="CN30" s="43">
        <f>CN29-SUMPRODUCT('Alternatyva 2'!CN$21:CN$88,'Alternatyva 2'!$DH$21:$DH$88)</f>
        <v>0</v>
      </c>
      <c r="CO30" s="43">
        <f>CO29-SUMPRODUCT('Alternatyva 2'!CO$21:CO$88,'Alternatyva 2'!$DH$21:$DH$88)</f>
        <v>0</v>
      </c>
      <c r="CP30" s="43">
        <f>CP29-SUMPRODUCT('Alternatyva 2'!CP$21:CP$88,'Alternatyva 2'!$DH$21:$DH$88)</f>
        <v>0</v>
      </c>
      <c r="CQ30" s="43">
        <f>CQ29-SUMPRODUCT('Alternatyva 2'!CQ$21:CQ$88,'Alternatyva 2'!$DH$21:$DH$88)</f>
        <v>0</v>
      </c>
      <c r="CR30" s="43">
        <f>CR29-SUMPRODUCT('Alternatyva 2'!CR$21:CR$88,'Alternatyva 2'!$DH$21:$DH$88)</f>
        <v>0</v>
      </c>
      <c r="CS30" s="43">
        <f>CS29-SUMPRODUCT('Alternatyva 2'!CS$21:CS$88,'Alternatyva 2'!$DH$21:$DH$88)</f>
        <v>0</v>
      </c>
      <c r="CT30" s="43">
        <f>CT29-SUMPRODUCT('Alternatyva 2'!CT$21:CT$88,'Alternatyva 2'!$DH$21:$DH$88)</f>
        <v>0</v>
      </c>
      <c r="CU30" s="43">
        <f>CU29-SUMPRODUCT('Alternatyva 2'!CU$21:CU$88,'Alternatyva 2'!$DH$21:$DH$88)</f>
        <v>0</v>
      </c>
      <c r="CV30" s="43">
        <f>CV29-SUMPRODUCT('Alternatyva 2'!CV$21:CV$88,'Alternatyva 2'!$DH$21:$DH$88)</f>
        <v>0</v>
      </c>
      <c r="CW30" s="43">
        <f>CW29-SUMPRODUCT('Alternatyva 2'!CW$21:CW$88,'Alternatyva 2'!$DH$21:$DH$88)</f>
        <v>0</v>
      </c>
      <c r="CX30" s="43">
        <f>CX29-SUMPRODUCT('Alternatyva 2'!CX$21:CX$88,'Alternatyva 2'!$DH$21:$DH$88)</f>
        <v>0</v>
      </c>
      <c r="CY30" s="43">
        <f>CY29-SUMPRODUCT('Alternatyva 2'!CY$21:CY$88,'Alternatyva 2'!$DH$21:$DH$88)</f>
        <v>0</v>
      </c>
      <c r="CZ30" s="43">
        <f>CZ29-SUMPRODUCT('Alternatyva 2'!CZ$21:CZ$88,'Alternatyva 2'!$DH$21:$DH$88)</f>
        <v>0</v>
      </c>
      <c r="DA30" s="43">
        <f>DA29-SUMPRODUCT('Alternatyva 2'!DA$21:DA$88,'Alternatyva 2'!$DH$21:$DH$88)</f>
        <v>0</v>
      </c>
      <c r="DB30" s="43">
        <f>DB29-SUMPRODUCT('Alternatyva 2'!DB$21:DB$88,'Alternatyva 2'!$DH$21:$DH$88)</f>
        <v>0</v>
      </c>
      <c r="DC30" s="43">
        <f>DC29-SUMPRODUCT('Alternatyva 2'!DC$21:DC$88,'Alternatyva 2'!$DH$21:$DH$88)</f>
        <v>0</v>
      </c>
    </row>
    <row r="31" spans="2:108" ht="15" customHeight="1" thickBot="1">
      <c r="B31" s="5" t="s">
        <v>241</v>
      </c>
      <c r="C31" s="795" t="s">
        <v>162</v>
      </c>
      <c r="D31" s="796"/>
      <c r="E31" s="797"/>
      <c r="F31" s="49">
        <f>H31+NPV(SD,I31:INDEX(I31:DC31,PAL))</f>
        <v>857094692.65011179</v>
      </c>
      <c r="G31" s="43">
        <f>SUMIF($H$6:$DC$6,"&lt;="&amp;PAL,$H31:$DC31)</f>
        <v>1520937478.874855</v>
      </c>
      <c r="H31" s="14">
        <f>H26-H27-H28+H30</f>
        <v>-1730000</v>
      </c>
      <c r="I31" s="14">
        <f t="shared" ref="I31:BT31" si="9">I26-I27-I28+I30</f>
        <v>-4033463.6925320001</v>
      </c>
      <c r="J31" s="14">
        <f t="shared" si="9"/>
        <v>22161151.645063847</v>
      </c>
      <c r="K31" s="14">
        <f t="shared" si="9"/>
        <v>27844143.029716484</v>
      </c>
      <c r="L31" s="14">
        <f t="shared" si="9"/>
        <v>68583411.931599706</v>
      </c>
      <c r="M31" s="14">
        <f t="shared" si="9"/>
        <v>70553017.070216089</v>
      </c>
      <c r="N31" s="14">
        <f t="shared" si="9"/>
        <v>72610153.358307675</v>
      </c>
      <c r="O31" s="14">
        <f t="shared" si="9"/>
        <v>74707523.245908603</v>
      </c>
      <c r="P31" s="14">
        <f t="shared" si="9"/>
        <v>76862885.917471454</v>
      </c>
      <c r="Q31" s="14">
        <f t="shared" si="9"/>
        <v>79077885.00655438</v>
      </c>
      <c r="R31" s="14">
        <f t="shared" si="9"/>
        <v>81255037.503856763</v>
      </c>
      <c r="S31" s="14">
        <f t="shared" si="9"/>
        <v>83495255.76047723</v>
      </c>
      <c r="T31" s="14">
        <f t="shared" si="9"/>
        <v>85998675.314732477</v>
      </c>
      <c r="U31" s="14">
        <f t="shared" si="9"/>
        <v>88370441.436205491</v>
      </c>
      <c r="V31" s="14">
        <f t="shared" si="9"/>
        <v>91108313.892283604</v>
      </c>
      <c r="W31" s="14">
        <f t="shared" si="9"/>
        <v>93718370.930091798</v>
      </c>
      <c r="X31" s="14">
        <f t="shared" si="9"/>
        <v>96400961.235349163</v>
      </c>
      <c r="Y31" s="14">
        <f t="shared" si="9"/>
        <v>99158143.538802862</v>
      </c>
      <c r="Z31" s="14">
        <f t="shared" si="9"/>
        <v>101992035.35911433</v>
      </c>
      <c r="AA31" s="14">
        <f t="shared" si="9"/>
        <v>104904814.68515329</v>
      </c>
      <c r="AB31" s="14">
        <f t="shared" si="9"/>
        <v>107898721.70648199</v>
      </c>
      <c r="AC31" s="14">
        <f t="shared" si="9"/>
        <v>-2201603.0655936003</v>
      </c>
      <c r="AD31" s="14">
        <f t="shared" si="9"/>
        <v>-2201603.0655936003</v>
      </c>
      <c r="AE31" s="14">
        <f t="shared" si="9"/>
        <v>-2201603.0655936003</v>
      </c>
      <c r="AF31" s="14">
        <f t="shared" si="9"/>
        <v>-2201603.0655936003</v>
      </c>
      <c r="AG31" s="14">
        <f t="shared" si="9"/>
        <v>-2201603.0655936003</v>
      </c>
      <c r="AH31" s="14">
        <f t="shared" si="9"/>
        <v>-2201603.0655936003</v>
      </c>
      <c r="AI31" s="14">
        <f t="shared" si="9"/>
        <v>-2201603.0655936003</v>
      </c>
      <c r="AJ31" s="14">
        <f t="shared" si="9"/>
        <v>-2201603.0655936003</v>
      </c>
      <c r="AK31" s="14">
        <f t="shared" si="9"/>
        <v>-2201603.0655936003</v>
      </c>
      <c r="AL31" s="14">
        <f t="shared" si="9"/>
        <v>-2201603.0655936003</v>
      </c>
      <c r="AM31" s="14" t="e">
        <f t="shared" si="9"/>
        <v>#REF!</v>
      </c>
      <c r="AN31" s="14">
        <f t="shared" si="9"/>
        <v>-2201603.0655936003</v>
      </c>
      <c r="AO31" s="14">
        <f t="shared" si="9"/>
        <v>-2201603.0655936003</v>
      </c>
      <c r="AP31" s="14">
        <f t="shared" si="9"/>
        <v>-2201603.0655936003</v>
      </c>
      <c r="AQ31" s="14">
        <f t="shared" si="9"/>
        <v>-2201603.0655936003</v>
      </c>
      <c r="AR31" s="14">
        <f t="shared" si="9"/>
        <v>-2201603.0655936003</v>
      </c>
      <c r="AS31" s="14">
        <f t="shared" si="9"/>
        <v>-2201603.0655936003</v>
      </c>
      <c r="AT31" s="14">
        <f t="shared" si="9"/>
        <v>-2201603.0655936003</v>
      </c>
      <c r="AU31" s="14">
        <f t="shared" si="9"/>
        <v>-2201603.0655936003</v>
      </c>
      <c r="AV31" s="14">
        <f t="shared" si="9"/>
        <v>-2201603.0655936003</v>
      </c>
      <c r="AW31" s="14">
        <f t="shared" si="9"/>
        <v>-2201603.0655936003</v>
      </c>
      <c r="AX31" s="14">
        <f t="shared" si="9"/>
        <v>-2201603.0655936003</v>
      </c>
      <c r="AY31" s="14">
        <f t="shared" si="9"/>
        <v>-2201603.0655936003</v>
      </c>
      <c r="AZ31" s="14">
        <f t="shared" si="9"/>
        <v>-2201603.0655936003</v>
      </c>
      <c r="BA31" s="14">
        <f t="shared" si="9"/>
        <v>-2201603.0655936003</v>
      </c>
      <c r="BB31" s="14">
        <f t="shared" si="9"/>
        <v>-2201603.0655936003</v>
      </c>
      <c r="BC31" s="14">
        <f t="shared" si="9"/>
        <v>-2201603.0655936003</v>
      </c>
      <c r="BD31" s="14">
        <f t="shared" si="9"/>
        <v>-2201603.0655936003</v>
      </c>
      <c r="BE31" s="14">
        <f t="shared" si="9"/>
        <v>-2201603.0655936003</v>
      </c>
      <c r="BF31" s="14">
        <f t="shared" si="9"/>
        <v>-2201603.0655936003</v>
      </c>
      <c r="BG31" s="14">
        <f t="shared" si="9"/>
        <v>-2201603.0655936003</v>
      </c>
      <c r="BH31" s="14">
        <f t="shared" si="9"/>
        <v>-2201603.0655936003</v>
      </c>
      <c r="BI31" s="14">
        <f t="shared" si="9"/>
        <v>-2201603.0655936003</v>
      </c>
      <c r="BJ31" s="14">
        <f t="shared" si="9"/>
        <v>-2201603.0655936003</v>
      </c>
      <c r="BK31" s="14">
        <f t="shared" si="9"/>
        <v>-2201603.0655936003</v>
      </c>
      <c r="BL31" s="14">
        <f t="shared" si="9"/>
        <v>-2201603.0655936003</v>
      </c>
      <c r="BM31" s="14">
        <f t="shared" si="9"/>
        <v>-2201603.0655936003</v>
      </c>
      <c r="BN31" s="14">
        <f t="shared" si="9"/>
        <v>-2201603.0655936003</v>
      </c>
      <c r="BO31" s="14">
        <f t="shared" si="9"/>
        <v>-2201603.0655936003</v>
      </c>
      <c r="BP31" s="14">
        <f t="shared" si="9"/>
        <v>-2201603.0655936003</v>
      </c>
      <c r="BQ31" s="14">
        <f t="shared" si="9"/>
        <v>-2201603.0655936003</v>
      </c>
      <c r="BR31" s="14">
        <f t="shared" si="9"/>
        <v>-2201603.0655936003</v>
      </c>
      <c r="BS31" s="14">
        <f t="shared" si="9"/>
        <v>-2201603.0655936003</v>
      </c>
      <c r="BT31" s="14">
        <f t="shared" si="9"/>
        <v>-2201603.0655936003</v>
      </c>
      <c r="BU31" s="14">
        <f t="shared" ref="BU31:DC31" si="10">BU26-BU27-BU28+BU30</f>
        <v>-2201603.0655936003</v>
      </c>
      <c r="BV31" s="14">
        <f t="shared" si="10"/>
        <v>-2201603.0655936003</v>
      </c>
      <c r="BW31" s="14">
        <f t="shared" si="10"/>
        <v>-2201603.0655936003</v>
      </c>
      <c r="BX31" s="14">
        <f t="shared" si="10"/>
        <v>-2201603.0655936003</v>
      </c>
      <c r="BY31" s="14">
        <f t="shared" si="10"/>
        <v>-2201603.0655936003</v>
      </c>
      <c r="BZ31" s="14">
        <f t="shared" si="10"/>
        <v>-2201603.0655936003</v>
      </c>
      <c r="CA31" s="14">
        <f t="shared" si="10"/>
        <v>-2201603.0655936003</v>
      </c>
      <c r="CB31" s="14">
        <f t="shared" si="10"/>
        <v>-2201603.0655936003</v>
      </c>
      <c r="CC31" s="14">
        <f t="shared" si="10"/>
        <v>-2201603.0655936003</v>
      </c>
      <c r="CD31" s="14">
        <f t="shared" si="10"/>
        <v>-2201603.0655936003</v>
      </c>
      <c r="CE31" s="14">
        <f t="shared" si="10"/>
        <v>-2201603.0655936003</v>
      </c>
      <c r="CF31" s="14">
        <f t="shared" si="10"/>
        <v>-2201603.0655936003</v>
      </c>
      <c r="CG31" s="14">
        <f t="shared" si="10"/>
        <v>-2201603.0655936003</v>
      </c>
      <c r="CH31" s="14">
        <f t="shared" si="10"/>
        <v>-2201603.0655936003</v>
      </c>
      <c r="CI31" s="14">
        <f t="shared" si="10"/>
        <v>-2201603.0655936003</v>
      </c>
      <c r="CJ31" s="14">
        <f t="shared" si="10"/>
        <v>-2201603.0655936003</v>
      </c>
      <c r="CK31" s="14">
        <f t="shared" si="10"/>
        <v>-2201603.0655936003</v>
      </c>
      <c r="CL31" s="14">
        <f t="shared" si="10"/>
        <v>-2201603.0655936003</v>
      </c>
      <c r="CM31" s="14">
        <f t="shared" si="10"/>
        <v>-2201603.0655936003</v>
      </c>
      <c r="CN31" s="14">
        <f t="shared" si="10"/>
        <v>-2201603.0655936003</v>
      </c>
      <c r="CO31" s="14">
        <f t="shared" si="10"/>
        <v>-2201603.0655936003</v>
      </c>
      <c r="CP31" s="14">
        <f t="shared" si="10"/>
        <v>-2201603.0655936003</v>
      </c>
      <c r="CQ31" s="14">
        <f t="shared" si="10"/>
        <v>-2201603.0655936003</v>
      </c>
      <c r="CR31" s="14">
        <f t="shared" si="10"/>
        <v>-2201603.0655936003</v>
      </c>
      <c r="CS31" s="14">
        <f t="shared" si="10"/>
        <v>-2201603.0655936003</v>
      </c>
      <c r="CT31" s="14">
        <f t="shared" si="10"/>
        <v>-2201603.0655936003</v>
      </c>
      <c r="CU31" s="14">
        <f t="shared" si="10"/>
        <v>-2201603.0655936003</v>
      </c>
      <c r="CV31" s="14">
        <f t="shared" si="10"/>
        <v>-2201603.0655936003</v>
      </c>
      <c r="CW31" s="14">
        <f t="shared" si="10"/>
        <v>-2201603.0655936003</v>
      </c>
      <c r="CX31" s="14">
        <f t="shared" si="10"/>
        <v>-2201603.0655936003</v>
      </c>
      <c r="CY31" s="14">
        <f t="shared" si="10"/>
        <v>-2201603.0655936003</v>
      </c>
      <c r="CZ31" s="14">
        <f t="shared" si="10"/>
        <v>-2201603.0655936003</v>
      </c>
      <c r="DA31" s="14">
        <f t="shared" si="10"/>
        <v>-2201603.0655936003</v>
      </c>
      <c r="DB31" s="14">
        <f t="shared" si="10"/>
        <v>-2201603.0655936003</v>
      </c>
      <c r="DC31" s="14">
        <f t="shared" si="10"/>
        <v>-2201603.0655936003</v>
      </c>
    </row>
    <row r="32" spans="2:108" ht="15" customHeight="1" thickBot="1">
      <c r="C32" s="802" t="s">
        <v>205</v>
      </c>
      <c r="D32" s="803"/>
      <c r="E32" s="803"/>
      <c r="F32" s="804"/>
      <c r="G32" s="55"/>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799" t="s">
        <v>29</v>
      </c>
      <c r="D33" s="800"/>
      <c r="E33" s="801"/>
      <c r="F33" s="50">
        <f>F31</f>
        <v>857094692.65011179</v>
      </c>
      <c r="G33" s="44"/>
    </row>
    <row r="34" spans="2:107" ht="15" customHeight="1">
      <c r="C34" s="792" t="s">
        <v>30</v>
      </c>
      <c r="D34" s="793"/>
      <c r="E34" s="794"/>
      <c r="F34" s="51">
        <f>IFERROR(IF(F28&lt;0,(F26-F28)/(F27-F30),(F26)/(F27+F28-F30)),"")</f>
        <v>7.8043770093769265</v>
      </c>
      <c r="G34" s="53"/>
    </row>
    <row r="35" spans="2:107" ht="15" customHeight="1" thickBot="1">
      <c r="C35" s="789" t="s">
        <v>196</v>
      </c>
      <c r="D35" s="790"/>
      <c r="E35" s="791"/>
      <c r="F35" s="171">
        <f>IFERROR(IRR(H31:INDEX(H31:DC31,PAL+1)),"-")</f>
        <v>2.6154424349960612</v>
      </c>
      <c r="G35" s="45"/>
    </row>
    <row r="36" spans="2:107" ht="15" customHeight="1" thickBot="1">
      <c r="C36" s="802" t="s">
        <v>197</v>
      </c>
      <c r="D36" s="803"/>
      <c r="E36" s="803"/>
      <c r="F36" s="804"/>
      <c r="G36" s="12" t="s">
        <v>33</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customHeight="1">
      <c r="C37" s="780" t="s">
        <v>201</v>
      </c>
      <c r="D37" s="781"/>
      <c r="E37" s="782"/>
      <c r="F37" s="61"/>
      <c r="G37" s="59">
        <f>SUMIF($H$6:$DC$6,"&lt;="&amp;PAL,$H37:$DC37)</f>
        <v>-200439606.24019569</v>
      </c>
      <c r="H37" s="14">
        <f>H29-'Alternatyva 2'!H$7+'Alternatyva 2'!H$115</f>
        <v>-1708000</v>
      </c>
      <c r="I37" s="14">
        <f>I29-'Alternatyva 2'!I$7+'Alternatyva 2'!I$115</f>
        <v>-4900980.7675320003</v>
      </c>
      <c r="J37" s="14">
        <f>J29-'Alternatyva 2'!J$7+'Alternatyva 2'!J$115</f>
        <v>-7681558.9378861329</v>
      </c>
      <c r="K37" s="14">
        <f>K29-'Alternatyva 2'!K$7+'Alternatyva 2'!K$115</f>
        <v>-10865320.3630432</v>
      </c>
      <c r="L37" s="14">
        <f>L29-'Alternatyva 2'!L$7+'Alternatyva 2'!L$115</f>
        <v>-10267720.3630432</v>
      </c>
      <c r="M37" s="14">
        <f>M29-'Alternatyva 2'!M$7+'Alternatyva 2'!M$115</f>
        <v>-10287720.3630432</v>
      </c>
      <c r="N37" s="14">
        <f>N29-'Alternatyva 2'!N$7+'Alternatyva 2'!N$115</f>
        <v>-10267220.3630432</v>
      </c>
      <c r="O37" s="14">
        <f>O29-'Alternatyva 2'!O$7+'Alternatyva 2'!O$115</f>
        <v>-10267220.3630432</v>
      </c>
      <c r="P37" s="14">
        <f>P29-'Alternatyva 2'!P$7+'Alternatyva 2'!P$115</f>
        <v>-10267220.3630432</v>
      </c>
      <c r="Q37" s="14">
        <f>Q29-'Alternatyva 2'!Q$7+'Alternatyva 2'!Q$115</f>
        <v>-10267220.3630432</v>
      </c>
      <c r="R37" s="14">
        <f>R29-'Alternatyva 2'!R$7+'Alternatyva 2'!R$115</f>
        <v>-10387220.3630432</v>
      </c>
      <c r="S37" s="14">
        <f>S29-'Alternatyva 2'!S$7+'Alternatyva 2'!S$115</f>
        <v>-10507220.3630432</v>
      </c>
      <c r="T37" s="14">
        <f>T29-'Alternatyva 2'!T$7+'Alternatyva 2'!T$115</f>
        <v>-10387220.3630432</v>
      </c>
      <c r="U37" s="14">
        <f>U29-'Alternatyva 2'!U$7+'Alternatyva 2'!U$115</f>
        <v>-10507220.3630432</v>
      </c>
      <c r="V37" s="14">
        <f>V29-'Alternatyva 2'!V$7+'Alternatyva 2'!V$115</f>
        <v>-10267220.3630432</v>
      </c>
      <c r="W37" s="14">
        <f>W29-'Alternatyva 2'!W$7+'Alternatyva 2'!W$115</f>
        <v>-10267220.3630432</v>
      </c>
      <c r="X37" s="14">
        <f>X29-'Alternatyva 2'!X$7+'Alternatyva 2'!X$115</f>
        <v>-10267220.3630432</v>
      </c>
      <c r="Y37" s="14">
        <f>Y29-'Alternatyva 2'!Y$7+'Alternatyva 2'!Y$115</f>
        <v>-10267220.3630432</v>
      </c>
      <c r="Z37" s="14">
        <f>Z29-'Alternatyva 2'!Z$7+'Alternatyva 2'!Z$115</f>
        <v>-10267220.3630432</v>
      </c>
      <c r="AA37" s="14">
        <f>AA29-'Alternatyva 2'!AA$7+'Alternatyva 2'!AA$115</f>
        <v>-10267220.3630432</v>
      </c>
      <c r="AB37" s="14">
        <f>AB29-'Alternatyva 2'!AB$7+'Alternatyva 2'!AB$115</f>
        <v>-10267220.3630432</v>
      </c>
      <c r="AC37" s="14">
        <f>AC29-'Alternatyva 2'!AC$7+'Alternatyva 2'!AC$115</f>
        <v>-1974603.0655936003</v>
      </c>
      <c r="AD37" s="14">
        <f>AD29-'Alternatyva 2'!AD$7+'Alternatyva 2'!AD$115</f>
        <v>-1974603.0655936003</v>
      </c>
      <c r="AE37" s="14">
        <f>AE29-'Alternatyva 2'!AE$7+'Alternatyva 2'!AE$115</f>
        <v>-1974603.0655936003</v>
      </c>
      <c r="AF37" s="14">
        <f>AF29-'Alternatyva 2'!AF$7+'Alternatyva 2'!AF$115</f>
        <v>-1974603.0655936003</v>
      </c>
      <c r="AG37" s="14">
        <f>AG29-'Alternatyva 2'!AG$7+'Alternatyva 2'!AG$115</f>
        <v>-1974603.0655936003</v>
      </c>
      <c r="AH37" s="14">
        <f>AH29-'Alternatyva 2'!AH$7+'Alternatyva 2'!AH$115</f>
        <v>-1974603.0655936003</v>
      </c>
      <c r="AI37" s="14">
        <f>AI29-'Alternatyva 2'!AI$7+'Alternatyva 2'!AI$115</f>
        <v>-1974603.0655936003</v>
      </c>
      <c r="AJ37" s="14">
        <f>AJ29-'Alternatyva 2'!AJ$7+'Alternatyva 2'!AJ$115</f>
        <v>-1974603.0655936003</v>
      </c>
      <c r="AK37" s="14">
        <f>AK29-'Alternatyva 2'!AK$7+'Alternatyva 2'!AK$115</f>
        <v>-1974603.0655936003</v>
      </c>
      <c r="AL37" s="14">
        <f>AL29-'Alternatyva 2'!AL$7+'Alternatyva 2'!AL$115</f>
        <v>-1974603.0655936003</v>
      </c>
      <c r="AM37" s="14">
        <f>AM29-'Alternatyva 2'!AM$7+'Alternatyva 2'!AM$115</f>
        <v>-1974603.0655936003</v>
      </c>
      <c r="AN37" s="14">
        <f>AN29-'Alternatyva 2'!AN$7+'Alternatyva 2'!AN$115</f>
        <v>-1974603.0655936003</v>
      </c>
      <c r="AO37" s="14">
        <f>AO29-'Alternatyva 2'!AO$7+'Alternatyva 2'!AO$115</f>
        <v>-1974603.0655936003</v>
      </c>
      <c r="AP37" s="14">
        <f>AP29-'Alternatyva 2'!AP$7+'Alternatyva 2'!AP$115</f>
        <v>-1974603.0655936003</v>
      </c>
      <c r="AQ37" s="14">
        <f>AQ29-'Alternatyva 2'!AQ$7+'Alternatyva 2'!AQ$115</f>
        <v>-1974603.0655936003</v>
      </c>
      <c r="AR37" s="14">
        <f>AR29-'Alternatyva 2'!AR$7+'Alternatyva 2'!AR$115</f>
        <v>-1974603.0655936003</v>
      </c>
      <c r="AS37" s="14">
        <f>AS29-'Alternatyva 2'!AS$7+'Alternatyva 2'!AS$115</f>
        <v>-1974603.0655936003</v>
      </c>
      <c r="AT37" s="14">
        <f>AT29-'Alternatyva 2'!AT$7+'Alternatyva 2'!AT$115</f>
        <v>-1974603.0655936003</v>
      </c>
      <c r="AU37" s="14">
        <f>AU29-'Alternatyva 2'!AU$7+'Alternatyva 2'!AU$115</f>
        <v>-1974603.0655936003</v>
      </c>
      <c r="AV37" s="14">
        <f>AV29-'Alternatyva 2'!AV$7+'Alternatyva 2'!AV$115</f>
        <v>-1974603.0655936003</v>
      </c>
      <c r="AW37" s="14">
        <f>AW29-'Alternatyva 2'!AW$7+'Alternatyva 2'!AW$115</f>
        <v>-1974603.0655936003</v>
      </c>
      <c r="AX37" s="14">
        <f>AX29-'Alternatyva 2'!AX$7+'Alternatyva 2'!AX$115</f>
        <v>-1974603.0655936003</v>
      </c>
      <c r="AY37" s="14">
        <f>AY29-'Alternatyva 2'!AY$7+'Alternatyva 2'!AY$115</f>
        <v>-1974603.0655936003</v>
      </c>
      <c r="AZ37" s="14">
        <f>AZ29-'Alternatyva 2'!AZ$7+'Alternatyva 2'!AZ$115</f>
        <v>-1974603.0655936003</v>
      </c>
      <c r="BA37" s="14">
        <f>BA29-'Alternatyva 2'!BA$7+'Alternatyva 2'!BA$115</f>
        <v>-1974603.0655936003</v>
      </c>
      <c r="BB37" s="14">
        <f>BB29-'Alternatyva 2'!BB$7+'Alternatyva 2'!BB$115</f>
        <v>-1974603.0655936003</v>
      </c>
      <c r="BC37" s="14">
        <f>BC29-'Alternatyva 2'!BC$7+'Alternatyva 2'!BC$115</f>
        <v>-1974603.0655936003</v>
      </c>
      <c r="BD37" s="14">
        <f>BD29-'Alternatyva 2'!BD$7+'Alternatyva 2'!BD$115</f>
        <v>-1974603.0655936003</v>
      </c>
      <c r="BE37" s="14">
        <f>BE29-'Alternatyva 2'!BE$7+'Alternatyva 2'!BE$115</f>
        <v>-1974603.0655936003</v>
      </c>
      <c r="BF37" s="14">
        <f>BF29-'Alternatyva 2'!BF$7+'Alternatyva 2'!BF$115</f>
        <v>-1974603.0655936003</v>
      </c>
      <c r="BG37" s="14">
        <f>BG29-'Alternatyva 2'!BG$7+'Alternatyva 2'!BG$115</f>
        <v>-1974603.0655936003</v>
      </c>
      <c r="BH37" s="14">
        <f>BH29-'Alternatyva 2'!BH$7+'Alternatyva 2'!BH$115</f>
        <v>-1974603.0655936003</v>
      </c>
      <c r="BI37" s="14">
        <f>BI29-'Alternatyva 2'!BI$7+'Alternatyva 2'!BI$115</f>
        <v>-1974603.0655936003</v>
      </c>
      <c r="BJ37" s="14">
        <f>BJ29-'Alternatyva 2'!BJ$7+'Alternatyva 2'!BJ$115</f>
        <v>-1974603.0655936003</v>
      </c>
      <c r="BK37" s="14">
        <f>BK29-'Alternatyva 2'!BK$7+'Alternatyva 2'!BK$115</f>
        <v>-1974603.0655936003</v>
      </c>
      <c r="BL37" s="14">
        <f>BL29-'Alternatyva 2'!BL$7+'Alternatyva 2'!BL$115</f>
        <v>-1974603.0655936003</v>
      </c>
      <c r="BM37" s="14">
        <f>BM29-'Alternatyva 2'!BM$7+'Alternatyva 2'!BM$115</f>
        <v>-1974603.0655936003</v>
      </c>
      <c r="BN37" s="14">
        <f>BN29-'Alternatyva 2'!BN$7+'Alternatyva 2'!BN$115</f>
        <v>-1974603.0655936003</v>
      </c>
      <c r="BO37" s="14">
        <f>BO29-'Alternatyva 2'!BO$7+'Alternatyva 2'!BO$115</f>
        <v>-1974603.0655936003</v>
      </c>
      <c r="BP37" s="14">
        <f>BP29-'Alternatyva 2'!BP$7+'Alternatyva 2'!BP$115</f>
        <v>-1974603.0655936003</v>
      </c>
      <c r="BQ37" s="14">
        <f>BQ29-'Alternatyva 2'!BQ$7+'Alternatyva 2'!BQ$115</f>
        <v>-1974603.0655936003</v>
      </c>
      <c r="BR37" s="14">
        <f>BR29-'Alternatyva 2'!BR$7+'Alternatyva 2'!BR$115</f>
        <v>-1974603.0655936003</v>
      </c>
      <c r="BS37" s="14">
        <f>BS29-'Alternatyva 2'!BS$7+'Alternatyva 2'!BS$115</f>
        <v>-1974603.0655936003</v>
      </c>
      <c r="BT37" s="14">
        <f>BT29-'Alternatyva 2'!BT$7+'Alternatyva 2'!BT$115</f>
        <v>-1974603.0655936003</v>
      </c>
      <c r="BU37" s="14">
        <f>BU29-'Alternatyva 2'!BU$7+'Alternatyva 2'!BU$115</f>
        <v>-1974603.0655936003</v>
      </c>
      <c r="BV37" s="14">
        <f>BV29-'Alternatyva 2'!BV$7+'Alternatyva 2'!BV$115</f>
        <v>-1974603.0655936003</v>
      </c>
      <c r="BW37" s="14">
        <f>BW29-'Alternatyva 2'!BW$7+'Alternatyva 2'!BW$115</f>
        <v>-1974603.0655936003</v>
      </c>
      <c r="BX37" s="14">
        <f>BX29-'Alternatyva 2'!BX$7+'Alternatyva 2'!BX$115</f>
        <v>-1974603.0655936003</v>
      </c>
      <c r="BY37" s="14">
        <f>BY29-'Alternatyva 2'!BY$7+'Alternatyva 2'!BY$115</f>
        <v>-1974603.0655936003</v>
      </c>
      <c r="BZ37" s="14">
        <f>BZ29-'Alternatyva 2'!BZ$7+'Alternatyva 2'!BZ$115</f>
        <v>-1974603.0655936003</v>
      </c>
      <c r="CA37" s="14">
        <f>CA29-'Alternatyva 2'!CA$7+'Alternatyva 2'!CA$115</f>
        <v>-1974603.0655936003</v>
      </c>
      <c r="CB37" s="14">
        <f>CB29-'Alternatyva 2'!CB$7+'Alternatyva 2'!CB$115</f>
        <v>-1974603.0655936003</v>
      </c>
      <c r="CC37" s="14">
        <f>CC29-'Alternatyva 2'!CC$7+'Alternatyva 2'!CC$115</f>
        <v>-1974603.0655936003</v>
      </c>
      <c r="CD37" s="14">
        <f>CD29-'Alternatyva 2'!CD$7+'Alternatyva 2'!CD$115</f>
        <v>-1974603.0655936003</v>
      </c>
      <c r="CE37" s="14">
        <f>CE29-'Alternatyva 2'!CE$7+'Alternatyva 2'!CE$115</f>
        <v>-1974603.0655936003</v>
      </c>
      <c r="CF37" s="14">
        <f>CF29-'Alternatyva 2'!CF$7+'Alternatyva 2'!CF$115</f>
        <v>-1974603.0655936003</v>
      </c>
      <c r="CG37" s="14">
        <f>CG29-'Alternatyva 2'!CG$7+'Alternatyva 2'!CG$115</f>
        <v>-1974603.0655936003</v>
      </c>
      <c r="CH37" s="14">
        <f>CH29-'Alternatyva 2'!CH$7+'Alternatyva 2'!CH$115</f>
        <v>-1974603.0655936003</v>
      </c>
      <c r="CI37" s="14">
        <f>CI29-'Alternatyva 2'!CI$7+'Alternatyva 2'!CI$115</f>
        <v>-1974603.0655936003</v>
      </c>
      <c r="CJ37" s="14">
        <f>CJ29-'Alternatyva 2'!CJ$7+'Alternatyva 2'!CJ$115</f>
        <v>-1974603.0655936003</v>
      </c>
      <c r="CK37" s="14">
        <f>CK29-'Alternatyva 2'!CK$7+'Alternatyva 2'!CK$115</f>
        <v>-1974603.0655936003</v>
      </c>
      <c r="CL37" s="14">
        <f>CL29-'Alternatyva 2'!CL$7+'Alternatyva 2'!CL$115</f>
        <v>-1974603.0655936003</v>
      </c>
      <c r="CM37" s="14">
        <f>CM29-'Alternatyva 2'!CM$7+'Alternatyva 2'!CM$115</f>
        <v>-1974603.0655936003</v>
      </c>
      <c r="CN37" s="14">
        <f>CN29-'Alternatyva 2'!CN$7+'Alternatyva 2'!CN$115</f>
        <v>-1974603.0655936003</v>
      </c>
      <c r="CO37" s="14">
        <f>CO29-'Alternatyva 2'!CO$7+'Alternatyva 2'!CO$115</f>
        <v>-1974603.0655936003</v>
      </c>
      <c r="CP37" s="14">
        <f>CP29-'Alternatyva 2'!CP$7+'Alternatyva 2'!CP$115</f>
        <v>-1974603.0655936003</v>
      </c>
      <c r="CQ37" s="14">
        <f>CQ29-'Alternatyva 2'!CQ$7+'Alternatyva 2'!CQ$115</f>
        <v>-1974603.0655936003</v>
      </c>
      <c r="CR37" s="14">
        <f>CR29-'Alternatyva 2'!CR$7+'Alternatyva 2'!CR$115</f>
        <v>-1974603.0655936003</v>
      </c>
      <c r="CS37" s="14">
        <f>CS29-'Alternatyva 2'!CS$7+'Alternatyva 2'!CS$115</f>
        <v>-1974603.0655936003</v>
      </c>
      <c r="CT37" s="14">
        <f>CT29-'Alternatyva 2'!CT$7+'Alternatyva 2'!CT$115</f>
        <v>-1974603.0655936003</v>
      </c>
      <c r="CU37" s="14">
        <f>CU29-'Alternatyva 2'!CU$7+'Alternatyva 2'!CU$115</f>
        <v>-1974603.0655936003</v>
      </c>
      <c r="CV37" s="14">
        <f>CV29-'Alternatyva 2'!CV$7+'Alternatyva 2'!CV$115</f>
        <v>-1974603.0655936003</v>
      </c>
      <c r="CW37" s="14">
        <f>CW29-'Alternatyva 2'!CW$7+'Alternatyva 2'!CW$115</f>
        <v>-1974603.0655936003</v>
      </c>
      <c r="CX37" s="14">
        <f>CX29-'Alternatyva 2'!CX$7+'Alternatyva 2'!CX$115</f>
        <v>-1974603.0655936003</v>
      </c>
      <c r="CY37" s="14">
        <f>CY29-'Alternatyva 2'!CY$7+'Alternatyva 2'!CY$115</f>
        <v>-1974603.0655936003</v>
      </c>
      <c r="CZ37" s="14">
        <f>CZ29-'Alternatyva 2'!CZ$7+'Alternatyva 2'!CZ$115</f>
        <v>-1974603.0655936003</v>
      </c>
      <c r="DA37" s="14">
        <f>DA29-'Alternatyva 2'!DA$7+'Alternatyva 2'!DA$115</f>
        <v>-1974603.0655936003</v>
      </c>
      <c r="DB37" s="14">
        <f>DB29-'Alternatyva 2'!DB$7+'Alternatyva 2'!DB$115</f>
        <v>-1974603.0655936003</v>
      </c>
      <c r="DC37" s="14">
        <f>DC29-'Alternatyva 2'!DC$7+'Alternatyva 2'!DC$115</f>
        <v>-1974603.0655936003</v>
      </c>
    </row>
    <row r="38" spans="2:107" ht="15" customHeight="1">
      <c r="C38" s="783" t="s">
        <v>272</v>
      </c>
      <c r="D38" s="784"/>
      <c r="E38" s="785"/>
      <c r="F38" s="54">
        <f>H37+NPV(FD,I37:INDEX(I37:DC37,PAL))</f>
        <v>-134697482.4695121</v>
      </c>
      <c r="G38" s="53"/>
    </row>
    <row r="39" spans="2:107" ht="15" customHeight="1">
      <c r="C39" s="783" t="s">
        <v>273</v>
      </c>
      <c r="D39" s="784"/>
      <c r="E39" s="785"/>
      <c r="F39" s="174" t="str">
        <f>IFERROR(IRR(H37:INDEX(H37:DC37,PAL+1)),"-")</f>
        <v>-</v>
      </c>
      <c r="G39" s="45"/>
    </row>
    <row r="40" spans="2:107" ht="15" customHeight="1" thickBot="1">
      <c r="C40" s="789" t="s">
        <v>200</v>
      </c>
      <c r="D40" s="790"/>
      <c r="E40" s="791"/>
      <c r="F40" s="52">
        <f>IFERROR(IF('Alternatyva 2'!F$89&lt;0,SUM('Alternatyva 2'!F$100,-'Alternatyva 2'!F$115,-'Alternatyva 2'!F$89)/SUM('Alternatyva 2'!F$9,'Alternatyva 2'!F$8,-SNA!F29),SUM('Alternatyva 2'!F$100,-'Alternatyva 2'!F$115)/SUM('Alternatyva 2'!F$9,'Alternatyva 2'!F$8,-SNA!F29,'Alternatyva 2'!F$89)),"")</f>
        <v>2.2993409569943449E-2</v>
      </c>
      <c r="G40" s="45"/>
    </row>
    <row r="41" spans="2:107" ht="15" customHeight="1"/>
    <row r="42" spans="2:107" ht="15" customHeight="1">
      <c r="B42" s="31" t="s">
        <v>8</v>
      </c>
      <c r="C42" s="31"/>
      <c r="D42" s="31"/>
      <c r="E42" s="31"/>
      <c r="F42" s="786" t="s">
        <v>32</v>
      </c>
      <c r="G42" s="798"/>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customHeight="1">
      <c r="B43" s="12" t="s">
        <v>5</v>
      </c>
      <c r="C43" s="786" t="s">
        <v>9</v>
      </c>
      <c r="D43" s="787"/>
      <c r="E43" s="788"/>
      <c r="F43" s="13" t="s">
        <v>34</v>
      </c>
      <c r="G43" s="12" t="s">
        <v>33</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customHeight="1">
      <c r="B44" s="5" t="s">
        <v>18</v>
      </c>
      <c r="C44" s="777" t="s">
        <v>277</v>
      </c>
      <c r="D44" s="778"/>
      <c r="E44" s="779"/>
      <c r="F44" s="49">
        <f>H44+NPV(SD,I44:INDEX(I44:DC44,PAL))</f>
        <v>988477747.94712663</v>
      </c>
      <c r="G44" s="43">
        <f>SUMIF($H$6:$DC$6,"&lt;="&amp;PAL,$H44:$DC44)</f>
        <v>1735206785.7969191</v>
      </c>
      <c r="H44" s="43">
        <f>'Alternatyva 3'!H$117</f>
        <v>0</v>
      </c>
      <c r="I44" s="43">
        <f>'Alternatyva 3'!I$117</f>
        <v>986517.07499999995</v>
      </c>
      <c r="J44" s="43">
        <f>'Alternatyva 3'!J$117</f>
        <v>29971710.582949981</v>
      </c>
      <c r="K44" s="43">
        <f>'Alternatyva 3'!K$117</f>
        <v>39813188.262664638</v>
      </c>
      <c r="L44" s="43">
        <f>'Alternatyva 3'!L$117</f>
        <v>79520148.871179372</v>
      </c>
      <c r="M44" s="43">
        <f>'Alternatyva 3'!M$117</f>
        <v>81514279.737973094</v>
      </c>
      <c r="N44" s="43">
        <f>'Alternatyva 3'!N$117</f>
        <v>83563403.610845983</v>
      </c>
      <c r="O44" s="43">
        <f>'Alternatyva 3'!O$117</f>
        <v>85669077.066347316</v>
      </c>
      <c r="P44" s="43">
        <f>'Alternatyva 3'!P$117</f>
        <v>87832901.073600665</v>
      </c>
      <c r="Q44" s="43">
        <f>'Alternatyva 3'!Q$117</f>
        <v>90056522.263752237</v>
      </c>
      <c r="R44" s="43">
        <f>'Alternatyva 3'!R$117</f>
        <v>92341634.235762566</v>
      </c>
      <c r="S44" s="43">
        <f>'Alternatyva 3'!S$117</f>
        <v>94689978.899589747</v>
      </c>
      <c r="T44" s="43">
        <f>'Alternatyva 3'!T$117</f>
        <v>97103347.857829988</v>
      </c>
      <c r="U44" s="43">
        <f>'Alternatyva 3'!U$117</f>
        <v>99583583.826922372</v>
      </c>
      <c r="V44" s="43">
        <f>'Alternatyva 3'!V$117</f>
        <v>102132582.09904696</v>
      </c>
      <c r="W44" s="43">
        <f>'Alternatyva 3'!W$117</f>
        <v>104752292.04588586</v>
      </c>
      <c r="X44" s="43">
        <f>'Alternatyva 3'!X$117</f>
        <v>107444718.66544548</v>
      </c>
      <c r="Y44" s="43">
        <f>'Alternatyva 3'!Y$117</f>
        <v>110211924.17317317</v>
      </c>
      <c r="Z44" s="43">
        <f>'Alternatyva 3'!Z$117</f>
        <v>113056029.63863987</v>
      </c>
      <c r="AA44" s="43">
        <f>'Alternatyva 3'!AA$117</f>
        <v>115979216.66909198</v>
      </c>
      <c r="AB44" s="43">
        <f>'Alternatyva 3'!AB$117</f>
        <v>118983729.14121771</v>
      </c>
      <c r="AC44" s="43">
        <f>'Alternatyva 3'!AC$117</f>
        <v>0</v>
      </c>
      <c r="AD44" s="43">
        <f>'Alternatyva 3'!AD$117</f>
        <v>0</v>
      </c>
      <c r="AE44" s="43">
        <f>'Alternatyva 3'!AE$117</f>
        <v>0</v>
      </c>
      <c r="AF44" s="43">
        <f>'Alternatyva 3'!AF$117</f>
        <v>0</v>
      </c>
      <c r="AG44" s="43">
        <f>'Alternatyva 3'!AG$117</f>
        <v>0</v>
      </c>
      <c r="AH44" s="43">
        <f>'Alternatyva 3'!AH$117</f>
        <v>0</v>
      </c>
      <c r="AI44" s="43">
        <f>'Alternatyva 3'!AI$117</f>
        <v>0</v>
      </c>
      <c r="AJ44" s="43">
        <f>'Alternatyva 3'!AJ$117</f>
        <v>0</v>
      </c>
      <c r="AK44" s="43">
        <f>'Alternatyva 3'!AK$117</f>
        <v>0</v>
      </c>
      <c r="AL44" s="43">
        <f>'Alternatyva 3'!AL$117</f>
        <v>0</v>
      </c>
      <c r="AM44" s="43" t="e">
        <f>'Alternatyva 3'!AM$117</f>
        <v>#REF!</v>
      </c>
      <c r="AN44" s="43">
        <f>'Alternatyva 3'!AN$117</f>
        <v>0</v>
      </c>
      <c r="AO44" s="43">
        <f>'Alternatyva 3'!AO$117</f>
        <v>0</v>
      </c>
      <c r="AP44" s="43">
        <f>'Alternatyva 3'!AP$117</f>
        <v>0</v>
      </c>
      <c r="AQ44" s="43">
        <f>'Alternatyva 3'!AQ$117</f>
        <v>0</v>
      </c>
      <c r="AR44" s="43">
        <f>'Alternatyva 3'!AR$117</f>
        <v>0</v>
      </c>
      <c r="AS44" s="43">
        <f>'Alternatyva 3'!AS$117</f>
        <v>0</v>
      </c>
      <c r="AT44" s="43">
        <f>'Alternatyva 3'!AT$117</f>
        <v>0</v>
      </c>
      <c r="AU44" s="43">
        <f>'Alternatyva 3'!AU$117</f>
        <v>0</v>
      </c>
      <c r="AV44" s="43">
        <f>'Alternatyva 3'!AV$117</f>
        <v>0</v>
      </c>
      <c r="AW44" s="43">
        <f>'Alternatyva 3'!AW$117</f>
        <v>0</v>
      </c>
      <c r="AX44" s="43">
        <f>'Alternatyva 3'!AX$117</f>
        <v>0</v>
      </c>
      <c r="AY44" s="43">
        <f>'Alternatyva 3'!AY$117</f>
        <v>0</v>
      </c>
      <c r="AZ44" s="43">
        <f>'Alternatyva 3'!AZ$117</f>
        <v>0</v>
      </c>
      <c r="BA44" s="43">
        <f>'Alternatyva 3'!BA$117</f>
        <v>0</v>
      </c>
      <c r="BB44" s="43">
        <f>'Alternatyva 3'!BB$117</f>
        <v>0</v>
      </c>
      <c r="BC44" s="43">
        <f>'Alternatyva 3'!BC$117</f>
        <v>0</v>
      </c>
      <c r="BD44" s="43">
        <f>'Alternatyva 3'!BD$117</f>
        <v>0</v>
      </c>
      <c r="BE44" s="43">
        <f>'Alternatyva 3'!BE$117</f>
        <v>0</v>
      </c>
      <c r="BF44" s="43">
        <f>'Alternatyva 3'!BF$117</f>
        <v>0</v>
      </c>
      <c r="BG44" s="43">
        <f>'Alternatyva 3'!BG$117</f>
        <v>0</v>
      </c>
      <c r="BH44" s="43">
        <f>'Alternatyva 3'!BH$117</f>
        <v>0</v>
      </c>
      <c r="BI44" s="43">
        <f>'Alternatyva 3'!BI$117</f>
        <v>0</v>
      </c>
      <c r="BJ44" s="43">
        <f>'Alternatyva 3'!BJ$117</f>
        <v>0</v>
      </c>
      <c r="BK44" s="43">
        <f>'Alternatyva 3'!BK$117</f>
        <v>0</v>
      </c>
      <c r="BL44" s="43">
        <f>'Alternatyva 3'!BL$117</f>
        <v>0</v>
      </c>
      <c r="BM44" s="43">
        <f>'Alternatyva 3'!BM$117</f>
        <v>0</v>
      </c>
      <c r="BN44" s="43">
        <f>'Alternatyva 3'!BN$117</f>
        <v>0</v>
      </c>
      <c r="BO44" s="43">
        <f>'Alternatyva 3'!BO$117</f>
        <v>0</v>
      </c>
      <c r="BP44" s="43">
        <f>'Alternatyva 3'!BP$117</f>
        <v>0</v>
      </c>
      <c r="BQ44" s="43">
        <f>'Alternatyva 3'!BQ$117</f>
        <v>0</v>
      </c>
      <c r="BR44" s="43">
        <f>'Alternatyva 3'!BR$117</f>
        <v>0</v>
      </c>
      <c r="BS44" s="43">
        <f>'Alternatyva 3'!BS$117</f>
        <v>0</v>
      </c>
      <c r="BT44" s="43">
        <f>'Alternatyva 3'!BT$117</f>
        <v>0</v>
      </c>
      <c r="BU44" s="43">
        <f>'Alternatyva 3'!BU$117</f>
        <v>0</v>
      </c>
      <c r="BV44" s="43">
        <f>'Alternatyva 3'!BV$117</f>
        <v>0</v>
      </c>
      <c r="BW44" s="43">
        <f>'Alternatyva 3'!BW$117</f>
        <v>0</v>
      </c>
      <c r="BX44" s="43">
        <f>'Alternatyva 3'!BX$117</f>
        <v>0</v>
      </c>
      <c r="BY44" s="43">
        <f>'Alternatyva 3'!BY$117</f>
        <v>0</v>
      </c>
      <c r="BZ44" s="43">
        <f>'Alternatyva 3'!BZ$117</f>
        <v>0</v>
      </c>
      <c r="CA44" s="43">
        <f>'Alternatyva 3'!CA$117</f>
        <v>0</v>
      </c>
      <c r="CB44" s="43">
        <f>'Alternatyva 3'!CB$117</f>
        <v>0</v>
      </c>
      <c r="CC44" s="43">
        <f>'Alternatyva 3'!CC$117</f>
        <v>0</v>
      </c>
      <c r="CD44" s="43">
        <f>'Alternatyva 3'!CD$117</f>
        <v>0</v>
      </c>
      <c r="CE44" s="43">
        <f>'Alternatyva 3'!CE$117</f>
        <v>0</v>
      </c>
      <c r="CF44" s="43">
        <f>'Alternatyva 3'!CF$117</f>
        <v>0</v>
      </c>
      <c r="CG44" s="43">
        <f>'Alternatyva 3'!CG$117</f>
        <v>0</v>
      </c>
      <c r="CH44" s="43">
        <f>'Alternatyva 3'!CH$117</f>
        <v>0</v>
      </c>
      <c r="CI44" s="43">
        <f>'Alternatyva 3'!CI$117</f>
        <v>0</v>
      </c>
      <c r="CJ44" s="43">
        <f>'Alternatyva 3'!CJ$117</f>
        <v>0</v>
      </c>
      <c r="CK44" s="43">
        <f>'Alternatyva 3'!CK$117</f>
        <v>0</v>
      </c>
      <c r="CL44" s="43">
        <f>'Alternatyva 3'!CL$117</f>
        <v>0</v>
      </c>
      <c r="CM44" s="43">
        <f>'Alternatyva 3'!CM$117</f>
        <v>0</v>
      </c>
      <c r="CN44" s="43">
        <f>'Alternatyva 3'!CN$117</f>
        <v>0</v>
      </c>
      <c r="CO44" s="43">
        <f>'Alternatyva 3'!CO$117</f>
        <v>0</v>
      </c>
      <c r="CP44" s="43">
        <f>'Alternatyva 3'!CP$117</f>
        <v>0</v>
      </c>
      <c r="CQ44" s="43">
        <f>'Alternatyva 3'!CQ$117</f>
        <v>0</v>
      </c>
      <c r="CR44" s="43">
        <f>'Alternatyva 3'!CR$117</f>
        <v>0</v>
      </c>
      <c r="CS44" s="43">
        <f>'Alternatyva 3'!CS$117</f>
        <v>0</v>
      </c>
      <c r="CT44" s="43">
        <f>'Alternatyva 3'!CT$117</f>
        <v>0</v>
      </c>
      <c r="CU44" s="43">
        <f>'Alternatyva 3'!CU$117</f>
        <v>0</v>
      </c>
      <c r="CV44" s="43">
        <f>'Alternatyva 3'!CV$117</f>
        <v>0</v>
      </c>
      <c r="CW44" s="43">
        <f>'Alternatyva 3'!CW$117</f>
        <v>0</v>
      </c>
      <c r="CX44" s="43">
        <f>'Alternatyva 3'!CX$117</f>
        <v>0</v>
      </c>
      <c r="CY44" s="43">
        <f>'Alternatyva 3'!CY$117</f>
        <v>0</v>
      </c>
      <c r="CZ44" s="43">
        <f>'Alternatyva 3'!CZ$117</f>
        <v>0</v>
      </c>
      <c r="DA44" s="43">
        <f>'Alternatyva 3'!DA$117</f>
        <v>0</v>
      </c>
      <c r="DB44" s="43">
        <f>'Alternatyva 3'!DB$117</f>
        <v>0</v>
      </c>
      <c r="DC44" s="43">
        <f>'Alternatyva 3'!DC$117</f>
        <v>0</v>
      </c>
    </row>
    <row r="45" spans="2:107" ht="15" customHeight="1">
      <c r="B45" s="5" t="s">
        <v>28</v>
      </c>
      <c r="C45" s="777" t="s">
        <v>257</v>
      </c>
      <c r="D45" s="778"/>
      <c r="E45" s="779"/>
      <c r="F45" s="49">
        <f>H45+NPV(SD,I45:INDEX(I45:DC45,PAL))</f>
        <v>10455313.405155096</v>
      </c>
      <c r="G45" s="43">
        <f>SUMIF($H$6:$DC$6,"&lt;="&amp;PAL,$H45:$DC45)</f>
        <v>11641421.454778736</v>
      </c>
      <c r="H45" s="43">
        <f>'Alternatyva 3'!H$8+'Alternatyva 3'!H$9-'Alternatyva 3'!H$113</f>
        <v>1429752.0661157025</v>
      </c>
      <c r="I45" s="43">
        <f>'Alternatyva 3'!I$8+'Alternatyva 3'!I$9-'Alternatyva 3'!I$113</f>
        <v>2837728.7014162974</v>
      </c>
      <c r="J45" s="43">
        <f>'Alternatyva 3'!J$8+'Alternatyva 3'!J$9-'Alternatyva 3'!J$113</f>
        <v>3060491.4273789264</v>
      </c>
      <c r="K45" s="43">
        <f>'Alternatyva 3'!K$8+'Alternatyva 3'!K$9-'Alternatyva 3'!K$113</f>
        <v>3689114.5491240085</v>
      </c>
      <c r="L45" s="43">
        <f>'Alternatyva 3'!L$8+'Alternatyva 3'!L$9-'Alternatyva 3'!L$113</f>
        <v>4132.2314049586776</v>
      </c>
      <c r="M45" s="43">
        <f>'Alternatyva 3'!M$8+'Alternatyva 3'!M$9-'Alternatyva 3'!M$113</f>
        <v>20661.157024793389</v>
      </c>
      <c r="N45" s="43">
        <f>'Alternatyva 3'!N$8+'Alternatyva 3'!N$9-'Alternatyva 3'!N$113</f>
        <v>4500</v>
      </c>
      <c r="O45" s="43">
        <f>'Alternatyva 3'!O$8+'Alternatyva 3'!O$9-'Alternatyva 3'!O$113</f>
        <v>0</v>
      </c>
      <c r="P45" s="43">
        <f>'Alternatyva 3'!P$8+'Alternatyva 3'!P$9-'Alternatyva 3'!P$113</f>
        <v>0</v>
      </c>
      <c r="Q45" s="43">
        <f>'Alternatyva 3'!Q$8+'Alternatyva 3'!Q$9-'Alternatyva 3'!Q$113</f>
        <v>0</v>
      </c>
      <c r="R45" s="43">
        <f>'Alternatyva 3'!R$8+'Alternatyva 3'!R$9-'Alternatyva 3'!R$113</f>
        <v>99173.553719008269</v>
      </c>
      <c r="S45" s="43">
        <f>'Alternatyva 3'!S$8+'Alternatyva 3'!S$9-'Alternatyva 3'!S$113</f>
        <v>198347.10743801654</v>
      </c>
      <c r="T45" s="43">
        <f>'Alternatyva 3'!T$8+'Alternatyva 3'!T$9-'Alternatyva 3'!T$113</f>
        <v>99173.553719008269</v>
      </c>
      <c r="U45" s="43">
        <f>'Alternatyva 3'!U$8+'Alternatyva 3'!U$9-'Alternatyva 3'!U$113</f>
        <v>198347.10743801654</v>
      </c>
      <c r="V45" s="43">
        <f>'Alternatyva 3'!V$8+'Alternatyva 3'!V$9-'Alternatyva 3'!V$113</f>
        <v>0</v>
      </c>
      <c r="W45" s="43">
        <f>'Alternatyva 3'!W$8+'Alternatyva 3'!W$9-'Alternatyva 3'!W$113</f>
        <v>0</v>
      </c>
      <c r="X45" s="43">
        <f>'Alternatyva 3'!X$8+'Alternatyva 3'!X$9-'Alternatyva 3'!X$113</f>
        <v>0</v>
      </c>
      <c r="Y45" s="43">
        <f>'Alternatyva 3'!Y$8+'Alternatyva 3'!Y$9-'Alternatyva 3'!Y$113</f>
        <v>0</v>
      </c>
      <c r="Z45" s="43">
        <f>'Alternatyva 3'!Z$8+'Alternatyva 3'!Z$9-'Alternatyva 3'!Z$113</f>
        <v>0</v>
      </c>
      <c r="AA45" s="43">
        <f>'Alternatyva 3'!AA$8+'Alternatyva 3'!AA$9-'Alternatyva 3'!AA$113</f>
        <v>0</v>
      </c>
      <c r="AB45" s="43">
        <f>'Alternatyva 3'!AB$8+'Alternatyva 3'!AB$9-'Alternatyva 3'!AB$113</f>
        <v>0</v>
      </c>
      <c r="AC45" s="43">
        <f>'Alternatyva 3'!AC$8+'Alternatyva 3'!AC$9-'Alternatyva 3'!AC$113</f>
        <v>0</v>
      </c>
      <c r="AD45" s="43">
        <f>'Alternatyva 3'!AD$8+'Alternatyva 3'!AD$9-'Alternatyva 3'!AD$113</f>
        <v>0</v>
      </c>
      <c r="AE45" s="43">
        <f>'Alternatyva 3'!AE$8+'Alternatyva 3'!AE$9-'Alternatyva 3'!AE$113</f>
        <v>0</v>
      </c>
      <c r="AF45" s="43">
        <f>'Alternatyva 3'!AF$8+'Alternatyva 3'!AF$9-'Alternatyva 3'!AF$113</f>
        <v>0</v>
      </c>
      <c r="AG45" s="43">
        <f>'Alternatyva 3'!AG$8+'Alternatyva 3'!AG$9-'Alternatyva 3'!AG$113</f>
        <v>0</v>
      </c>
      <c r="AH45" s="43">
        <f>'Alternatyva 3'!AH$8+'Alternatyva 3'!AH$9-'Alternatyva 3'!AH$113</f>
        <v>0</v>
      </c>
      <c r="AI45" s="43">
        <f>'Alternatyva 3'!AI$8+'Alternatyva 3'!AI$9-'Alternatyva 3'!AI$113</f>
        <v>0</v>
      </c>
      <c r="AJ45" s="43">
        <f>'Alternatyva 3'!AJ$8+'Alternatyva 3'!AJ$9-'Alternatyva 3'!AJ$113</f>
        <v>0</v>
      </c>
      <c r="AK45" s="43">
        <f>'Alternatyva 3'!AK$8+'Alternatyva 3'!AK$9-'Alternatyva 3'!AK$113</f>
        <v>0</v>
      </c>
      <c r="AL45" s="43">
        <f>'Alternatyva 3'!AL$8+'Alternatyva 3'!AL$9-'Alternatyva 3'!AL$113</f>
        <v>0</v>
      </c>
      <c r="AM45" s="43">
        <f>'Alternatyva 3'!AM$8+'Alternatyva 3'!AM$9-'Alternatyva 3'!AM$113</f>
        <v>0</v>
      </c>
      <c r="AN45" s="43">
        <f>'Alternatyva 3'!AN$8+'Alternatyva 3'!AN$9-'Alternatyva 3'!AN$113</f>
        <v>0</v>
      </c>
      <c r="AO45" s="43">
        <f>'Alternatyva 3'!AO$8+'Alternatyva 3'!AO$9-'Alternatyva 3'!AO$113</f>
        <v>0</v>
      </c>
      <c r="AP45" s="43">
        <f>'Alternatyva 3'!AP$8+'Alternatyva 3'!AP$9-'Alternatyva 3'!AP$113</f>
        <v>0</v>
      </c>
      <c r="AQ45" s="43">
        <f>'Alternatyva 3'!AQ$8+'Alternatyva 3'!AQ$9-'Alternatyva 3'!AQ$113</f>
        <v>0</v>
      </c>
      <c r="AR45" s="43">
        <f>'Alternatyva 3'!AR$8+'Alternatyva 3'!AR$9-'Alternatyva 3'!AR$113</f>
        <v>0</v>
      </c>
      <c r="AS45" s="43">
        <f>'Alternatyva 3'!AS$8+'Alternatyva 3'!AS$9-'Alternatyva 3'!AS$113</f>
        <v>0</v>
      </c>
      <c r="AT45" s="43">
        <f>'Alternatyva 3'!AT$8+'Alternatyva 3'!AT$9-'Alternatyva 3'!AT$113</f>
        <v>0</v>
      </c>
      <c r="AU45" s="43">
        <f>'Alternatyva 3'!AU$8+'Alternatyva 3'!AU$9-'Alternatyva 3'!AU$113</f>
        <v>0</v>
      </c>
      <c r="AV45" s="43">
        <f>'Alternatyva 3'!AV$8+'Alternatyva 3'!AV$9-'Alternatyva 3'!AV$113</f>
        <v>0</v>
      </c>
      <c r="AW45" s="43">
        <f>'Alternatyva 3'!AW$8+'Alternatyva 3'!AW$9-'Alternatyva 3'!AW$113</f>
        <v>0</v>
      </c>
      <c r="AX45" s="43">
        <f>'Alternatyva 3'!AX$8+'Alternatyva 3'!AX$9-'Alternatyva 3'!AX$113</f>
        <v>0</v>
      </c>
      <c r="AY45" s="43">
        <f>'Alternatyva 3'!AY$8+'Alternatyva 3'!AY$9-'Alternatyva 3'!AY$113</f>
        <v>0</v>
      </c>
      <c r="AZ45" s="43">
        <f>'Alternatyva 3'!AZ$8+'Alternatyva 3'!AZ$9-'Alternatyva 3'!AZ$113</f>
        <v>0</v>
      </c>
      <c r="BA45" s="43">
        <f>'Alternatyva 3'!BA$8+'Alternatyva 3'!BA$9-'Alternatyva 3'!BA$113</f>
        <v>0</v>
      </c>
      <c r="BB45" s="43">
        <f>'Alternatyva 3'!BB$8+'Alternatyva 3'!BB$9-'Alternatyva 3'!BB$113</f>
        <v>0</v>
      </c>
      <c r="BC45" s="43">
        <f>'Alternatyva 3'!BC$8+'Alternatyva 3'!BC$9-'Alternatyva 3'!BC$113</f>
        <v>0</v>
      </c>
      <c r="BD45" s="43">
        <f>'Alternatyva 3'!BD$8+'Alternatyva 3'!BD$9-'Alternatyva 3'!BD$113</f>
        <v>0</v>
      </c>
      <c r="BE45" s="43">
        <f>'Alternatyva 3'!BE$8+'Alternatyva 3'!BE$9-'Alternatyva 3'!BE$113</f>
        <v>0</v>
      </c>
      <c r="BF45" s="43">
        <f>'Alternatyva 3'!BF$8+'Alternatyva 3'!BF$9-'Alternatyva 3'!BF$113</f>
        <v>0</v>
      </c>
      <c r="BG45" s="43">
        <f>'Alternatyva 3'!BG$8+'Alternatyva 3'!BG$9-'Alternatyva 3'!BG$113</f>
        <v>0</v>
      </c>
      <c r="BH45" s="43">
        <f>'Alternatyva 3'!BH$8+'Alternatyva 3'!BH$9-'Alternatyva 3'!BH$113</f>
        <v>0</v>
      </c>
      <c r="BI45" s="43">
        <f>'Alternatyva 3'!BI$8+'Alternatyva 3'!BI$9-'Alternatyva 3'!BI$113</f>
        <v>0</v>
      </c>
      <c r="BJ45" s="43">
        <f>'Alternatyva 3'!BJ$8+'Alternatyva 3'!BJ$9-'Alternatyva 3'!BJ$113</f>
        <v>0</v>
      </c>
      <c r="BK45" s="43">
        <f>'Alternatyva 3'!BK$8+'Alternatyva 3'!BK$9-'Alternatyva 3'!BK$113</f>
        <v>0</v>
      </c>
      <c r="BL45" s="43">
        <f>'Alternatyva 3'!BL$8+'Alternatyva 3'!BL$9-'Alternatyva 3'!BL$113</f>
        <v>0</v>
      </c>
      <c r="BM45" s="43">
        <f>'Alternatyva 3'!BM$8+'Alternatyva 3'!BM$9-'Alternatyva 3'!BM$113</f>
        <v>0</v>
      </c>
      <c r="BN45" s="43">
        <f>'Alternatyva 3'!BN$8+'Alternatyva 3'!BN$9-'Alternatyva 3'!BN$113</f>
        <v>0</v>
      </c>
      <c r="BO45" s="43">
        <f>'Alternatyva 3'!BO$8+'Alternatyva 3'!BO$9-'Alternatyva 3'!BO$113</f>
        <v>0</v>
      </c>
      <c r="BP45" s="43">
        <f>'Alternatyva 3'!BP$8+'Alternatyva 3'!BP$9-'Alternatyva 3'!BP$113</f>
        <v>0</v>
      </c>
      <c r="BQ45" s="43">
        <f>'Alternatyva 3'!BQ$8+'Alternatyva 3'!BQ$9-'Alternatyva 3'!BQ$113</f>
        <v>0</v>
      </c>
      <c r="BR45" s="43">
        <f>'Alternatyva 3'!BR$8+'Alternatyva 3'!BR$9-'Alternatyva 3'!BR$113</f>
        <v>0</v>
      </c>
      <c r="BS45" s="43">
        <f>'Alternatyva 3'!BS$8+'Alternatyva 3'!BS$9-'Alternatyva 3'!BS$113</f>
        <v>0</v>
      </c>
      <c r="BT45" s="43">
        <f>'Alternatyva 3'!BT$8+'Alternatyva 3'!BT$9-'Alternatyva 3'!BT$113</f>
        <v>0</v>
      </c>
      <c r="BU45" s="43">
        <f>'Alternatyva 3'!BU$8+'Alternatyva 3'!BU$9-'Alternatyva 3'!BU$113</f>
        <v>0</v>
      </c>
      <c r="BV45" s="43">
        <f>'Alternatyva 3'!BV$8+'Alternatyva 3'!BV$9-'Alternatyva 3'!BV$113</f>
        <v>0</v>
      </c>
      <c r="BW45" s="43">
        <f>'Alternatyva 3'!BW$8+'Alternatyva 3'!BW$9-'Alternatyva 3'!BW$113</f>
        <v>0</v>
      </c>
      <c r="BX45" s="43">
        <f>'Alternatyva 3'!BX$8+'Alternatyva 3'!BX$9-'Alternatyva 3'!BX$113</f>
        <v>0</v>
      </c>
      <c r="BY45" s="43">
        <f>'Alternatyva 3'!BY$8+'Alternatyva 3'!BY$9-'Alternatyva 3'!BY$113</f>
        <v>0</v>
      </c>
      <c r="BZ45" s="43">
        <f>'Alternatyva 3'!BZ$8+'Alternatyva 3'!BZ$9-'Alternatyva 3'!BZ$113</f>
        <v>0</v>
      </c>
      <c r="CA45" s="43">
        <f>'Alternatyva 3'!CA$8+'Alternatyva 3'!CA$9-'Alternatyva 3'!CA$113</f>
        <v>0</v>
      </c>
      <c r="CB45" s="43">
        <f>'Alternatyva 3'!CB$8+'Alternatyva 3'!CB$9-'Alternatyva 3'!CB$113</f>
        <v>0</v>
      </c>
      <c r="CC45" s="43">
        <f>'Alternatyva 3'!CC$8+'Alternatyva 3'!CC$9-'Alternatyva 3'!CC$113</f>
        <v>0</v>
      </c>
      <c r="CD45" s="43">
        <f>'Alternatyva 3'!CD$8+'Alternatyva 3'!CD$9-'Alternatyva 3'!CD$113</f>
        <v>0</v>
      </c>
      <c r="CE45" s="43">
        <f>'Alternatyva 3'!CE$8+'Alternatyva 3'!CE$9-'Alternatyva 3'!CE$113</f>
        <v>0</v>
      </c>
      <c r="CF45" s="43">
        <f>'Alternatyva 3'!CF$8+'Alternatyva 3'!CF$9-'Alternatyva 3'!CF$113</f>
        <v>0</v>
      </c>
      <c r="CG45" s="43">
        <f>'Alternatyva 3'!CG$8+'Alternatyva 3'!CG$9-'Alternatyva 3'!CG$113</f>
        <v>0</v>
      </c>
      <c r="CH45" s="43">
        <f>'Alternatyva 3'!CH$8+'Alternatyva 3'!CH$9-'Alternatyva 3'!CH$113</f>
        <v>0</v>
      </c>
      <c r="CI45" s="43">
        <f>'Alternatyva 3'!CI$8+'Alternatyva 3'!CI$9-'Alternatyva 3'!CI$113</f>
        <v>0</v>
      </c>
      <c r="CJ45" s="43">
        <f>'Alternatyva 3'!CJ$8+'Alternatyva 3'!CJ$9-'Alternatyva 3'!CJ$113</f>
        <v>0</v>
      </c>
      <c r="CK45" s="43">
        <f>'Alternatyva 3'!CK$8+'Alternatyva 3'!CK$9-'Alternatyva 3'!CK$113</f>
        <v>0</v>
      </c>
      <c r="CL45" s="43">
        <f>'Alternatyva 3'!CL$8+'Alternatyva 3'!CL$9-'Alternatyva 3'!CL$113</f>
        <v>0</v>
      </c>
      <c r="CM45" s="43">
        <f>'Alternatyva 3'!CM$8+'Alternatyva 3'!CM$9-'Alternatyva 3'!CM$113</f>
        <v>0</v>
      </c>
      <c r="CN45" s="43">
        <f>'Alternatyva 3'!CN$8+'Alternatyva 3'!CN$9-'Alternatyva 3'!CN$113</f>
        <v>0</v>
      </c>
      <c r="CO45" s="43">
        <f>'Alternatyva 3'!CO$8+'Alternatyva 3'!CO$9-'Alternatyva 3'!CO$113</f>
        <v>0</v>
      </c>
      <c r="CP45" s="43">
        <f>'Alternatyva 3'!CP$8+'Alternatyva 3'!CP$9-'Alternatyva 3'!CP$113</f>
        <v>0</v>
      </c>
      <c r="CQ45" s="43">
        <f>'Alternatyva 3'!CQ$8+'Alternatyva 3'!CQ$9-'Alternatyva 3'!CQ$113</f>
        <v>0</v>
      </c>
      <c r="CR45" s="43">
        <f>'Alternatyva 3'!CR$8+'Alternatyva 3'!CR$9-'Alternatyva 3'!CR$113</f>
        <v>0</v>
      </c>
      <c r="CS45" s="43">
        <f>'Alternatyva 3'!CS$8+'Alternatyva 3'!CS$9-'Alternatyva 3'!CS$113</f>
        <v>0</v>
      </c>
      <c r="CT45" s="43">
        <f>'Alternatyva 3'!CT$8+'Alternatyva 3'!CT$9-'Alternatyva 3'!CT$113</f>
        <v>0</v>
      </c>
      <c r="CU45" s="43">
        <f>'Alternatyva 3'!CU$8+'Alternatyva 3'!CU$9-'Alternatyva 3'!CU$113</f>
        <v>0</v>
      </c>
      <c r="CV45" s="43">
        <f>'Alternatyva 3'!CV$8+'Alternatyva 3'!CV$9-'Alternatyva 3'!CV$113</f>
        <v>0</v>
      </c>
      <c r="CW45" s="43">
        <f>'Alternatyva 3'!CW$8+'Alternatyva 3'!CW$9-'Alternatyva 3'!CW$113</f>
        <v>0</v>
      </c>
      <c r="CX45" s="43">
        <f>'Alternatyva 3'!CX$8+'Alternatyva 3'!CX$9-'Alternatyva 3'!CX$113</f>
        <v>0</v>
      </c>
      <c r="CY45" s="43">
        <f>'Alternatyva 3'!CY$8+'Alternatyva 3'!CY$9-'Alternatyva 3'!CY$113</f>
        <v>0</v>
      </c>
      <c r="CZ45" s="43">
        <f>'Alternatyva 3'!CZ$8+'Alternatyva 3'!CZ$9-'Alternatyva 3'!CZ$113</f>
        <v>0</v>
      </c>
      <c r="DA45" s="43">
        <f>'Alternatyva 3'!DA$8+'Alternatyva 3'!DA$9-'Alternatyva 3'!DA$113</f>
        <v>0</v>
      </c>
      <c r="DB45" s="43">
        <f>'Alternatyva 3'!DB$8+'Alternatyva 3'!DB$9-'Alternatyva 3'!DB$113</f>
        <v>0</v>
      </c>
      <c r="DC45" s="43">
        <f>'Alternatyva 3'!DC$8+'Alternatyva 3'!DC$9-'Alternatyva 3'!DC$113</f>
        <v>0</v>
      </c>
    </row>
    <row r="46" spans="2:107" ht="15" customHeight="1">
      <c r="B46" s="5" t="s">
        <v>209</v>
      </c>
      <c r="C46" s="777" t="s">
        <v>263</v>
      </c>
      <c r="D46" s="778"/>
      <c r="E46" s="779"/>
      <c r="F46" s="43">
        <f>H46+NPV(SD,I46:INDEX(I46:DC46,PAL))</f>
        <v>119246663.27571647</v>
      </c>
      <c r="G46" s="43">
        <f>SUMIF($H$6:$DC$6,"&lt;="&amp;PAL,$H46:$DC46)</f>
        <v>197469865.77715251</v>
      </c>
      <c r="H46" s="43">
        <f>'Alternatyva 3'!H$89-'Alternatyva 3'!H$114</f>
        <v>0</v>
      </c>
      <c r="I46" s="43">
        <f>'Alternatyva 3'!I$89-'Alternatyva 3'!I$114</f>
        <v>4212500</v>
      </c>
      <c r="J46" s="43">
        <f>'Alternatyva 3'!J$89-'Alternatyva 3'!J$114</f>
        <v>5466528.6675319998</v>
      </c>
      <c r="K46" s="43">
        <f>'Alternatyva 3'!K$89-'Alternatyva 3'!K$114</f>
        <v>9271690.9378861338</v>
      </c>
      <c r="L46" s="43">
        <f>'Alternatyva 3'!L$89-'Alternatyva 3'!L$114</f>
        <v>10497420.3630432</v>
      </c>
      <c r="M46" s="43">
        <f>'Alternatyva 3'!M$89-'Alternatyva 3'!M$114</f>
        <v>10497420.3630432</v>
      </c>
      <c r="N46" s="43">
        <f>'Alternatyva 3'!N$89-'Alternatyva 3'!N$114</f>
        <v>10497420.3630432</v>
      </c>
      <c r="O46" s="43">
        <f>'Alternatyva 3'!O$89-'Alternatyva 3'!O$114</f>
        <v>10501920.3630432</v>
      </c>
      <c r="P46" s="43">
        <f>'Alternatyva 3'!P$89-'Alternatyva 3'!P$114</f>
        <v>10501920.3630432</v>
      </c>
      <c r="Q46" s="43">
        <f>'Alternatyva 3'!Q$89-'Alternatyva 3'!Q$114</f>
        <v>10501920.3630432</v>
      </c>
      <c r="R46" s="43">
        <f>'Alternatyva 3'!R$89-'Alternatyva 3'!R$114</f>
        <v>10501920.3630432</v>
      </c>
      <c r="S46" s="43">
        <f>'Alternatyva 3'!S$89-'Alternatyva 3'!S$114</f>
        <v>10501920.3630432</v>
      </c>
      <c r="T46" s="43">
        <f>'Alternatyva 3'!T$89-'Alternatyva 3'!T$114</f>
        <v>10501920.3630432</v>
      </c>
      <c r="U46" s="43">
        <f>'Alternatyva 3'!U$89-'Alternatyva 3'!U$114</f>
        <v>10501920.3630432</v>
      </c>
      <c r="V46" s="43">
        <f>'Alternatyva 3'!V$89-'Alternatyva 3'!V$114</f>
        <v>10501920.3630432</v>
      </c>
      <c r="W46" s="43">
        <f>'Alternatyva 3'!W$89-'Alternatyva 3'!W$114</f>
        <v>10501920.3630432</v>
      </c>
      <c r="X46" s="43">
        <f>'Alternatyva 3'!X$89-'Alternatyva 3'!X$114</f>
        <v>10501920.3630432</v>
      </c>
      <c r="Y46" s="43">
        <f>'Alternatyva 3'!Y$89-'Alternatyva 3'!Y$114</f>
        <v>10501920.3630432</v>
      </c>
      <c r="Z46" s="43">
        <f>'Alternatyva 3'!Z$89-'Alternatyva 3'!Z$114</f>
        <v>10501920.3630432</v>
      </c>
      <c r="AA46" s="43">
        <f>'Alternatyva 3'!AA$89-'Alternatyva 3'!AA$114</f>
        <v>10501920.3630432</v>
      </c>
      <c r="AB46" s="43">
        <f>'Alternatyva 3'!AB$89-'Alternatyva 3'!AB$114</f>
        <v>10501920.3630432</v>
      </c>
      <c r="AC46" s="43">
        <f>'Alternatyva 3'!AC$89-'Alternatyva 3'!AC$114</f>
        <v>8523131.8160736002</v>
      </c>
      <c r="AD46" s="43">
        <f>'Alternatyva 3'!AD$89-'Alternatyva 3'!AD$114</f>
        <v>8523131.8160736002</v>
      </c>
      <c r="AE46" s="43">
        <f>'Alternatyva 3'!AE$89-'Alternatyva 3'!AE$114</f>
        <v>8523131.8160736002</v>
      </c>
      <c r="AF46" s="43">
        <f>'Alternatyva 3'!AF$89-'Alternatyva 3'!AF$114</f>
        <v>8523131.8160736002</v>
      </c>
      <c r="AG46" s="43">
        <f>'Alternatyva 3'!AG$89-'Alternatyva 3'!AG$114</f>
        <v>8523131.8160736002</v>
      </c>
      <c r="AH46" s="43">
        <f>'Alternatyva 3'!AH$89-'Alternatyva 3'!AH$114</f>
        <v>8523131.8160736002</v>
      </c>
      <c r="AI46" s="43">
        <f>'Alternatyva 3'!AI$89-'Alternatyva 3'!AI$114</f>
        <v>8523131.8160736002</v>
      </c>
      <c r="AJ46" s="43">
        <f>'Alternatyva 3'!AJ$89-'Alternatyva 3'!AJ$114</f>
        <v>8523131.8160736002</v>
      </c>
      <c r="AK46" s="43">
        <f>'Alternatyva 3'!AK$89-'Alternatyva 3'!AK$114</f>
        <v>8523131.8160736002</v>
      </c>
      <c r="AL46" s="43">
        <f>'Alternatyva 3'!AL$89-'Alternatyva 3'!AL$114</f>
        <v>8523131.8160736002</v>
      </c>
      <c r="AM46" s="43">
        <f>'Alternatyva 3'!AM$89-'Alternatyva 3'!AM$114</f>
        <v>8523131.8160736002</v>
      </c>
      <c r="AN46" s="43">
        <f>'Alternatyva 3'!AN$89-'Alternatyva 3'!AN$114</f>
        <v>8523131.8160736002</v>
      </c>
      <c r="AO46" s="43">
        <f>'Alternatyva 3'!AO$89-'Alternatyva 3'!AO$114</f>
        <v>8523131.8160736002</v>
      </c>
      <c r="AP46" s="43">
        <f>'Alternatyva 3'!AP$89-'Alternatyva 3'!AP$114</f>
        <v>8523131.8160736002</v>
      </c>
      <c r="AQ46" s="43">
        <f>'Alternatyva 3'!AQ$89-'Alternatyva 3'!AQ$114</f>
        <v>8523131.8160736002</v>
      </c>
      <c r="AR46" s="43">
        <f>'Alternatyva 3'!AR$89-'Alternatyva 3'!AR$114</f>
        <v>8523131.8160736002</v>
      </c>
      <c r="AS46" s="43">
        <f>'Alternatyva 3'!AS$89-'Alternatyva 3'!AS$114</f>
        <v>8523131.8160736002</v>
      </c>
      <c r="AT46" s="43">
        <f>'Alternatyva 3'!AT$89-'Alternatyva 3'!AT$114</f>
        <v>8523131.8160736002</v>
      </c>
      <c r="AU46" s="43">
        <f>'Alternatyva 3'!AU$89-'Alternatyva 3'!AU$114</f>
        <v>8523131.8160736002</v>
      </c>
      <c r="AV46" s="43">
        <f>'Alternatyva 3'!AV$89-'Alternatyva 3'!AV$114</f>
        <v>8523131.8160736002</v>
      </c>
      <c r="AW46" s="43">
        <f>'Alternatyva 3'!AW$89-'Alternatyva 3'!AW$114</f>
        <v>8523131.8160736002</v>
      </c>
      <c r="AX46" s="43">
        <f>'Alternatyva 3'!AX$89-'Alternatyva 3'!AX$114</f>
        <v>8523131.8160736002</v>
      </c>
      <c r="AY46" s="43">
        <f>'Alternatyva 3'!AY$89-'Alternatyva 3'!AY$114</f>
        <v>8523131.8160736002</v>
      </c>
      <c r="AZ46" s="43">
        <f>'Alternatyva 3'!AZ$89-'Alternatyva 3'!AZ$114</f>
        <v>8523131.8160736002</v>
      </c>
      <c r="BA46" s="43">
        <f>'Alternatyva 3'!BA$89-'Alternatyva 3'!BA$114</f>
        <v>8523131.8160736002</v>
      </c>
      <c r="BB46" s="43">
        <f>'Alternatyva 3'!BB$89-'Alternatyva 3'!BB$114</f>
        <v>8523131.8160736002</v>
      </c>
      <c r="BC46" s="43">
        <f>'Alternatyva 3'!BC$89-'Alternatyva 3'!BC$114</f>
        <v>8523131.8160736002</v>
      </c>
      <c r="BD46" s="43">
        <f>'Alternatyva 3'!BD$89-'Alternatyva 3'!BD$114</f>
        <v>8523131.8160736002</v>
      </c>
      <c r="BE46" s="43">
        <f>'Alternatyva 3'!BE$89-'Alternatyva 3'!BE$114</f>
        <v>8523131.8160736002</v>
      </c>
      <c r="BF46" s="43">
        <f>'Alternatyva 3'!BF$89-'Alternatyva 3'!BF$114</f>
        <v>8523131.8160736002</v>
      </c>
      <c r="BG46" s="43">
        <f>'Alternatyva 3'!BG$89-'Alternatyva 3'!BG$114</f>
        <v>8523131.8160736002</v>
      </c>
      <c r="BH46" s="43">
        <f>'Alternatyva 3'!BH$89-'Alternatyva 3'!BH$114</f>
        <v>8523131.8160736002</v>
      </c>
      <c r="BI46" s="43">
        <f>'Alternatyva 3'!BI$89-'Alternatyva 3'!BI$114</f>
        <v>8523131.8160736002</v>
      </c>
      <c r="BJ46" s="43">
        <f>'Alternatyva 3'!BJ$89-'Alternatyva 3'!BJ$114</f>
        <v>8523131.8160736002</v>
      </c>
      <c r="BK46" s="43">
        <f>'Alternatyva 3'!BK$89-'Alternatyva 3'!BK$114</f>
        <v>8523131.8160736002</v>
      </c>
      <c r="BL46" s="43">
        <f>'Alternatyva 3'!BL$89-'Alternatyva 3'!BL$114</f>
        <v>8523131.8160736002</v>
      </c>
      <c r="BM46" s="43">
        <f>'Alternatyva 3'!BM$89-'Alternatyva 3'!BM$114</f>
        <v>8523131.8160736002</v>
      </c>
      <c r="BN46" s="43">
        <f>'Alternatyva 3'!BN$89-'Alternatyva 3'!BN$114</f>
        <v>8523131.8160736002</v>
      </c>
      <c r="BO46" s="43">
        <f>'Alternatyva 3'!BO$89-'Alternatyva 3'!BO$114</f>
        <v>8523131.8160736002</v>
      </c>
      <c r="BP46" s="43">
        <f>'Alternatyva 3'!BP$89-'Alternatyva 3'!BP$114</f>
        <v>8523131.8160736002</v>
      </c>
      <c r="BQ46" s="43">
        <f>'Alternatyva 3'!BQ$89-'Alternatyva 3'!BQ$114</f>
        <v>8523131.8160736002</v>
      </c>
      <c r="BR46" s="43">
        <f>'Alternatyva 3'!BR$89-'Alternatyva 3'!BR$114</f>
        <v>8523131.8160736002</v>
      </c>
      <c r="BS46" s="43">
        <f>'Alternatyva 3'!BS$89-'Alternatyva 3'!BS$114</f>
        <v>8523131.8160736002</v>
      </c>
      <c r="BT46" s="43">
        <f>'Alternatyva 3'!BT$89-'Alternatyva 3'!BT$114</f>
        <v>8523131.8160736002</v>
      </c>
      <c r="BU46" s="43">
        <f>'Alternatyva 3'!BU$89-'Alternatyva 3'!BU$114</f>
        <v>8523131.8160736002</v>
      </c>
      <c r="BV46" s="43">
        <f>'Alternatyva 3'!BV$89-'Alternatyva 3'!BV$114</f>
        <v>8523131.8160736002</v>
      </c>
      <c r="BW46" s="43">
        <f>'Alternatyva 3'!BW$89-'Alternatyva 3'!BW$114</f>
        <v>8523131.8160736002</v>
      </c>
      <c r="BX46" s="43">
        <f>'Alternatyva 3'!BX$89-'Alternatyva 3'!BX$114</f>
        <v>8523131.8160736002</v>
      </c>
      <c r="BY46" s="43">
        <f>'Alternatyva 3'!BY$89-'Alternatyva 3'!BY$114</f>
        <v>8523131.8160736002</v>
      </c>
      <c r="BZ46" s="43">
        <f>'Alternatyva 3'!BZ$89-'Alternatyva 3'!BZ$114</f>
        <v>8523131.8160736002</v>
      </c>
      <c r="CA46" s="43">
        <f>'Alternatyva 3'!CA$89-'Alternatyva 3'!CA$114</f>
        <v>8523131.8160736002</v>
      </c>
      <c r="CB46" s="43">
        <f>'Alternatyva 3'!CB$89-'Alternatyva 3'!CB$114</f>
        <v>8523131.8160736002</v>
      </c>
      <c r="CC46" s="43">
        <f>'Alternatyva 3'!CC$89-'Alternatyva 3'!CC$114</f>
        <v>8523131.8160736002</v>
      </c>
      <c r="CD46" s="43">
        <f>'Alternatyva 3'!CD$89-'Alternatyva 3'!CD$114</f>
        <v>8523131.8160736002</v>
      </c>
      <c r="CE46" s="43">
        <f>'Alternatyva 3'!CE$89-'Alternatyva 3'!CE$114</f>
        <v>8523131.8160736002</v>
      </c>
      <c r="CF46" s="43">
        <f>'Alternatyva 3'!CF$89-'Alternatyva 3'!CF$114</f>
        <v>8523131.8160736002</v>
      </c>
      <c r="CG46" s="43">
        <f>'Alternatyva 3'!CG$89-'Alternatyva 3'!CG$114</f>
        <v>8523131.8160736002</v>
      </c>
      <c r="CH46" s="43">
        <f>'Alternatyva 3'!CH$89-'Alternatyva 3'!CH$114</f>
        <v>8523131.8160736002</v>
      </c>
      <c r="CI46" s="43">
        <f>'Alternatyva 3'!CI$89-'Alternatyva 3'!CI$114</f>
        <v>8523131.8160736002</v>
      </c>
      <c r="CJ46" s="43">
        <f>'Alternatyva 3'!CJ$89-'Alternatyva 3'!CJ$114</f>
        <v>8523131.8160736002</v>
      </c>
      <c r="CK46" s="43">
        <f>'Alternatyva 3'!CK$89-'Alternatyva 3'!CK$114</f>
        <v>8523131.8160736002</v>
      </c>
      <c r="CL46" s="43">
        <f>'Alternatyva 3'!CL$89-'Alternatyva 3'!CL$114</f>
        <v>8523131.8160736002</v>
      </c>
      <c r="CM46" s="43">
        <f>'Alternatyva 3'!CM$89-'Alternatyva 3'!CM$114</f>
        <v>8523131.8160736002</v>
      </c>
      <c r="CN46" s="43">
        <f>'Alternatyva 3'!CN$89-'Alternatyva 3'!CN$114</f>
        <v>8523131.8160736002</v>
      </c>
      <c r="CO46" s="43">
        <f>'Alternatyva 3'!CO$89-'Alternatyva 3'!CO$114</f>
        <v>8523131.8160736002</v>
      </c>
      <c r="CP46" s="43">
        <f>'Alternatyva 3'!CP$89-'Alternatyva 3'!CP$114</f>
        <v>8523131.8160736002</v>
      </c>
      <c r="CQ46" s="43">
        <f>'Alternatyva 3'!CQ$89-'Alternatyva 3'!CQ$114</f>
        <v>8523131.8160736002</v>
      </c>
      <c r="CR46" s="43">
        <f>'Alternatyva 3'!CR$89-'Alternatyva 3'!CR$114</f>
        <v>8523131.8160736002</v>
      </c>
      <c r="CS46" s="43">
        <f>'Alternatyva 3'!CS$89-'Alternatyva 3'!CS$114</f>
        <v>8523131.8160736002</v>
      </c>
      <c r="CT46" s="43">
        <f>'Alternatyva 3'!CT$89-'Alternatyva 3'!CT$114</f>
        <v>8523131.8160736002</v>
      </c>
      <c r="CU46" s="43">
        <f>'Alternatyva 3'!CU$89-'Alternatyva 3'!CU$114</f>
        <v>8523131.8160736002</v>
      </c>
      <c r="CV46" s="43">
        <f>'Alternatyva 3'!CV$89-'Alternatyva 3'!CV$114</f>
        <v>8523131.8160736002</v>
      </c>
      <c r="CW46" s="43">
        <f>'Alternatyva 3'!CW$89-'Alternatyva 3'!CW$114</f>
        <v>8523131.8160736002</v>
      </c>
      <c r="CX46" s="43">
        <f>'Alternatyva 3'!CX$89-'Alternatyva 3'!CX$114</f>
        <v>8523131.8160736002</v>
      </c>
      <c r="CY46" s="43">
        <f>'Alternatyva 3'!CY$89-'Alternatyva 3'!CY$114</f>
        <v>8523131.8160736002</v>
      </c>
      <c r="CZ46" s="43">
        <f>'Alternatyva 3'!CZ$89-'Alternatyva 3'!CZ$114</f>
        <v>8523131.8160736002</v>
      </c>
      <c r="DA46" s="43">
        <f>'Alternatyva 3'!DA$89-'Alternatyva 3'!DA$114</f>
        <v>8523131.8160736002</v>
      </c>
      <c r="DB46" s="43">
        <f>'Alternatyva 3'!DB$89-'Alternatyva 3'!DB$114</f>
        <v>8523131.8160736002</v>
      </c>
      <c r="DC46" s="43">
        <f>'Alternatyva 3'!DC$89-'Alternatyva 3'!DC$114</f>
        <v>8523131.8160736002</v>
      </c>
    </row>
    <row r="47" spans="2:107" ht="15" customHeight="1">
      <c r="B47" s="5" t="s">
        <v>194</v>
      </c>
      <c r="C47" s="777" t="s">
        <v>16</v>
      </c>
      <c r="D47" s="778"/>
      <c r="E47" s="779"/>
      <c r="F47" s="49">
        <f>H47+NPV(FD,I47:INDEX(I47:DC47,PAL))</f>
        <v>0</v>
      </c>
      <c r="G47" s="43">
        <f>SUMIF($H$6:$DC$6,"&lt;="&amp;PAL,$H47:$DC47)</f>
        <v>0</v>
      </c>
      <c r="H47" s="43">
        <f>SUM('Alternatyva 3'!H$21,'Alternatyva 3'!H$32,'Alternatyva 3'!H$43,'Alternatyva 3'!H$55,'Alternatyva 3'!H$66,'Alternatyva 3'!H$77,'Alternatyva 3'!H$88)</f>
        <v>0</v>
      </c>
      <c r="I47" s="43">
        <f>SUM('Alternatyva 3'!I$21,'Alternatyva 3'!I$32,'Alternatyva 3'!I$43,'Alternatyva 3'!I$55,'Alternatyva 3'!I$66,'Alternatyva 3'!I$77,'Alternatyva 3'!I$88)</f>
        <v>0</v>
      </c>
      <c r="J47" s="43">
        <f>SUM('Alternatyva 3'!J$21,'Alternatyva 3'!J$32,'Alternatyva 3'!J$43,'Alternatyva 3'!J$55,'Alternatyva 3'!J$66,'Alternatyva 3'!J$77,'Alternatyva 3'!J$88)</f>
        <v>0</v>
      </c>
      <c r="K47" s="43">
        <f>SUM('Alternatyva 3'!K$21,'Alternatyva 3'!K$32,'Alternatyva 3'!K$43,'Alternatyva 3'!K$55,'Alternatyva 3'!K$66,'Alternatyva 3'!K$77,'Alternatyva 3'!K$88)</f>
        <v>0</v>
      </c>
      <c r="L47" s="43">
        <f>SUM('Alternatyva 3'!L$21,'Alternatyva 3'!L$32,'Alternatyva 3'!L$43,'Alternatyva 3'!L$55,'Alternatyva 3'!L$66,'Alternatyva 3'!L$77,'Alternatyva 3'!L$88)</f>
        <v>0</v>
      </c>
      <c r="M47" s="43">
        <f>SUM('Alternatyva 3'!M$21,'Alternatyva 3'!M$32,'Alternatyva 3'!M$43,'Alternatyva 3'!M$55,'Alternatyva 3'!M$66,'Alternatyva 3'!M$77,'Alternatyva 3'!M$88)</f>
        <v>0</v>
      </c>
      <c r="N47" s="43">
        <f>SUM('Alternatyva 3'!N$21,'Alternatyva 3'!N$32,'Alternatyva 3'!N$43,'Alternatyva 3'!N$55,'Alternatyva 3'!N$66,'Alternatyva 3'!N$77,'Alternatyva 3'!N$88)</f>
        <v>0</v>
      </c>
      <c r="O47" s="43">
        <f>SUM('Alternatyva 3'!O$21,'Alternatyva 3'!O$32,'Alternatyva 3'!O$43,'Alternatyva 3'!O$55,'Alternatyva 3'!O$66,'Alternatyva 3'!O$77,'Alternatyva 3'!O$88)</f>
        <v>0</v>
      </c>
      <c r="P47" s="43">
        <f>SUM('Alternatyva 3'!P$21,'Alternatyva 3'!P$32,'Alternatyva 3'!P$43,'Alternatyva 3'!P$55,'Alternatyva 3'!P$66,'Alternatyva 3'!P$77,'Alternatyva 3'!P$88)</f>
        <v>0</v>
      </c>
      <c r="Q47" s="43">
        <f>SUM('Alternatyva 3'!Q$21,'Alternatyva 3'!Q$32,'Alternatyva 3'!Q$43,'Alternatyva 3'!Q$55,'Alternatyva 3'!Q$66,'Alternatyva 3'!Q$77,'Alternatyva 3'!Q$88)</f>
        <v>0</v>
      </c>
      <c r="R47" s="43">
        <f>SUM('Alternatyva 3'!R$21,'Alternatyva 3'!R$32,'Alternatyva 3'!R$43,'Alternatyva 3'!R$55,'Alternatyva 3'!R$66,'Alternatyva 3'!R$77,'Alternatyva 3'!R$88)</f>
        <v>0</v>
      </c>
      <c r="S47" s="43">
        <f>SUM('Alternatyva 3'!S$21,'Alternatyva 3'!S$32,'Alternatyva 3'!S$43,'Alternatyva 3'!S$55,'Alternatyva 3'!S$66,'Alternatyva 3'!S$77,'Alternatyva 3'!S$88)</f>
        <v>0</v>
      </c>
      <c r="T47" s="43">
        <f>SUM('Alternatyva 3'!T$21,'Alternatyva 3'!T$32,'Alternatyva 3'!T$43,'Alternatyva 3'!T$55,'Alternatyva 3'!T$66,'Alternatyva 3'!T$77,'Alternatyva 3'!T$88)</f>
        <v>0</v>
      </c>
      <c r="U47" s="43">
        <f>SUM('Alternatyva 3'!U$21,'Alternatyva 3'!U$32,'Alternatyva 3'!U$43,'Alternatyva 3'!U$55,'Alternatyva 3'!U$66,'Alternatyva 3'!U$77,'Alternatyva 3'!U$88)</f>
        <v>0</v>
      </c>
      <c r="V47" s="43">
        <f>SUM('Alternatyva 3'!V$21,'Alternatyva 3'!V$32,'Alternatyva 3'!V$43,'Alternatyva 3'!V$55,'Alternatyva 3'!V$66,'Alternatyva 3'!V$77,'Alternatyva 3'!V$88)</f>
        <v>0</v>
      </c>
      <c r="W47" s="43">
        <f>SUM('Alternatyva 3'!W$21,'Alternatyva 3'!W$32,'Alternatyva 3'!W$43,'Alternatyva 3'!W$55,'Alternatyva 3'!W$66,'Alternatyva 3'!W$77,'Alternatyva 3'!W$88)</f>
        <v>0</v>
      </c>
      <c r="X47" s="43">
        <f>SUM('Alternatyva 3'!X$21,'Alternatyva 3'!X$32,'Alternatyva 3'!X$43,'Alternatyva 3'!X$55,'Alternatyva 3'!X$66,'Alternatyva 3'!X$77,'Alternatyva 3'!X$88)</f>
        <v>0</v>
      </c>
      <c r="Y47" s="43">
        <f>SUM('Alternatyva 3'!Y$21,'Alternatyva 3'!Y$32,'Alternatyva 3'!Y$43,'Alternatyva 3'!Y$55,'Alternatyva 3'!Y$66,'Alternatyva 3'!Y$77,'Alternatyva 3'!Y$88)</f>
        <v>0</v>
      </c>
      <c r="Z47" s="43">
        <f>SUM('Alternatyva 3'!Z$21,'Alternatyva 3'!Z$32,'Alternatyva 3'!Z$43,'Alternatyva 3'!Z$55,'Alternatyva 3'!Z$66,'Alternatyva 3'!Z$77,'Alternatyva 3'!Z$88)</f>
        <v>0</v>
      </c>
      <c r="AA47" s="43">
        <f>SUM('Alternatyva 3'!AA$21,'Alternatyva 3'!AA$32,'Alternatyva 3'!AA$43,'Alternatyva 3'!AA$55,'Alternatyva 3'!AA$66,'Alternatyva 3'!AA$77,'Alternatyva 3'!AA$88)</f>
        <v>0</v>
      </c>
      <c r="AB47" s="43">
        <f>SUM('Alternatyva 3'!AB$21,'Alternatyva 3'!AB$32,'Alternatyva 3'!AB$43,'Alternatyva 3'!AB$55,'Alternatyva 3'!AB$66,'Alternatyva 3'!AB$77,'Alternatyva 3'!AB$88)</f>
        <v>0</v>
      </c>
      <c r="AC47" s="43">
        <f>SUM('Alternatyva 3'!AC$21,'Alternatyva 3'!AC$32,'Alternatyva 3'!AC$43,'Alternatyva 3'!AC$55,'Alternatyva 3'!AC$66,'Alternatyva 3'!AC$77,'Alternatyva 3'!AC$88)</f>
        <v>0</v>
      </c>
      <c r="AD47" s="43">
        <f>SUM('Alternatyva 3'!AD$21,'Alternatyva 3'!AD$32,'Alternatyva 3'!AD$43,'Alternatyva 3'!AD$55,'Alternatyva 3'!AD$66,'Alternatyva 3'!AD$77,'Alternatyva 3'!AD$88)</f>
        <v>0</v>
      </c>
      <c r="AE47" s="43">
        <f>SUM('Alternatyva 3'!AE$21,'Alternatyva 3'!AE$32,'Alternatyva 3'!AE$43,'Alternatyva 3'!AE$55,'Alternatyva 3'!AE$66,'Alternatyva 3'!AE$77,'Alternatyva 3'!AE$88)</f>
        <v>0</v>
      </c>
      <c r="AF47" s="43">
        <f>SUM('Alternatyva 3'!AF$21,'Alternatyva 3'!AF$32,'Alternatyva 3'!AF$43,'Alternatyva 3'!AF$55,'Alternatyva 3'!AF$66,'Alternatyva 3'!AF$77,'Alternatyva 3'!AF$88)</f>
        <v>0</v>
      </c>
      <c r="AG47" s="43">
        <f>SUM('Alternatyva 3'!AG$21,'Alternatyva 3'!AG$32,'Alternatyva 3'!AG$43,'Alternatyva 3'!AG$55,'Alternatyva 3'!AG$66,'Alternatyva 3'!AG$77,'Alternatyva 3'!AG$88)</f>
        <v>0</v>
      </c>
      <c r="AH47" s="43">
        <f>SUM('Alternatyva 3'!AH$21,'Alternatyva 3'!AH$32,'Alternatyva 3'!AH$43,'Alternatyva 3'!AH$55,'Alternatyva 3'!AH$66,'Alternatyva 3'!AH$77,'Alternatyva 3'!AH$88)</f>
        <v>0</v>
      </c>
      <c r="AI47" s="43">
        <f>SUM('Alternatyva 3'!AI$21,'Alternatyva 3'!AI$32,'Alternatyva 3'!AI$43,'Alternatyva 3'!AI$55,'Alternatyva 3'!AI$66,'Alternatyva 3'!AI$77,'Alternatyva 3'!AI$88)</f>
        <v>0</v>
      </c>
      <c r="AJ47" s="43">
        <f>SUM('Alternatyva 3'!AJ$21,'Alternatyva 3'!AJ$32,'Alternatyva 3'!AJ$43,'Alternatyva 3'!AJ$55,'Alternatyva 3'!AJ$66,'Alternatyva 3'!AJ$77,'Alternatyva 3'!AJ$88)</f>
        <v>0</v>
      </c>
      <c r="AK47" s="43">
        <f>SUM('Alternatyva 3'!AK$21,'Alternatyva 3'!AK$32,'Alternatyva 3'!AK$43,'Alternatyva 3'!AK$55,'Alternatyva 3'!AK$66,'Alternatyva 3'!AK$77,'Alternatyva 3'!AK$88)</f>
        <v>0</v>
      </c>
      <c r="AL47" s="43">
        <f>SUM('Alternatyva 3'!AL$21,'Alternatyva 3'!AL$32,'Alternatyva 3'!AL$43,'Alternatyva 3'!AL$55,'Alternatyva 3'!AL$66,'Alternatyva 3'!AL$77,'Alternatyva 3'!AL$88)</f>
        <v>0</v>
      </c>
      <c r="AM47" s="43">
        <f>SUM('Alternatyva 3'!AM$21,'Alternatyva 3'!AM$32,'Alternatyva 3'!AM$43,'Alternatyva 3'!AM$55,'Alternatyva 3'!AM$66,'Alternatyva 3'!AM$77,'Alternatyva 3'!AM$88)</f>
        <v>0</v>
      </c>
      <c r="AN47" s="43">
        <f>SUM('Alternatyva 3'!AN$21,'Alternatyva 3'!AN$32,'Alternatyva 3'!AN$43,'Alternatyva 3'!AN$55,'Alternatyva 3'!AN$66,'Alternatyva 3'!AN$77,'Alternatyva 3'!AN$88)</f>
        <v>0</v>
      </c>
      <c r="AO47" s="43">
        <f>SUM('Alternatyva 3'!AO$21,'Alternatyva 3'!AO$32,'Alternatyva 3'!AO$43,'Alternatyva 3'!AO$55,'Alternatyva 3'!AO$66,'Alternatyva 3'!AO$77,'Alternatyva 3'!AO$88)</f>
        <v>0</v>
      </c>
      <c r="AP47" s="43">
        <f>SUM('Alternatyva 3'!AP$21,'Alternatyva 3'!AP$32,'Alternatyva 3'!AP$43,'Alternatyva 3'!AP$55,'Alternatyva 3'!AP$66,'Alternatyva 3'!AP$77,'Alternatyva 3'!AP$88)</f>
        <v>0</v>
      </c>
      <c r="AQ47" s="43">
        <f>SUM('Alternatyva 3'!AQ$21,'Alternatyva 3'!AQ$32,'Alternatyva 3'!AQ$43,'Alternatyva 3'!AQ$55,'Alternatyva 3'!AQ$66,'Alternatyva 3'!AQ$77,'Alternatyva 3'!AQ$88)</f>
        <v>0</v>
      </c>
      <c r="AR47" s="43">
        <f>SUM('Alternatyva 3'!AR$21,'Alternatyva 3'!AR$32,'Alternatyva 3'!AR$43,'Alternatyva 3'!AR$55,'Alternatyva 3'!AR$66,'Alternatyva 3'!AR$77,'Alternatyva 3'!AR$88)</f>
        <v>0</v>
      </c>
      <c r="AS47" s="43">
        <f>SUM('Alternatyva 3'!AS$21,'Alternatyva 3'!AS$32,'Alternatyva 3'!AS$43,'Alternatyva 3'!AS$55,'Alternatyva 3'!AS$66,'Alternatyva 3'!AS$77,'Alternatyva 3'!AS$88)</f>
        <v>0</v>
      </c>
      <c r="AT47" s="43">
        <f>SUM('Alternatyva 3'!AT$21,'Alternatyva 3'!AT$32,'Alternatyva 3'!AT$43,'Alternatyva 3'!AT$55,'Alternatyva 3'!AT$66,'Alternatyva 3'!AT$77,'Alternatyva 3'!AT$88)</f>
        <v>0</v>
      </c>
      <c r="AU47" s="43">
        <f>SUM('Alternatyva 3'!AU$21,'Alternatyva 3'!AU$32,'Alternatyva 3'!AU$43,'Alternatyva 3'!AU$55,'Alternatyva 3'!AU$66,'Alternatyva 3'!AU$77,'Alternatyva 3'!AU$88)</f>
        <v>0</v>
      </c>
      <c r="AV47" s="43">
        <f>SUM('Alternatyva 3'!AV$21,'Alternatyva 3'!AV$32,'Alternatyva 3'!AV$43,'Alternatyva 3'!AV$55,'Alternatyva 3'!AV$66,'Alternatyva 3'!AV$77,'Alternatyva 3'!AV$88)</f>
        <v>0</v>
      </c>
      <c r="AW47" s="43">
        <f>SUM('Alternatyva 3'!AW$21,'Alternatyva 3'!AW$32,'Alternatyva 3'!AW$43,'Alternatyva 3'!AW$55,'Alternatyva 3'!AW$66,'Alternatyva 3'!AW$77,'Alternatyva 3'!AW$88)</f>
        <v>0</v>
      </c>
      <c r="AX47" s="43">
        <f>SUM('Alternatyva 3'!AX$21,'Alternatyva 3'!AX$32,'Alternatyva 3'!AX$43,'Alternatyva 3'!AX$55,'Alternatyva 3'!AX$66,'Alternatyva 3'!AX$77,'Alternatyva 3'!AX$88)</f>
        <v>0</v>
      </c>
      <c r="AY47" s="43">
        <f>SUM('Alternatyva 3'!AY$21,'Alternatyva 3'!AY$32,'Alternatyva 3'!AY$43,'Alternatyva 3'!AY$55,'Alternatyva 3'!AY$66,'Alternatyva 3'!AY$77,'Alternatyva 3'!AY$88)</f>
        <v>0</v>
      </c>
      <c r="AZ47" s="43">
        <f>SUM('Alternatyva 3'!AZ$21,'Alternatyva 3'!AZ$32,'Alternatyva 3'!AZ$43,'Alternatyva 3'!AZ$55,'Alternatyva 3'!AZ$66,'Alternatyva 3'!AZ$77,'Alternatyva 3'!AZ$88)</f>
        <v>0</v>
      </c>
      <c r="BA47" s="43">
        <f>SUM('Alternatyva 3'!BA$21,'Alternatyva 3'!BA$32,'Alternatyva 3'!BA$43,'Alternatyva 3'!BA$55,'Alternatyva 3'!BA$66,'Alternatyva 3'!BA$77,'Alternatyva 3'!BA$88)</f>
        <v>0</v>
      </c>
      <c r="BB47" s="43">
        <f>SUM('Alternatyva 3'!BB$21,'Alternatyva 3'!BB$32,'Alternatyva 3'!BB$43,'Alternatyva 3'!BB$55,'Alternatyva 3'!BB$66,'Alternatyva 3'!BB$77,'Alternatyva 3'!BB$88)</f>
        <v>0</v>
      </c>
      <c r="BC47" s="43">
        <f>SUM('Alternatyva 3'!BC$21,'Alternatyva 3'!BC$32,'Alternatyva 3'!BC$43,'Alternatyva 3'!BC$55,'Alternatyva 3'!BC$66,'Alternatyva 3'!BC$77,'Alternatyva 3'!BC$88)</f>
        <v>0</v>
      </c>
      <c r="BD47" s="43">
        <f>SUM('Alternatyva 3'!BD$21,'Alternatyva 3'!BD$32,'Alternatyva 3'!BD$43,'Alternatyva 3'!BD$55,'Alternatyva 3'!BD$66,'Alternatyva 3'!BD$77,'Alternatyva 3'!BD$88)</f>
        <v>0</v>
      </c>
      <c r="BE47" s="43">
        <f>SUM('Alternatyva 3'!BE$21,'Alternatyva 3'!BE$32,'Alternatyva 3'!BE$43,'Alternatyva 3'!BE$55,'Alternatyva 3'!BE$66,'Alternatyva 3'!BE$77,'Alternatyva 3'!BE$88)</f>
        <v>0</v>
      </c>
      <c r="BF47" s="43">
        <f>SUM('Alternatyva 3'!BF$21,'Alternatyva 3'!BF$32,'Alternatyva 3'!BF$43,'Alternatyva 3'!BF$55,'Alternatyva 3'!BF$66,'Alternatyva 3'!BF$77,'Alternatyva 3'!BF$88)</f>
        <v>0</v>
      </c>
      <c r="BG47" s="43">
        <f>SUM('Alternatyva 3'!BG$21,'Alternatyva 3'!BG$32,'Alternatyva 3'!BG$43,'Alternatyva 3'!BG$55,'Alternatyva 3'!BG$66,'Alternatyva 3'!BG$77,'Alternatyva 3'!BG$88)</f>
        <v>0</v>
      </c>
      <c r="BH47" s="43">
        <f>SUM('Alternatyva 3'!BH$21,'Alternatyva 3'!BH$32,'Alternatyva 3'!BH$43,'Alternatyva 3'!BH$55,'Alternatyva 3'!BH$66,'Alternatyva 3'!BH$77,'Alternatyva 3'!BH$88)</f>
        <v>0</v>
      </c>
      <c r="BI47" s="43">
        <f>SUM('Alternatyva 3'!BI$21,'Alternatyva 3'!BI$32,'Alternatyva 3'!BI$43,'Alternatyva 3'!BI$55,'Alternatyva 3'!BI$66,'Alternatyva 3'!BI$77,'Alternatyva 3'!BI$88)</f>
        <v>0</v>
      </c>
      <c r="BJ47" s="43">
        <f>SUM('Alternatyva 3'!BJ$21,'Alternatyva 3'!BJ$32,'Alternatyva 3'!BJ$43,'Alternatyva 3'!BJ$55,'Alternatyva 3'!BJ$66,'Alternatyva 3'!BJ$77,'Alternatyva 3'!BJ$88)</f>
        <v>0</v>
      </c>
      <c r="BK47" s="43">
        <f>SUM('Alternatyva 3'!BK$21,'Alternatyva 3'!BK$32,'Alternatyva 3'!BK$43,'Alternatyva 3'!BK$55,'Alternatyva 3'!BK$66,'Alternatyva 3'!BK$77,'Alternatyva 3'!BK$88)</f>
        <v>0</v>
      </c>
      <c r="BL47" s="43">
        <f>SUM('Alternatyva 3'!BL$21,'Alternatyva 3'!BL$32,'Alternatyva 3'!BL$43,'Alternatyva 3'!BL$55,'Alternatyva 3'!BL$66,'Alternatyva 3'!BL$77,'Alternatyva 3'!BL$88)</f>
        <v>0</v>
      </c>
      <c r="BM47" s="43">
        <f>SUM('Alternatyva 3'!BM$21,'Alternatyva 3'!BM$32,'Alternatyva 3'!BM$43,'Alternatyva 3'!BM$55,'Alternatyva 3'!BM$66,'Alternatyva 3'!BM$77,'Alternatyva 3'!BM$88)</f>
        <v>0</v>
      </c>
      <c r="BN47" s="43">
        <f>SUM('Alternatyva 3'!BN$21,'Alternatyva 3'!BN$32,'Alternatyva 3'!BN$43,'Alternatyva 3'!BN$55,'Alternatyva 3'!BN$66,'Alternatyva 3'!BN$77,'Alternatyva 3'!BN$88)</f>
        <v>0</v>
      </c>
      <c r="BO47" s="43">
        <f>SUM('Alternatyva 3'!BO$21,'Alternatyva 3'!BO$32,'Alternatyva 3'!BO$43,'Alternatyva 3'!BO$55,'Alternatyva 3'!BO$66,'Alternatyva 3'!BO$77,'Alternatyva 3'!BO$88)</f>
        <v>0</v>
      </c>
      <c r="BP47" s="43">
        <f>SUM('Alternatyva 3'!BP$21,'Alternatyva 3'!BP$32,'Alternatyva 3'!BP$43,'Alternatyva 3'!BP$55,'Alternatyva 3'!BP$66,'Alternatyva 3'!BP$77,'Alternatyva 3'!BP$88)</f>
        <v>0</v>
      </c>
      <c r="BQ47" s="43">
        <f>SUM('Alternatyva 3'!BQ$21,'Alternatyva 3'!BQ$32,'Alternatyva 3'!BQ$43,'Alternatyva 3'!BQ$55,'Alternatyva 3'!BQ$66,'Alternatyva 3'!BQ$77,'Alternatyva 3'!BQ$88)</f>
        <v>0</v>
      </c>
      <c r="BR47" s="43">
        <f>SUM('Alternatyva 3'!BR$21,'Alternatyva 3'!BR$32,'Alternatyva 3'!BR$43,'Alternatyva 3'!BR$55,'Alternatyva 3'!BR$66,'Alternatyva 3'!BR$77,'Alternatyva 3'!BR$88)</f>
        <v>0</v>
      </c>
      <c r="BS47" s="43">
        <f>SUM('Alternatyva 3'!BS$21,'Alternatyva 3'!BS$32,'Alternatyva 3'!BS$43,'Alternatyva 3'!BS$55,'Alternatyva 3'!BS$66,'Alternatyva 3'!BS$77,'Alternatyva 3'!BS$88)</f>
        <v>0</v>
      </c>
      <c r="BT47" s="43">
        <f>SUM('Alternatyva 3'!BT$21,'Alternatyva 3'!BT$32,'Alternatyva 3'!BT$43,'Alternatyva 3'!BT$55,'Alternatyva 3'!BT$66,'Alternatyva 3'!BT$77,'Alternatyva 3'!BT$88)</f>
        <v>0</v>
      </c>
      <c r="BU47" s="43">
        <f>SUM('Alternatyva 3'!BU$21,'Alternatyva 3'!BU$32,'Alternatyva 3'!BU$43,'Alternatyva 3'!BU$55,'Alternatyva 3'!BU$66,'Alternatyva 3'!BU$77,'Alternatyva 3'!BU$88)</f>
        <v>0</v>
      </c>
      <c r="BV47" s="43">
        <f>SUM('Alternatyva 3'!BV$21,'Alternatyva 3'!BV$32,'Alternatyva 3'!BV$43,'Alternatyva 3'!BV$55,'Alternatyva 3'!BV$66,'Alternatyva 3'!BV$77,'Alternatyva 3'!BV$88)</f>
        <v>0</v>
      </c>
      <c r="BW47" s="43">
        <f>SUM('Alternatyva 3'!BW$21,'Alternatyva 3'!BW$32,'Alternatyva 3'!BW$43,'Alternatyva 3'!BW$55,'Alternatyva 3'!BW$66,'Alternatyva 3'!BW$77,'Alternatyva 3'!BW$88)</f>
        <v>0</v>
      </c>
      <c r="BX47" s="43">
        <f>SUM('Alternatyva 3'!BX$21,'Alternatyva 3'!BX$32,'Alternatyva 3'!BX$43,'Alternatyva 3'!BX$55,'Alternatyva 3'!BX$66,'Alternatyva 3'!BX$77,'Alternatyva 3'!BX$88)</f>
        <v>0</v>
      </c>
      <c r="BY47" s="43">
        <f>SUM('Alternatyva 3'!BY$21,'Alternatyva 3'!BY$32,'Alternatyva 3'!BY$43,'Alternatyva 3'!BY$55,'Alternatyva 3'!BY$66,'Alternatyva 3'!BY$77,'Alternatyva 3'!BY$88)</f>
        <v>0</v>
      </c>
      <c r="BZ47" s="43">
        <f>SUM('Alternatyva 3'!BZ$21,'Alternatyva 3'!BZ$32,'Alternatyva 3'!BZ$43,'Alternatyva 3'!BZ$55,'Alternatyva 3'!BZ$66,'Alternatyva 3'!BZ$77,'Alternatyva 3'!BZ$88)</f>
        <v>0</v>
      </c>
      <c r="CA47" s="43">
        <f>SUM('Alternatyva 3'!CA$21,'Alternatyva 3'!CA$32,'Alternatyva 3'!CA$43,'Alternatyva 3'!CA$55,'Alternatyva 3'!CA$66,'Alternatyva 3'!CA$77,'Alternatyva 3'!CA$88)</f>
        <v>0</v>
      </c>
      <c r="CB47" s="43">
        <f>SUM('Alternatyva 3'!CB$21,'Alternatyva 3'!CB$32,'Alternatyva 3'!CB$43,'Alternatyva 3'!CB$55,'Alternatyva 3'!CB$66,'Alternatyva 3'!CB$77,'Alternatyva 3'!CB$88)</f>
        <v>0</v>
      </c>
      <c r="CC47" s="43">
        <f>SUM('Alternatyva 3'!CC$21,'Alternatyva 3'!CC$32,'Alternatyva 3'!CC$43,'Alternatyva 3'!CC$55,'Alternatyva 3'!CC$66,'Alternatyva 3'!CC$77,'Alternatyva 3'!CC$88)</f>
        <v>0</v>
      </c>
      <c r="CD47" s="43">
        <f>SUM('Alternatyva 3'!CD$21,'Alternatyva 3'!CD$32,'Alternatyva 3'!CD$43,'Alternatyva 3'!CD$55,'Alternatyva 3'!CD$66,'Alternatyva 3'!CD$77,'Alternatyva 3'!CD$88)</f>
        <v>0</v>
      </c>
      <c r="CE47" s="43">
        <f>SUM('Alternatyva 3'!CE$21,'Alternatyva 3'!CE$32,'Alternatyva 3'!CE$43,'Alternatyva 3'!CE$55,'Alternatyva 3'!CE$66,'Alternatyva 3'!CE$77,'Alternatyva 3'!CE$88)</f>
        <v>0</v>
      </c>
      <c r="CF47" s="43">
        <f>SUM('Alternatyva 3'!CF$21,'Alternatyva 3'!CF$32,'Alternatyva 3'!CF$43,'Alternatyva 3'!CF$55,'Alternatyva 3'!CF$66,'Alternatyva 3'!CF$77,'Alternatyva 3'!CF$88)</f>
        <v>0</v>
      </c>
      <c r="CG47" s="43">
        <f>SUM('Alternatyva 3'!CG$21,'Alternatyva 3'!CG$32,'Alternatyva 3'!CG$43,'Alternatyva 3'!CG$55,'Alternatyva 3'!CG$66,'Alternatyva 3'!CG$77,'Alternatyva 3'!CG$88)</f>
        <v>0</v>
      </c>
      <c r="CH47" s="43">
        <f>SUM('Alternatyva 3'!CH$21,'Alternatyva 3'!CH$32,'Alternatyva 3'!CH$43,'Alternatyva 3'!CH$55,'Alternatyva 3'!CH$66,'Alternatyva 3'!CH$77,'Alternatyva 3'!CH$88)</f>
        <v>0</v>
      </c>
      <c r="CI47" s="43">
        <f>SUM('Alternatyva 3'!CI$21,'Alternatyva 3'!CI$32,'Alternatyva 3'!CI$43,'Alternatyva 3'!CI$55,'Alternatyva 3'!CI$66,'Alternatyva 3'!CI$77,'Alternatyva 3'!CI$88)</f>
        <v>0</v>
      </c>
      <c r="CJ47" s="43">
        <f>SUM('Alternatyva 3'!CJ$21,'Alternatyva 3'!CJ$32,'Alternatyva 3'!CJ$43,'Alternatyva 3'!CJ$55,'Alternatyva 3'!CJ$66,'Alternatyva 3'!CJ$77,'Alternatyva 3'!CJ$88)</f>
        <v>0</v>
      </c>
      <c r="CK47" s="43">
        <f>SUM('Alternatyva 3'!CK$21,'Alternatyva 3'!CK$32,'Alternatyva 3'!CK$43,'Alternatyva 3'!CK$55,'Alternatyva 3'!CK$66,'Alternatyva 3'!CK$77,'Alternatyva 3'!CK$88)</f>
        <v>0</v>
      </c>
      <c r="CL47" s="43">
        <f>SUM('Alternatyva 3'!CL$21,'Alternatyva 3'!CL$32,'Alternatyva 3'!CL$43,'Alternatyva 3'!CL$55,'Alternatyva 3'!CL$66,'Alternatyva 3'!CL$77,'Alternatyva 3'!CL$88)</f>
        <v>0</v>
      </c>
      <c r="CM47" s="43">
        <f>SUM('Alternatyva 3'!CM$21,'Alternatyva 3'!CM$32,'Alternatyva 3'!CM$43,'Alternatyva 3'!CM$55,'Alternatyva 3'!CM$66,'Alternatyva 3'!CM$77,'Alternatyva 3'!CM$88)</f>
        <v>0</v>
      </c>
      <c r="CN47" s="43">
        <f>SUM('Alternatyva 3'!CN$21,'Alternatyva 3'!CN$32,'Alternatyva 3'!CN$43,'Alternatyva 3'!CN$55,'Alternatyva 3'!CN$66,'Alternatyva 3'!CN$77,'Alternatyva 3'!CN$88)</f>
        <v>0</v>
      </c>
      <c r="CO47" s="43">
        <f>SUM('Alternatyva 3'!CO$21,'Alternatyva 3'!CO$32,'Alternatyva 3'!CO$43,'Alternatyva 3'!CO$55,'Alternatyva 3'!CO$66,'Alternatyva 3'!CO$77,'Alternatyva 3'!CO$88)</f>
        <v>0</v>
      </c>
      <c r="CP47" s="43">
        <f>SUM('Alternatyva 3'!CP$21,'Alternatyva 3'!CP$32,'Alternatyva 3'!CP$43,'Alternatyva 3'!CP$55,'Alternatyva 3'!CP$66,'Alternatyva 3'!CP$77,'Alternatyva 3'!CP$88)</f>
        <v>0</v>
      </c>
      <c r="CQ47" s="43">
        <f>SUM('Alternatyva 3'!CQ$21,'Alternatyva 3'!CQ$32,'Alternatyva 3'!CQ$43,'Alternatyva 3'!CQ$55,'Alternatyva 3'!CQ$66,'Alternatyva 3'!CQ$77,'Alternatyva 3'!CQ$88)</f>
        <v>0</v>
      </c>
      <c r="CR47" s="43">
        <f>SUM('Alternatyva 3'!CR$21,'Alternatyva 3'!CR$32,'Alternatyva 3'!CR$43,'Alternatyva 3'!CR$55,'Alternatyva 3'!CR$66,'Alternatyva 3'!CR$77,'Alternatyva 3'!CR$88)</f>
        <v>0</v>
      </c>
      <c r="CS47" s="43">
        <f>SUM('Alternatyva 3'!CS$21,'Alternatyva 3'!CS$32,'Alternatyva 3'!CS$43,'Alternatyva 3'!CS$55,'Alternatyva 3'!CS$66,'Alternatyva 3'!CS$77,'Alternatyva 3'!CS$88)</f>
        <v>0</v>
      </c>
      <c r="CT47" s="43">
        <f>SUM('Alternatyva 3'!CT$21,'Alternatyva 3'!CT$32,'Alternatyva 3'!CT$43,'Alternatyva 3'!CT$55,'Alternatyva 3'!CT$66,'Alternatyva 3'!CT$77,'Alternatyva 3'!CT$88)</f>
        <v>0</v>
      </c>
      <c r="CU47" s="43">
        <f>SUM('Alternatyva 3'!CU$21,'Alternatyva 3'!CU$32,'Alternatyva 3'!CU$43,'Alternatyva 3'!CU$55,'Alternatyva 3'!CU$66,'Alternatyva 3'!CU$77,'Alternatyva 3'!CU$88)</f>
        <v>0</v>
      </c>
      <c r="CV47" s="43">
        <f>SUM('Alternatyva 3'!CV$21,'Alternatyva 3'!CV$32,'Alternatyva 3'!CV$43,'Alternatyva 3'!CV$55,'Alternatyva 3'!CV$66,'Alternatyva 3'!CV$77,'Alternatyva 3'!CV$88)</f>
        <v>0</v>
      </c>
      <c r="CW47" s="43">
        <f>SUM('Alternatyva 3'!CW$21,'Alternatyva 3'!CW$32,'Alternatyva 3'!CW$43,'Alternatyva 3'!CW$55,'Alternatyva 3'!CW$66,'Alternatyva 3'!CW$77,'Alternatyva 3'!CW$88)</f>
        <v>0</v>
      </c>
      <c r="CX47" s="43">
        <f>SUM('Alternatyva 3'!CX$21,'Alternatyva 3'!CX$32,'Alternatyva 3'!CX$43,'Alternatyva 3'!CX$55,'Alternatyva 3'!CX$66,'Alternatyva 3'!CX$77,'Alternatyva 3'!CX$88)</f>
        <v>0</v>
      </c>
      <c r="CY47" s="43">
        <f>SUM('Alternatyva 3'!CY$21,'Alternatyva 3'!CY$32,'Alternatyva 3'!CY$43,'Alternatyva 3'!CY$55,'Alternatyva 3'!CY$66,'Alternatyva 3'!CY$77,'Alternatyva 3'!CY$88)</f>
        <v>0</v>
      </c>
      <c r="CZ47" s="43">
        <f>SUM('Alternatyva 3'!CZ$21,'Alternatyva 3'!CZ$32,'Alternatyva 3'!CZ$43,'Alternatyva 3'!CZ$55,'Alternatyva 3'!CZ$66,'Alternatyva 3'!CZ$77,'Alternatyva 3'!CZ$88)</f>
        <v>0</v>
      </c>
      <c r="DA47" s="43">
        <f>SUM('Alternatyva 3'!DA$21,'Alternatyva 3'!DA$32,'Alternatyva 3'!DA$43,'Alternatyva 3'!DA$55,'Alternatyva 3'!DA$66,'Alternatyva 3'!DA$77,'Alternatyva 3'!DA$88)</f>
        <v>0</v>
      </c>
      <c r="DB47" s="43">
        <f>SUM('Alternatyva 3'!DB$21,'Alternatyva 3'!DB$32,'Alternatyva 3'!DB$43,'Alternatyva 3'!DB$55,'Alternatyva 3'!DB$66,'Alternatyva 3'!DB$77,'Alternatyva 3'!DB$88)</f>
        <v>0</v>
      </c>
      <c r="DC47" s="43">
        <f>SUM('Alternatyva 3'!DC$21,'Alternatyva 3'!DC$32,'Alternatyva 3'!DC$43,'Alternatyva 3'!DC$55,'Alternatyva 3'!DC$66,'Alternatyva 3'!DC$77,'Alternatyva 3'!DC$88)</f>
        <v>0</v>
      </c>
    </row>
    <row r="48" spans="2:107" ht="15" customHeight="1">
      <c r="B48" s="5" t="s">
        <v>195</v>
      </c>
      <c r="C48" s="777" t="s">
        <v>264</v>
      </c>
      <c r="D48" s="778"/>
      <c r="E48" s="779"/>
      <c r="F48" s="49">
        <f>H48+NPV(SD,I48:INDEX(I48:DC48,PAL))</f>
        <v>0</v>
      </c>
      <c r="G48" s="43">
        <f>SUMIF($H$6:$DC$6,"&lt;="&amp;PAL,$H48:$DC48)</f>
        <v>0</v>
      </c>
      <c r="H48" s="43">
        <f>H47-SUMPRODUCT('Alternatyva 3'!H$21:H$88,'Alternatyva 3'!$DH$21:$DH$88)</f>
        <v>0</v>
      </c>
      <c r="I48" s="43">
        <f>I47-SUMPRODUCT('Alternatyva 3'!I$21:I$88,'Alternatyva 3'!$DH$21:$DH$88)</f>
        <v>0</v>
      </c>
      <c r="J48" s="43">
        <f>J47-SUMPRODUCT('Alternatyva 3'!J$21:J$88,'Alternatyva 3'!$DH$21:$DH$88)</f>
        <v>0</v>
      </c>
      <c r="K48" s="43">
        <f>K47-SUMPRODUCT('Alternatyva 3'!K$21:K$88,'Alternatyva 3'!$DH$21:$DH$88)</f>
        <v>0</v>
      </c>
      <c r="L48" s="43">
        <f>L47-SUMPRODUCT('Alternatyva 3'!L$21:L$88,'Alternatyva 3'!$DH$21:$DH$88)</f>
        <v>0</v>
      </c>
      <c r="M48" s="43">
        <f>M47-SUMPRODUCT('Alternatyva 3'!M$21:M$88,'Alternatyva 3'!$DH$21:$DH$88)</f>
        <v>0</v>
      </c>
      <c r="N48" s="43">
        <f>N47-SUMPRODUCT('Alternatyva 3'!N$21:N$88,'Alternatyva 3'!$DH$21:$DH$88)</f>
        <v>0</v>
      </c>
      <c r="O48" s="43">
        <f>O47-SUMPRODUCT('Alternatyva 3'!O$21:O$88,'Alternatyva 3'!$DH$21:$DH$88)</f>
        <v>0</v>
      </c>
      <c r="P48" s="43">
        <f>P47-SUMPRODUCT('Alternatyva 3'!P$21:P$88,'Alternatyva 3'!$DH$21:$DH$88)</f>
        <v>0</v>
      </c>
      <c r="Q48" s="43">
        <f>Q47-SUMPRODUCT('Alternatyva 3'!Q$21:Q$88,'Alternatyva 3'!$DH$21:$DH$88)</f>
        <v>0</v>
      </c>
      <c r="R48" s="43">
        <f>R47-SUMPRODUCT('Alternatyva 3'!R$21:R$88,'Alternatyva 3'!$DH$21:$DH$88)</f>
        <v>0</v>
      </c>
      <c r="S48" s="43">
        <f>S47-SUMPRODUCT('Alternatyva 3'!S$21:S$88,'Alternatyva 3'!$DH$21:$DH$88)</f>
        <v>0</v>
      </c>
      <c r="T48" s="43">
        <f>T47-SUMPRODUCT('Alternatyva 3'!T$21:T$88,'Alternatyva 3'!$DH$21:$DH$88)</f>
        <v>0</v>
      </c>
      <c r="U48" s="43">
        <f>U47-SUMPRODUCT('Alternatyva 3'!U$21:U$88,'Alternatyva 3'!$DH$21:$DH$88)</f>
        <v>0</v>
      </c>
      <c r="V48" s="43">
        <f>V47-SUMPRODUCT('Alternatyva 3'!V$21:V$88,'Alternatyva 3'!$DH$21:$DH$88)</f>
        <v>0</v>
      </c>
      <c r="W48" s="43">
        <f>W47-SUMPRODUCT('Alternatyva 3'!W$21:W$88,'Alternatyva 3'!$DH$21:$DH$88)</f>
        <v>0</v>
      </c>
      <c r="X48" s="43">
        <f>X47-SUMPRODUCT('Alternatyva 3'!X$21:X$88,'Alternatyva 3'!$DH$21:$DH$88)</f>
        <v>0</v>
      </c>
      <c r="Y48" s="43">
        <f>Y47-SUMPRODUCT('Alternatyva 3'!Y$21:Y$88,'Alternatyva 3'!$DH$21:$DH$88)</f>
        <v>0</v>
      </c>
      <c r="Z48" s="43">
        <f>Z47-SUMPRODUCT('Alternatyva 3'!Z$21:Z$88,'Alternatyva 3'!$DH$21:$DH$88)</f>
        <v>0</v>
      </c>
      <c r="AA48" s="43">
        <f>AA47-SUMPRODUCT('Alternatyva 3'!AA$21:AA$88,'Alternatyva 3'!$DH$21:$DH$88)</f>
        <v>0</v>
      </c>
      <c r="AB48" s="43">
        <f>AB47-SUMPRODUCT('Alternatyva 3'!AB$21:AB$88,'Alternatyva 3'!$DH$21:$DH$88)</f>
        <v>0</v>
      </c>
      <c r="AC48" s="43">
        <f>AC47-SUMPRODUCT('Alternatyva 3'!AC$21:AC$88,'Alternatyva 3'!$DH$21:$DH$88)</f>
        <v>0</v>
      </c>
      <c r="AD48" s="43">
        <f>AD47-SUMPRODUCT('Alternatyva 3'!AD$21:AD$88,'Alternatyva 3'!$DH$21:$DH$88)</f>
        <v>0</v>
      </c>
      <c r="AE48" s="43">
        <f>AE47-SUMPRODUCT('Alternatyva 3'!AE$21:AE$88,'Alternatyva 3'!$DH$21:$DH$88)</f>
        <v>0</v>
      </c>
      <c r="AF48" s="43">
        <f>AF47-SUMPRODUCT('Alternatyva 3'!AF$21:AF$88,'Alternatyva 3'!$DH$21:$DH$88)</f>
        <v>0</v>
      </c>
      <c r="AG48" s="43">
        <f>AG47-SUMPRODUCT('Alternatyva 3'!AG$21:AG$88,'Alternatyva 3'!$DH$21:$DH$88)</f>
        <v>0</v>
      </c>
      <c r="AH48" s="43">
        <f>AH47-SUMPRODUCT('Alternatyva 3'!AH$21:AH$88,'Alternatyva 3'!$DH$21:$DH$88)</f>
        <v>0</v>
      </c>
      <c r="AI48" s="43">
        <f>AI47-SUMPRODUCT('Alternatyva 3'!AI$21:AI$88,'Alternatyva 3'!$DH$21:$DH$88)</f>
        <v>0</v>
      </c>
      <c r="AJ48" s="43">
        <f>AJ47-SUMPRODUCT('Alternatyva 3'!AJ$21:AJ$88,'Alternatyva 3'!$DH$21:$DH$88)</f>
        <v>0</v>
      </c>
      <c r="AK48" s="43">
        <f>AK47-SUMPRODUCT('Alternatyva 3'!AK$21:AK$88,'Alternatyva 3'!$DH$21:$DH$88)</f>
        <v>0</v>
      </c>
      <c r="AL48" s="43">
        <f>AL47-SUMPRODUCT('Alternatyva 3'!AL$21:AL$88,'Alternatyva 3'!$DH$21:$DH$88)</f>
        <v>0</v>
      </c>
      <c r="AM48" s="43">
        <f>AM47-SUMPRODUCT('Alternatyva 3'!AM$21:AM$88,'Alternatyva 3'!$DH$21:$DH$88)</f>
        <v>0</v>
      </c>
      <c r="AN48" s="43">
        <f>AN47-SUMPRODUCT('Alternatyva 3'!AN$21:AN$88,'Alternatyva 3'!$DH$21:$DH$88)</f>
        <v>0</v>
      </c>
      <c r="AO48" s="43">
        <f>AO47-SUMPRODUCT('Alternatyva 3'!AO$21:AO$88,'Alternatyva 3'!$DH$21:$DH$88)</f>
        <v>0</v>
      </c>
      <c r="AP48" s="43">
        <f>AP47-SUMPRODUCT('Alternatyva 3'!AP$21:AP$88,'Alternatyva 3'!$DH$21:$DH$88)</f>
        <v>0</v>
      </c>
      <c r="AQ48" s="43">
        <f>AQ47-SUMPRODUCT('Alternatyva 3'!AQ$21:AQ$88,'Alternatyva 3'!$DH$21:$DH$88)</f>
        <v>0</v>
      </c>
      <c r="AR48" s="43">
        <f>AR47-SUMPRODUCT('Alternatyva 3'!AR$21:AR$88,'Alternatyva 3'!$DH$21:$DH$88)</f>
        <v>0</v>
      </c>
      <c r="AS48" s="43">
        <f>AS47-SUMPRODUCT('Alternatyva 3'!AS$21:AS$88,'Alternatyva 3'!$DH$21:$DH$88)</f>
        <v>0</v>
      </c>
      <c r="AT48" s="43">
        <f>AT47-SUMPRODUCT('Alternatyva 3'!AT$21:AT$88,'Alternatyva 3'!$DH$21:$DH$88)</f>
        <v>0</v>
      </c>
      <c r="AU48" s="43">
        <f>AU47-SUMPRODUCT('Alternatyva 3'!AU$21:AU$88,'Alternatyva 3'!$DH$21:$DH$88)</f>
        <v>0</v>
      </c>
      <c r="AV48" s="43">
        <f>AV47-SUMPRODUCT('Alternatyva 3'!AV$21:AV$88,'Alternatyva 3'!$DH$21:$DH$88)</f>
        <v>0</v>
      </c>
      <c r="AW48" s="43">
        <f>AW47-SUMPRODUCT('Alternatyva 3'!AW$21:AW$88,'Alternatyva 3'!$DH$21:$DH$88)</f>
        <v>0</v>
      </c>
      <c r="AX48" s="43">
        <f>AX47-SUMPRODUCT('Alternatyva 3'!AX$21:AX$88,'Alternatyva 3'!$DH$21:$DH$88)</f>
        <v>0</v>
      </c>
      <c r="AY48" s="43">
        <f>AY47-SUMPRODUCT('Alternatyva 3'!AY$21:AY$88,'Alternatyva 3'!$DH$21:$DH$88)</f>
        <v>0</v>
      </c>
      <c r="AZ48" s="43">
        <f>AZ47-SUMPRODUCT('Alternatyva 3'!AZ$21:AZ$88,'Alternatyva 3'!$DH$21:$DH$88)</f>
        <v>0</v>
      </c>
      <c r="BA48" s="43">
        <f>BA47-SUMPRODUCT('Alternatyva 3'!BA$21:BA$88,'Alternatyva 3'!$DH$21:$DH$88)</f>
        <v>0</v>
      </c>
      <c r="BB48" s="43">
        <f>BB47-SUMPRODUCT('Alternatyva 3'!BB$21:BB$88,'Alternatyva 3'!$DH$21:$DH$88)</f>
        <v>0</v>
      </c>
      <c r="BC48" s="43">
        <f>BC47-SUMPRODUCT('Alternatyva 3'!BC$21:BC$88,'Alternatyva 3'!$DH$21:$DH$88)</f>
        <v>0</v>
      </c>
      <c r="BD48" s="43">
        <f>BD47-SUMPRODUCT('Alternatyva 3'!BD$21:BD$88,'Alternatyva 3'!$DH$21:$DH$88)</f>
        <v>0</v>
      </c>
      <c r="BE48" s="43">
        <f>BE47-SUMPRODUCT('Alternatyva 3'!BE$21:BE$88,'Alternatyva 3'!$DH$21:$DH$88)</f>
        <v>0</v>
      </c>
      <c r="BF48" s="43">
        <f>BF47-SUMPRODUCT('Alternatyva 3'!BF$21:BF$88,'Alternatyva 3'!$DH$21:$DH$88)</f>
        <v>0</v>
      </c>
      <c r="BG48" s="43">
        <f>BG47-SUMPRODUCT('Alternatyva 3'!BG$21:BG$88,'Alternatyva 3'!$DH$21:$DH$88)</f>
        <v>0</v>
      </c>
      <c r="BH48" s="43">
        <f>BH47-SUMPRODUCT('Alternatyva 3'!BH$21:BH$88,'Alternatyva 3'!$DH$21:$DH$88)</f>
        <v>0</v>
      </c>
      <c r="BI48" s="43">
        <f>BI47-SUMPRODUCT('Alternatyva 3'!BI$21:BI$88,'Alternatyva 3'!$DH$21:$DH$88)</f>
        <v>0</v>
      </c>
      <c r="BJ48" s="43">
        <f>BJ47-SUMPRODUCT('Alternatyva 3'!BJ$21:BJ$88,'Alternatyva 3'!$DH$21:$DH$88)</f>
        <v>0</v>
      </c>
      <c r="BK48" s="43">
        <f>BK47-SUMPRODUCT('Alternatyva 3'!BK$21:BK$88,'Alternatyva 3'!$DH$21:$DH$88)</f>
        <v>0</v>
      </c>
      <c r="BL48" s="43">
        <f>BL47-SUMPRODUCT('Alternatyva 3'!BL$21:BL$88,'Alternatyva 3'!$DH$21:$DH$88)</f>
        <v>0</v>
      </c>
      <c r="BM48" s="43">
        <f>BM47-SUMPRODUCT('Alternatyva 3'!BM$21:BM$88,'Alternatyva 3'!$DH$21:$DH$88)</f>
        <v>0</v>
      </c>
      <c r="BN48" s="43">
        <f>BN47-SUMPRODUCT('Alternatyva 3'!BN$21:BN$88,'Alternatyva 3'!$DH$21:$DH$88)</f>
        <v>0</v>
      </c>
      <c r="BO48" s="43">
        <f>BO47-SUMPRODUCT('Alternatyva 3'!BO$21:BO$88,'Alternatyva 3'!$DH$21:$DH$88)</f>
        <v>0</v>
      </c>
      <c r="BP48" s="43">
        <f>BP47-SUMPRODUCT('Alternatyva 3'!BP$21:BP$88,'Alternatyva 3'!$DH$21:$DH$88)</f>
        <v>0</v>
      </c>
      <c r="BQ48" s="43">
        <f>BQ47-SUMPRODUCT('Alternatyva 3'!BQ$21:BQ$88,'Alternatyva 3'!$DH$21:$DH$88)</f>
        <v>0</v>
      </c>
      <c r="BR48" s="43">
        <f>BR47-SUMPRODUCT('Alternatyva 3'!BR$21:BR$88,'Alternatyva 3'!$DH$21:$DH$88)</f>
        <v>0</v>
      </c>
      <c r="BS48" s="43">
        <f>BS47-SUMPRODUCT('Alternatyva 3'!BS$21:BS$88,'Alternatyva 3'!$DH$21:$DH$88)</f>
        <v>0</v>
      </c>
      <c r="BT48" s="43">
        <f>BT47-SUMPRODUCT('Alternatyva 3'!BT$21:BT$88,'Alternatyva 3'!$DH$21:$DH$88)</f>
        <v>0</v>
      </c>
      <c r="BU48" s="43">
        <f>BU47-SUMPRODUCT('Alternatyva 3'!BU$21:BU$88,'Alternatyva 3'!$DH$21:$DH$88)</f>
        <v>0</v>
      </c>
      <c r="BV48" s="43">
        <f>BV47-SUMPRODUCT('Alternatyva 3'!BV$21:BV$88,'Alternatyva 3'!$DH$21:$DH$88)</f>
        <v>0</v>
      </c>
      <c r="BW48" s="43">
        <f>BW47-SUMPRODUCT('Alternatyva 3'!BW$21:BW$88,'Alternatyva 3'!$DH$21:$DH$88)</f>
        <v>0</v>
      </c>
      <c r="BX48" s="43">
        <f>BX47-SUMPRODUCT('Alternatyva 3'!BX$21:BX$88,'Alternatyva 3'!$DH$21:$DH$88)</f>
        <v>0</v>
      </c>
      <c r="BY48" s="43">
        <f>BY47-SUMPRODUCT('Alternatyva 3'!BY$21:BY$88,'Alternatyva 3'!$DH$21:$DH$88)</f>
        <v>0</v>
      </c>
      <c r="BZ48" s="43">
        <f>BZ47-SUMPRODUCT('Alternatyva 3'!BZ$21:BZ$88,'Alternatyva 3'!$DH$21:$DH$88)</f>
        <v>0</v>
      </c>
      <c r="CA48" s="43">
        <f>CA47-SUMPRODUCT('Alternatyva 3'!CA$21:CA$88,'Alternatyva 3'!$DH$21:$DH$88)</f>
        <v>0</v>
      </c>
      <c r="CB48" s="43">
        <f>CB47-SUMPRODUCT('Alternatyva 3'!CB$21:CB$88,'Alternatyva 3'!$DH$21:$DH$88)</f>
        <v>0</v>
      </c>
      <c r="CC48" s="43">
        <f>CC47-SUMPRODUCT('Alternatyva 3'!CC$21:CC$88,'Alternatyva 3'!$DH$21:$DH$88)</f>
        <v>0</v>
      </c>
      <c r="CD48" s="43">
        <f>CD47-SUMPRODUCT('Alternatyva 3'!CD$21:CD$88,'Alternatyva 3'!$DH$21:$DH$88)</f>
        <v>0</v>
      </c>
      <c r="CE48" s="43">
        <f>CE47-SUMPRODUCT('Alternatyva 3'!CE$21:CE$88,'Alternatyva 3'!$DH$21:$DH$88)</f>
        <v>0</v>
      </c>
      <c r="CF48" s="43">
        <f>CF47-SUMPRODUCT('Alternatyva 3'!CF$21:CF$88,'Alternatyva 3'!$DH$21:$DH$88)</f>
        <v>0</v>
      </c>
      <c r="CG48" s="43">
        <f>CG47-SUMPRODUCT('Alternatyva 3'!CG$21:CG$88,'Alternatyva 3'!$DH$21:$DH$88)</f>
        <v>0</v>
      </c>
      <c r="CH48" s="43">
        <f>CH47-SUMPRODUCT('Alternatyva 3'!CH$21:CH$88,'Alternatyva 3'!$DH$21:$DH$88)</f>
        <v>0</v>
      </c>
      <c r="CI48" s="43">
        <f>CI47-SUMPRODUCT('Alternatyva 3'!CI$21:CI$88,'Alternatyva 3'!$DH$21:$DH$88)</f>
        <v>0</v>
      </c>
      <c r="CJ48" s="43">
        <f>CJ47-SUMPRODUCT('Alternatyva 3'!CJ$21:CJ$88,'Alternatyva 3'!$DH$21:$DH$88)</f>
        <v>0</v>
      </c>
      <c r="CK48" s="43">
        <f>CK47-SUMPRODUCT('Alternatyva 3'!CK$21:CK$88,'Alternatyva 3'!$DH$21:$DH$88)</f>
        <v>0</v>
      </c>
      <c r="CL48" s="43">
        <f>CL47-SUMPRODUCT('Alternatyva 3'!CL$21:CL$88,'Alternatyva 3'!$DH$21:$DH$88)</f>
        <v>0</v>
      </c>
      <c r="CM48" s="43">
        <f>CM47-SUMPRODUCT('Alternatyva 3'!CM$21:CM$88,'Alternatyva 3'!$DH$21:$DH$88)</f>
        <v>0</v>
      </c>
      <c r="CN48" s="43">
        <f>CN47-SUMPRODUCT('Alternatyva 3'!CN$21:CN$88,'Alternatyva 3'!$DH$21:$DH$88)</f>
        <v>0</v>
      </c>
      <c r="CO48" s="43">
        <f>CO47-SUMPRODUCT('Alternatyva 3'!CO$21:CO$88,'Alternatyva 3'!$DH$21:$DH$88)</f>
        <v>0</v>
      </c>
      <c r="CP48" s="43">
        <f>CP47-SUMPRODUCT('Alternatyva 3'!CP$21:CP$88,'Alternatyva 3'!$DH$21:$DH$88)</f>
        <v>0</v>
      </c>
      <c r="CQ48" s="43">
        <f>CQ47-SUMPRODUCT('Alternatyva 3'!CQ$21:CQ$88,'Alternatyva 3'!$DH$21:$DH$88)</f>
        <v>0</v>
      </c>
      <c r="CR48" s="43">
        <f>CR47-SUMPRODUCT('Alternatyva 3'!CR$21:CR$88,'Alternatyva 3'!$DH$21:$DH$88)</f>
        <v>0</v>
      </c>
      <c r="CS48" s="43">
        <f>CS47-SUMPRODUCT('Alternatyva 3'!CS$21:CS$88,'Alternatyva 3'!$DH$21:$DH$88)</f>
        <v>0</v>
      </c>
      <c r="CT48" s="43">
        <f>CT47-SUMPRODUCT('Alternatyva 3'!CT$21:CT$88,'Alternatyva 3'!$DH$21:$DH$88)</f>
        <v>0</v>
      </c>
      <c r="CU48" s="43">
        <f>CU47-SUMPRODUCT('Alternatyva 3'!CU$21:CU$88,'Alternatyva 3'!$DH$21:$DH$88)</f>
        <v>0</v>
      </c>
      <c r="CV48" s="43">
        <f>CV47-SUMPRODUCT('Alternatyva 3'!CV$21:CV$88,'Alternatyva 3'!$DH$21:$DH$88)</f>
        <v>0</v>
      </c>
      <c r="CW48" s="43">
        <f>CW47-SUMPRODUCT('Alternatyva 3'!CW$21:CW$88,'Alternatyva 3'!$DH$21:$DH$88)</f>
        <v>0</v>
      </c>
      <c r="CX48" s="43">
        <f>CX47-SUMPRODUCT('Alternatyva 3'!CX$21:CX$88,'Alternatyva 3'!$DH$21:$DH$88)</f>
        <v>0</v>
      </c>
      <c r="CY48" s="43">
        <f>CY47-SUMPRODUCT('Alternatyva 3'!CY$21:CY$88,'Alternatyva 3'!$DH$21:$DH$88)</f>
        <v>0</v>
      </c>
      <c r="CZ48" s="43">
        <f>CZ47-SUMPRODUCT('Alternatyva 3'!CZ$21:CZ$88,'Alternatyva 3'!$DH$21:$DH$88)</f>
        <v>0</v>
      </c>
      <c r="DA48" s="43">
        <f>DA47-SUMPRODUCT('Alternatyva 3'!DA$21:DA$88,'Alternatyva 3'!$DH$21:$DH$88)</f>
        <v>0</v>
      </c>
      <c r="DB48" s="43">
        <f>DB47-SUMPRODUCT('Alternatyva 3'!DB$21:DB$88,'Alternatyva 3'!$DH$21:$DH$88)</f>
        <v>0</v>
      </c>
      <c r="DC48" s="43">
        <f>DC47-SUMPRODUCT('Alternatyva 3'!DC$21:DC$88,'Alternatyva 3'!$DH$21:$DH$88)</f>
        <v>0</v>
      </c>
    </row>
    <row r="49" spans="2:107" ht="15" customHeight="1" thickBot="1">
      <c r="B49" s="5" t="s">
        <v>241</v>
      </c>
      <c r="C49" s="795" t="s">
        <v>162</v>
      </c>
      <c r="D49" s="796"/>
      <c r="E49" s="797"/>
      <c r="F49" s="49">
        <f>H49+NPV(SD,I49:INDEX(I49:DC49,PAL))</f>
        <v>858775771.26625478</v>
      </c>
      <c r="G49" s="43">
        <f>SUMIF($H$6:$DC$6,"&lt;="&amp;PAL,$H49:$DC49)</f>
        <v>1526095498.5649874</v>
      </c>
      <c r="H49" s="14">
        <f>H44-H45-H46+H48</f>
        <v>-1429752.0661157025</v>
      </c>
      <c r="I49" s="14">
        <f t="shared" ref="I49:BT49" si="16">I44-I45-I46+I48</f>
        <v>-6063711.6264162976</v>
      </c>
      <c r="J49" s="14">
        <f>J44-J45-J46+J48</f>
        <v>21444690.488039054</v>
      </c>
      <c r="K49" s="14">
        <f t="shared" si="16"/>
        <v>26852382.775654495</v>
      </c>
      <c r="L49" s="14">
        <f t="shared" si="16"/>
        <v>69018596.276731208</v>
      </c>
      <c r="M49" s="14">
        <f t="shared" si="16"/>
        <v>70996198.217905089</v>
      </c>
      <c r="N49" s="14">
        <f t="shared" si="16"/>
        <v>73061483.247802779</v>
      </c>
      <c r="O49" s="14">
        <f t="shared" si="16"/>
        <v>75167156.703304112</v>
      </c>
      <c r="P49" s="14">
        <f t="shared" si="16"/>
        <v>77330980.710557461</v>
      </c>
      <c r="Q49" s="14">
        <f t="shared" si="16"/>
        <v>79554601.900709033</v>
      </c>
      <c r="R49" s="14">
        <f t="shared" si="16"/>
        <v>81740540.319000348</v>
      </c>
      <c r="S49" s="14">
        <f t="shared" si="16"/>
        <v>83989711.42910853</v>
      </c>
      <c r="T49" s="14">
        <f t="shared" si="16"/>
        <v>86502253.94106777</v>
      </c>
      <c r="U49" s="14">
        <f t="shared" si="16"/>
        <v>88883316.356441155</v>
      </c>
      <c r="V49" s="14">
        <f t="shared" si="16"/>
        <v>91630661.736003757</v>
      </c>
      <c r="W49" s="14">
        <f>W44-W45-W46+W48</f>
        <v>94250371.682842657</v>
      </c>
      <c r="X49" s="14">
        <f t="shared" si="16"/>
        <v>96942798.302402273</v>
      </c>
      <c r="Y49" s="14">
        <f t="shared" si="16"/>
        <v>99710003.81012997</v>
      </c>
      <c r="Z49" s="14">
        <f t="shared" si="16"/>
        <v>102554109.27559666</v>
      </c>
      <c r="AA49" s="14">
        <f t="shared" si="16"/>
        <v>105477296.30604878</v>
      </c>
      <c r="AB49" s="14">
        <f t="shared" si="16"/>
        <v>108481808.7781745</v>
      </c>
      <c r="AC49" s="14">
        <f t="shared" si="16"/>
        <v>-8523131.8160736002</v>
      </c>
      <c r="AD49" s="14">
        <f t="shared" si="16"/>
        <v>-8523131.8160736002</v>
      </c>
      <c r="AE49" s="14">
        <f t="shared" si="16"/>
        <v>-8523131.8160736002</v>
      </c>
      <c r="AF49" s="14">
        <f t="shared" si="16"/>
        <v>-8523131.8160736002</v>
      </c>
      <c r="AG49" s="14">
        <f t="shared" si="16"/>
        <v>-8523131.8160736002</v>
      </c>
      <c r="AH49" s="14">
        <f t="shared" si="16"/>
        <v>-8523131.8160736002</v>
      </c>
      <c r="AI49" s="14">
        <f t="shared" si="16"/>
        <v>-8523131.8160736002</v>
      </c>
      <c r="AJ49" s="14">
        <f t="shared" si="16"/>
        <v>-8523131.8160736002</v>
      </c>
      <c r="AK49" s="14">
        <f t="shared" si="16"/>
        <v>-8523131.8160736002</v>
      </c>
      <c r="AL49" s="14">
        <f t="shared" si="16"/>
        <v>-8523131.8160736002</v>
      </c>
      <c r="AM49" s="14" t="e">
        <f t="shared" si="16"/>
        <v>#REF!</v>
      </c>
      <c r="AN49" s="14">
        <f t="shared" si="16"/>
        <v>-8523131.8160736002</v>
      </c>
      <c r="AO49" s="14">
        <f t="shared" si="16"/>
        <v>-8523131.8160736002</v>
      </c>
      <c r="AP49" s="14">
        <f t="shared" si="16"/>
        <v>-8523131.8160736002</v>
      </c>
      <c r="AQ49" s="14">
        <f t="shared" si="16"/>
        <v>-8523131.8160736002</v>
      </c>
      <c r="AR49" s="14">
        <f t="shared" si="16"/>
        <v>-8523131.8160736002</v>
      </c>
      <c r="AS49" s="14">
        <f t="shared" si="16"/>
        <v>-8523131.8160736002</v>
      </c>
      <c r="AT49" s="14">
        <f t="shared" si="16"/>
        <v>-8523131.8160736002</v>
      </c>
      <c r="AU49" s="14">
        <f t="shared" si="16"/>
        <v>-8523131.8160736002</v>
      </c>
      <c r="AV49" s="14">
        <f t="shared" si="16"/>
        <v>-8523131.8160736002</v>
      </c>
      <c r="AW49" s="14">
        <f t="shared" si="16"/>
        <v>-8523131.8160736002</v>
      </c>
      <c r="AX49" s="14">
        <f t="shared" si="16"/>
        <v>-8523131.8160736002</v>
      </c>
      <c r="AY49" s="14">
        <f t="shared" si="16"/>
        <v>-8523131.8160736002</v>
      </c>
      <c r="AZ49" s="14">
        <f t="shared" si="16"/>
        <v>-8523131.8160736002</v>
      </c>
      <c r="BA49" s="14">
        <f t="shared" si="16"/>
        <v>-8523131.8160736002</v>
      </c>
      <c r="BB49" s="14">
        <f t="shared" si="16"/>
        <v>-8523131.8160736002</v>
      </c>
      <c r="BC49" s="14">
        <f t="shared" si="16"/>
        <v>-8523131.8160736002</v>
      </c>
      <c r="BD49" s="14">
        <f t="shared" si="16"/>
        <v>-8523131.8160736002</v>
      </c>
      <c r="BE49" s="14">
        <f t="shared" si="16"/>
        <v>-8523131.8160736002</v>
      </c>
      <c r="BF49" s="14">
        <f t="shared" si="16"/>
        <v>-8523131.8160736002</v>
      </c>
      <c r="BG49" s="14">
        <f t="shared" si="16"/>
        <v>-8523131.8160736002</v>
      </c>
      <c r="BH49" s="14">
        <f t="shared" si="16"/>
        <v>-8523131.8160736002</v>
      </c>
      <c r="BI49" s="14">
        <f t="shared" si="16"/>
        <v>-8523131.8160736002</v>
      </c>
      <c r="BJ49" s="14">
        <f t="shared" si="16"/>
        <v>-8523131.8160736002</v>
      </c>
      <c r="BK49" s="14">
        <f t="shared" si="16"/>
        <v>-8523131.8160736002</v>
      </c>
      <c r="BL49" s="14">
        <f t="shared" si="16"/>
        <v>-8523131.8160736002</v>
      </c>
      <c r="BM49" s="14">
        <f t="shared" si="16"/>
        <v>-8523131.8160736002</v>
      </c>
      <c r="BN49" s="14">
        <f t="shared" si="16"/>
        <v>-8523131.8160736002</v>
      </c>
      <c r="BO49" s="14">
        <f t="shared" si="16"/>
        <v>-8523131.8160736002</v>
      </c>
      <c r="BP49" s="14">
        <f t="shared" si="16"/>
        <v>-8523131.8160736002</v>
      </c>
      <c r="BQ49" s="14">
        <f t="shared" si="16"/>
        <v>-8523131.8160736002</v>
      </c>
      <c r="BR49" s="14">
        <f t="shared" si="16"/>
        <v>-8523131.8160736002</v>
      </c>
      <c r="BS49" s="14">
        <f t="shared" si="16"/>
        <v>-8523131.8160736002</v>
      </c>
      <c r="BT49" s="14">
        <f t="shared" si="16"/>
        <v>-8523131.8160736002</v>
      </c>
      <c r="BU49" s="14">
        <f t="shared" ref="BU49:DC49" si="17">BU44-BU45-BU46+BU48</f>
        <v>-8523131.8160736002</v>
      </c>
      <c r="BV49" s="14">
        <f t="shared" si="17"/>
        <v>-8523131.8160736002</v>
      </c>
      <c r="BW49" s="14">
        <f t="shared" si="17"/>
        <v>-8523131.8160736002</v>
      </c>
      <c r="BX49" s="14">
        <f t="shared" si="17"/>
        <v>-8523131.8160736002</v>
      </c>
      <c r="BY49" s="14">
        <f t="shared" si="17"/>
        <v>-8523131.8160736002</v>
      </c>
      <c r="BZ49" s="14">
        <f t="shared" si="17"/>
        <v>-8523131.8160736002</v>
      </c>
      <c r="CA49" s="14">
        <f t="shared" si="17"/>
        <v>-8523131.8160736002</v>
      </c>
      <c r="CB49" s="14">
        <f t="shared" si="17"/>
        <v>-8523131.8160736002</v>
      </c>
      <c r="CC49" s="14">
        <f t="shared" si="17"/>
        <v>-8523131.8160736002</v>
      </c>
      <c r="CD49" s="14">
        <f t="shared" si="17"/>
        <v>-8523131.8160736002</v>
      </c>
      <c r="CE49" s="14">
        <f t="shared" si="17"/>
        <v>-8523131.8160736002</v>
      </c>
      <c r="CF49" s="14">
        <f t="shared" si="17"/>
        <v>-8523131.8160736002</v>
      </c>
      <c r="CG49" s="14">
        <f t="shared" si="17"/>
        <v>-8523131.8160736002</v>
      </c>
      <c r="CH49" s="14">
        <f t="shared" si="17"/>
        <v>-8523131.8160736002</v>
      </c>
      <c r="CI49" s="14">
        <f t="shared" si="17"/>
        <v>-8523131.8160736002</v>
      </c>
      <c r="CJ49" s="14">
        <f t="shared" si="17"/>
        <v>-8523131.8160736002</v>
      </c>
      <c r="CK49" s="14">
        <f t="shared" si="17"/>
        <v>-8523131.8160736002</v>
      </c>
      <c r="CL49" s="14">
        <f t="shared" si="17"/>
        <v>-8523131.8160736002</v>
      </c>
      <c r="CM49" s="14">
        <f t="shared" si="17"/>
        <v>-8523131.8160736002</v>
      </c>
      <c r="CN49" s="14">
        <f t="shared" si="17"/>
        <v>-8523131.8160736002</v>
      </c>
      <c r="CO49" s="14">
        <f t="shared" si="17"/>
        <v>-8523131.8160736002</v>
      </c>
      <c r="CP49" s="14">
        <f t="shared" si="17"/>
        <v>-8523131.8160736002</v>
      </c>
      <c r="CQ49" s="14">
        <f t="shared" si="17"/>
        <v>-8523131.8160736002</v>
      </c>
      <c r="CR49" s="14">
        <f t="shared" si="17"/>
        <v>-8523131.8160736002</v>
      </c>
      <c r="CS49" s="14">
        <f t="shared" si="17"/>
        <v>-8523131.8160736002</v>
      </c>
      <c r="CT49" s="14">
        <f t="shared" si="17"/>
        <v>-8523131.8160736002</v>
      </c>
      <c r="CU49" s="14">
        <f t="shared" si="17"/>
        <v>-8523131.8160736002</v>
      </c>
      <c r="CV49" s="14">
        <f t="shared" si="17"/>
        <v>-8523131.8160736002</v>
      </c>
      <c r="CW49" s="14">
        <f t="shared" si="17"/>
        <v>-8523131.8160736002</v>
      </c>
      <c r="CX49" s="14">
        <f t="shared" si="17"/>
        <v>-8523131.8160736002</v>
      </c>
      <c r="CY49" s="14">
        <f t="shared" si="17"/>
        <v>-8523131.8160736002</v>
      </c>
      <c r="CZ49" s="14">
        <f t="shared" si="17"/>
        <v>-8523131.8160736002</v>
      </c>
      <c r="DA49" s="14">
        <f t="shared" si="17"/>
        <v>-8523131.8160736002</v>
      </c>
      <c r="DB49" s="14">
        <f t="shared" si="17"/>
        <v>-8523131.8160736002</v>
      </c>
      <c r="DC49" s="14">
        <f t="shared" si="17"/>
        <v>-8523131.8160736002</v>
      </c>
    </row>
    <row r="50" spans="2:107" ht="15" customHeight="1" thickBot="1">
      <c r="C50" s="802" t="s">
        <v>205</v>
      </c>
      <c r="D50" s="803"/>
      <c r="E50" s="803"/>
      <c r="F50" s="804"/>
      <c r="G50" s="55"/>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customHeight="1">
      <c r="C51" s="799" t="s">
        <v>29</v>
      </c>
      <c r="D51" s="800"/>
      <c r="E51" s="801"/>
      <c r="F51" s="50">
        <f>F49</f>
        <v>858775771.26625478</v>
      </c>
      <c r="G51" s="44"/>
    </row>
    <row r="52" spans="2:107" ht="15" customHeight="1">
      <c r="C52" s="792" t="s">
        <v>30</v>
      </c>
      <c r="D52" s="793"/>
      <c r="E52" s="794"/>
      <c r="F52" s="51">
        <f>IFERROR(IF(F46&lt;0,(F44-F46)/(F45-F48),(F44)/(F45+F46-F48)),"")</f>
        <v>7.6211463637077106</v>
      </c>
      <c r="G52" s="53"/>
    </row>
    <row r="53" spans="2:107" ht="15" customHeight="1" thickBot="1">
      <c r="C53" s="789" t="s">
        <v>196</v>
      </c>
      <c r="D53" s="790"/>
      <c r="E53" s="791"/>
      <c r="F53" s="171">
        <f>IFERROR(IRR(H49:INDEX(H49:DC49,PAL+1)),"-")</f>
        <v>2.4314031303374057</v>
      </c>
      <c r="G53" s="45"/>
    </row>
    <row r="54" spans="2:107" ht="15" customHeight="1" thickBot="1">
      <c r="C54" s="802" t="s">
        <v>197</v>
      </c>
      <c r="D54" s="803"/>
      <c r="E54" s="803"/>
      <c r="F54" s="804"/>
      <c r="G54" s="12" t="s">
        <v>33</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customHeight="1">
      <c r="C55" s="780" t="s">
        <v>201</v>
      </c>
      <c r="D55" s="781"/>
      <c r="E55" s="782"/>
      <c r="F55" s="61"/>
      <c r="G55" s="59">
        <f>SUMIF($H$6:$DC$6,"&lt;="&amp;PAL,$H55:$DC55)</f>
        <v>-205368706.24019569</v>
      </c>
      <c r="H55" s="14">
        <f>H47-'Alternatyva 3'!H$7+'Alternatyva 3'!H$115</f>
        <v>-1708000</v>
      </c>
      <c r="I55" s="14">
        <f>I47-'Alternatyva 3'!I$7+'Alternatyva 3'!I$115</f>
        <v>-7481480.7675320003</v>
      </c>
      <c r="J55" s="14">
        <f>J47-'Alternatyva 3'!J$7+'Alternatyva 3'!J$115</f>
        <v>-8635258.9378861338</v>
      </c>
      <c r="K55" s="14">
        <f>K47-'Alternatyva 3'!K$7+'Alternatyva 3'!K$115</f>
        <v>-13183320.3630432</v>
      </c>
      <c r="L55" s="14">
        <f>L47-'Alternatyva 3'!L$7+'Alternatyva 3'!L$115</f>
        <v>-10213420.3630432</v>
      </c>
      <c r="M55" s="14">
        <f>M47-'Alternatyva 3'!M$7+'Alternatyva 3'!M$115</f>
        <v>-10233420.3630432</v>
      </c>
      <c r="N55" s="14">
        <f>N47-'Alternatyva 3'!N$7+'Alternatyva 3'!N$115</f>
        <v>-10212920.3630432</v>
      </c>
      <c r="O55" s="14">
        <f>O47-'Alternatyva 3'!O$7+'Alternatyva 3'!O$115</f>
        <v>-10212920.3630432</v>
      </c>
      <c r="P55" s="14">
        <f>P47-'Alternatyva 3'!P$7+'Alternatyva 3'!P$115</f>
        <v>-10212920.3630432</v>
      </c>
      <c r="Q55" s="14">
        <f>Q47-'Alternatyva 3'!Q$7+'Alternatyva 3'!Q$115</f>
        <v>-10212920.3630432</v>
      </c>
      <c r="R55" s="14">
        <f>R47-'Alternatyva 3'!R$7+'Alternatyva 3'!R$115</f>
        <v>-10332920.3630432</v>
      </c>
      <c r="S55" s="14">
        <f>S47-'Alternatyva 3'!S$7+'Alternatyva 3'!S$115</f>
        <v>-10452920.3630432</v>
      </c>
      <c r="T55" s="14">
        <f>T47-'Alternatyva 3'!T$7+'Alternatyva 3'!T$115</f>
        <v>-10332920.3630432</v>
      </c>
      <c r="U55" s="14">
        <f>U47-'Alternatyva 3'!U$7+'Alternatyva 3'!U$115</f>
        <v>-10452920.3630432</v>
      </c>
      <c r="V55" s="14">
        <f>V47-'Alternatyva 3'!V$7+'Alternatyva 3'!V$115</f>
        <v>-10212920.3630432</v>
      </c>
      <c r="W55" s="14">
        <f>W47-'Alternatyva 3'!W$7+'Alternatyva 3'!W$115</f>
        <v>-10212920.3630432</v>
      </c>
      <c r="X55" s="14">
        <f>X47-'Alternatyva 3'!X$7+'Alternatyva 3'!X$115</f>
        <v>-10212920.3630432</v>
      </c>
      <c r="Y55" s="14">
        <f>Y47-'Alternatyva 3'!Y$7+'Alternatyva 3'!Y$115</f>
        <v>-10212920.3630432</v>
      </c>
      <c r="Z55" s="14">
        <f>Z47-'Alternatyva 3'!Z$7+'Alternatyva 3'!Z$115</f>
        <v>-10212920.3630432</v>
      </c>
      <c r="AA55" s="14">
        <f>AA47-'Alternatyva 3'!AA$7+'Alternatyva 3'!AA$115</f>
        <v>-10212920.3630432</v>
      </c>
      <c r="AB55" s="14">
        <f>AB47-'Alternatyva 3'!AB$7+'Alternatyva 3'!AB$115</f>
        <v>-10212920.3630432</v>
      </c>
      <c r="AC55" s="14">
        <f>AC47-'Alternatyva 3'!AC$7+'Alternatyva 3'!AC$115</f>
        <v>-8501131.8160736002</v>
      </c>
      <c r="AD55" s="14">
        <f>AD47-'Alternatyva 3'!AD$7+'Alternatyva 3'!AD$115</f>
        <v>-8501131.8160736002</v>
      </c>
      <c r="AE55" s="14">
        <f>AE47-'Alternatyva 3'!AE$7+'Alternatyva 3'!AE$115</f>
        <v>-8501131.8160736002</v>
      </c>
      <c r="AF55" s="14">
        <f>AF47-'Alternatyva 3'!AF$7+'Alternatyva 3'!AF$115</f>
        <v>-8501131.8160736002</v>
      </c>
      <c r="AG55" s="14">
        <f>AG47-'Alternatyva 3'!AG$7+'Alternatyva 3'!AG$115</f>
        <v>-8501131.8160736002</v>
      </c>
      <c r="AH55" s="14">
        <f>AH47-'Alternatyva 3'!AH$7+'Alternatyva 3'!AH$115</f>
        <v>-8501131.8160736002</v>
      </c>
      <c r="AI55" s="14">
        <f>AI47-'Alternatyva 3'!AI$7+'Alternatyva 3'!AI$115</f>
        <v>-8501131.8160736002</v>
      </c>
      <c r="AJ55" s="14">
        <f>AJ47-'Alternatyva 3'!AJ$7+'Alternatyva 3'!AJ$115</f>
        <v>-8501131.8160736002</v>
      </c>
      <c r="AK55" s="14">
        <f>AK47-'Alternatyva 3'!AK$7+'Alternatyva 3'!AK$115</f>
        <v>-8501131.8160736002</v>
      </c>
      <c r="AL55" s="14">
        <f>AL47-'Alternatyva 3'!AL$7+'Alternatyva 3'!AL$115</f>
        <v>-8501131.8160736002</v>
      </c>
      <c r="AM55" s="14">
        <f>AM47-'Alternatyva 3'!AM$7+'Alternatyva 3'!AM$115</f>
        <v>-8501131.8160736002</v>
      </c>
      <c r="AN55" s="14">
        <f>AN47-'Alternatyva 3'!AN$7+'Alternatyva 3'!AN$115</f>
        <v>-8501131.8160736002</v>
      </c>
      <c r="AO55" s="14">
        <f>AO47-'Alternatyva 3'!AO$7+'Alternatyva 3'!AO$115</f>
        <v>-8501131.8160736002</v>
      </c>
      <c r="AP55" s="14">
        <f>AP47-'Alternatyva 3'!AP$7+'Alternatyva 3'!AP$115</f>
        <v>-8501131.8160736002</v>
      </c>
      <c r="AQ55" s="14">
        <f>AQ47-'Alternatyva 3'!AQ$7+'Alternatyva 3'!AQ$115</f>
        <v>-8501131.8160736002</v>
      </c>
      <c r="AR55" s="14">
        <f>AR47-'Alternatyva 3'!AR$7+'Alternatyva 3'!AR$115</f>
        <v>-8501131.8160736002</v>
      </c>
      <c r="AS55" s="14">
        <f>AS47-'Alternatyva 3'!AS$7+'Alternatyva 3'!AS$115</f>
        <v>-8501131.8160736002</v>
      </c>
      <c r="AT55" s="14">
        <f>AT47-'Alternatyva 3'!AT$7+'Alternatyva 3'!AT$115</f>
        <v>-8501131.8160736002</v>
      </c>
      <c r="AU55" s="14">
        <f>AU47-'Alternatyva 3'!AU$7+'Alternatyva 3'!AU$115</f>
        <v>-8501131.8160736002</v>
      </c>
      <c r="AV55" s="14">
        <f>AV47-'Alternatyva 3'!AV$7+'Alternatyva 3'!AV$115</f>
        <v>-8501131.8160736002</v>
      </c>
      <c r="AW55" s="14">
        <f>AW47-'Alternatyva 3'!AW$7+'Alternatyva 3'!AW$115</f>
        <v>-8501131.8160736002</v>
      </c>
      <c r="AX55" s="14">
        <f>AX47-'Alternatyva 3'!AX$7+'Alternatyva 3'!AX$115</f>
        <v>-8501131.8160736002</v>
      </c>
      <c r="AY55" s="14">
        <f>AY47-'Alternatyva 3'!AY$7+'Alternatyva 3'!AY$115</f>
        <v>-8501131.8160736002</v>
      </c>
      <c r="AZ55" s="14">
        <f>AZ47-'Alternatyva 3'!AZ$7+'Alternatyva 3'!AZ$115</f>
        <v>-8501131.8160736002</v>
      </c>
      <c r="BA55" s="14">
        <f>BA47-'Alternatyva 3'!BA$7+'Alternatyva 3'!BA$115</f>
        <v>-8501131.8160736002</v>
      </c>
      <c r="BB55" s="14">
        <f>BB47-'Alternatyva 3'!BB$7+'Alternatyva 3'!BB$115</f>
        <v>-8501131.8160736002</v>
      </c>
      <c r="BC55" s="14">
        <f>BC47-'Alternatyva 3'!BC$7+'Alternatyva 3'!BC$115</f>
        <v>-8501131.8160736002</v>
      </c>
      <c r="BD55" s="14">
        <f>BD47-'Alternatyva 3'!BD$7+'Alternatyva 3'!BD$115</f>
        <v>-8501131.8160736002</v>
      </c>
      <c r="BE55" s="14">
        <f>BE47-'Alternatyva 3'!BE$7+'Alternatyva 3'!BE$115</f>
        <v>-8501131.8160736002</v>
      </c>
      <c r="BF55" s="14">
        <f>BF47-'Alternatyva 3'!BF$7+'Alternatyva 3'!BF$115</f>
        <v>-8501131.8160736002</v>
      </c>
      <c r="BG55" s="14">
        <f>BG47-'Alternatyva 3'!BG$7+'Alternatyva 3'!BG$115</f>
        <v>-8501131.8160736002</v>
      </c>
      <c r="BH55" s="14">
        <f>BH47-'Alternatyva 3'!BH$7+'Alternatyva 3'!BH$115</f>
        <v>-8501131.8160736002</v>
      </c>
      <c r="BI55" s="14">
        <f>BI47-'Alternatyva 3'!BI$7+'Alternatyva 3'!BI$115</f>
        <v>-8501131.8160736002</v>
      </c>
      <c r="BJ55" s="14">
        <f>BJ47-'Alternatyva 3'!BJ$7+'Alternatyva 3'!BJ$115</f>
        <v>-8501131.8160736002</v>
      </c>
      <c r="BK55" s="14">
        <f>BK47-'Alternatyva 3'!BK$7+'Alternatyva 3'!BK$115</f>
        <v>-8501131.8160736002</v>
      </c>
      <c r="BL55" s="14">
        <f>BL47-'Alternatyva 3'!BL$7+'Alternatyva 3'!BL$115</f>
        <v>-8501131.8160736002</v>
      </c>
      <c r="BM55" s="14">
        <f>BM47-'Alternatyva 3'!BM$7+'Alternatyva 3'!BM$115</f>
        <v>-8501131.8160736002</v>
      </c>
      <c r="BN55" s="14">
        <f>BN47-'Alternatyva 3'!BN$7+'Alternatyva 3'!BN$115</f>
        <v>-8501131.8160736002</v>
      </c>
      <c r="BO55" s="14">
        <f>BO47-'Alternatyva 3'!BO$7+'Alternatyva 3'!BO$115</f>
        <v>-8501131.8160736002</v>
      </c>
      <c r="BP55" s="14">
        <f>BP47-'Alternatyva 3'!BP$7+'Alternatyva 3'!BP$115</f>
        <v>-8501131.8160736002</v>
      </c>
      <c r="BQ55" s="14">
        <f>BQ47-'Alternatyva 3'!BQ$7+'Alternatyva 3'!BQ$115</f>
        <v>-8501131.8160736002</v>
      </c>
      <c r="BR55" s="14">
        <f>BR47-'Alternatyva 3'!BR$7+'Alternatyva 3'!BR$115</f>
        <v>-8501131.8160736002</v>
      </c>
      <c r="BS55" s="14">
        <f>BS47-'Alternatyva 3'!BS$7+'Alternatyva 3'!BS$115</f>
        <v>-8501131.8160736002</v>
      </c>
      <c r="BT55" s="14">
        <f>BT47-'Alternatyva 3'!BT$7+'Alternatyva 3'!BT$115</f>
        <v>-8501131.8160736002</v>
      </c>
      <c r="BU55" s="14">
        <f>BU47-'Alternatyva 3'!BU$7+'Alternatyva 3'!BU$115</f>
        <v>-8501131.8160736002</v>
      </c>
      <c r="BV55" s="14">
        <f>BV47-'Alternatyva 3'!BV$7+'Alternatyva 3'!BV$115</f>
        <v>-8501131.8160736002</v>
      </c>
      <c r="BW55" s="14">
        <f>BW47-'Alternatyva 3'!BW$7+'Alternatyva 3'!BW$115</f>
        <v>-8501131.8160736002</v>
      </c>
      <c r="BX55" s="14">
        <f>BX47-'Alternatyva 3'!BX$7+'Alternatyva 3'!BX$115</f>
        <v>-8501131.8160736002</v>
      </c>
      <c r="BY55" s="14">
        <f>BY47-'Alternatyva 3'!BY$7+'Alternatyva 3'!BY$115</f>
        <v>-8501131.8160736002</v>
      </c>
      <c r="BZ55" s="14">
        <f>BZ47-'Alternatyva 3'!BZ$7+'Alternatyva 3'!BZ$115</f>
        <v>-8501131.8160736002</v>
      </c>
      <c r="CA55" s="14">
        <f>CA47-'Alternatyva 3'!CA$7+'Alternatyva 3'!CA$115</f>
        <v>-8501131.8160736002</v>
      </c>
      <c r="CB55" s="14">
        <f>CB47-'Alternatyva 3'!CB$7+'Alternatyva 3'!CB$115</f>
        <v>-8501131.8160736002</v>
      </c>
      <c r="CC55" s="14">
        <f>CC47-'Alternatyva 3'!CC$7+'Alternatyva 3'!CC$115</f>
        <v>-8501131.8160736002</v>
      </c>
      <c r="CD55" s="14">
        <f>CD47-'Alternatyva 3'!CD$7+'Alternatyva 3'!CD$115</f>
        <v>-8501131.8160736002</v>
      </c>
      <c r="CE55" s="14">
        <f>CE47-'Alternatyva 3'!CE$7+'Alternatyva 3'!CE$115</f>
        <v>-8501131.8160736002</v>
      </c>
      <c r="CF55" s="14">
        <f>CF47-'Alternatyva 3'!CF$7+'Alternatyva 3'!CF$115</f>
        <v>-8501131.8160736002</v>
      </c>
      <c r="CG55" s="14">
        <f>CG47-'Alternatyva 3'!CG$7+'Alternatyva 3'!CG$115</f>
        <v>-8501131.8160736002</v>
      </c>
      <c r="CH55" s="14">
        <f>CH47-'Alternatyva 3'!CH$7+'Alternatyva 3'!CH$115</f>
        <v>-8501131.8160736002</v>
      </c>
      <c r="CI55" s="14">
        <f>CI47-'Alternatyva 3'!CI$7+'Alternatyva 3'!CI$115</f>
        <v>-8501131.8160736002</v>
      </c>
      <c r="CJ55" s="14">
        <f>CJ47-'Alternatyva 3'!CJ$7+'Alternatyva 3'!CJ$115</f>
        <v>-8501131.8160736002</v>
      </c>
      <c r="CK55" s="14">
        <f>CK47-'Alternatyva 3'!CK$7+'Alternatyva 3'!CK$115</f>
        <v>-8501131.8160736002</v>
      </c>
      <c r="CL55" s="14">
        <f>CL47-'Alternatyva 3'!CL$7+'Alternatyva 3'!CL$115</f>
        <v>-8501131.8160736002</v>
      </c>
      <c r="CM55" s="14">
        <f>CM47-'Alternatyva 3'!CM$7+'Alternatyva 3'!CM$115</f>
        <v>-8501131.8160736002</v>
      </c>
      <c r="CN55" s="14">
        <f>CN47-'Alternatyva 3'!CN$7+'Alternatyva 3'!CN$115</f>
        <v>-8501131.8160736002</v>
      </c>
      <c r="CO55" s="14">
        <f>CO47-'Alternatyva 3'!CO$7+'Alternatyva 3'!CO$115</f>
        <v>-8501131.8160736002</v>
      </c>
      <c r="CP55" s="14">
        <f>CP47-'Alternatyva 3'!CP$7+'Alternatyva 3'!CP$115</f>
        <v>-8501131.8160736002</v>
      </c>
      <c r="CQ55" s="14">
        <f>CQ47-'Alternatyva 3'!CQ$7+'Alternatyva 3'!CQ$115</f>
        <v>-8501131.8160736002</v>
      </c>
      <c r="CR55" s="14">
        <f>CR47-'Alternatyva 3'!CR$7+'Alternatyva 3'!CR$115</f>
        <v>-8501131.8160736002</v>
      </c>
      <c r="CS55" s="14">
        <f>CS47-'Alternatyva 3'!CS$7+'Alternatyva 3'!CS$115</f>
        <v>-8501131.8160736002</v>
      </c>
      <c r="CT55" s="14">
        <f>CT47-'Alternatyva 3'!CT$7+'Alternatyva 3'!CT$115</f>
        <v>-8501131.8160736002</v>
      </c>
      <c r="CU55" s="14">
        <f>CU47-'Alternatyva 3'!CU$7+'Alternatyva 3'!CU$115</f>
        <v>-8501131.8160736002</v>
      </c>
      <c r="CV55" s="14">
        <f>CV47-'Alternatyva 3'!CV$7+'Alternatyva 3'!CV$115</f>
        <v>-8501131.8160736002</v>
      </c>
      <c r="CW55" s="14">
        <f>CW47-'Alternatyva 3'!CW$7+'Alternatyva 3'!CW$115</f>
        <v>-8501131.8160736002</v>
      </c>
      <c r="CX55" s="14">
        <f>CX47-'Alternatyva 3'!CX$7+'Alternatyva 3'!CX$115</f>
        <v>-8501131.8160736002</v>
      </c>
      <c r="CY55" s="14">
        <f>CY47-'Alternatyva 3'!CY$7+'Alternatyva 3'!CY$115</f>
        <v>-8501131.8160736002</v>
      </c>
      <c r="CZ55" s="14">
        <f>CZ47-'Alternatyva 3'!CZ$7+'Alternatyva 3'!CZ$115</f>
        <v>-8501131.8160736002</v>
      </c>
      <c r="DA55" s="14">
        <f>DA47-'Alternatyva 3'!DA$7+'Alternatyva 3'!DA$115</f>
        <v>-8501131.8160736002</v>
      </c>
      <c r="DB55" s="14">
        <f>DB47-'Alternatyva 3'!DB$7+'Alternatyva 3'!DB$115</f>
        <v>-8501131.8160736002</v>
      </c>
      <c r="DC55" s="14">
        <f>DC47-'Alternatyva 3'!DC$7+'Alternatyva 3'!DC$115</f>
        <v>-8501131.8160736002</v>
      </c>
    </row>
    <row r="56" spans="2:107" ht="15" customHeight="1">
      <c r="C56" s="783" t="s">
        <v>272</v>
      </c>
      <c r="D56" s="784"/>
      <c r="E56" s="785"/>
      <c r="F56" s="54">
        <f>H55+NPV(FD,I55:INDEX(I55:DC55,PAL))</f>
        <v>-139533908.01183882</v>
      </c>
      <c r="G56" s="53"/>
      <c r="H56" s="10"/>
      <c r="I56" s="10"/>
      <c r="J56" s="10"/>
      <c r="K56" s="10"/>
      <c r="L56" s="10"/>
      <c r="M56" s="10"/>
      <c r="N56" s="10"/>
      <c r="O56" s="10"/>
      <c r="P56" s="10"/>
      <c r="Q56" s="10"/>
      <c r="R56" s="10"/>
      <c r="S56" s="10"/>
      <c r="T56" s="10"/>
      <c r="U56" s="10"/>
      <c r="V56" s="10"/>
      <c r="W56" s="10"/>
    </row>
    <row r="57" spans="2:107" ht="15" customHeight="1">
      <c r="C57" s="783" t="s">
        <v>273</v>
      </c>
      <c r="D57" s="784"/>
      <c r="E57" s="785"/>
      <c r="F57" s="174" t="str">
        <f>IFERROR(IRR(H55:INDEX(H55:DC55,PAL+1)),"-")</f>
        <v>-</v>
      </c>
      <c r="G57" s="45"/>
    </row>
    <row r="58" spans="2:107" ht="15" customHeight="1" thickBot="1">
      <c r="C58" s="789" t="s">
        <v>200</v>
      </c>
      <c r="D58" s="790"/>
      <c r="E58" s="791"/>
      <c r="F58" s="52">
        <f>IFERROR(IF('Alternatyva 3'!F$89&lt;0,SUM('Alternatyva 3'!F$100,-'Alternatyva 3'!F$115,-'Alternatyva 3'!F$89)/SUM('Alternatyva 3'!F$9,'Alternatyva 3'!F$8,-SNA!F47),SUM('Alternatyva 3'!F$100,-'Alternatyva 3'!F$115)/SUM('Alternatyva 3'!F$9,'Alternatyva 3'!F$8,-SNA!F47,'Alternatyva 3'!F$89)),"")</f>
        <v>2.5914692501103474E-2</v>
      </c>
      <c r="G58" s="45"/>
    </row>
    <row r="59" spans="2:107" ht="15" hidden="1" customHeight="1"/>
    <row r="60" spans="2:107" ht="15" hidden="1" customHeight="1">
      <c r="B60" s="31" t="s">
        <v>10</v>
      </c>
      <c r="C60" s="31"/>
      <c r="D60" s="31"/>
      <c r="E60" s="31"/>
      <c r="F60" s="786" t="s">
        <v>32</v>
      </c>
      <c r="G60" s="798"/>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hidden="1" customHeight="1">
      <c r="B61" s="12" t="s">
        <v>5</v>
      </c>
      <c r="C61" s="786" t="s">
        <v>9</v>
      </c>
      <c r="D61" s="787"/>
      <c r="E61" s="788"/>
      <c r="F61" s="13" t="s">
        <v>34</v>
      </c>
      <c r="G61" s="12" t="s">
        <v>33</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hidden="1" customHeight="1">
      <c r="B62" s="5" t="s">
        <v>18</v>
      </c>
      <c r="C62" s="777" t="s">
        <v>277</v>
      </c>
      <c r="D62" s="778"/>
      <c r="E62" s="779"/>
      <c r="F62" s="49">
        <f>H62+NPV(SD,I62:INDEX(I62:DC62,PAL))</f>
        <v>0</v>
      </c>
      <c r="G62" s="43">
        <f>SUMIF($H$6:$DC$6,"&lt;="&amp;PAL,$H62:$DC62)</f>
        <v>0</v>
      </c>
      <c r="H62" s="43">
        <f>'Alternatyva 4'!H$117</f>
        <v>0</v>
      </c>
      <c r="I62" s="43">
        <f>'Alternatyva 4'!I$117</f>
        <v>0</v>
      </c>
      <c r="J62" s="43">
        <f>'Alternatyva 4'!J$117</f>
        <v>0</v>
      </c>
      <c r="K62" s="43">
        <f>'Alternatyva 4'!K$117</f>
        <v>0</v>
      </c>
      <c r="L62" s="43">
        <f>'Alternatyva 4'!L$117</f>
        <v>0</v>
      </c>
      <c r="M62" s="43">
        <f>'Alternatyva 4'!M$117</f>
        <v>0</v>
      </c>
      <c r="N62" s="43">
        <f>'Alternatyva 4'!N$117</f>
        <v>0</v>
      </c>
      <c r="O62" s="43">
        <f>'Alternatyva 4'!O$117</f>
        <v>0</v>
      </c>
      <c r="P62" s="43">
        <f>'Alternatyva 4'!P$117</f>
        <v>0</v>
      </c>
      <c r="Q62" s="43">
        <f>'Alternatyva 4'!Q$117</f>
        <v>0</v>
      </c>
      <c r="R62" s="43">
        <f>'Alternatyva 4'!R$117</f>
        <v>0</v>
      </c>
      <c r="S62" s="43">
        <f>'Alternatyva 4'!S$117</f>
        <v>0</v>
      </c>
      <c r="T62" s="43">
        <f>'Alternatyva 4'!T$117</f>
        <v>0</v>
      </c>
      <c r="U62" s="43">
        <f>'Alternatyva 4'!U$117</f>
        <v>0</v>
      </c>
      <c r="V62" s="43">
        <f>'Alternatyva 4'!V$117</f>
        <v>0</v>
      </c>
      <c r="W62" s="43">
        <f>'Alternatyva 4'!W$117</f>
        <v>0</v>
      </c>
      <c r="X62" s="43">
        <f>'Alternatyva 4'!X$117</f>
        <v>0</v>
      </c>
      <c r="Y62" s="43">
        <f>'Alternatyva 4'!Y$117</f>
        <v>0</v>
      </c>
      <c r="Z62" s="43">
        <f>'Alternatyva 4'!Z$117</f>
        <v>0</v>
      </c>
      <c r="AA62" s="43">
        <f>'Alternatyva 4'!AA$117</f>
        <v>0</v>
      </c>
      <c r="AB62" s="43">
        <f>'Alternatyva 4'!AB$117</f>
        <v>0</v>
      </c>
      <c r="AC62" s="43">
        <f>'Alternatyva 4'!AC$117</f>
        <v>0</v>
      </c>
      <c r="AD62" s="43">
        <f>'Alternatyva 4'!AD$117</f>
        <v>0</v>
      </c>
      <c r="AE62" s="43">
        <f>'Alternatyva 4'!AE$117</f>
        <v>0</v>
      </c>
      <c r="AF62" s="43">
        <f>'Alternatyva 4'!AF$117</f>
        <v>0</v>
      </c>
      <c r="AG62" s="43">
        <f>'Alternatyva 4'!AG$117</f>
        <v>0</v>
      </c>
      <c r="AH62" s="43">
        <f>'Alternatyva 4'!AH$117</f>
        <v>0</v>
      </c>
      <c r="AI62" s="43">
        <f>'Alternatyva 4'!AI$117</f>
        <v>0</v>
      </c>
      <c r="AJ62" s="43">
        <f>'Alternatyva 4'!AJ$117</f>
        <v>0</v>
      </c>
      <c r="AK62" s="43">
        <f>'Alternatyva 4'!AK$117</f>
        <v>0</v>
      </c>
      <c r="AL62" s="43">
        <f>'Alternatyva 4'!AL$117</f>
        <v>0</v>
      </c>
      <c r="AM62" s="43">
        <f>'Alternatyva 4'!AM$117</f>
        <v>0</v>
      </c>
      <c r="AN62" s="43">
        <f>'Alternatyva 4'!AN$117</f>
        <v>0</v>
      </c>
      <c r="AO62" s="43">
        <f>'Alternatyva 4'!AO$117</f>
        <v>0</v>
      </c>
      <c r="AP62" s="43">
        <f>'Alternatyva 4'!AP$117</f>
        <v>0</v>
      </c>
      <c r="AQ62" s="43">
        <f>'Alternatyva 4'!AQ$117</f>
        <v>0</v>
      </c>
      <c r="AR62" s="43">
        <f>'Alternatyva 4'!AR$117</f>
        <v>0</v>
      </c>
      <c r="AS62" s="43">
        <f>'Alternatyva 4'!AS$117</f>
        <v>0</v>
      </c>
      <c r="AT62" s="43">
        <f>'Alternatyva 4'!AT$117</f>
        <v>0</v>
      </c>
      <c r="AU62" s="43">
        <f>'Alternatyva 4'!AU$117</f>
        <v>0</v>
      </c>
      <c r="AV62" s="43">
        <f>'Alternatyva 4'!AV$117</f>
        <v>0</v>
      </c>
      <c r="AW62" s="43">
        <f>'Alternatyva 4'!AW$117</f>
        <v>0</v>
      </c>
      <c r="AX62" s="43">
        <f>'Alternatyva 4'!AX$117</f>
        <v>0</v>
      </c>
      <c r="AY62" s="43">
        <f>'Alternatyva 4'!AY$117</f>
        <v>0</v>
      </c>
      <c r="AZ62" s="43">
        <f>'Alternatyva 4'!AZ$117</f>
        <v>0</v>
      </c>
      <c r="BA62" s="43">
        <f>'Alternatyva 4'!BA$117</f>
        <v>0</v>
      </c>
      <c r="BB62" s="43">
        <f>'Alternatyva 4'!BB$117</f>
        <v>0</v>
      </c>
      <c r="BC62" s="43">
        <f>'Alternatyva 4'!BC$117</f>
        <v>0</v>
      </c>
      <c r="BD62" s="43">
        <f>'Alternatyva 4'!BD$117</f>
        <v>0</v>
      </c>
      <c r="BE62" s="43">
        <f>'Alternatyva 4'!BE$117</f>
        <v>0</v>
      </c>
      <c r="BF62" s="43">
        <f>'Alternatyva 4'!BF$117</f>
        <v>0</v>
      </c>
      <c r="BG62" s="43">
        <f>'Alternatyva 4'!BG$117</f>
        <v>0</v>
      </c>
      <c r="BH62" s="43">
        <f>'Alternatyva 4'!BH$117</f>
        <v>0</v>
      </c>
      <c r="BI62" s="43">
        <f>'Alternatyva 4'!BI$117</f>
        <v>0</v>
      </c>
      <c r="BJ62" s="43">
        <f>'Alternatyva 4'!BJ$117</f>
        <v>0</v>
      </c>
      <c r="BK62" s="43">
        <f>'Alternatyva 4'!BK$117</f>
        <v>0</v>
      </c>
      <c r="BL62" s="43">
        <f>'Alternatyva 4'!BL$117</f>
        <v>0</v>
      </c>
      <c r="BM62" s="43">
        <f>'Alternatyva 4'!BM$117</f>
        <v>0</v>
      </c>
      <c r="BN62" s="43">
        <f>'Alternatyva 4'!BN$117</f>
        <v>0</v>
      </c>
      <c r="BO62" s="43">
        <f>'Alternatyva 4'!BO$117</f>
        <v>0</v>
      </c>
      <c r="BP62" s="43">
        <f>'Alternatyva 4'!BP$117</f>
        <v>0</v>
      </c>
      <c r="BQ62" s="43">
        <f>'Alternatyva 4'!BQ$117</f>
        <v>0</v>
      </c>
      <c r="BR62" s="43">
        <f>'Alternatyva 4'!BR$117</f>
        <v>0</v>
      </c>
      <c r="BS62" s="43">
        <f>'Alternatyva 4'!BS$117</f>
        <v>0</v>
      </c>
      <c r="BT62" s="43">
        <f>'Alternatyva 4'!BT$117</f>
        <v>0</v>
      </c>
      <c r="BU62" s="43">
        <f>'Alternatyva 4'!BU$117</f>
        <v>0</v>
      </c>
      <c r="BV62" s="43">
        <f>'Alternatyva 4'!BV$117</f>
        <v>0</v>
      </c>
      <c r="BW62" s="43">
        <f>'Alternatyva 4'!BW$117</f>
        <v>0</v>
      </c>
      <c r="BX62" s="43">
        <f>'Alternatyva 4'!BX$117</f>
        <v>0</v>
      </c>
      <c r="BY62" s="43">
        <f>'Alternatyva 4'!BY$117</f>
        <v>0</v>
      </c>
      <c r="BZ62" s="43">
        <f>'Alternatyva 4'!BZ$117</f>
        <v>0</v>
      </c>
      <c r="CA62" s="43">
        <f>'Alternatyva 4'!CA$117</f>
        <v>0</v>
      </c>
      <c r="CB62" s="43">
        <f>'Alternatyva 4'!CB$117</f>
        <v>0</v>
      </c>
      <c r="CC62" s="43">
        <f>'Alternatyva 4'!CC$117</f>
        <v>0</v>
      </c>
      <c r="CD62" s="43">
        <f>'Alternatyva 4'!CD$117</f>
        <v>0</v>
      </c>
      <c r="CE62" s="43">
        <f>'Alternatyva 4'!CE$117</f>
        <v>0</v>
      </c>
      <c r="CF62" s="43">
        <f>'Alternatyva 4'!CF$117</f>
        <v>0</v>
      </c>
      <c r="CG62" s="43">
        <f>'Alternatyva 4'!CG$117</f>
        <v>0</v>
      </c>
      <c r="CH62" s="43">
        <f>'Alternatyva 4'!CH$117</f>
        <v>0</v>
      </c>
      <c r="CI62" s="43">
        <f>'Alternatyva 4'!CI$117</f>
        <v>0</v>
      </c>
      <c r="CJ62" s="43">
        <f>'Alternatyva 4'!CJ$117</f>
        <v>0</v>
      </c>
      <c r="CK62" s="43">
        <f>'Alternatyva 4'!CK$117</f>
        <v>0</v>
      </c>
      <c r="CL62" s="43">
        <f>'Alternatyva 4'!CL$117</f>
        <v>0</v>
      </c>
      <c r="CM62" s="43">
        <f>'Alternatyva 4'!CM$117</f>
        <v>0</v>
      </c>
      <c r="CN62" s="43">
        <f>'Alternatyva 4'!CN$117</f>
        <v>0</v>
      </c>
      <c r="CO62" s="43">
        <f>'Alternatyva 4'!CO$117</f>
        <v>0</v>
      </c>
      <c r="CP62" s="43">
        <f>'Alternatyva 4'!CP$117</f>
        <v>0</v>
      </c>
      <c r="CQ62" s="43">
        <f>'Alternatyva 4'!CQ$117</f>
        <v>0</v>
      </c>
      <c r="CR62" s="43">
        <f>'Alternatyva 4'!CR$117</f>
        <v>0</v>
      </c>
      <c r="CS62" s="43">
        <f>'Alternatyva 4'!CS$117</f>
        <v>0</v>
      </c>
      <c r="CT62" s="43">
        <f>'Alternatyva 4'!CT$117</f>
        <v>0</v>
      </c>
      <c r="CU62" s="43">
        <f>'Alternatyva 4'!CU$117</f>
        <v>0</v>
      </c>
      <c r="CV62" s="43">
        <f>'Alternatyva 4'!CV$117</f>
        <v>0</v>
      </c>
      <c r="CW62" s="43">
        <f>'Alternatyva 4'!CW$117</f>
        <v>0</v>
      </c>
      <c r="CX62" s="43">
        <f>'Alternatyva 4'!CX$117</f>
        <v>0</v>
      </c>
      <c r="CY62" s="43">
        <f>'Alternatyva 4'!CY$117</f>
        <v>0</v>
      </c>
      <c r="CZ62" s="43">
        <f>'Alternatyva 4'!CZ$117</f>
        <v>0</v>
      </c>
      <c r="DA62" s="43">
        <f>'Alternatyva 4'!DA$117</f>
        <v>0</v>
      </c>
      <c r="DB62" s="43">
        <f>'Alternatyva 4'!DB$117</f>
        <v>0</v>
      </c>
      <c r="DC62" s="43">
        <f>'Alternatyva 4'!DC$117</f>
        <v>0</v>
      </c>
    </row>
    <row r="63" spans="2:107" ht="15" hidden="1" customHeight="1">
      <c r="B63" s="5" t="s">
        <v>28</v>
      </c>
      <c r="C63" s="777" t="s">
        <v>257</v>
      </c>
      <c r="D63" s="778"/>
      <c r="E63" s="779"/>
      <c r="F63" s="49">
        <f>H63+NPV(SD,I63:INDEX(I63:DC63,PAL))</f>
        <v>0</v>
      </c>
      <c r="G63" s="43">
        <f>SUMIF($H$6:$DC$6,"&lt;="&amp;PAL,$H63:$DC63)</f>
        <v>0</v>
      </c>
      <c r="H63" s="43">
        <f>'Alternatyva 4'!H$8+'Alternatyva 4'!H$9-'Alternatyva 4'!H$113</f>
        <v>0</v>
      </c>
      <c r="I63" s="43">
        <f>'Alternatyva 4'!I$8+'Alternatyva 4'!I$9-'Alternatyva 4'!I$113</f>
        <v>0</v>
      </c>
      <c r="J63" s="43">
        <f>'Alternatyva 4'!J$8+'Alternatyva 4'!J$9-'Alternatyva 4'!J$113</f>
        <v>0</v>
      </c>
      <c r="K63" s="43">
        <f>'Alternatyva 4'!K$8+'Alternatyva 4'!K$9-'Alternatyva 4'!K$113</f>
        <v>0</v>
      </c>
      <c r="L63" s="43">
        <f>'Alternatyva 4'!L$8+'Alternatyva 4'!L$9-'Alternatyva 4'!L$113</f>
        <v>0</v>
      </c>
      <c r="M63" s="43">
        <f>'Alternatyva 4'!M$8+'Alternatyva 4'!M$9-'Alternatyva 4'!M$113</f>
        <v>0</v>
      </c>
      <c r="N63" s="43">
        <f>'Alternatyva 4'!N$8+'Alternatyva 4'!N$9-'Alternatyva 4'!N$113</f>
        <v>0</v>
      </c>
      <c r="O63" s="43">
        <f>'Alternatyva 4'!O$8+'Alternatyva 4'!O$9-'Alternatyva 4'!O$113</f>
        <v>0</v>
      </c>
      <c r="P63" s="43">
        <f>'Alternatyva 4'!P$8+'Alternatyva 4'!P$9-'Alternatyva 4'!P$113</f>
        <v>0</v>
      </c>
      <c r="Q63" s="43">
        <f>'Alternatyva 4'!Q$8+'Alternatyva 4'!Q$9-'Alternatyva 4'!Q$113</f>
        <v>0</v>
      </c>
      <c r="R63" s="43">
        <f>'Alternatyva 4'!R$8+'Alternatyva 4'!R$9-'Alternatyva 4'!R$113</f>
        <v>0</v>
      </c>
      <c r="S63" s="43">
        <f>'Alternatyva 4'!S$8+'Alternatyva 4'!S$9-'Alternatyva 4'!S$113</f>
        <v>0</v>
      </c>
      <c r="T63" s="43">
        <f>'Alternatyva 4'!T$8+'Alternatyva 4'!T$9-'Alternatyva 4'!T$113</f>
        <v>0</v>
      </c>
      <c r="U63" s="43">
        <f>'Alternatyva 4'!U$8+'Alternatyva 4'!U$9-'Alternatyva 4'!U$113</f>
        <v>0</v>
      </c>
      <c r="V63" s="43">
        <f>'Alternatyva 4'!V$8+'Alternatyva 4'!V$9-'Alternatyva 4'!V$113</f>
        <v>0</v>
      </c>
      <c r="W63" s="43">
        <f>'Alternatyva 4'!W$8+'Alternatyva 4'!W$9-'Alternatyva 4'!W$113</f>
        <v>0</v>
      </c>
      <c r="X63" s="43">
        <f>'Alternatyva 4'!X$8+'Alternatyva 4'!X$9-'Alternatyva 4'!X$113</f>
        <v>0</v>
      </c>
      <c r="Y63" s="43">
        <f>'Alternatyva 4'!Y$8+'Alternatyva 4'!Y$9-'Alternatyva 4'!Y$113</f>
        <v>0</v>
      </c>
      <c r="Z63" s="43">
        <f>'Alternatyva 4'!Z$8+'Alternatyva 4'!Z$9-'Alternatyva 4'!Z$113</f>
        <v>0</v>
      </c>
      <c r="AA63" s="43">
        <f>'Alternatyva 4'!AA$8+'Alternatyva 4'!AA$9-'Alternatyva 4'!AA$113</f>
        <v>0</v>
      </c>
      <c r="AB63" s="43">
        <f>'Alternatyva 4'!AB$8+'Alternatyva 4'!AB$9-'Alternatyva 4'!AB$113</f>
        <v>0</v>
      </c>
      <c r="AC63" s="43">
        <f>'Alternatyva 4'!AC$8+'Alternatyva 4'!AC$9-'Alternatyva 4'!AC$113</f>
        <v>0</v>
      </c>
      <c r="AD63" s="43">
        <f>'Alternatyva 4'!AD$8+'Alternatyva 4'!AD$9-'Alternatyva 4'!AD$113</f>
        <v>0</v>
      </c>
      <c r="AE63" s="43">
        <f>'Alternatyva 4'!AE$8+'Alternatyva 4'!AE$9-'Alternatyva 4'!AE$113</f>
        <v>0</v>
      </c>
      <c r="AF63" s="43">
        <f>'Alternatyva 4'!AF$8+'Alternatyva 4'!AF$9-'Alternatyva 4'!AF$113</f>
        <v>0</v>
      </c>
      <c r="AG63" s="43">
        <f>'Alternatyva 4'!AG$8+'Alternatyva 4'!AG$9-'Alternatyva 4'!AG$113</f>
        <v>0</v>
      </c>
      <c r="AH63" s="43">
        <f>'Alternatyva 4'!AH$8+'Alternatyva 4'!AH$9-'Alternatyva 4'!AH$113</f>
        <v>0</v>
      </c>
      <c r="AI63" s="43">
        <f>'Alternatyva 4'!AI$8+'Alternatyva 4'!AI$9-'Alternatyva 4'!AI$113</f>
        <v>0</v>
      </c>
      <c r="AJ63" s="43">
        <f>'Alternatyva 4'!AJ$8+'Alternatyva 4'!AJ$9-'Alternatyva 4'!AJ$113</f>
        <v>0</v>
      </c>
      <c r="AK63" s="43">
        <f>'Alternatyva 4'!AK$8+'Alternatyva 4'!AK$9-'Alternatyva 4'!AK$113</f>
        <v>0</v>
      </c>
      <c r="AL63" s="43">
        <f>'Alternatyva 4'!AL$8+'Alternatyva 4'!AL$9-'Alternatyva 4'!AL$113</f>
        <v>0</v>
      </c>
      <c r="AM63" s="43">
        <f>'Alternatyva 4'!AM$8+'Alternatyva 4'!AM$9-'Alternatyva 4'!AM$113</f>
        <v>0</v>
      </c>
      <c r="AN63" s="43">
        <f>'Alternatyva 4'!AN$8+'Alternatyva 4'!AN$9-'Alternatyva 4'!AN$113</f>
        <v>0</v>
      </c>
      <c r="AO63" s="43">
        <f>'Alternatyva 4'!AO$8+'Alternatyva 4'!AO$9-'Alternatyva 4'!AO$113</f>
        <v>0</v>
      </c>
      <c r="AP63" s="43">
        <f>'Alternatyva 4'!AP$8+'Alternatyva 4'!AP$9-'Alternatyva 4'!AP$113</f>
        <v>0</v>
      </c>
      <c r="AQ63" s="43">
        <f>'Alternatyva 4'!AQ$8+'Alternatyva 4'!AQ$9-'Alternatyva 4'!AQ$113</f>
        <v>0</v>
      </c>
      <c r="AR63" s="43">
        <f>'Alternatyva 4'!AR$8+'Alternatyva 4'!AR$9-'Alternatyva 4'!AR$113</f>
        <v>0</v>
      </c>
      <c r="AS63" s="43">
        <f>'Alternatyva 4'!AS$8+'Alternatyva 4'!AS$9-'Alternatyva 4'!AS$113</f>
        <v>0</v>
      </c>
      <c r="AT63" s="43">
        <f>'Alternatyva 4'!AT$8+'Alternatyva 4'!AT$9-'Alternatyva 4'!AT$113</f>
        <v>0</v>
      </c>
      <c r="AU63" s="43">
        <f>'Alternatyva 4'!AU$8+'Alternatyva 4'!AU$9-'Alternatyva 4'!AU$113</f>
        <v>0</v>
      </c>
      <c r="AV63" s="43">
        <f>'Alternatyva 4'!AV$8+'Alternatyva 4'!AV$9-'Alternatyva 4'!AV$113</f>
        <v>0</v>
      </c>
      <c r="AW63" s="43">
        <f>'Alternatyva 4'!AW$8+'Alternatyva 4'!AW$9-'Alternatyva 4'!AW$113</f>
        <v>0</v>
      </c>
      <c r="AX63" s="43">
        <f>'Alternatyva 4'!AX$8+'Alternatyva 4'!AX$9-'Alternatyva 4'!AX$113</f>
        <v>0</v>
      </c>
      <c r="AY63" s="43">
        <f>'Alternatyva 4'!AY$8+'Alternatyva 4'!AY$9-'Alternatyva 4'!AY$113</f>
        <v>0</v>
      </c>
      <c r="AZ63" s="43">
        <f>'Alternatyva 4'!AZ$8+'Alternatyva 4'!AZ$9-'Alternatyva 4'!AZ$113</f>
        <v>0</v>
      </c>
      <c r="BA63" s="43">
        <f>'Alternatyva 4'!BA$8+'Alternatyva 4'!BA$9-'Alternatyva 4'!BA$113</f>
        <v>0</v>
      </c>
      <c r="BB63" s="43">
        <f>'Alternatyva 4'!BB$8+'Alternatyva 4'!BB$9-'Alternatyva 4'!BB$113</f>
        <v>0</v>
      </c>
      <c r="BC63" s="43">
        <f>'Alternatyva 4'!BC$8+'Alternatyva 4'!BC$9-'Alternatyva 4'!BC$113</f>
        <v>0</v>
      </c>
      <c r="BD63" s="43">
        <f>'Alternatyva 4'!BD$8+'Alternatyva 4'!BD$9-'Alternatyva 4'!BD$113</f>
        <v>0</v>
      </c>
      <c r="BE63" s="43">
        <f>'Alternatyva 4'!BE$8+'Alternatyva 4'!BE$9-'Alternatyva 4'!BE$113</f>
        <v>0</v>
      </c>
      <c r="BF63" s="43">
        <f>'Alternatyva 4'!BF$8+'Alternatyva 4'!BF$9-'Alternatyva 4'!BF$113</f>
        <v>0</v>
      </c>
      <c r="BG63" s="43">
        <f>'Alternatyva 4'!BG$8+'Alternatyva 4'!BG$9-'Alternatyva 4'!BG$113</f>
        <v>0</v>
      </c>
      <c r="BH63" s="43">
        <f>'Alternatyva 4'!BH$8+'Alternatyva 4'!BH$9-'Alternatyva 4'!BH$113</f>
        <v>0</v>
      </c>
      <c r="BI63" s="43">
        <f>'Alternatyva 4'!BI$8+'Alternatyva 4'!BI$9-'Alternatyva 4'!BI$113</f>
        <v>0</v>
      </c>
      <c r="BJ63" s="43">
        <f>'Alternatyva 4'!BJ$8+'Alternatyva 4'!BJ$9-'Alternatyva 4'!BJ$113</f>
        <v>0</v>
      </c>
      <c r="BK63" s="43">
        <f>'Alternatyva 4'!BK$8+'Alternatyva 4'!BK$9-'Alternatyva 4'!BK$113</f>
        <v>0</v>
      </c>
      <c r="BL63" s="43">
        <f>'Alternatyva 4'!BL$8+'Alternatyva 4'!BL$9-'Alternatyva 4'!BL$113</f>
        <v>0</v>
      </c>
      <c r="BM63" s="43">
        <f>'Alternatyva 4'!BM$8+'Alternatyva 4'!BM$9-'Alternatyva 4'!BM$113</f>
        <v>0</v>
      </c>
      <c r="BN63" s="43">
        <f>'Alternatyva 4'!BN$8+'Alternatyva 4'!BN$9-'Alternatyva 4'!BN$113</f>
        <v>0</v>
      </c>
      <c r="BO63" s="43">
        <f>'Alternatyva 4'!BO$8+'Alternatyva 4'!BO$9-'Alternatyva 4'!BO$113</f>
        <v>0</v>
      </c>
      <c r="BP63" s="43">
        <f>'Alternatyva 4'!BP$8+'Alternatyva 4'!BP$9-'Alternatyva 4'!BP$113</f>
        <v>0</v>
      </c>
      <c r="BQ63" s="43">
        <f>'Alternatyva 4'!BQ$8+'Alternatyva 4'!BQ$9-'Alternatyva 4'!BQ$113</f>
        <v>0</v>
      </c>
      <c r="BR63" s="43">
        <f>'Alternatyva 4'!BR$8+'Alternatyva 4'!BR$9-'Alternatyva 4'!BR$113</f>
        <v>0</v>
      </c>
      <c r="BS63" s="43">
        <f>'Alternatyva 4'!BS$8+'Alternatyva 4'!BS$9-'Alternatyva 4'!BS$113</f>
        <v>0</v>
      </c>
      <c r="BT63" s="43">
        <f>'Alternatyva 4'!BT$8+'Alternatyva 4'!BT$9-'Alternatyva 4'!BT$113</f>
        <v>0</v>
      </c>
      <c r="BU63" s="43">
        <f>'Alternatyva 4'!BU$8+'Alternatyva 4'!BU$9-'Alternatyva 4'!BU$113</f>
        <v>0</v>
      </c>
      <c r="BV63" s="43">
        <f>'Alternatyva 4'!BV$8+'Alternatyva 4'!BV$9-'Alternatyva 4'!BV$113</f>
        <v>0</v>
      </c>
      <c r="BW63" s="43">
        <f>'Alternatyva 4'!BW$8+'Alternatyva 4'!BW$9-'Alternatyva 4'!BW$113</f>
        <v>0</v>
      </c>
      <c r="BX63" s="43">
        <f>'Alternatyva 4'!BX$8+'Alternatyva 4'!BX$9-'Alternatyva 4'!BX$113</f>
        <v>0</v>
      </c>
      <c r="BY63" s="43">
        <f>'Alternatyva 4'!BY$8+'Alternatyva 4'!BY$9-'Alternatyva 4'!BY$113</f>
        <v>0</v>
      </c>
      <c r="BZ63" s="43">
        <f>'Alternatyva 4'!BZ$8+'Alternatyva 4'!BZ$9-'Alternatyva 4'!BZ$113</f>
        <v>0</v>
      </c>
      <c r="CA63" s="43">
        <f>'Alternatyva 4'!CA$8+'Alternatyva 4'!CA$9-'Alternatyva 4'!CA$113</f>
        <v>0</v>
      </c>
      <c r="CB63" s="43">
        <f>'Alternatyva 4'!CB$8+'Alternatyva 4'!CB$9-'Alternatyva 4'!CB$113</f>
        <v>0</v>
      </c>
      <c r="CC63" s="43">
        <f>'Alternatyva 4'!CC$8+'Alternatyva 4'!CC$9-'Alternatyva 4'!CC$113</f>
        <v>0</v>
      </c>
      <c r="CD63" s="43">
        <f>'Alternatyva 4'!CD$8+'Alternatyva 4'!CD$9-'Alternatyva 4'!CD$113</f>
        <v>0</v>
      </c>
      <c r="CE63" s="43">
        <f>'Alternatyva 4'!CE$8+'Alternatyva 4'!CE$9-'Alternatyva 4'!CE$113</f>
        <v>0</v>
      </c>
      <c r="CF63" s="43">
        <f>'Alternatyva 4'!CF$8+'Alternatyva 4'!CF$9-'Alternatyva 4'!CF$113</f>
        <v>0</v>
      </c>
      <c r="CG63" s="43">
        <f>'Alternatyva 4'!CG$8+'Alternatyva 4'!CG$9-'Alternatyva 4'!CG$113</f>
        <v>0</v>
      </c>
      <c r="CH63" s="43">
        <f>'Alternatyva 4'!CH$8+'Alternatyva 4'!CH$9-'Alternatyva 4'!CH$113</f>
        <v>0</v>
      </c>
      <c r="CI63" s="43">
        <f>'Alternatyva 4'!CI$8+'Alternatyva 4'!CI$9-'Alternatyva 4'!CI$113</f>
        <v>0</v>
      </c>
      <c r="CJ63" s="43">
        <f>'Alternatyva 4'!CJ$8+'Alternatyva 4'!CJ$9-'Alternatyva 4'!CJ$113</f>
        <v>0</v>
      </c>
      <c r="CK63" s="43">
        <f>'Alternatyva 4'!CK$8+'Alternatyva 4'!CK$9-'Alternatyva 4'!CK$113</f>
        <v>0</v>
      </c>
      <c r="CL63" s="43">
        <f>'Alternatyva 4'!CL$8+'Alternatyva 4'!CL$9-'Alternatyva 4'!CL$113</f>
        <v>0</v>
      </c>
      <c r="CM63" s="43">
        <f>'Alternatyva 4'!CM$8+'Alternatyva 4'!CM$9-'Alternatyva 4'!CM$113</f>
        <v>0</v>
      </c>
      <c r="CN63" s="43">
        <f>'Alternatyva 4'!CN$8+'Alternatyva 4'!CN$9-'Alternatyva 4'!CN$113</f>
        <v>0</v>
      </c>
      <c r="CO63" s="43">
        <f>'Alternatyva 4'!CO$8+'Alternatyva 4'!CO$9-'Alternatyva 4'!CO$113</f>
        <v>0</v>
      </c>
      <c r="CP63" s="43">
        <f>'Alternatyva 4'!CP$8+'Alternatyva 4'!CP$9-'Alternatyva 4'!CP$113</f>
        <v>0</v>
      </c>
      <c r="CQ63" s="43">
        <f>'Alternatyva 4'!CQ$8+'Alternatyva 4'!CQ$9-'Alternatyva 4'!CQ$113</f>
        <v>0</v>
      </c>
      <c r="CR63" s="43">
        <f>'Alternatyva 4'!CR$8+'Alternatyva 4'!CR$9-'Alternatyva 4'!CR$113</f>
        <v>0</v>
      </c>
      <c r="CS63" s="43">
        <f>'Alternatyva 4'!CS$8+'Alternatyva 4'!CS$9-'Alternatyva 4'!CS$113</f>
        <v>0</v>
      </c>
      <c r="CT63" s="43">
        <f>'Alternatyva 4'!CT$8+'Alternatyva 4'!CT$9-'Alternatyva 4'!CT$113</f>
        <v>0</v>
      </c>
      <c r="CU63" s="43">
        <f>'Alternatyva 4'!CU$8+'Alternatyva 4'!CU$9-'Alternatyva 4'!CU$113</f>
        <v>0</v>
      </c>
      <c r="CV63" s="43">
        <f>'Alternatyva 4'!CV$8+'Alternatyva 4'!CV$9-'Alternatyva 4'!CV$113</f>
        <v>0</v>
      </c>
      <c r="CW63" s="43">
        <f>'Alternatyva 4'!CW$8+'Alternatyva 4'!CW$9-'Alternatyva 4'!CW$113</f>
        <v>0</v>
      </c>
      <c r="CX63" s="43">
        <f>'Alternatyva 4'!CX$8+'Alternatyva 4'!CX$9-'Alternatyva 4'!CX$113</f>
        <v>0</v>
      </c>
      <c r="CY63" s="43">
        <f>'Alternatyva 4'!CY$8+'Alternatyva 4'!CY$9-'Alternatyva 4'!CY$113</f>
        <v>0</v>
      </c>
      <c r="CZ63" s="43">
        <f>'Alternatyva 4'!CZ$8+'Alternatyva 4'!CZ$9-'Alternatyva 4'!CZ$113</f>
        <v>0</v>
      </c>
      <c r="DA63" s="43">
        <f>'Alternatyva 4'!DA$8+'Alternatyva 4'!DA$9-'Alternatyva 4'!DA$113</f>
        <v>0</v>
      </c>
      <c r="DB63" s="43">
        <f>'Alternatyva 4'!DB$8+'Alternatyva 4'!DB$9-'Alternatyva 4'!DB$113</f>
        <v>0</v>
      </c>
      <c r="DC63" s="43">
        <f>'Alternatyva 4'!DC$8+'Alternatyva 4'!DC$9-'Alternatyva 4'!DC$113</f>
        <v>0</v>
      </c>
    </row>
    <row r="64" spans="2:107" ht="15" hidden="1" customHeight="1">
      <c r="B64" s="5" t="s">
        <v>209</v>
      </c>
      <c r="C64" s="777" t="s">
        <v>263</v>
      </c>
      <c r="D64" s="778"/>
      <c r="E64" s="779"/>
      <c r="F64" s="43">
        <f>H64+NPV(SD,I64:INDEX(I64:DC64,PAL))</f>
        <v>0</v>
      </c>
      <c r="G64" s="43">
        <f>SUMIF($H$6:$DC$6,"&lt;="&amp;PAL,$H64:$DC64)</f>
        <v>0</v>
      </c>
      <c r="H64" s="43">
        <f>'Alternatyva 4'!H$89-'Alternatyva 4'!H$114</f>
        <v>0</v>
      </c>
      <c r="I64" s="43">
        <f>'Alternatyva 4'!I$89-'Alternatyva 4'!I$114</f>
        <v>0</v>
      </c>
      <c r="J64" s="43">
        <f>'Alternatyva 4'!J$89-'Alternatyva 4'!J$114</f>
        <v>0</v>
      </c>
      <c r="K64" s="43">
        <f>'Alternatyva 4'!K$89-'Alternatyva 4'!K$114</f>
        <v>0</v>
      </c>
      <c r="L64" s="43">
        <f>'Alternatyva 4'!L$89-'Alternatyva 4'!L$114</f>
        <v>0</v>
      </c>
      <c r="M64" s="43">
        <f>'Alternatyva 4'!M$89-'Alternatyva 4'!M$114</f>
        <v>0</v>
      </c>
      <c r="N64" s="43">
        <f>'Alternatyva 4'!N$89-'Alternatyva 4'!N$114</f>
        <v>0</v>
      </c>
      <c r="O64" s="43">
        <f>'Alternatyva 4'!O$89-'Alternatyva 4'!O$114</f>
        <v>0</v>
      </c>
      <c r="P64" s="43">
        <f>'Alternatyva 4'!P$89-'Alternatyva 4'!P$114</f>
        <v>0</v>
      </c>
      <c r="Q64" s="43">
        <f>'Alternatyva 4'!Q$89-'Alternatyva 4'!Q$114</f>
        <v>0</v>
      </c>
      <c r="R64" s="43">
        <f>'Alternatyva 4'!R$89-'Alternatyva 4'!R$114</f>
        <v>0</v>
      </c>
      <c r="S64" s="43">
        <f>'Alternatyva 4'!S$89-'Alternatyva 4'!S$114</f>
        <v>0</v>
      </c>
      <c r="T64" s="43">
        <f>'Alternatyva 4'!T$89-'Alternatyva 4'!T$114</f>
        <v>0</v>
      </c>
      <c r="U64" s="43">
        <f>'Alternatyva 4'!U$89-'Alternatyva 4'!U$114</f>
        <v>0</v>
      </c>
      <c r="V64" s="43">
        <f>'Alternatyva 4'!V$89-'Alternatyva 4'!V$114</f>
        <v>0</v>
      </c>
      <c r="W64" s="43">
        <f>'Alternatyva 4'!W$89-'Alternatyva 4'!W$114</f>
        <v>0</v>
      </c>
      <c r="X64" s="43">
        <f>'Alternatyva 4'!X$89-'Alternatyva 4'!X$114</f>
        <v>0</v>
      </c>
      <c r="Y64" s="43">
        <f>'Alternatyva 4'!Y$89-'Alternatyva 4'!Y$114</f>
        <v>0</v>
      </c>
      <c r="Z64" s="43">
        <f>'Alternatyva 4'!Z$89-'Alternatyva 4'!Z$114</f>
        <v>0</v>
      </c>
      <c r="AA64" s="43">
        <f>'Alternatyva 4'!AA$89-'Alternatyva 4'!AA$114</f>
        <v>0</v>
      </c>
      <c r="AB64" s="43">
        <f>'Alternatyva 4'!AB$89-'Alternatyva 4'!AB$114</f>
        <v>0</v>
      </c>
      <c r="AC64" s="43">
        <f>'Alternatyva 4'!AC$89-'Alternatyva 4'!AC$114</f>
        <v>0</v>
      </c>
      <c r="AD64" s="43">
        <f>'Alternatyva 4'!AD$89-'Alternatyva 4'!AD$114</f>
        <v>0</v>
      </c>
      <c r="AE64" s="43">
        <f>'Alternatyva 4'!AE$89-'Alternatyva 4'!AE$114</f>
        <v>0</v>
      </c>
      <c r="AF64" s="43">
        <f>'Alternatyva 4'!AF$89-'Alternatyva 4'!AF$114</f>
        <v>0</v>
      </c>
      <c r="AG64" s="43">
        <f>'Alternatyva 4'!AG$89-'Alternatyva 4'!AG$114</f>
        <v>0</v>
      </c>
      <c r="AH64" s="43">
        <f>'Alternatyva 4'!AH$89-'Alternatyva 4'!AH$114</f>
        <v>0</v>
      </c>
      <c r="AI64" s="43">
        <f>'Alternatyva 4'!AI$89-'Alternatyva 4'!AI$114</f>
        <v>0</v>
      </c>
      <c r="AJ64" s="43">
        <f>'Alternatyva 4'!AJ$89-'Alternatyva 4'!AJ$114</f>
        <v>0</v>
      </c>
      <c r="AK64" s="43">
        <f>'Alternatyva 4'!AK$89-'Alternatyva 4'!AK$114</f>
        <v>0</v>
      </c>
      <c r="AL64" s="43">
        <f>'Alternatyva 4'!AL$89-'Alternatyva 4'!AL$114</f>
        <v>0</v>
      </c>
      <c r="AM64" s="43">
        <f>'Alternatyva 4'!AM$89-'Alternatyva 4'!AM$114</f>
        <v>0</v>
      </c>
      <c r="AN64" s="43">
        <f>'Alternatyva 4'!AN$89-'Alternatyva 4'!AN$114</f>
        <v>0</v>
      </c>
      <c r="AO64" s="43">
        <f>'Alternatyva 4'!AO$89-'Alternatyva 4'!AO$114</f>
        <v>0</v>
      </c>
      <c r="AP64" s="43">
        <f>'Alternatyva 4'!AP$89-'Alternatyva 4'!AP$114</f>
        <v>0</v>
      </c>
      <c r="AQ64" s="43">
        <f>'Alternatyva 4'!AQ$89-'Alternatyva 4'!AQ$114</f>
        <v>0</v>
      </c>
      <c r="AR64" s="43">
        <f>'Alternatyva 4'!AR$89-'Alternatyva 4'!AR$114</f>
        <v>0</v>
      </c>
      <c r="AS64" s="43">
        <f>'Alternatyva 4'!AS$89-'Alternatyva 4'!AS$114</f>
        <v>0</v>
      </c>
      <c r="AT64" s="43">
        <f>'Alternatyva 4'!AT$89-'Alternatyva 4'!AT$114</f>
        <v>0</v>
      </c>
      <c r="AU64" s="43">
        <f>'Alternatyva 4'!AU$89-'Alternatyva 4'!AU$114</f>
        <v>0</v>
      </c>
      <c r="AV64" s="43">
        <f>'Alternatyva 4'!AV$89-'Alternatyva 4'!AV$114</f>
        <v>0</v>
      </c>
      <c r="AW64" s="43">
        <f>'Alternatyva 4'!AW$89-'Alternatyva 4'!AW$114</f>
        <v>0</v>
      </c>
      <c r="AX64" s="43">
        <f>'Alternatyva 4'!AX$89-'Alternatyva 4'!AX$114</f>
        <v>0</v>
      </c>
      <c r="AY64" s="43">
        <f>'Alternatyva 4'!AY$89-'Alternatyva 4'!AY$114</f>
        <v>0</v>
      </c>
      <c r="AZ64" s="43">
        <f>'Alternatyva 4'!AZ$89-'Alternatyva 4'!AZ$114</f>
        <v>0</v>
      </c>
      <c r="BA64" s="43">
        <f>'Alternatyva 4'!BA$89-'Alternatyva 4'!BA$114</f>
        <v>0</v>
      </c>
      <c r="BB64" s="43">
        <f>'Alternatyva 4'!BB$89-'Alternatyva 4'!BB$114</f>
        <v>0</v>
      </c>
      <c r="BC64" s="43">
        <f>'Alternatyva 4'!BC$89-'Alternatyva 4'!BC$114</f>
        <v>0</v>
      </c>
      <c r="BD64" s="43">
        <f>'Alternatyva 4'!BD$89-'Alternatyva 4'!BD$114</f>
        <v>0</v>
      </c>
      <c r="BE64" s="43">
        <f>'Alternatyva 4'!BE$89-'Alternatyva 4'!BE$114</f>
        <v>0</v>
      </c>
      <c r="BF64" s="43">
        <f>'Alternatyva 4'!BF$89-'Alternatyva 4'!BF$114</f>
        <v>0</v>
      </c>
      <c r="BG64" s="43">
        <f>'Alternatyva 4'!BG$89-'Alternatyva 4'!BG$114</f>
        <v>0</v>
      </c>
      <c r="BH64" s="43">
        <f>'Alternatyva 4'!BH$89-'Alternatyva 4'!BH$114</f>
        <v>0</v>
      </c>
      <c r="BI64" s="43">
        <f>'Alternatyva 4'!BI$89-'Alternatyva 4'!BI$114</f>
        <v>0</v>
      </c>
      <c r="BJ64" s="43">
        <f>'Alternatyva 4'!BJ$89-'Alternatyva 4'!BJ$114</f>
        <v>0</v>
      </c>
      <c r="BK64" s="43">
        <f>'Alternatyva 4'!BK$89-'Alternatyva 4'!BK$114</f>
        <v>0</v>
      </c>
      <c r="BL64" s="43">
        <f>'Alternatyva 4'!BL$89-'Alternatyva 4'!BL$114</f>
        <v>0</v>
      </c>
      <c r="BM64" s="43">
        <f>'Alternatyva 4'!BM$89-'Alternatyva 4'!BM$114</f>
        <v>0</v>
      </c>
      <c r="BN64" s="43">
        <f>'Alternatyva 4'!BN$89-'Alternatyva 4'!BN$114</f>
        <v>0</v>
      </c>
      <c r="BO64" s="43">
        <f>'Alternatyva 4'!BO$89-'Alternatyva 4'!BO$114</f>
        <v>0</v>
      </c>
      <c r="BP64" s="43">
        <f>'Alternatyva 4'!BP$89-'Alternatyva 4'!BP$114</f>
        <v>0</v>
      </c>
      <c r="BQ64" s="43">
        <f>'Alternatyva 4'!BQ$89-'Alternatyva 4'!BQ$114</f>
        <v>0</v>
      </c>
      <c r="BR64" s="43">
        <f>'Alternatyva 4'!BR$89-'Alternatyva 4'!BR$114</f>
        <v>0</v>
      </c>
      <c r="BS64" s="43">
        <f>'Alternatyva 4'!BS$89-'Alternatyva 4'!BS$114</f>
        <v>0</v>
      </c>
      <c r="BT64" s="43">
        <f>'Alternatyva 4'!BT$89-'Alternatyva 4'!BT$114</f>
        <v>0</v>
      </c>
      <c r="BU64" s="43">
        <f>'Alternatyva 4'!BU$89-'Alternatyva 4'!BU$114</f>
        <v>0</v>
      </c>
      <c r="BV64" s="43">
        <f>'Alternatyva 4'!BV$89-'Alternatyva 4'!BV$114</f>
        <v>0</v>
      </c>
      <c r="BW64" s="43">
        <f>'Alternatyva 4'!BW$89-'Alternatyva 4'!BW$114</f>
        <v>0</v>
      </c>
      <c r="BX64" s="43">
        <f>'Alternatyva 4'!BX$89-'Alternatyva 4'!BX$114</f>
        <v>0</v>
      </c>
      <c r="BY64" s="43">
        <f>'Alternatyva 4'!BY$89-'Alternatyva 4'!BY$114</f>
        <v>0</v>
      </c>
      <c r="BZ64" s="43">
        <f>'Alternatyva 4'!BZ$89-'Alternatyva 4'!BZ$114</f>
        <v>0</v>
      </c>
      <c r="CA64" s="43">
        <f>'Alternatyva 4'!CA$89-'Alternatyva 4'!CA$114</f>
        <v>0</v>
      </c>
      <c r="CB64" s="43">
        <f>'Alternatyva 4'!CB$89-'Alternatyva 4'!CB$114</f>
        <v>0</v>
      </c>
      <c r="CC64" s="43">
        <f>'Alternatyva 4'!CC$89-'Alternatyva 4'!CC$114</f>
        <v>0</v>
      </c>
      <c r="CD64" s="43">
        <f>'Alternatyva 4'!CD$89-'Alternatyva 4'!CD$114</f>
        <v>0</v>
      </c>
      <c r="CE64" s="43">
        <f>'Alternatyva 4'!CE$89-'Alternatyva 4'!CE$114</f>
        <v>0</v>
      </c>
      <c r="CF64" s="43">
        <f>'Alternatyva 4'!CF$89-'Alternatyva 4'!CF$114</f>
        <v>0</v>
      </c>
      <c r="CG64" s="43">
        <f>'Alternatyva 4'!CG$89-'Alternatyva 4'!CG$114</f>
        <v>0</v>
      </c>
      <c r="CH64" s="43">
        <f>'Alternatyva 4'!CH$89-'Alternatyva 4'!CH$114</f>
        <v>0</v>
      </c>
      <c r="CI64" s="43">
        <f>'Alternatyva 4'!CI$89-'Alternatyva 4'!CI$114</f>
        <v>0</v>
      </c>
      <c r="CJ64" s="43">
        <f>'Alternatyva 4'!CJ$89-'Alternatyva 4'!CJ$114</f>
        <v>0</v>
      </c>
      <c r="CK64" s="43">
        <f>'Alternatyva 4'!CK$89-'Alternatyva 4'!CK$114</f>
        <v>0</v>
      </c>
      <c r="CL64" s="43">
        <f>'Alternatyva 4'!CL$89-'Alternatyva 4'!CL$114</f>
        <v>0</v>
      </c>
      <c r="CM64" s="43">
        <f>'Alternatyva 4'!CM$89-'Alternatyva 4'!CM$114</f>
        <v>0</v>
      </c>
      <c r="CN64" s="43">
        <f>'Alternatyva 4'!CN$89-'Alternatyva 4'!CN$114</f>
        <v>0</v>
      </c>
      <c r="CO64" s="43">
        <f>'Alternatyva 4'!CO$89-'Alternatyva 4'!CO$114</f>
        <v>0</v>
      </c>
      <c r="CP64" s="43">
        <f>'Alternatyva 4'!CP$89-'Alternatyva 4'!CP$114</f>
        <v>0</v>
      </c>
      <c r="CQ64" s="43">
        <f>'Alternatyva 4'!CQ$89-'Alternatyva 4'!CQ$114</f>
        <v>0</v>
      </c>
      <c r="CR64" s="43">
        <f>'Alternatyva 4'!CR$89-'Alternatyva 4'!CR$114</f>
        <v>0</v>
      </c>
      <c r="CS64" s="43">
        <f>'Alternatyva 4'!CS$89-'Alternatyva 4'!CS$114</f>
        <v>0</v>
      </c>
      <c r="CT64" s="43">
        <f>'Alternatyva 4'!CT$89-'Alternatyva 4'!CT$114</f>
        <v>0</v>
      </c>
      <c r="CU64" s="43">
        <f>'Alternatyva 4'!CU$89-'Alternatyva 4'!CU$114</f>
        <v>0</v>
      </c>
      <c r="CV64" s="43">
        <f>'Alternatyva 4'!CV$89-'Alternatyva 4'!CV$114</f>
        <v>0</v>
      </c>
      <c r="CW64" s="43">
        <f>'Alternatyva 4'!CW$89-'Alternatyva 4'!CW$114</f>
        <v>0</v>
      </c>
      <c r="CX64" s="43">
        <f>'Alternatyva 4'!CX$89-'Alternatyva 4'!CX$114</f>
        <v>0</v>
      </c>
      <c r="CY64" s="43">
        <f>'Alternatyva 4'!CY$89-'Alternatyva 4'!CY$114</f>
        <v>0</v>
      </c>
      <c r="CZ64" s="43">
        <f>'Alternatyva 4'!CZ$89-'Alternatyva 4'!CZ$114</f>
        <v>0</v>
      </c>
      <c r="DA64" s="43">
        <f>'Alternatyva 4'!DA$89-'Alternatyva 4'!DA$114</f>
        <v>0</v>
      </c>
      <c r="DB64" s="43">
        <f>'Alternatyva 4'!DB$89-'Alternatyva 4'!DB$114</f>
        <v>0</v>
      </c>
      <c r="DC64" s="43">
        <f>'Alternatyva 4'!DC$89-'Alternatyva 4'!DC$114</f>
        <v>0</v>
      </c>
    </row>
    <row r="65" spans="2:107" ht="15" hidden="1" customHeight="1">
      <c r="B65" s="5" t="s">
        <v>194</v>
      </c>
      <c r="C65" s="777" t="s">
        <v>16</v>
      </c>
      <c r="D65" s="778"/>
      <c r="E65" s="779"/>
      <c r="F65" s="49">
        <f>H65+NPV(FD,I65:INDEX(I65:DC65,PAL))</f>
        <v>0</v>
      </c>
      <c r="G65" s="43">
        <f>SUMIF($H$6:$DC$6,"&lt;="&amp;PAL,$H65:$DC65)</f>
        <v>0</v>
      </c>
      <c r="H65" s="43">
        <f>SUM('Alternatyva 4'!H$21,'Alternatyva 4'!H$32,'Alternatyva 4'!H$43,'Alternatyva 4'!H$55,'Alternatyva 4'!H$66,'Alternatyva 4'!H$77,'Alternatyva 4'!H$88)</f>
        <v>0</v>
      </c>
      <c r="I65" s="43">
        <f>SUM('Alternatyva 4'!I$21,'Alternatyva 4'!I$32,'Alternatyva 4'!I$43,'Alternatyva 4'!I$55,'Alternatyva 4'!I$66,'Alternatyva 4'!I$77,'Alternatyva 4'!I$88)</f>
        <v>0</v>
      </c>
      <c r="J65" s="43">
        <f>SUM('Alternatyva 4'!J$21,'Alternatyva 4'!J$32,'Alternatyva 4'!J$43,'Alternatyva 4'!J$55,'Alternatyva 4'!J$66,'Alternatyva 4'!J$77,'Alternatyva 4'!J$88)</f>
        <v>0</v>
      </c>
      <c r="K65" s="43">
        <f>SUM('Alternatyva 4'!K$21,'Alternatyva 4'!K$32,'Alternatyva 4'!K$43,'Alternatyva 4'!K$55,'Alternatyva 4'!K$66,'Alternatyva 4'!K$77,'Alternatyva 4'!K$88)</f>
        <v>0</v>
      </c>
      <c r="L65" s="43">
        <f>SUM('Alternatyva 4'!L$21,'Alternatyva 4'!L$32,'Alternatyva 4'!L$43,'Alternatyva 4'!L$55,'Alternatyva 4'!L$66,'Alternatyva 4'!L$77,'Alternatyva 4'!L$88)</f>
        <v>0</v>
      </c>
      <c r="M65" s="43">
        <f>SUM('Alternatyva 4'!M$21,'Alternatyva 4'!M$32,'Alternatyva 4'!M$43,'Alternatyva 4'!M$55,'Alternatyva 4'!M$66,'Alternatyva 4'!M$77,'Alternatyva 4'!M$88)</f>
        <v>0</v>
      </c>
      <c r="N65" s="43">
        <f>SUM('Alternatyva 4'!N$21,'Alternatyva 4'!N$32,'Alternatyva 4'!N$43,'Alternatyva 4'!N$55,'Alternatyva 4'!N$66,'Alternatyva 4'!N$77,'Alternatyva 4'!N$88)</f>
        <v>0</v>
      </c>
      <c r="O65" s="43">
        <f>SUM('Alternatyva 4'!O$21,'Alternatyva 4'!O$32,'Alternatyva 4'!O$43,'Alternatyva 4'!O$55,'Alternatyva 4'!O$66,'Alternatyva 4'!O$77,'Alternatyva 4'!O$88)</f>
        <v>0</v>
      </c>
      <c r="P65" s="43">
        <f>SUM('Alternatyva 4'!P$21,'Alternatyva 4'!P$32,'Alternatyva 4'!P$43,'Alternatyva 4'!P$55,'Alternatyva 4'!P$66,'Alternatyva 4'!P$77,'Alternatyva 4'!P$88)</f>
        <v>0</v>
      </c>
      <c r="Q65" s="43">
        <f>SUM('Alternatyva 4'!Q$21,'Alternatyva 4'!Q$32,'Alternatyva 4'!Q$43,'Alternatyva 4'!Q$55,'Alternatyva 4'!Q$66,'Alternatyva 4'!Q$77,'Alternatyva 4'!Q$88)</f>
        <v>0</v>
      </c>
      <c r="R65" s="43">
        <f>SUM('Alternatyva 4'!R$21,'Alternatyva 4'!R$32,'Alternatyva 4'!R$43,'Alternatyva 4'!R$55,'Alternatyva 4'!R$66,'Alternatyva 4'!R$77,'Alternatyva 4'!R$88)</f>
        <v>0</v>
      </c>
      <c r="S65" s="43">
        <f>SUM('Alternatyva 4'!S$21,'Alternatyva 4'!S$32,'Alternatyva 4'!S$43,'Alternatyva 4'!S$55,'Alternatyva 4'!S$66,'Alternatyva 4'!S$77,'Alternatyva 4'!S$88)</f>
        <v>0</v>
      </c>
      <c r="T65" s="43">
        <f>SUM('Alternatyva 4'!T$21,'Alternatyva 4'!T$32,'Alternatyva 4'!T$43,'Alternatyva 4'!T$55,'Alternatyva 4'!T$66,'Alternatyva 4'!T$77,'Alternatyva 4'!T$88)</f>
        <v>0</v>
      </c>
      <c r="U65" s="43">
        <f>SUM('Alternatyva 4'!U$21,'Alternatyva 4'!U$32,'Alternatyva 4'!U$43,'Alternatyva 4'!U$55,'Alternatyva 4'!U$66,'Alternatyva 4'!U$77,'Alternatyva 4'!U$88)</f>
        <v>0</v>
      </c>
      <c r="V65" s="43">
        <f>SUM('Alternatyva 4'!V$21,'Alternatyva 4'!V$32,'Alternatyva 4'!V$43,'Alternatyva 4'!V$55,'Alternatyva 4'!V$66,'Alternatyva 4'!V$77,'Alternatyva 4'!V$88)</f>
        <v>0</v>
      </c>
      <c r="W65" s="43">
        <f>SUM('Alternatyva 4'!W$21,'Alternatyva 4'!W$32,'Alternatyva 4'!W$43,'Alternatyva 4'!W$55,'Alternatyva 4'!W$66,'Alternatyva 4'!W$77,'Alternatyva 4'!W$88)</f>
        <v>0</v>
      </c>
      <c r="X65" s="43">
        <f>SUM('Alternatyva 4'!X$21,'Alternatyva 4'!X$32,'Alternatyva 4'!X$43,'Alternatyva 4'!X$55,'Alternatyva 4'!X$66,'Alternatyva 4'!X$77,'Alternatyva 4'!X$88)</f>
        <v>0</v>
      </c>
      <c r="Y65" s="43">
        <f>SUM('Alternatyva 4'!Y$21,'Alternatyva 4'!Y$32,'Alternatyva 4'!Y$43,'Alternatyva 4'!Y$55,'Alternatyva 4'!Y$66,'Alternatyva 4'!Y$77,'Alternatyva 4'!Y$88)</f>
        <v>0</v>
      </c>
      <c r="Z65" s="43">
        <f>SUM('Alternatyva 4'!Z$21,'Alternatyva 4'!Z$32,'Alternatyva 4'!Z$43,'Alternatyva 4'!Z$55,'Alternatyva 4'!Z$66,'Alternatyva 4'!Z$77,'Alternatyva 4'!Z$88)</f>
        <v>0</v>
      </c>
      <c r="AA65" s="43">
        <f>SUM('Alternatyva 4'!AA$21,'Alternatyva 4'!AA$32,'Alternatyva 4'!AA$43,'Alternatyva 4'!AA$55,'Alternatyva 4'!AA$66,'Alternatyva 4'!AA$77,'Alternatyva 4'!AA$88)</f>
        <v>0</v>
      </c>
      <c r="AB65" s="43">
        <f>SUM('Alternatyva 4'!AB$21,'Alternatyva 4'!AB$32,'Alternatyva 4'!AB$43,'Alternatyva 4'!AB$55,'Alternatyva 4'!AB$66,'Alternatyva 4'!AB$77,'Alternatyva 4'!AB$88)</f>
        <v>0</v>
      </c>
      <c r="AC65" s="43">
        <f>SUM('Alternatyva 4'!AC$21,'Alternatyva 4'!AC$32,'Alternatyva 4'!AC$43,'Alternatyva 4'!AC$55,'Alternatyva 4'!AC$66,'Alternatyva 4'!AC$77,'Alternatyva 4'!AC$88)</f>
        <v>0</v>
      </c>
      <c r="AD65" s="43">
        <f>SUM('Alternatyva 4'!AD$21,'Alternatyva 4'!AD$32,'Alternatyva 4'!AD$43,'Alternatyva 4'!AD$55,'Alternatyva 4'!AD$66,'Alternatyva 4'!AD$77,'Alternatyva 4'!AD$88)</f>
        <v>0</v>
      </c>
      <c r="AE65" s="43">
        <f>SUM('Alternatyva 4'!AE$21,'Alternatyva 4'!AE$32,'Alternatyva 4'!AE$43,'Alternatyva 4'!AE$55,'Alternatyva 4'!AE$66,'Alternatyva 4'!AE$77,'Alternatyva 4'!AE$88)</f>
        <v>0</v>
      </c>
      <c r="AF65" s="43">
        <f>SUM('Alternatyva 4'!AF$21,'Alternatyva 4'!AF$32,'Alternatyva 4'!AF$43,'Alternatyva 4'!AF$55,'Alternatyva 4'!AF$66,'Alternatyva 4'!AF$77,'Alternatyva 4'!AF$88)</f>
        <v>0</v>
      </c>
      <c r="AG65" s="43">
        <f>SUM('Alternatyva 4'!AG$21,'Alternatyva 4'!AG$32,'Alternatyva 4'!AG$43,'Alternatyva 4'!AG$55,'Alternatyva 4'!AG$66,'Alternatyva 4'!AG$77,'Alternatyva 4'!AG$88)</f>
        <v>0</v>
      </c>
      <c r="AH65" s="43">
        <f>SUM('Alternatyva 4'!AH$21,'Alternatyva 4'!AH$32,'Alternatyva 4'!AH$43,'Alternatyva 4'!AH$55,'Alternatyva 4'!AH$66,'Alternatyva 4'!AH$77,'Alternatyva 4'!AH$88)</f>
        <v>0</v>
      </c>
      <c r="AI65" s="43">
        <f>SUM('Alternatyva 4'!AI$21,'Alternatyva 4'!AI$32,'Alternatyva 4'!AI$43,'Alternatyva 4'!AI$55,'Alternatyva 4'!AI$66,'Alternatyva 4'!AI$77,'Alternatyva 4'!AI$88)</f>
        <v>0</v>
      </c>
      <c r="AJ65" s="43">
        <f>SUM('Alternatyva 4'!AJ$21,'Alternatyva 4'!AJ$32,'Alternatyva 4'!AJ$43,'Alternatyva 4'!AJ$55,'Alternatyva 4'!AJ$66,'Alternatyva 4'!AJ$77,'Alternatyva 4'!AJ$88)</f>
        <v>0</v>
      </c>
      <c r="AK65" s="43">
        <f>SUM('Alternatyva 4'!AK$21,'Alternatyva 4'!AK$32,'Alternatyva 4'!AK$43,'Alternatyva 4'!AK$55,'Alternatyva 4'!AK$66,'Alternatyva 4'!AK$77,'Alternatyva 4'!AK$88)</f>
        <v>0</v>
      </c>
      <c r="AL65" s="43">
        <f>SUM('Alternatyva 4'!AL$21,'Alternatyva 4'!AL$32,'Alternatyva 4'!AL$43,'Alternatyva 4'!AL$55,'Alternatyva 4'!AL$66,'Alternatyva 4'!AL$77,'Alternatyva 4'!AL$88)</f>
        <v>0</v>
      </c>
      <c r="AM65" s="43">
        <f>SUM('Alternatyva 4'!AM$21,'Alternatyva 4'!AM$32,'Alternatyva 4'!AM$43,'Alternatyva 4'!AM$55,'Alternatyva 4'!AM$66,'Alternatyva 4'!AM$77,'Alternatyva 4'!AM$88)</f>
        <v>0</v>
      </c>
      <c r="AN65" s="43">
        <f>SUM('Alternatyva 4'!AN$21,'Alternatyva 4'!AN$32,'Alternatyva 4'!AN$43,'Alternatyva 4'!AN$55,'Alternatyva 4'!AN$66,'Alternatyva 4'!AN$77,'Alternatyva 4'!AN$88)</f>
        <v>0</v>
      </c>
      <c r="AO65" s="43">
        <f>SUM('Alternatyva 4'!AO$21,'Alternatyva 4'!AO$32,'Alternatyva 4'!AO$43,'Alternatyva 4'!AO$55,'Alternatyva 4'!AO$66,'Alternatyva 4'!AO$77,'Alternatyva 4'!AO$88)</f>
        <v>0</v>
      </c>
      <c r="AP65" s="43">
        <f>SUM('Alternatyva 4'!AP$21,'Alternatyva 4'!AP$32,'Alternatyva 4'!AP$43,'Alternatyva 4'!AP$55,'Alternatyva 4'!AP$66,'Alternatyva 4'!AP$77,'Alternatyva 4'!AP$88)</f>
        <v>0</v>
      </c>
      <c r="AQ65" s="43">
        <f>SUM('Alternatyva 4'!AQ$21,'Alternatyva 4'!AQ$32,'Alternatyva 4'!AQ$43,'Alternatyva 4'!AQ$55,'Alternatyva 4'!AQ$66,'Alternatyva 4'!AQ$77,'Alternatyva 4'!AQ$88)</f>
        <v>0</v>
      </c>
      <c r="AR65" s="43">
        <f>SUM('Alternatyva 4'!AR$21,'Alternatyva 4'!AR$32,'Alternatyva 4'!AR$43,'Alternatyva 4'!AR$55,'Alternatyva 4'!AR$66,'Alternatyva 4'!AR$77,'Alternatyva 4'!AR$88)</f>
        <v>0</v>
      </c>
      <c r="AS65" s="43">
        <f>SUM('Alternatyva 4'!AS$21,'Alternatyva 4'!AS$32,'Alternatyva 4'!AS$43,'Alternatyva 4'!AS$55,'Alternatyva 4'!AS$66,'Alternatyva 4'!AS$77,'Alternatyva 4'!AS$88)</f>
        <v>0</v>
      </c>
      <c r="AT65" s="43">
        <f>SUM('Alternatyva 4'!AT$21,'Alternatyva 4'!AT$32,'Alternatyva 4'!AT$43,'Alternatyva 4'!AT$55,'Alternatyva 4'!AT$66,'Alternatyva 4'!AT$77,'Alternatyva 4'!AT$88)</f>
        <v>0</v>
      </c>
      <c r="AU65" s="43">
        <f>SUM('Alternatyva 4'!AU$21,'Alternatyva 4'!AU$32,'Alternatyva 4'!AU$43,'Alternatyva 4'!AU$55,'Alternatyva 4'!AU$66,'Alternatyva 4'!AU$77,'Alternatyva 4'!AU$88)</f>
        <v>0</v>
      </c>
      <c r="AV65" s="43">
        <f>SUM('Alternatyva 4'!AV$21,'Alternatyva 4'!AV$32,'Alternatyva 4'!AV$43,'Alternatyva 4'!AV$55,'Alternatyva 4'!AV$66,'Alternatyva 4'!AV$77,'Alternatyva 4'!AV$88)</f>
        <v>0</v>
      </c>
      <c r="AW65" s="43">
        <f>SUM('Alternatyva 4'!AW$21,'Alternatyva 4'!AW$32,'Alternatyva 4'!AW$43,'Alternatyva 4'!AW$55,'Alternatyva 4'!AW$66,'Alternatyva 4'!AW$77,'Alternatyva 4'!AW$88)</f>
        <v>0</v>
      </c>
      <c r="AX65" s="43">
        <f>SUM('Alternatyva 4'!AX$21,'Alternatyva 4'!AX$32,'Alternatyva 4'!AX$43,'Alternatyva 4'!AX$55,'Alternatyva 4'!AX$66,'Alternatyva 4'!AX$77,'Alternatyva 4'!AX$88)</f>
        <v>0</v>
      </c>
      <c r="AY65" s="43">
        <f>SUM('Alternatyva 4'!AY$21,'Alternatyva 4'!AY$32,'Alternatyva 4'!AY$43,'Alternatyva 4'!AY$55,'Alternatyva 4'!AY$66,'Alternatyva 4'!AY$77,'Alternatyva 4'!AY$88)</f>
        <v>0</v>
      </c>
      <c r="AZ65" s="43">
        <f>SUM('Alternatyva 4'!AZ$21,'Alternatyva 4'!AZ$32,'Alternatyva 4'!AZ$43,'Alternatyva 4'!AZ$55,'Alternatyva 4'!AZ$66,'Alternatyva 4'!AZ$77,'Alternatyva 4'!AZ$88)</f>
        <v>0</v>
      </c>
      <c r="BA65" s="43">
        <f>SUM('Alternatyva 4'!BA$21,'Alternatyva 4'!BA$32,'Alternatyva 4'!BA$43,'Alternatyva 4'!BA$55,'Alternatyva 4'!BA$66,'Alternatyva 4'!BA$77,'Alternatyva 4'!BA$88)</f>
        <v>0</v>
      </c>
      <c r="BB65" s="43">
        <f>SUM('Alternatyva 4'!BB$21,'Alternatyva 4'!BB$32,'Alternatyva 4'!BB$43,'Alternatyva 4'!BB$55,'Alternatyva 4'!BB$66,'Alternatyva 4'!BB$77,'Alternatyva 4'!BB$88)</f>
        <v>0</v>
      </c>
      <c r="BC65" s="43">
        <f>SUM('Alternatyva 4'!BC$21,'Alternatyva 4'!BC$32,'Alternatyva 4'!BC$43,'Alternatyva 4'!BC$55,'Alternatyva 4'!BC$66,'Alternatyva 4'!BC$77,'Alternatyva 4'!BC$88)</f>
        <v>0</v>
      </c>
      <c r="BD65" s="43">
        <f>SUM('Alternatyva 4'!BD$21,'Alternatyva 4'!BD$32,'Alternatyva 4'!BD$43,'Alternatyva 4'!BD$55,'Alternatyva 4'!BD$66,'Alternatyva 4'!BD$77,'Alternatyva 4'!BD$88)</f>
        <v>0</v>
      </c>
      <c r="BE65" s="43">
        <f>SUM('Alternatyva 4'!BE$21,'Alternatyva 4'!BE$32,'Alternatyva 4'!BE$43,'Alternatyva 4'!BE$55,'Alternatyva 4'!BE$66,'Alternatyva 4'!BE$77,'Alternatyva 4'!BE$88)</f>
        <v>0</v>
      </c>
      <c r="BF65" s="43">
        <f>SUM('Alternatyva 4'!BF$21,'Alternatyva 4'!BF$32,'Alternatyva 4'!BF$43,'Alternatyva 4'!BF$55,'Alternatyva 4'!BF$66,'Alternatyva 4'!BF$77,'Alternatyva 4'!BF$88)</f>
        <v>0</v>
      </c>
      <c r="BG65" s="43">
        <f>SUM('Alternatyva 4'!BG$21,'Alternatyva 4'!BG$32,'Alternatyva 4'!BG$43,'Alternatyva 4'!BG$55,'Alternatyva 4'!BG$66,'Alternatyva 4'!BG$77,'Alternatyva 4'!BG$88)</f>
        <v>0</v>
      </c>
      <c r="BH65" s="43">
        <f>SUM('Alternatyva 4'!BH$21,'Alternatyva 4'!BH$32,'Alternatyva 4'!BH$43,'Alternatyva 4'!BH$55,'Alternatyva 4'!BH$66,'Alternatyva 4'!BH$77,'Alternatyva 4'!BH$88)</f>
        <v>0</v>
      </c>
      <c r="BI65" s="43">
        <f>SUM('Alternatyva 4'!BI$21,'Alternatyva 4'!BI$32,'Alternatyva 4'!BI$43,'Alternatyva 4'!BI$55,'Alternatyva 4'!BI$66,'Alternatyva 4'!BI$77,'Alternatyva 4'!BI$88)</f>
        <v>0</v>
      </c>
      <c r="BJ65" s="43">
        <f>SUM('Alternatyva 4'!BJ$21,'Alternatyva 4'!BJ$32,'Alternatyva 4'!BJ$43,'Alternatyva 4'!BJ$55,'Alternatyva 4'!BJ$66,'Alternatyva 4'!BJ$77,'Alternatyva 4'!BJ$88)</f>
        <v>0</v>
      </c>
      <c r="BK65" s="43">
        <f>SUM('Alternatyva 4'!BK$21,'Alternatyva 4'!BK$32,'Alternatyva 4'!BK$43,'Alternatyva 4'!BK$55,'Alternatyva 4'!BK$66,'Alternatyva 4'!BK$77,'Alternatyva 4'!BK$88)</f>
        <v>0</v>
      </c>
      <c r="BL65" s="43">
        <f>SUM('Alternatyva 4'!BL$21,'Alternatyva 4'!BL$32,'Alternatyva 4'!BL$43,'Alternatyva 4'!BL$55,'Alternatyva 4'!BL$66,'Alternatyva 4'!BL$77,'Alternatyva 4'!BL$88)</f>
        <v>0</v>
      </c>
      <c r="BM65" s="43">
        <f>SUM('Alternatyva 4'!BM$21,'Alternatyva 4'!BM$32,'Alternatyva 4'!BM$43,'Alternatyva 4'!BM$55,'Alternatyva 4'!BM$66,'Alternatyva 4'!BM$77,'Alternatyva 4'!BM$88)</f>
        <v>0</v>
      </c>
      <c r="BN65" s="43">
        <f>SUM('Alternatyva 4'!BN$21,'Alternatyva 4'!BN$32,'Alternatyva 4'!BN$43,'Alternatyva 4'!BN$55,'Alternatyva 4'!BN$66,'Alternatyva 4'!BN$77,'Alternatyva 4'!BN$88)</f>
        <v>0</v>
      </c>
      <c r="BO65" s="43">
        <f>SUM('Alternatyva 4'!BO$21,'Alternatyva 4'!BO$32,'Alternatyva 4'!BO$43,'Alternatyva 4'!BO$55,'Alternatyva 4'!BO$66,'Alternatyva 4'!BO$77,'Alternatyva 4'!BO$88)</f>
        <v>0</v>
      </c>
      <c r="BP65" s="43">
        <f>SUM('Alternatyva 4'!BP$21,'Alternatyva 4'!BP$32,'Alternatyva 4'!BP$43,'Alternatyva 4'!BP$55,'Alternatyva 4'!BP$66,'Alternatyva 4'!BP$77,'Alternatyva 4'!BP$88)</f>
        <v>0</v>
      </c>
      <c r="BQ65" s="43">
        <f>SUM('Alternatyva 4'!BQ$21,'Alternatyva 4'!BQ$32,'Alternatyva 4'!BQ$43,'Alternatyva 4'!BQ$55,'Alternatyva 4'!BQ$66,'Alternatyva 4'!BQ$77,'Alternatyva 4'!BQ$88)</f>
        <v>0</v>
      </c>
      <c r="BR65" s="43">
        <f>SUM('Alternatyva 4'!BR$21,'Alternatyva 4'!BR$32,'Alternatyva 4'!BR$43,'Alternatyva 4'!BR$55,'Alternatyva 4'!BR$66,'Alternatyva 4'!BR$77,'Alternatyva 4'!BR$88)</f>
        <v>0</v>
      </c>
      <c r="BS65" s="43">
        <f>SUM('Alternatyva 4'!BS$21,'Alternatyva 4'!BS$32,'Alternatyva 4'!BS$43,'Alternatyva 4'!BS$55,'Alternatyva 4'!BS$66,'Alternatyva 4'!BS$77,'Alternatyva 4'!BS$88)</f>
        <v>0</v>
      </c>
      <c r="BT65" s="43">
        <f>SUM('Alternatyva 4'!BT$21,'Alternatyva 4'!BT$32,'Alternatyva 4'!BT$43,'Alternatyva 4'!BT$55,'Alternatyva 4'!BT$66,'Alternatyva 4'!BT$77,'Alternatyva 4'!BT$88)</f>
        <v>0</v>
      </c>
      <c r="BU65" s="43">
        <f>SUM('Alternatyva 4'!BU$21,'Alternatyva 4'!BU$32,'Alternatyva 4'!BU$43,'Alternatyva 4'!BU$55,'Alternatyva 4'!BU$66,'Alternatyva 4'!BU$77,'Alternatyva 4'!BU$88)</f>
        <v>0</v>
      </c>
      <c r="BV65" s="43">
        <f>SUM('Alternatyva 4'!BV$21,'Alternatyva 4'!BV$32,'Alternatyva 4'!BV$43,'Alternatyva 4'!BV$55,'Alternatyva 4'!BV$66,'Alternatyva 4'!BV$77,'Alternatyva 4'!BV$88)</f>
        <v>0</v>
      </c>
      <c r="BW65" s="43">
        <f>SUM('Alternatyva 4'!BW$21,'Alternatyva 4'!BW$32,'Alternatyva 4'!BW$43,'Alternatyva 4'!BW$55,'Alternatyva 4'!BW$66,'Alternatyva 4'!BW$77,'Alternatyva 4'!BW$88)</f>
        <v>0</v>
      </c>
      <c r="BX65" s="43">
        <f>SUM('Alternatyva 4'!BX$21,'Alternatyva 4'!BX$32,'Alternatyva 4'!BX$43,'Alternatyva 4'!BX$55,'Alternatyva 4'!BX$66,'Alternatyva 4'!BX$77,'Alternatyva 4'!BX$88)</f>
        <v>0</v>
      </c>
      <c r="BY65" s="43">
        <f>SUM('Alternatyva 4'!BY$21,'Alternatyva 4'!BY$32,'Alternatyva 4'!BY$43,'Alternatyva 4'!BY$55,'Alternatyva 4'!BY$66,'Alternatyva 4'!BY$77,'Alternatyva 4'!BY$88)</f>
        <v>0</v>
      </c>
      <c r="BZ65" s="43">
        <f>SUM('Alternatyva 4'!BZ$21,'Alternatyva 4'!BZ$32,'Alternatyva 4'!BZ$43,'Alternatyva 4'!BZ$55,'Alternatyva 4'!BZ$66,'Alternatyva 4'!BZ$77,'Alternatyva 4'!BZ$88)</f>
        <v>0</v>
      </c>
      <c r="CA65" s="43">
        <f>SUM('Alternatyva 4'!CA$21,'Alternatyva 4'!CA$32,'Alternatyva 4'!CA$43,'Alternatyva 4'!CA$55,'Alternatyva 4'!CA$66,'Alternatyva 4'!CA$77,'Alternatyva 4'!CA$88)</f>
        <v>0</v>
      </c>
      <c r="CB65" s="43">
        <f>SUM('Alternatyva 4'!CB$21,'Alternatyva 4'!CB$32,'Alternatyva 4'!CB$43,'Alternatyva 4'!CB$55,'Alternatyva 4'!CB$66,'Alternatyva 4'!CB$77,'Alternatyva 4'!CB$88)</f>
        <v>0</v>
      </c>
      <c r="CC65" s="43">
        <f>SUM('Alternatyva 4'!CC$21,'Alternatyva 4'!CC$32,'Alternatyva 4'!CC$43,'Alternatyva 4'!CC$55,'Alternatyva 4'!CC$66,'Alternatyva 4'!CC$77,'Alternatyva 4'!CC$88)</f>
        <v>0</v>
      </c>
      <c r="CD65" s="43">
        <f>SUM('Alternatyva 4'!CD$21,'Alternatyva 4'!CD$32,'Alternatyva 4'!CD$43,'Alternatyva 4'!CD$55,'Alternatyva 4'!CD$66,'Alternatyva 4'!CD$77,'Alternatyva 4'!CD$88)</f>
        <v>0</v>
      </c>
      <c r="CE65" s="43">
        <f>SUM('Alternatyva 4'!CE$21,'Alternatyva 4'!CE$32,'Alternatyva 4'!CE$43,'Alternatyva 4'!CE$55,'Alternatyva 4'!CE$66,'Alternatyva 4'!CE$77,'Alternatyva 4'!CE$88)</f>
        <v>0</v>
      </c>
      <c r="CF65" s="43">
        <f>SUM('Alternatyva 4'!CF$21,'Alternatyva 4'!CF$32,'Alternatyva 4'!CF$43,'Alternatyva 4'!CF$55,'Alternatyva 4'!CF$66,'Alternatyva 4'!CF$77,'Alternatyva 4'!CF$88)</f>
        <v>0</v>
      </c>
      <c r="CG65" s="43">
        <f>SUM('Alternatyva 4'!CG$21,'Alternatyva 4'!CG$32,'Alternatyva 4'!CG$43,'Alternatyva 4'!CG$55,'Alternatyva 4'!CG$66,'Alternatyva 4'!CG$77,'Alternatyva 4'!CG$88)</f>
        <v>0</v>
      </c>
      <c r="CH65" s="43">
        <f>SUM('Alternatyva 4'!CH$21,'Alternatyva 4'!CH$32,'Alternatyva 4'!CH$43,'Alternatyva 4'!CH$55,'Alternatyva 4'!CH$66,'Alternatyva 4'!CH$77,'Alternatyva 4'!CH$88)</f>
        <v>0</v>
      </c>
      <c r="CI65" s="43">
        <f>SUM('Alternatyva 4'!CI$21,'Alternatyva 4'!CI$32,'Alternatyva 4'!CI$43,'Alternatyva 4'!CI$55,'Alternatyva 4'!CI$66,'Alternatyva 4'!CI$77,'Alternatyva 4'!CI$88)</f>
        <v>0</v>
      </c>
      <c r="CJ65" s="43">
        <f>SUM('Alternatyva 4'!CJ$21,'Alternatyva 4'!CJ$32,'Alternatyva 4'!CJ$43,'Alternatyva 4'!CJ$55,'Alternatyva 4'!CJ$66,'Alternatyva 4'!CJ$77,'Alternatyva 4'!CJ$88)</f>
        <v>0</v>
      </c>
      <c r="CK65" s="43">
        <f>SUM('Alternatyva 4'!CK$21,'Alternatyva 4'!CK$32,'Alternatyva 4'!CK$43,'Alternatyva 4'!CK$55,'Alternatyva 4'!CK$66,'Alternatyva 4'!CK$77,'Alternatyva 4'!CK$88)</f>
        <v>0</v>
      </c>
      <c r="CL65" s="43">
        <f>SUM('Alternatyva 4'!CL$21,'Alternatyva 4'!CL$32,'Alternatyva 4'!CL$43,'Alternatyva 4'!CL$55,'Alternatyva 4'!CL$66,'Alternatyva 4'!CL$77,'Alternatyva 4'!CL$88)</f>
        <v>0</v>
      </c>
      <c r="CM65" s="43">
        <f>SUM('Alternatyva 4'!CM$21,'Alternatyva 4'!CM$32,'Alternatyva 4'!CM$43,'Alternatyva 4'!CM$55,'Alternatyva 4'!CM$66,'Alternatyva 4'!CM$77,'Alternatyva 4'!CM$88)</f>
        <v>0</v>
      </c>
      <c r="CN65" s="43">
        <f>SUM('Alternatyva 4'!CN$21,'Alternatyva 4'!CN$32,'Alternatyva 4'!CN$43,'Alternatyva 4'!CN$55,'Alternatyva 4'!CN$66,'Alternatyva 4'!CN$77,'Alternatyva 4'!CN$88)</f>
        <v>0</v>
      </c>
      <c r="CO65" s="43">
        <f>SUM('Alternatyva 4'!CO$21,'Alternatyva 4'!CO$32,'Alternatyva 4'!CO$43,'Alternatyva 4'!CO$55,'Alternatyva 4'!CO$66,'Alternatyva 4'!CO$77,'Alternatyva 4'!CO$88)</f>
        <v>0</v>
      </c>
      <c r="CP65" s="43">
        <f>SUM('Alternatyva 4'!CP$21,'Alternatyva 4'!CP$32,'Alternatyva 4'!CP$43,'Alternatyva 4'!CP$55,'Alternatyva 4'!CP$66,'Alternatyva 4'!CP$77,'Alternatyva 4'!CP$88)</f>
        <v>0</v>
      </c>
      <c r="CQ65" s="43">
        <f>SUM('Alternatyva 4'!CQ$21,'Alternatyva 4'!CQ$32,'Alternatyva 4'!CQ$43,'Alternatyva 4'!CQ$55,'Alternatyva 4'!CQ$66,'Alternatyva 4'!CQ$77,'Alternatyva 4'!CQ$88)</f>
        <v>0</v>
      </c>
      <c r="CR65" s="43">
        <f>SUM('Alternatyva 4'!CR$21,'Alternatyva 4'!CR$32,'Alternatyva 4'!CR$43,'Alternatyva 4'!CR$55,'Alternatyva 4'!CR$66,'Alternatyva 4'!CR$77,'Alternatyva 4'!CR$88)</f>
        <v>0</v>
      </c>
      <c r="CS65" s="43">
        <f>SUM('Alternatyva 4'!CS$21,'Alternatyva 4'!CS$32,'Alternatyva 4'!CS$43,'Alternatyva 4'!CS$55,'Alternatyva 4'!CS$66,'Alternatyva 4'!CS$77,'Alternatyva 4'!CS$88)</f>
        <v>0</v>
      </c>
      <c r="CT65" s="43">
        <f>SUM('Alternatyva 4'!CT$21,'Alternatyva 4'!CT$32,'Alternatyva 4'!CT$43,'Alternatyva 4'!CT$55,'Alternatyva 4'!CT$66,'Alternatyva 4'!CT$77,'Alternatyva 4'!CT$88)</f>
        <v>0</v>
      </c>
      <c r="CU65" s="43">
        <f>SUM('Alternatyva 4'!CU$21,'Alternatyva 4'!CU$32,'Alternatyva 4'!CU$43,'Alternatyva 4'!CU$55,'Alternatyva 4'!CU$66,'Alternatyva 4'!CU$77,'Alternatyva 4'!CU$88)</f>
        <v>0</v>
      </c>
      <c r="CV65" s="43">
        <f>SUM('Alternatyva 4'!CV$21,'Alternatyva 4'!CV$32,'Alternatyva 4'!CV$43,'Alternatyva 4'!CV$55,'Alternatyva 4'!CV$66,'Alternatyva 4'!CV$77,'Alternatyva 4'!CV$88)</f>
        <v>0</v>
      </c>
      <c r="CW65" s="43">
        <f>SUM('Alternatyva 4'!CW$21,'Alternatyva 4'!CW$32,'Alternatyva 4'!CW$43,'Alternatyva 4'!CW$55,'Alternatyva 4'!CW$66,'Alternatyva 4'!CW$77,'Alternatyva 4'!CW$88)</f>
        <v>0</v>
      </c>
      <c r="CX65" s="43">
        <f>SUM('Alternatyva 4'!CX$21,'Alternatyva 4'!CX$32,'Alternatyva 4'!CX$43,'Alternatyva 4'!CX$55,'Alternatyva 4'!CX$66,'Alternatyva 4'!CX$77,'Alternatyva 4'!CX$88)</f>
        <v>0</v>
      </c>
      <c r="CY65" s="43">
        <f>SUM('Alternatyva 4'!CY$21,'Alternatyva 4'!CY$32,'Alternatyva 4'!CY$43,'Alternatyva 4'!CY$55,'Alternatyva 4'!CY$66,'Alternatyva 4'!CY$77,'Alternatyva 4'!CY$88)</f>
        <v>0</v>
      </c>
      <c r="CZ65" s="43">
        <f>SUM('Alternatyva 4'!CZ$21,'Alternatyva 4'!CZ$32,'Alternatyva 4'!CZ$43,'Alternatyva 4'!CZ$55,'Alternatyva 4'!CZ$66,'Alternatyva 4'!CZ$77,'Alternatyva 4'!CZ$88)</f>
        <v>0</v>
      </c>
      <c r="DA65" s="43">
        <f>SUM('Alternatyva 4'!DA$21,'Alternatyva 4'!DA$32,'Alternatyva 4'!DA$43,'Alternatyva 4'!DA$55,'Alternatyva 4'!DA$66,'Alternatyva 4'!DA$77,'Alternatyva 4'!DA$88)</f>
        <v>0</v>
      </c>
      <c r="DB65" s="43">
        <f>SUM('Alternatyva 4'!DB$21,'Alternatyva 4'!DB$32,'Alternatyva 4'!DB$43,'Alternatyva 4'!DB$55,'Alternatyva 4'!DB$66,'Alternatyva 4'!DB$77,'Alternatyva 4'!DB$88)</f>
        <v>0</v>
      </c>
      <c r="DC65" s="43">
        <f>SUM('Alternatyva 4'!DC$21,'Alternatyva 4'!DC$32,'Alternatyva 4'!DC$43,'Alternatyva 4'!DC$55,'Alternatyva 4'!DC$66,'Alternatyva 4'!DC$77,'Alternatyva 4'!DC$88)</f>
        <v>0</v>
      </c>
    </row>
    <row r="66" spans="2:107" ht="15" hidden="1" customHeight="1">
      <c r="B66" s="5" t="s">
        <v>195</v>
      </c>
      <c r="C66" s="777" t="s">
        <v>264</v>
      </c>
      <c r="D66" s="778"/>
      <c r="E66" s="779"/>
      <c r="F66" s="49">
        <f>H66+NPV(SD,I66:INDEX(I66:DC66,PAL))</f>
        <v>0</v>
      </c>
      <c r="G66" s="43">
        <f>SUMIF($H$6:$DC$6,"&lt;="&amp;PAL,$H66:$DC66)</f>
        <v>0</v>
      </c>
      <c r="H66" s="43">
        <f>H65-SUMPRODUCT('Alternatyva 4'!H$21:H$88,'Alternatyva 4'!$DH$21:$DH$88)</f>
        <v>0</v>
      </c>
      <c r="I66" s="43">
        <f>I65-SUMPRODUCT('Alternatyva 4'!I$21:I$88,'Alternatyva 4'!$DH$21:$DH$88)</f>
        <v>0</v>
      </c>
      <c r="J66" s="43">
        <f>J65-SUMPRODUCT('Alternatyva 4'!J$21:J$88,'Alternatyva 4'!$DH$21:$DH$88)</f>
        <v>0</v>
      </c>
      <c r="K66" s="43">
        <f>K65-SUMPRODUCT('Alternatyva 4'!K$21:K$88,'Alternatyva 4'!$DH$21:$DH$88)</f>
        <v>0</v>
      </c>
      <c r="L66" s="43">
        <f>L65-SUMPRODUCT('Alternatyva 4'!L$21:L$88,'Alternatyva 4'!$DH$21:$DH$88)</f>
        <v>0</v>
      </c>
      <c r="M66" s="43">
        <f>M65-SUMPRODUCT('Alternatyva 4'!M$21:M$88,'Alternatyva 4'!$DH$21:$DH$88)</f>
        <v>0</v>
      </c>
      <c r="N66" s="43">
        <f>N65-SUMPRODUCT('Alternatyva 4'!N$21:N$88,'Alternatyva 4'!$DH$21:$DH$88)</f>
        <v>0</v>
      </c>
      <c r="O66" s="43">
        <f>O65-SUMPRODUCT('Alternatyva 4'!O$21:O$88,'Alternatyva 4'!$DH$21:$DH$88)</f>
        <v>0</v>
      </c>
      <c r="P66" s="43">
        <f>P65-SUMPRODUCT('Alternatyva 4'!P$21:P$88,'Alternatyva 4'!$DH$21:$DH$88)</f>
        <v>0</v>
      </c>
      <c r="Q66" s="43">
        <f>Q65-SUMPRODUCT('Alternatyva 4'!Q$21:Q$88,'Alternatyva 4'!$DH$21:$DH$88)</f>
        <v>0</v>
      </c>
      <c r="R66" s="43">
        <f>R65-SUMPRODUCT('Alternatyva 4'!R$21:R$88,'Alternatyva 4'!$DH$21:$DH$88)</f>
        <v>0</v>
      </c>
      <c r="S66" s="43">
        <f>S65-SUMPRODUCT('Alternatyva 4'!S$21:S$88,'Alternatyva 4'!$DH$21:$DH$88)</f>
        <v>0</v>
      </c>
      <c r="T66" s="43">
        <f>T65-SUMPRODUCT('Alternatyva 4'!T$21:T$88,'Alternatyva 4'!$DH$21:$DH$88)</f>
        <v>0</v>
      </c>
      <c r="U66" s="43">
        <f>U65-SUMPRODUCT('Alternatyva 4'!U$21:U$88,'Alternatyva 4'!$DH$21:$DH$88)</f>
        <v>0</v>
      </c>
      <c r="V66" s="43">
        <f>V65-SUMPRODUCT('Alternatyva 4'!V$21:V$88,'Alternatyva 4'!$DH$21:$DH$88)</f>
        <v>0</v>
      </c>
      <c r="W66" s="43">
        <f>W65-SUMPRODUCT('Alternatyva 4'!W$21:W$88,'Alternatyva 4'!$DH$21:$DH$88)</f>
        <v>0</v>
      </c>
      <c r="X66" s="43">
        <f>X65-SUMPRODUCT('Alternatyva 4'!X$21:X$88,'Alternatyva 4'!$DH$21:$DH$88)</f>
        <v>0</v>
      </c>
      <c r="Y66" s="43">
        <f>Y65-SUMPRODUCT('Alternatyva 4'!Y$21:Y$88,'Alternatyva 4'!$DH$21:$DH$88)</f>
        <v>0</v>
      </c>
      <c r="Z66" s="43">
        <f>Z65-SUMPRODUCT('Alternatyva 4'!Z$21:Z$88,'Alternatyva 4'!$DH$21:$DH$88)</f>
        <v>0</v>
      </c>
      <c r="AA66" s="43">
        <f>AA65-SUMPRODUCT('Alternatyva 4'!AA$21:AA$88,'Alternatyva 4'!$DH$21:$DH$88)</f>
        <v>0</v>
      </c>
      <c r="AB66" s="43">
        <f>AB65-SUMPRODUCT('Alternatyva 4'!AB$21:AB$88,'Alternatyva 4'!$DH$21:$DH$88)</f>
        <v>0</v>
      </c>
      <c r="AC66" s="43">
        <f>AC65-SUMPRODUCT('Alternatyva 4'!AC$21:AC$88,'Alternatyva 4'!$DH$21:$DH$88)</f>
        <v>0</v>
      </c>
      <c r="AD66" s="43">
        <f>AD65-SUMPRODUCT('Alternatyva 4'!AD$21:AD$88,'Alternatyva 4'!$DH$21:$DH$88)</f>
        <v>0</v>
      </c>
      <c r="AE66" s="43">
        <f>AE65-SUMPRODUCT('Alternatyva 4'!AE$21:AE$88,'Alternatyva 4'!$DH$21:$DH$88)</f>
        <v>0</v>
      </c>
      <c r="AF66" s="43">
        <f>AF65-SUMPRODUCT('Alternatyva 4'!AF$21:AF$88,'Alternatyva 4'!$DH$21:$DH$88)</f>
        <v>0</v>
      </c>
      <c r="AG66" s="43">
        <f>AG65-SUMPRODUCT('Alternatyva 4'!AG$21:AG$88,'Alternatyva 4'!$DH$21:$DH$88)</f>
        <v>0</v>
      </c>
      <c r="AH66" s="43">
        <f>AH65-SUMPRODUCT('Alternatyva 4'!AH$21:AH$88,'Alternatyva 4'!$DH$21:$DH$88)</f>
        <v>0</v>
      </c>
      <c r="AI66" s="43">
        <f>AI65-SUMPRODUCT('Alternatyva 4'!AI$21:AI$88,'Alternatyva 4'!$DH$21:$DH$88)</f>
        <v>0</v>
      </c>
      <c r="AJ66" s="43">
        <f>AJ65-SUMPRODUCT('Alternatyva 4'!AJ$21:AJ$88,'Alternatyva 4'!$DH$21:$DH$88)</f>
        <v>0</v>
      </c>
      <c r="AK66" s="43">
        <f>AK65-SUMPRODUCT('Alternatyva 4'!AK$21:AK$88,'Alternatyva 4'!$DH$21:$DH$88)</f>
        <v>0</v>
      </c>
      <c r="AL66" s="43">
        <f>AL65-SUMPRODUCT('Alternatyva 4'!AL$21:AL$88,'Alternatyva 4'!$DH$21:$DH$88)</f>
        <v>0</v>
      </c>
      <c r="AM66" s="43">
        <f>AM65-SUMPRODUCT('Alternatyva 4'!AM$21:AM$88,'Alternatyva 4'!$DH$21:$DH$88)</f>
        <v>0</v>
      </c>
      <c r="AN66" s="43">
        <f>AN65-SUMPRODUCT('Alternatyva 4'!AN$21:AN$88,'Alternatyva 4'!$DH$21:$DH$88)</f>
        <v>0</v>
      </c>
      <c r="AO66" s="43">
        <f>AO65-SUMPRODUCT('Alternatyva 4'!AO$21:AO$88,'Alternatyva 4'!$DH$21:$DH$88)</f>
        <v>0</v>
      </c>
      <c r="AP66" s="43">
        <f>AP65-SUMPRODUCT('Alternatyva 4'!AP$21:AP$88,'Alternatyva 4'!$DH$21:$DH$88)</f>
        <v>0</v>
      </c>
      <c r="AQ66" s="43">
        <f>AQ65-SUMPRODUCT('Alternatyva 4'!AQ$21:AQ$88,'Alternatyva 4'!$DH$21:$DH$88)</f>
        <v>0</v>
      </c>
      <c r="AR66" s="43">
        <f>AR65-SUMPRODUCT('Alternatyva 4'!AR$21:AR$88,'Alternatyva 4'!$DH$21:$DH$88)</f>
        <v>0</v>
      </c>
      <c r="AS66" s="43">
        <f>AS65-SUMPRODUCT('Alternatyva 4'!AS$21:AS$88,'Alternatyva 4'!$DH$21:$DH$88)</f>
        <v>0</v>
      </c>
      <c r="AT66" s="43">
        <f>AT65-SUMPRODUCT('Alternatyva 4'!AT$21:AT$88,'Alternatyva 4'!$DH$21:$DH$88)</f>
        <v>0</v>
      </c>
      <c r="AU66" s="43">
        <f>AU65-SUMPRODUCT('Alternatyva 4'!AU$21:AU$88,'Alternatyva 4'!$DH$21:$DH$88)</f>
        <v>0</v>
      </c>
      <c r="AV66" s="43">
        <f>AV65-SUMPRODUCT('Alternatyva 4'!AV$21:AV$88,'Alternatyva 4'!$DH$21:$DH$88)</f>
        <v>0</v>
      </c>
      <c r="AW66" s="43">
        <f>AW65-SUMPRODUCT('Alternatyva 4'!AW$21:AW$88,'Alternatyva 4'!$DH$21:$DH$88)</f>
        <v>0</v>
      </c>
      <c r="AX66" s="43">
        <f>AX65-SUMPRODUCT('Alternatyva 4'!AX$21:AX$88,'Alternatyva 4'!$DH$21:$DH$88)</f>
        <v>0</v>
      </c>
      <c r="AY66" s="43">
        <f>AY65-SUMPRODUCT('Alternatyva 4'!AY$21:AY$88,'Alternatyva 4'!$DH$21:$DH$88)</f>
        <v>0</v>
      </c>
      <c r="AZ66" s="43">
        <f>AZ65-SUMPRODUCT('Alternatyva 4'!AZ$21:AZ$88,'Alternatyva 4'!$DH$21:$DH$88)</f>
        <v>0</v>
      </c>
      <c r="BA66" s="43">
        <f>BA65-SUMPRODUCT('Alternatyva 4'!BA$21:BA$88,'Alternatyva 4'!$DH$21:$DH$88)</f>
        <v>0</v>
      </c>
      <c r="BB66" s="43">
        <f>BB65-SUMPRODUCT('Alternatyva 4'!BB$21:BB$88,'Alternatyva 4'!$DH$21:$DH$88)</f>
        <v>0</v>
      </c>
      <c r="BC66" s="43">
        <f>BC65-SUMPRODUCT('Alternatyva 4'!BC$21:BC$88,'Alternatyva 4'!$DH$21:$DH$88)</f>
        <v>0</v>
      </c>
      <c r="BD66" s="43">
        <f>BD65-SUMPRODUCT('Alternatyva 4'!BD$21:BD$88,'Alternatyva 4'!$DH$21:$DH$88)</f>
        <v>0</v>
      </c>
      <c r="BE66" s="43">
        <f>BE65-SUMPRODUCT('Alternatyva 4'!BE$21:BE$88,'Alternatyva 4'!$DH$21:$DH$88)</f>
        <v>0</v>
      </c>
      <c r="BF66" s="43">
        <f>BF65-SUMPRODUCT('Alternatyva 4'!BF$21:BF$88,'Alternatyva 4'!$DH$21:$DH$88)</f>
        <v>0</v>
      </c>
      <c r="BG66" s="43">
        <f>BG65-SUMPRODUCT('Alternatyva 4'!BG$21:BG$88,'Alternatyva 4'!$DH$21:$DH$88)</f>
        <v>0</v>
      </c>
      <c r="BH66" s="43">
        <f>BH65-SUMPRODUCT('Alternatyva 4'!BH$21:BH$88,'Alternatyva 4'!$DH$21:$DH$88)</f>
        <v>0</v>
      </c>
      <c r="BI66" s="43">
        <f>BI65-SUMPRODUCT('Alternatyva 4'!BI$21:BI$88,'Alternatyva 4'!$DH$21:$DH$88)</f>
        <v>0</v>
      </c>
      <c r="BJ66" s="43">
        <f>BJ65-SUMPRODUCT('Alternatyva 4'!BJ$21:BJ$88,'Alternatyva 4'!$DH$21:$DH$88)</f>
        <v>0</v>
      </c>
      <c r="BK66" s="43">
        <f>BK65-SUMPRODUCT('Alternatyva 4'!BK$21:BK$88,'Alternatyva 4'!$DH$21:$DH$88)</f>
        <v>0</v>
      </c>
      <c r="BL66" s="43">
        <f>BL65-SUMPRODUCT('Alternatyva 4'!BL$21:BL$88,'Alternatyva 4'!$DH$21:$DH$88)</f>
        <v>0</v>
      </c>
      <c r="BM66" s="43">
        <f>BM65-SUMPRODUCT('Alternatyva 4'!BM$21:BM$88,'Alternatyva 4'!$DH$21:$DH$88)</f>
        <v>0</v>
      </c>
      <c r="BN66" s="43">
        <f>BN65-SUMPRODUCT('Alternatyva 4'!BN$21:BN$88,'Alternatyva 4'!$DH$21:$DH$88)</f>
        <v>0</v>
      </c>
      <c r="BO66" s="43">
        <f>BO65-SUMPRODUCT('Alternatyva 4'!BO$21:BO$88,'Alternatyva 4'!$DH$21:$DH$88)</f>
        <v>0</v>
      </c>
      <c r="BP66" s="43">
        <f>BP65-SUMPRODUCT('Alternatyva 4'!BP$21:BP$88,'Alternatyva 4'!$DH$21:$DH$88)</f>
        <v>0</v>
      </c>
      <c r="BQ66" s="43">
        <f>BQ65-SUMPRODUCT('Alternatyva 4'!BQ$21:BQ$88,'Alternatyva 4'!$DH$21:$DH$88)</f>
        <v>0</v>
      </c>
      <c r="BR66" s="43">
        <f>BR65-SUMPRODUCT('Alternatyva 4'!BR$21:BR$88,'Alternatyva 4'!$DH$21:$DH$88)</f>
        <v>0</v>
      </c>
      <c r="BS66" s="43">
        <f>BS65-SUMPRODUCT('Alternatyva 4'!BS$21:BS$88,'Alternatyva 4'!$DH$21:$DH$88)</f>
        <v>0</v>
      </c>
      <c r="BT66" s="43">
        <f>BT65-SUMPRODUCT('Alternatyva 4'!BT$21:BT$88,'Alternatyva 4'!$DH$21:$DH$88)</f>
        <v>0</v>
      </c>
      <c r="BU66" s="43">
        <f>BU65-SUMPRODUCT('Alternatyva 4'!BU$21:BU$88,'Alternatyva 4'!$DH$21:$DH$88)</f>
        <v>0</v>
      </c>
      <c r="BV66" s="43">
        <f>BV65-SUMPRODUCT('Alternatyva 4'!BV$21:BV$88,'Alternatyva 4'!$DH$21:$DH$88)</f>
        <v>0</v>
      </c>
      <c r="BW66" s="43">
        <f>BW65-SUMPRODUCT('Alternatyva 4'!BW$21:BW$88,'Alternatyva 4'!$DH$21:$DH$88)</f>
        <v>0</v>
      </c>
      <c r="BX66" s="43">
        <f>BX65-SUMPRODUCT('Alternatyva 4'!BX$21:BX$88,'Alternatyva 4'!$DH$21:$DH$88)</f>
        <v>0</v>
      </c>
      <c r="BY66" s="43">
        <f>BY65-SUMPRODUCT('Alternatyva 4'!BY$21:BY$88,'Alternatyva 4'!$DH$21:$DH$88)</f>
        <v>0</v>
      </c>
      <c r="BZ66" s="43">
        <f>BZ65-SUMPRODUCT('Alternatyva 4'!BZ$21:BZ$88,'Alternatyva 4'!$DH$21:$DH$88)</f>
        <v>0</v>
      </c>
      <c r="CA66" s="43">
        <f>CA65-SUMPRODUCT('Alternatyva 4'!CA$21:CA$88,'Alternatyva 4'!$DH$21:$DH$88)</f>
        <v>0</v>
      </c>
      <c r="CB66" s="43">
        <f>CB65-SUMPRODUCT('Alternatyva 4'!CB$21:CB$88,'Alternatyva 4'!$DH$21:$DH$88)</f>
        <v>0</v>
      </c>
      <c r="CC66" s="43">
        <f>CC65-SUMPRODUCT('Alternatyva 4'!CC$21:CC$88,'Alternatyva 4'!$DH$21:$DH$88)</f>
        <v>0</v>
      </c>
      <c r="CD66" s="43">
        <f>CD65-SUMPRODUCT('Alternatyva 4'!CD$21:CD$88,'Alternatyva 4'!$DH$21:$DH$88)</f>
        <v>0</v>
      </c>
      <c r="CE66" s="43">
        <f>CE65-SUMPRODUCT('Alternatyva 4'!CE$21:CE$88,'Alternatyva 4'!$DH$21:$DH$88)</f>
        <v>0</v>
      </c>
      <c r="CF66" s="43">
        <f>CF65-SUMPRODUCT('Alternatyva 4'!CF$21:CF$88,'Alternatyva 4'!$DH$21:$DH$88)</f>
        <v>0</v>
      </c>
      <c r="CG66" s="43">
        <f>CG65-SUMPRODUCT('Alternatyva 4'!CG$21:CG$88,'Alternatyva 4'!$DH$21:$DH$88)</f>
        <v>0</v>
      </c>
      <c r="CH66" s="43">
        <f>CH65-SUMPRODUCT('Alternatyva 4'!CH$21:CH$88,'Alternatyva 4'!$DH$21:$DH$88)</f>
        <v>0</v>
      </c>
      <c r="CI66" s="43">
        <f>CI65-SUMPRODUCT('Alternatyva 4'!CI$21:CI$88,'Alternatyva 4'!$DH$21:$DH$88)</f>
        <v>0</v>
      </c>
      <c r="CJ66" s="43">
        <f>CJ65-SUMPRODUCT('Alternatyva 4'!CJ$21:CJ$88,'Alternatyva 4'!$DH$21:$DH$88)</f>
        <v>0</v>
      </c>
      <c r="CK66" s="43">
        <f>CK65-SUMPRODUCT('Alternatyva 4'!CK$21:CK$88,'Alternatyva 4'!$DH$21:$DH$88)</f>
        <v>0</v>
      </c>
      <c r="CL66" s="43">
        <f>CL65-SUMPRODUCT('Alternatyva 4'!CL$21:CL$88,'Alternatyva 4'!$DH$21:$DH$88)</f>
        <v>0</v>
      </c>
      <c r="CM66" s="43">
        <f>CM65-SUMPRODUCT('Alternatyva 4'!CM$21:CM$88,'Alternatyva 4'!$DH$21:$DH$88)</f>
        <v>0</v>
      </c>
      <c r="CN66" s="43">
        <f>CN65-SUMPRODUCT('Alternatyva 4'!CN$21:CN$88,'Alternatyva 4'!$DH$21:$DH$88)</f>
        <v>0</v>
      </c>
      <c r="CO66" s="43">
        <f>CO65-SUMPRODUCT('Alternatyva 4'!CO$21:CO$88,'Alternatyva 4'!$DH$21:$DH$88)</f>
        <v>0</v>
      </c>
      <c r="CP66" s="43">
        <f>CP65-SUMPRODUCT('Alternatyva 4'!CP$21:CP$88,'Alternatyva 4'!$DH$21:$DH$88)</f>
        <v>0</v>
      </c>
      <c r="CQ66" s="43">
        <f>CQ65-SUMPRODUCT('Alternatyva 4'!CQ$21:CQ$88,'Alternatyva 4'!$DH$21:$DH$88)</f>
        <v>0</v>
      </c>
      <c r="CR66" s="43">
        <f>CR65-SUMPRODUCT('Alternatyva 4'!CR$21:CR$88,'Alternatyva 4'!$DH$21:$DH$88)</f>
        <v>0</v>
      </c>
      <c r="CS66" s="43">
        <f>CS65-SUMPRODUCT('Alternatyva 4'!CS$21:CS$88,'Alternatyva 4'!$DH$21:$DH$88)</f>
        <v>0</v>
      </c>
      <c r="CT66" s="43">
        <f>CT65-SUMPRODUCT('Alternatyva 4'!CT$21:CT$88,'Alternatyva 4'!$DH$21:$DH$88)</f>
        <v>0</v>
      </c>
      <c r="CU66" s="43">
        <f>CU65-SUMPRODUCT('Alternatyva 4'!CU$21:CU$88,'Alternatyva 4'!$DH$21:$DH$88)</f>
        <v>0</v>
      </c>
      <c r="CV66" s="43">
        <f>CV65-SUMPRODUCT('Alternatyva 4'!CV$21:CV$88,'Alternatyva 4'!$DH$21:$DH$88)</f>
        <v>0</v>
      </c>
      <c r="CW66" s="43">
        <f>CW65-SUMPRODUCT('Alternatyva 4'!CW$21:CW$88,'Alternatyva 4'!$DH$21:$DH$88)</f>
        <v>0</v>
      </c>
      <c r="CX66" s="43">
        <f>CX65-SUMPRODUCT('Alternatyva 4'!CX$21:CX$88,'Alternatyva 4'!$DH$21:$DH$88)</f>
        <v>0</v>
      </c>
      <c r="CY66" s="43">
        <f>CY65-SUMPRODUCT('Alternatyva 4'!CY$21:CY$88,'Alternatyva 4'!$DH$21:$DH$88)</f>
        <v>0</v>
      </c>
      <c r="CZ66" s="43">
        <f>CZ65-SUMPRODUCT('Alternatyva 4'!CZ$21:CZ$88,'Alternatyva 4'!$DH$21:$DH$88)</f>
        <v>0</v>
      </c>
      <c r="DA66" s="43">
        <f>DA65-SUMPRODUCT('Alternatyva 4'!DA$21:DA$88,'Alternatyva 4'!$DH$21:$DH$88)</f>
        <v>0</v>
      </c>
      <c r="DB66" s="43">
        <f>DB65-SUMPRODUCT('Alternatyva 4'!DB$21:DB$88,'Alternatyva 4'!$DH$21:$DH$88)</f>
        <v>0</v>
      </c>
      <c r="DC66" s="43">
        <f>DC65-SUMPRODUCT('Alternatyva 4'!DC$21:DC$88,'Alternatyva 4'!$DH$21:$DH$88)</f>
        <v>0</v>
      </c>
    </row>
    <row r="67" spans="2:107" ht="15" hidden="1" customHeight="1" thickBot="1">
      <c r="B67" s="5" t="s">
        <v>241</v>
      </c>
      <c r="C67" s="795" t="s">
        <v>162</v>
      </c>
      <c r="D67" s="796"/>
      <c r="E67" s="797"/>
      <c r="F67" s="14">
        <f>H67+NPV(SD,I67:INDEX(I67:DC67,PAL))</f>
        <v>0</v>
      </c>
      <c r="G67" s="43">
        <f>SUMIF($H$6:$DC$6,"&lt;="&amp;PAL,$H67:$DC67)</f>
        <v>0</v>
      </c>
      <c r="H67" s="14">
        <f>H62-H63-H64+H66</f>
        <v>0</v>
      </c>
      <c r="I67" s="14">
        <f t="shared" ref="I67:BT67" si="23">I62-I63-I64+I66</f>
        <v>0</v>
      </c>
      <c r="J67" s="14">
        <f t="shared" si="23"/>
        <v>0</v>
      </c>
      <c r="K67" s="14">
        <f t="shared" si="23"/>
        <v>0</v>
      </c>
      <c r="L67" s="14">
        <f t="shared" si="23"/>
        <v>0</v>
      </c>
      <c r="M67" s="14">
        <f t="shared" si="23"/>
        <v>0</v>
      </c>
      <c r="N67" s="14">
        <f t="shared" si="23"/>
        <v>0</v>
      </c>
      <c r="O67" s="14">
        <f t="shared" si="23"/>
        <v>0</v>
      </c>
      <c r="P67" s="14">
        <f t="shared" si="23"/>
        <v>0</v>
      </c>
      <c r="Q67" s="14">
        <f t="shared" si="23"/>
        <v>0</v>
      </c>
      <c r="R67" s="14">
        <f t="shared" si="23"/>
        <v>0</v>
      </c>
      <c r="S67" s="14">
        <f t="shared" si="23"/>
        <v>0</v>
      </c>
      <c r="T67" s="14">
        <f t="shared" si="23"/>
        <v>0</v>
      </c>
      <c r="U67" s="14">
        <f t="shared" si="23"/>
        <v>0</v>
      </c>
      <c r="V67" s="14">
        <f t="shared" si="23"/>
        <v>0</v>
      </c>
      <c r="W67" s="14">
        <f t="shared" si="23"/>
        <v>0</v>
      </c>
      <c r="X67" s="14">
        <f t="shared" si="23"/>
        <v>0</v>
      </c>
      <c r="Y67" s="14">
        <f t="shared" si="23"/>
        <v>0</v>
      </c>
      <c r="Z67" s="14">
        <f t="shared" si="23"/>
        <v>0</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hidden="1" customHeight="1" thickBot="1">
      <c r="C68" s="802" t="s">
        <v>205</v>
      </c>
      <c r="D68" s="803"/>
      <c r="E68" s="803"/>
      <c r="F68" s="804"/>
      <c r="G68" s="55"/>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hidden="1" customHeight="1">
      <c r="C69" s="799" t="s">
        <v>29</v>
      </c>
      <c r="D69" s="800"/>
      <c r="E69" s="801"/>
      <c r="F69" s="50">
        <f>F67</f>
        <v>0</v>
      </c>
      <c r="G69" s="44"/>
    </row>
    <row r="70" spans="2:107" ht="15" hidden="1" customHeight="1">
      <c r="C70" s="792" t="s">
        <v>30</v>
      </c>
      <c r="D70" s="793"/>
      <c r="E70" s="794"/>
      <c r="F70" s="51" t="str">
        <f>IFERROR(IF(F64&lt;0,(F62-F64)/(F63-F66),(F62)/(F63+F64-F66)),"")</f>
        <v/>
      </c>
      <c r="G70" s="53"/>
    </row>
    <row r="71" spans="2:107" ht="15" hidden="1" customHeight="1" thickBot="1">
      <c r="C71" s="789" t="s">
        <v>196</v>
      </c>
      <c r="D71" s="790"/>
      <c r="E71" s="791"/>
      <c r="F71" s="171" t="str">
        <f>IFERROR(IRR(H67:INDEX(H67:DC67,PAL+1)),"-")</f>
        <v>-</v>
      </c>
      <c r="G71" s="45"/>
    </row>
    <row r="72" spans="2:107" ht="15" hidden="1" customHeight="1" thickBot="1">
      <c r="C72" s="802" t="s">
        <v>197</v>
      </c>
      <c r="D72" s="803"/>
      <c r="E72" s="803"/>
      <c r="F72" s="804"/>
      <c r="G72" s="12" t="s">
        <v>33</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780" t="s">
        <v>201</v>
      </c>
      <c r="D73" s="781"/>
      <c r="E73" s="782"/>
      <c r="F73" s="61"/>
      <c r="G73" s="59">
        <f>SUMIF($H$6:$DC$6,"&lt;="&amp;PAL,$H73:$DC73)</f>
        <v>0</v>
      </c>
      <c r="H73" s="14">
        <f>H65-'Alternatyva 4'!H$7+'Alternatyva 4'!H$115</f>
        <v>0</v>
      </c>
      <c r="I73" s="14">
        <f>I65-'Alternatyva 4'!I$7+'Alternatyva 4'!I$115</f>
        <v>0</v>
      </c>
      <c r="J73" s="14">
        <f>J65-'Alternatyva 4'!J$7+'Alternatyva 4'!J$115</f>
        <v>0</v>
      </c>
      <c r="K73" s="14">
        <f>K65-'Alternatyva 4'!K$7+'Alternatyva 4'!K$115</f>
        <v>0</v>
      </c>
      <c r="L73" s="14">
        <f>L65-'Alternatyva 4'!L$7+'Alternatyva 4'!L$115</f>
        <v>0</v>
      </c>
      <c r="M73" s="14">
        <f>M65-'Alternatyva 4'!M$7+'Alternatyva 4'!M$115</f>
        <v>0</v>
      </c>
      <c r="N73" s="14">
        <f>N65-'Alternatyva 4'!N$7+'Alternatyva 4'!N$115</f>
        <v>0</v>
      </c>
      <c r="O73" s="14">
        <f>O65-'Alternatyva 4'!O$7+'Alternatyva 4'!O$115</f>
        <v>0</v>
      </c>
      <c r="P73" s="14">
        <f>P65-'Alternatyva 4'!P$7+'Alternatyva 4'!P$115</f>
        <v>0</v>
      </c>
      <c r="Q73" s="14">
        <f>Q65-'Alternatyva 4'!Q$7+'Alternatyva 4'!Q$115</f>
        <v>0</v>
      </c>
      <c r="R73" s="14">
        <f>R65-'Alternatyva 4'!R$7+'Alternatyva 4'!R$115</f>
        <v>0</v>
      </c>
      <c r="S73" s="14">
        <f>S65-'Alternatyva 4'!S$7+'Alternatyva 4'!S$115</f>
        <v>0</v>
      </c>
      <c r="T73" s="14">
        <f>T65-'Alternatyva 4'!T$7+'Alternatyva 4'!T$115</f>
        <v>0</v>
      </c>
      <c r="U73" s="14">
        <f>U65-'Alternatyva 4'!U$7+'Alternatyva 4'!U$115</f>
        <v>0</v>
      </c>
      <c r="V73" s="14">
        <f>V65-'Alternatyva 4'!V$7+'Alternatyva 4'!V$115</f>
        <v>0</v>
      </c>
      <c r="W73" s="14">
        <f>W65-'Alternatyva 4'!W$7+'Alternatyva 4'!W$115</f>
        <v>0</v>
      </c>
      <c r="X73" s="14">
        <f>X65-'Alternatyva 4'!X$7+'Alternatyva 4'!X$115</f>
        <v>0</v>
      </c>
      <c r="Y73" s="14">
        <f>Y65-'Alternatyva 4'!Y$7+'Alternatyva 4'!Y$115</f>
        <v>0</v>
      </c>
      <c r="Z73" s="14">
        <f>Z65-'Alternatyva 4'!Z$7+'Alternatyva 4'!Z$115</f>
        <v>0</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783" t="s">
        <v>272</v>
      </c>
      <c r="D74" s="784"/>
      <c r="E74" s="785"/>
      <c r="F74" s="54">
        <f>H73+NPV(FD,I73:INDEX(I73:DC73,PAL))</f>
        <v>0</v>
      </c>
      <c r="G74" s="53"/>
    </row>
    <row r="75" spans="2:107" ht="15" hidden="1" customHeight="1">
      <c r="C75" s="783" t="s">
        <v>273</v>
      </c>
      <c r="D75" s="784"/>
      <c r="E75" s="785"/>
      <c r="F75" s="175" t="str">
        <f>IFERROR(IRR(H73:INDEX(H73:DC73,PAL+1)),"-")</f>
        <v>-</v>
      </c>
      <c r="G75" s="45"/>
    </row>
    <row r="76" spans="2:107" ht="15" hidden="1" customHeight="1" thickBot="1">
      <c r="C76" s="789" t="s">
        <v>200</v>
      </c>
      <c r="D76" s="790"/>
      <c r="E76" s="791"/>
      <c r="F76" s="52" t="str">
        <f>IFERROR(IF('Alternatyva 4'!F$89&lt;0,SUM('Alternatyva 4'!F$100,-'Alternatyva 4'!F$115,-'Alternatyva 4'!F$89)/SUM('Alternatyva 4'!F$9,'Alternatyva 4'!F$8,-SNA!F65),SUM('Alternatyva 4'!F$100,-'Alternatyva 4'!F$115)/SUM('Alternatyva 4'!F$9,'Alternatyva 4'!F$8,-SNA!F65,'Alternatyva 4'!F$89)),"")</f>
        <v/>
      </c>
      <c r="G76" s="45"/>
    </row>
    <row r="77" spans="2:107" ht="15" hidden="1" customHeight="1"/>
    <row r="78" spans="2:107" ht="15" hidden="1" customHeight="1">
      <c r="B78" s="31" t="s">
        <v>13</v>
      </c>
      <c r="C78" s="31"/>
      <c r="D78" s="31"/>
      <c r="E78" s="31"/>
      <c r="F78" s="786" t="s">
        <v>32</v>
      </c>
      <c r="G78" s="798"/>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786" t="s">
        <v>9</v>
      </c>
      <c r="D79" s="787"/>
      <c r="E79" s="788"/>
      <c r="F79" s="13" t="s">
        <v>34</v>
      </c>
      <c r="G79" s="12" t="s">
        <v>33</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18</v>
      </c>
      <c r="C80" s="777" t="s">
        <v>277</v>
      </c>
      <c r="D80" s="778"/>
      <c r="E80" s="779"/>
      <c r="F80" s="49">
        <f>H80+NPV(SD,I80:INDEX(I80:DC80,PAL))</f>
        <v>0</v>
      </c>
      <c r="G80" s="43">
        <f>SUMIF($H$6:$DC$6,"&lt;="&amp;PAL,$H80:$DC80)</f>
        <v>0</v>
      </c>
      <c r="H80" s="43">
        <f>'Alternatyva 5'!H$117</f>
        <v>0</v>
      </c>
      <c r="I80" s="43">
        <f>'Alternatyva 5'!I$117</f>
        <v>0</v>
      </c>
      <c r="J80" s="43">
        <f>'Alternatyva 5'!J$117</f>
        <v>0</v>
      </c>
      <c r="K80" s="43">
        <f>'Alternatyva 5'!K$117</f>
        <v>0</v>
      </c>
      <c r="L80" s="43">
        <f>'Alternatyva 5'!L$117</f>
        <v>0</v>
      </c>
      <c r="M80" s="43">
        <f>'Alternatyva 5'!M$117</f>
        <v>0</v>
      </c>
      <c r="N80" s="43">
        <f>'Alternatyva 5'!N$117</f>
        <v>0</v>
      </c>
      <c r="O80" s="43">
        <f>'Alternatyva 5'!O$117</f>
        <v>0</v>
      </c>
      <c r="P80" s="43">
        <f>'Alternatyva 5'!P$117</f>
        <v>0</v>
      </c>
      <c r="Q80" s="43">
        <f>'Alternatyva 5'!Q$117</f>
        <v>0</v>
      </c>
      <c r="R80" s="43">
        <f>'Alternatyva 5'!R$117</f>
        <v>0</v>
      </c>
      <c r="S80" s="43">
        <f>'Alternatyva 5'!S$117</f>
        <v>0</v>
      </c>
      <c r="T80" s="43">
        <f>'Alternatyva 5'!T$117</f>
        <v>0</v>
      </c>
      <c r="U80" s="43">
        <f>'Alternatyva 5'!U$117</f>
        <v>0</v>
      </c>
      <c r="V80" s="43">
        <f>'Alternatyva 5'!V$117</f>
        <v>0</v>
      </c>
      <c r="W80" s="43">
        <f>'Alternatyva 5'!W$117</f>
        <v>0</v>
      </c>
      <c r="X80" s="43">
        <f>'Alternatyva 5'!X$117</f>
        <v>0</v>
      </c>
      <c r="Y80" s="43">
        <f>'Alternatyva 5'!Y$117</f>
        <v>0</v>
      </c>
      <c r="Z80" s="43">
        <f>'Alternatyva 5'!Z$117</f>
        <v>0</v>
      </c>
      <c r="AA80" s="43">
        <f>'Alternatyva 5'!AA$117</f>
        <v>0</v>
      </c>
      <c r="AB80" s="43">
        <f>'Alternatyva 5'!AB$117</f>
        <v>0</v>
      </c>
      <c r="AC80" s="43">
        <f>'Alternatyva 5'!AC$117</f>
        <v>0</v>
      </c>
      <c r="AD80" s="43">
        <f>'Alternatyva 5'!AD$117</f>
        <v>0</v>
      </c>
      <c r="AE80" s="43">
        <f>'Alternatyva 5'!AE$117</f>
        <v>0</v>
      </c>
      <c r="AF80" s="43">
        <f>'Alternatyva 5'!AF$117</f>
        <v>0</v>
      </c>
      <c r="AG80" s="43">
        <f>'Alternatyva 5'!AG$117</f>
        <v>0</v>
      </c>
      <c r="AH80" s="43">
        <f>'Alternatyva 5'!AH$117</f>
        <v>0</v>
      </c>
      <c r="AI80" s="43">
        <f>'Alternatyva 5'!AI$117</f>
        <v>0</v>
      </c>
      <c r="AJ80" s="43">
        <f>'Alternatyva 5'!AJ$117</f>
        <v>0</v>
      </c>
      <c r="AK80" s="43">
        <f>'Alternatyva 5'!AK$117</f>
        <v>0</v>
      </c>
      <c r="AL80" s="43">
        <f>'Alternatyva 5'!AL$117</f>
        <v>0</v>
      </c>
      <c r="AM80" s="43">
        <f>'Alternatyva 5'!AM$117</f>
        <v>0</v>
      </c>
      <c r="AN80" s="43">
        <f>'Alternatyva 5'!AN$117</f>
        <v>0</v>
      </c>
      <c r="AO80" s="43">
        <f>'Alternatyva 5'!AO$117</f>
        <v>0</v>
      </c>
      <c r="AP80" s="43">
        <f>'Alternatyva 5'!AP$117</f>
        <v>0</v>
      </c>
      <c r="AQ80" s="43">
        <f>'Alternatyva 5'!AQ$117</f>
        <v>0</v>
      </c>
      <c r="AR80" s="43">
        <f>'Alternatyva 5'!AR$117</f>
        <v>0</v>
      </c>
      <c r="AS80" s="43">
        <f>'Alternatyva 5'!AS$117</f>
        <v>0</v>
      </c>
      <c r="AT80" s="43">
        <f>'Alternatyva 5'!AT$117</f>
        <v>0</v>
      </c>
      <c r="AU80" s="43">
        <f>'Alternatyva 5'!AU$117</f>
        <v>0</v>
      </c>
      <c r="AV80" s="43">
        <f>'Alternatyva 5'!AV$117</f>
        <v>0</v>
      </c>
      <c r="AW80" s="43">
        <f>'Alternatyva 5'!AW$117</f>
        <v>0</v>
      </c>
      <c r="AX80" s="43">
        <f>'Alternatyva 5'!AX$117</f>
        <v>0</v>
      </c>
      <c r="AY80" s="43">
        <f>'Alternatyva 5'!AY$117</f>
        <v>0</v>
      </c>
      <c r="AZ80" s="43">
        <f>'Alternatyva 5'!AZ$117</f>
        <v>0</v>
      </c>
      <c r="BA80" s="43">
        <f>'Alternatyva 5'!BA$117</f>
        <v>0</v>
      </c>
      <c r="BB80" s="43">
        <f>'Alternatyva 5'!BB$117</f>
        <v>0</v>
      </c>
      <c r="BC80" s="43">
        <f>'Alternatyva 5'!BC$117</f>
        <v>0</v>
      </c>
      <c r="BD80" s="43">
        <f>'Alternatyva 5'!BD$117</f>
        <v>0</v>
      </c>
      <c r="BE80" s="43">
        <f>'Alternatyva 5'!BE$117</f>
        <v>0</v>
      </c>
      <c r="BF80" s="43">
        <f>'Alternatyva 5'!BF$117</f>
        <v>0</v>
      </c>
      <c r="BG80" s="43">
        <f>'Alternatyva 5'!BG$117</f>
        <v>0</v>
      </c>
      <c r="BH80" s="43">
        <f>'Alternatyva 5'!BH$117</f>
        <v>0</v>
      </c>
      <c r="BI80" s="43">
        <f>'Alternatyva 5'!BI$117</f>
        <v>0</v>
      </c>
      <c r="BJ80" s="43">
        <f>'Alternatyva 5'!BJ$117</f>
        <v>0</v>
      </c>
      <c r="BK80" s="43">
        <f>'Alternatyva 5'!BK$117</f>
        <v>0</v>
      </c>
      <c r="BL80" s="43">
        <f>'Alternatyva 5'!BL$117</f>
        <v>0</v>
      </c>
      <c r="BM80" s="43">
        <f>'Alternatyva 5'!BM$117</f>
        <v>0</v>
      </c>
      <c r="BN80" s="43">
        <f>'Alternatyva 5'!BN$117</f>
        <v>0</v>
      </c>
      <c r="BO80" s="43">
        <f>'Alternatyva 5'!BO$117</f>
        <v>0</v>
      </c>
      <c r="BP80" s="43">
        <f>'Alternatyva 5'!BP$117</f>
        <v>0</v>
      </c>
      <c r="BQ80" s="43">
        <f>'Alternatyva 5'!BQ$117</f>
        <v>0</v>
      </c>
      <c r="BR80" s="43">
        <f>'Alternatyva 5'!BR$117</f>
        <v>0</v>
      </c>
      <c r="BS80" s="43">
        <f>'Alternatyva 5'!BS$117</f>
        <v>0</v>
      </c>
      <c r="BT80" s="43">
        <f>'Alternatyva 5'!BT$117</f>
        <v>0</v>
      </c>
      <c r="BU80" s="43">
        <f>'Alternatyva 5'!BU$117</f>
        <v>0</v>
      </c>
      <c r="BV80" s="43">
        <f>'Alternatyva 5'!BV$117</f>
        <v>0</v>
      </c>
      <c r="BW80" s="43">
        <f>'Alternatyva 5'!BW$117</f>
        <v>0</v>
      </c>
      <c r="BX80" s="43">
        <f>'Alternatyva 5'!BX$117</f>
        <v>0</v>
      </c>
      <c r="BY80" s="43">
        <f>'Alternatyva 5'!BY$117</f>
        <v>0</v>
      </c>
      <c r="BZ80" s="43">
        <f>'Alternatyva 5'!BZ$117</f>
        <v>0</v>
      </c>
      <c r="CA80" s="43">
        <f>'Alternatyva 5'!CA$117</f>
        <v>0</v>
      </c>
      <c r="CB80" s="43">
        <f>'Alternatyva 5'!CB$117</f>
        <v>0</v>
      </c>
      <c r="CC80" s="43">
        <f>'Alternatyva 5'!CC$117</f>
        <v>0</v>
      </c>
      <c r="CD80" s="43">
        <f>'Alternatyva 5'!CD$117</f>
        <v>0</v>
      </c>
      <c r="CE80" s="43">
        <f>'Alternatyva 5'!CE$117</f>
        <v>0</v>
      </c>
      <c r="CF80" s="43">
        <f>'Alternatyva 5'!CF$117</f>
        <v>0</v>
      </c>
      <c r="CG80" s="43">
        <f>'Alternatyva 5'!CG$117</f>
        <v>0</v>
      </c>
      <c r="CH80" s="43">
        <f>'Alternatyva 5'!CH$117</f>
        <v>0</v>
      </c>
      <c r="CI80" s="43">
        <f>'Alternatyva 5'!CI$117</f>
        <v>0</v>
      </c>
      <c r="CJ80" s="43">
        <f>'Alternatyva 5'!CJ$117</f>
        <v>0</v>
      </c>
      <c r="CK80" s="43">
        <f>'Alternatyva 5'!CK$117</f>
        <v>0</v>
      </c>
      <c r="CL80" s="43">
        <f>'Alternatyva 5'!CL$117</f>
        <v>0</v>
      </c>
      <c r="CM80" s="43">
        <f>'Alternatyva 5'!CM$117</f>
        <v>0</v>
      </c>
      <c r="CN80" s="43">
        <f>'Alternatyva 5'!CN$117</f>
        <v>0</v>
      </c>
      <c r="CO80" s="43">
        <f>'Alternatyva 5'!CO$117</f>
        <v>0</v>
      </c>
      <c r="CP80" s="43">
        <f>'Alternatyva 5'!CP$117</f>
        <v>0</v>
      </c>
      <c r="CQ80" s="43">
        <f>'Alternatyva 5'!CQ$117</f>
        <v>0</v>
      </c>
      <c r="CR80" s="43">
        <f>'Alternatyva 5'!CR$117</f>
        <v>0</v>
      </c>
      <c r="CS80" s="43">
        <f>'Alternatyva 5'!CS$117</f>
        <v>0</v>
      </c>
      <c r="CT80" s="43">
        <f>'Alternatyva 5'!CT$117</f>
        <v>0</v>
      </c>
      <c r="CU80" s="43">
        <f>'Alternatyva 5'!CU$117</f>
        <v>0</v>
      </c>
      <c r="CV80" s="43">
        <f>'Alternatyva 5'!CV$117</f>
        <v>0</v>
      </c>
      <c r="CW80" s="43">
        <f>'Alternatyva 5'!CW$117</f>
        <v>0</v>
      </c>
      <c r="CX80" s="43">
        <f>'Alternatyva 5'!CX$117</f>
        <v>0</v>
      </c>
      <c r="CY80" s="43">
        <f>'Alternatyva 5'!CY$117</f>
        <v>0</v>
      </c>
      <c r="CZ80" s="43">
        <f>'Alternatyva 5'!CZ$117</f>
        <v>0</v>
      </c>
      <c r="DA80" s="43">
        <f>'Alternatyva 5'!DA$117</f>
        <v>0</v>
      </c>
      <c r="DB80" s="43">
        <f>'Alternatyva 5'!DB$117</f>
        <v>0</v>
      </c>
      <c r="DC80" s="43">
        <f>'Alternatyva 5'!DC$117</f>
        <v>0</v>
      </c>
    </row>
    <row r="81" spans="2:107" ht="15" hidden="1" customHeight="1">
      <c r="B81" s="5" t="s">
        <v>28</v>
      </c>
      <c r="C81" s="777" t="s">
        <v>257</v>
      </c>
      <c r="D81" s="778"/>
      <c r="E81" s="779"/>
      <c r="F81" s="49">
        <f>H81+NPV(SD,I81:INDEX(I81:DC81,PAL))</f>
        <v>0</v>
      </c>
      <c r="G81" s="43">
        <f>SUMIF($H$6:$DC$6,"&lt;="&amp;PAL,$H81:$DC81)</f>
        <v>0</v>
      </c>
      <c r="H81" s="43">
        <f>'Alternatyva 5'!H$8+'Alternatyva 5'!H$9-'Alternatyva 5'!H$113</f>
        <v>0</v>
      </c>
      <c r="I81" s="43">
        <f>'Alternatyva 5'!I$8+'Alternatyva 5'!I$9-'Alternatyva 5'!I$113</f>
        <v>0</v>
      </c>
      <c r="J81" s="43">
        <f>'Alternatyva 5'!J$8+'Alternatyva 5'!J$9-'Alternatyva 5'!J$113</f>
        <v>0</v>
      </c>
      <c r="K81" s="43">
        <f>'Alternatyva 5'!K$8+'Alternatyva 5'!K$9-'Alternatyva 5'!K$113</f>
        <v>0</v>
      </c>
      <c r="L81" s="43">
        <f>'Alternatyva 5'!L$8+'Alternatyva 5'!L$9-'Alternatyva 5'!L$113</f>
        <v>0</v>
      </c>
      <c r="M81" s="43">
        <f>'Alternatyva 5'!M$8+'Alternatyva 5'!M$9-'Alternatyva 5'!M$113</f>
        <v>0</v>
      </c>
      <c r="N81" s="43">
        <f>'Alternatyva 5'!N$8+'Alternatyva 5'!N$9-'Alternatyva 5'!N$113</f>
        <v>0</v>
      </c>
      <c r="O81" s="43">
        <f>'Alternatyva 5'!O$8+'Alternatyva 5'!O$9-'Alternatyva 5'!O$113</f>
        <v>0</v>
      </c>
      <c r="P81" s="43">
        <f>'Alternatyva 5'!P$8+'Alternatyva 5'!P$9-'Alternatyva 5'!P$113</f>
        <v>0</v>
      </c>
      <c r="Q81" s="43">
        <f>'Alternatyva 5'!Q$8+'Alternatyva 5'!Q$9-'Alternatyva 5'!Q$113</f>
        <v>0</v>
      </c>
      <c r="R81" s="43">
        <f>'Alternatyva 5'!R$8+'Alternatyva 5'!R$9-'Alternatyva 5'!R$113</f>
        <v>0</v>
      </c>
      <c r="S81" s="43">
        <f>'Alternatyva 5'!S$8+'Alternatyva 5'!S$9-'Alternatyva 5'!S$113</f>
        <v>0</v>
      </c>
      <c r="T81" s="43">
        <f>'Alternatyva 5'!T$8+'Alternatyva 5'!T$9-'Alternatyva 5'!T$113</f>
        <v>0</v>
      </c>
      <c r="U81" s="43">
        <f>'Alternatyva 5'!U$8+'Alternatyva 5'!U$9-'Alternatyva 5'!U$113</f>
        <v>0</v>
      </c>
      <c r="V81" s="43">
        <f>'Alternatyva 5'!V$8+'Alternatyva 5'!V$9-'Alternatyva 5'!V$113</f>
        <v>0</v>
      </c>
      <c r="W81" s="43">
        <f>'Alternatyva 5'!W$8+'Alternatyva 5'!W$9-'Alternatyva 5'!W$113</f>
        <v>0</v>
      </c>
      <c r="X81" s="43">
        <f>'Alternatyva 5'!X$8+'Alternatyva 5'!X$9-'Alternatyva 5'!X$113</f>
        <v>0</v>
      </c>
      <c r="Y81" s="43">
        <f>'Alternatyva 5'!Y$8+'Alternatyva 5'!Y$9-'Alternatyva 5'!Y$113</f>
        <v>0</v>
      </c>
      <c r="Z81" s="43">
        <f>'Alternatyva 5'!Z$8+'Alternatyva 5'!Z$9-'Alternatyva 5'!Z$113</f>
        <v>0</v>
      </c>
      <c r="AA81" s="43">
        <f>'Alternatyva 5'!AA$8+'Alternatyva 5'!AA$9-'Alternatyva 5'!AA$113</f>
        <v>0</v>
      </c>
      <c r="AB81" s="43">
        <f>'Alternatyva 5'!AB$8+'Alternatyva 5'!AB$9-'Alternatyva 5'!AB$113</f>
        <v>0</v>
      </c>
      <c r="AC81" s="43">
        <f>'Alternatyva 5'!AC$8+'Alternatyva 5'!AC$9-'Alternatyva 5'!AC$113</f>
        <v>0</v>
      </c>
      <c r="AD81" s="43">
        <f>'Alternatyva 5'!AD$8+'Alternatyva 5'!AD$9-'Alternatyva 5'!AD$113</f>
        <v>0</v>
      </c>
      <c r="AE81" s="43">
        <f>'Alternatyva 5'!AE$8+'Alternatyva 5'!AE$9-'Alternatyva 5'!AE$113</f>
        <v>0</v>
      </c>
      <c r="AF81" s="43">
        <f>'Alternatyva 5'!AF$8+'Alternatyva 5'!AF$9-'Alternatyva 5'!AF$113</f>
        <v>0</v>
      </c>
      <c r="AG81" s="43">
        <f>'Alternatyva 5'!AG$8+'Alternatyva 5'!AG$9-'Alternatyva 5'!AG$113</f>
        <v>0</v>
      </c>
      <c r="AH81" s="43">
        <f>'Alternatyva 5'!AH$8+'Alternatyva 5'!AH$9-'Alternatyva 5'!AH$113</f>
        <v>0</v>
      </c>
      <c r="AI81" s="43">
        <f>'Alternatyva 5'!AI$8+'Alternatyva 5'!AI$9-'Alternatyva 5'!AI$113</f>
        <v>0</v>
      </c>
      <c r="AJ81" s="43">
        <f>'Alternatyva 5'!AJ$8+'Alternatyva 5'!AJ$9-'Alternatyva 5'!AJ$113</f>
        <v>0</v>
      </c>
      <c r="AK81" s="43">
        <f>'Alternatyva 5'!AK$8+'Alternatyva 5'!AK$9-'Alternatyva 5'!AK$113</f>
        <v>0</v>
      </c>
      <c r="AL81" s="43">
        <f>'Alternatyva 5'!AL$8+'Alternatyva 5'!AL$9-'Alternatyva 5'!AL$113</f>
        <v>0</v>
      </c>
      <c r="AM81" s="43">
        <f>'Alternatyva 5'!AM$8+'Alternatyva 5'!AM$9-'Alternatyva 5'!AM$113</f>
        <v>0</v>
      </c>
      <c r="AN81" s="43">
        <f>'Alternatyva 5'!AN$8+'Alternatyva 5'!AN$9-'Alternatyva 5'!AN$113</f>
        <v>0</v>
      </c>
      <c r="AO81" s="43">
        <f>'Alternatyva 5'!AO$8+'Alternatyva 5'!AO$9-'Alternatyva 5'!AO$113</f>
        <v>0</v>
      </c>
      <c r="AP81" s="43">
        <f>'Alternatyva 5'!AP$8+'Alternatyva 5'!AP$9-'Alternatyva 5'!AP$113</f>
        <v>0</v>
      </c>
      <c r="AQ81" s="43">
        <f>'Alternatyva 5'!AQ$8+'Alternatyva 5'!AQ$9-'Alternatyva 5'!AQ$113</f>
        <v>0</v>
      </c>
      <c r="AR81" s="43">
        <f>'Alternatyva 5'!AR$8+'Alternatyva 5'!AR$9-'Alternatyva 5'!AR$113</f>
        <v>0</v>
      </c>
      <c r="AS81" s="43">
        <f>'Alternatyva 5'!AS$8+'Alternatyva 5'!AS$9-'Alternatyva 5'!AS$113</f>
        <v>0</v>
      </c>
      <c r="AT81" s="43">
        <f>'Alternatyva 5'!AT$8+'Alternatyva 5'!AT$9-'Alternatyva 5'!AT$113</f>
        <v>0</v>
      </c>
      <c r="AU81" s="43">
        <f>'Alternatyva 5'!AU$8+'Alternatyva 5'!AU$9-'Alternatyva 5'!AU$113</f>
        <v>0</v>
      </c>
      <c r="AV81" s="43">
        <f>'Alternatyva 5'!AV$8+'Alternatyva 5'!AV$9-'Alternatyva 5'!AV$113</f>
        <v>0</v>
      </c>
      <c r="AW81" s="43">
        <f>'Alternatyva 5'!AW$8+'Alternatyva 5'!AW$9-'Alternatyva 5'!AW$113</f>
        <v>0</v>
      </c>
      <c r="AX81" s="43">
        <f>'Alternatyva 5'!AX$8+'Alternatyva 5'!AX$9-'Alternatyva 5'!AX$113</f>
        <v>0</v>
      </c>
      <c r="AY81" s="43">
        <f>'Alternatyva 5'!AY$8+'Alternatyva 5'!AY$9-'Alternatyva 5'!AY$113</f>
        <v>0</v>
      </c>
      <c r="AZ81" s="43">
        <f>'Alternatyva 5'!AZ$8+'Alternatyva 5'!AZ$9-'Alternatyva 5'!AZ$113</f>
        <v>0</v>
      </c>
      <c r="BA81" s="43">
        <f>'Alternatyva 5'!BA$8+'Alternatyva 5'!BA$9-'Alternatyva 5'!BA$113</f>
        <v>0</v>
      </c>
      <c r="BB81" s="43">
        <f>'Alternatyva 5'!BB$8+'Alternatyva 5'!BB$9-'Alternatyva 5'!BB$113</f>
        <v>0</v>
      </c>
      <c r="BC81" s="43">
        <f>'Alternatyva 5'!BC$8+'Alternatyva 5'!BC$9-'Alternatyva 5'!BC$113</f>
        <v>0</v>
      </c>
      <c r="BD81" s="43">
        <f>'Alternatyva 5'!BD$8+'Alternatyva 5'!BD$9-'Alternatyva 5'!BD$113</f>
        <v>0</v>
      </c>
      <c r="BE81" s="43">
        <f>'Alternatyva 5'!BE$8+'Alternatyva 5'!BE$9-'Alternatyva 5'!BE$113</f>
        <v>0</v>
      </c>
      <c r="BF81" s="43">
        <f>'Alternatyva 5'!BF$8+'Alternatyva 5'!BF$9-'Alternatyva 5'!BF$113</f>
        <v>0</v>
      </c>
      <c r="BG81" s="43">
        <f>'Alternatyva 5'!BG$8+'Alternatyva 5'!BG$9-'Alternatyva 5'!BG$113</f>
        <v>0</v>
      </c>
      <c r="BH81" s="43">
        <f>'Alternatyva 5'!BH$8+'Alternatyva 5'!BH$9-'Alternatyva 5'!BH$113</f>
        <v>0</v>
      </c>
      <c r="BI81" s="43">
        <f>'Alternatyva 5'!BI$8+'Alternatyva 5'!BI$9-'Alternatyva 5'!BI$113</f>
        <v>0</v>
      </c>
      <c r="BJ81" s="43">
        <f>'Alternatyva 5'!BJ$8+'Alternatyva 5'!BJ$9-'Alternatyva 5'!BJ$113</f>
        <v>0</v>
      </c>
      <c r="BK81" s="43">
        <f>'Alternatyva 5'!BK$8+'Alternatyva 5'!BK$9-'Alternatyva 5'!BK$113</f>
        <v>0</v>
      </c>
      <c r="BL81" s="43">
        <f>'Alternatyva 5'!BL$8+'Alternatyva 5'!BL$9-'Alternatyva 5'!BL$113</f>
        <v>0</v>
      </c>
      <c r="BM81" s="43">
        <f>'Alternatyva 5'!BM$8+'Alternatyva 5'!BM$9-'Alternatyva 5'!BM$113</f>
        <v>0</v>
      </c>
      <c r="BN81" s="43">
        <f>'Alternatyva 5'!BN$8+'Alternatyva 5'!BN$9-'Alternatyva 5'!BN$113</f>
        <v>0</v>
      </c>
      <c r="BO81" s="43">
        <f>'Alternatyva 5'!BO$8+'Alternatyva 5'!BO$9-'Alternatyva 5'!BO$113</f>
        <v>0</v>
      </c>
      <c r="BP81" s="43">
        <f>'Alternatyva 5'!BP$8+'Alternatyva 5'!BP$9-'Alternatyva 5'!BP$113</f>
        <v>0</v>
      </c>
      <c r="BQ81" s="43">
        <f>'Alternatyva 5'!BQ$8+'Alternatyva 5'!BQ$9-'Alternatyva 5'!BQ$113</f>
        <v>0</v>
      </c>
      <c r="BR81" s="43">
        <f>'Alternatyva 5'!BR$8+'Alternatyva 5'!BR$9-'Alternatyva 5'!BR$113</f>
        <v>0</v>
      </c>
      <c r="BS81" s="43">
        <f>'Alternatyva 5'!BS$8+'Alternatyva 5'!BS$9-'Alternatyva 5'!BS$113</f>
        <v>0</v>
      </c>
      <c r="BT81" s="43">
        <f>'Alternatyva 5'!BT$8+'Alternatyva 5'!BT$9-'Alternatyva 5'!BT$113</f>
        <v>0</v>
      </c>
      <c r="BU81" s="43">
        <f>'Alternatyva 5'!BU$8+'Alternatyva 5'!BU$9-'Alternatyva 5'!BU$113</f>
        <v>0</v>
      </c>
      <c r="BV81" s="43">
        <f>'Alternatyva 5'!BV$8+'Alternatyva 5'!BV$9-'Alternatyva 5'!BV$113</f>
        <v>0</v>
      </c>
      <c r="BW81" s="43">
        <f>'Alternatyva 5'!BW$8+'Alternatyva 5'!BW$9-'Alternatyva 5'!BW$113</f>
        <v>0</v>
      </c>
      <c r="BX81" s="43">
        <f>'Alternatyva 5'!BX$8+'Alternatyva 5'!BX$9-'Alternatyva 5'!BX$113</f>
        <v>0</v>
      </c>
      <c r="BY81" s="43">
        <f>'Alternatyva 5'!BY$8+'Alternatyva 5'!BY$9-'Alternatyva 5'!BY$113</f>
        <v>0</v>
      </c>
      <c r="BZ81" s="43">
        <f>'Alternatyva 5'!BZ$8+'Alternatyva 5'!BZ$9-'Alternatyva 5'!BZ$113</f>
        <v>0</v>
      </c>
      <c r="CA81" s="43">
        <f>'Alternatyva 5'!CA$8+'Alternatyva 5'!CA$9-'Alternatyva 5'!CA$113</f>
        <v>0</v>
      </c>
      <c r="CB81" s="43">
        <f>'Alternatyva 5'!CB$8+'Alternatyva 5'!CB$9-'Alternatyva 5'!CB$113</f>
        <v>0</v>
      </c>
      <c r="CC81" s="43">
        <f>'Alternatyva 5'!CC$8+'Alternatyva 5'!CC$9-'Alternatyva 5'!CC$113</f>
        <v>0</v>
      </c>
      <c r="CD81" s="43">
        <f>'Alternatyva 5'!CD$8+'Alternatyva 5'!CD$9-'Alternatyva 5'!CD$113</f>
        <v>0</v>
      </c>
      <c r="CE81" s="43">
        <f>'Alternatyva 5'!CE$8+'Alternatyva 5'!CE$9-'Alternatyva 5'!CE$113</f>
        <v>0</v>
      </c>
      <c r="CF81" s="43">
        <f>'Alternatyva 5'!CF$8+'Alternatyva 5'!CF$9-'Alternatyva 5'!CF$113</f>
        <v>0</v>
      </c>
      <c r="CG81" s="43">
        <f>'Alternatyva 5'!CG$8+'Alternatyva 5'!CG$9-'Alternatyva 5'!CG$113</f>
        <v>0</v>
      </c>
      <c r="CH81" s="43">
        <f>'Alternatyva 5'!CH$8+'Alternatyva 5'!CH$9-'Alternatyva 5'!CH$113</f>
        <v>0</v>
      </c>
      <c r="CI81" s="43">
        <f>'Alternatyva 5'!CI$8+'Alternatyva 5'!CI$9-'Alternatyva 5'!CI$113</f>
        <v>0</v>
      </c>
      <c r="CJ81" s="43">
        <f>'Alternatyva 5'!CJ$8+'Alternatyva 5'!CJ$9-'Alternatyva 5'!CJ$113</f>
        <v>0</v>
      </c>
      <c r="CK81" s="43">
        <f>'Alternatyva 5'!CK$8+'Alternatyva 5'!CK$9-'Alternatyva 5'!CK$113</f>
        <v>0</v>
      </c>
      <c r="CL81" s="43">
        <f>'Alternatyva 5'!CL$8+'Alternatyva 5'!CL$9-'Alternatyva 5'!CL$113</f>
        <v>0</v>
      </c>
      <c r="CM81" s="43">
        <f>'Alternatyva 5'!CM$8+'Alternatyva 5'!CM$9-'Alternatyva 5'!CM$113</f>
        <v>0</v>
      </c>
      <c r="CN81" s="43">
        <f>'Alternatyva 5'!CN$8+'Alternatyva 5'!CN$9-'Alternatyva 5'!CN$113</f>
        <v>0</v>
      </c>
      <c r="CO81" s="43">
        <f>'Alternatyva 5'!CO$8+'Alternatyva 5'!CO$9-'Alternatyva 5'!CO$113</f>
        <v>0</v>
      </c>
      <c r="CP81" s="43">
        <f>'Alternatyva 5'!CP$8+'Alternatyva 5'!CP$9-'Alternatyva 5'!CP$113</f>
        <v>0</v>
      </c>
      <c r="CQ81" s="43">
        <f>'Alternatyva 5'!CQ$8+'Alternatyva 5'!CQ$9-'Alternatyva 5'!CQ$113</f>
        <v>0</v>
      </c>
      <c r="CR81" s="43">
        <f>'Alternatyva 5'!CR$8+'Alternatyva 5'!CR$9-'Alternatyva 5'!CR$113</f>
        <v>0</v>
      </c>
      <c r="CS81" s="43">
        <f>'Alternatyva 5'!CS$8+'Alternatyva 5'!CS$9-'Alternatyva 5'!CS$113</f>
        <v>0</v>
      </c>
      <c r="CT81" s="43">
        <f>'Alternatyva 5'!CT$8+'Alternatyva 5'!CT$9-'Alternatyva 5'!CT$113</f>
        <v>0</v>
      </c>
      <c r="CU81" s="43">
        <f>'Alternatyva 5'!CU$8+'Alternatyva 5'!CU$9-'Alternatyva 5'!CU$113</f>
        <v>0</v>
      </c>
      <c r="CV81" s="43">
        <f>'Alternatyva 5'!CV$8+'Alternatyva 5'!CV$9-'Alternatyva 5'!CV$113</f>
        <v>0</v>
      </c>
      <c r="CW81" s="43">
        <f>'Alternatyva 5'!CW$8+'Alternatyva 5'!CW$9-'Alternatyva 5'!CW$113</f>
        <v>0</v>
      </c>
      <c r="CX81" s="43">
        <f>'Alternatyva 5'!CX$8+'Alternatyva 5'!CX$9-'Alternatyva 5'!CX$113</f>
        <v>0</v>
      </c>
      <c r="CY81" s="43">
        <f>'Alternatyva 5'!CY$8+'Alternatyva 5'!CY$9-'Alternatyva 5'!CY$113</f>
        <v>0</v>
      </c>
      <c r="CZ81" s="43">
        <f>'Alternatyva 5'!CZ$8+'Alternatyva 5'!CZ$9-'Alternatyva 5'!CZ$113</f>
        <v>0</v>
      </c>
      <c r="DA81" s="43">
        <f>'Alternatyva 5'!DA$8+'Alternatyva 5'!DA$9-'Alternatyva 5'!DA$113</f>
        <v>0</v>
      </c>
      <c r="DB81" s="43">
        <f>'Alternatyva 5'!DB$8+'Alternatyva 5'!DB$9-'Alternatyva 5'!DB$113</f>
        <v>0</v>
      </c>
      <c r="DC81" s="43">
        <f>'Alternatyva 5'!DC$8+'Alternatyva 5'!DC$9-'Alternatyva 5'!DC$113</f>
        <v>0</v>
      </c>
    </row>
    <row r="82" spans="2:107" ht="15" hidden="1" customHeight="1">
      <c r="B82" s="5" t="s">
        <v>209</v>
      </c>
      <c r="C82" s="777" t="s">
        <v>263</v>
      </c>
      <c r="D82" s="778"/>
      <c r="E82" s="779"/>
      <c r="F82" s="43">
        <f>H82+NPV(SD,I82:INDEX(I82:DC82,PAL))</f>
        <v>0</v>
      </c>
      <c r="G82" s="43">
        <f>SUMIF($H$6:$DC$6,"&lt;="&amp;PAL,$H82:$DC82)</f>
        <v>0</v>
      </c>
      <c r="H82" s="43">
        <f>'Alternatyva 5'!H$89-'Alternatyva 5'!H$114</f>
        <v>0</v>
      </c>
      <c r="I82" s="43">
        <f>'Alternatyva 5'!I$89-'Alternatyva 5'!I$114</f>
        <v>0</v>
      </c>
      <c r="J82" s="43">
        <f>'Alternatyva 5'!J$89-'Alternatyva 5'!J$114</f>
        <v>0</v>
      </c>
      <c r="K82" s="43">
        <f>'Alternatyva 5'!K$89-'Alternatyva 5'!K$114</f>
        <v>0</v>
      </c>
      <c r="L82" s="43">
        <f>'Alternatyva 5'!L$89-'Alternatyva 5'!L$114</f>
        <v>0</v>
      </c>
      <c r="M82" s="43">
        <f>'Alternatyva 5'!M$89-'Alternatyva 5'!M$114</f>
        <v>0</v>
      </c>
      <c r="N82" s="43">
        <f>'Alternatyva 5'!N$89-'Alternatyva 5'!N$114</f>
        <v>0</v>
      </c>
      <c r="O82" s="43">
        <f>'Alternatyva 5'!O$89-'Alternatyva 5'!O$114</f>
        <v>0</v>
      </c>
      <c r="P82" s="43">
        <f>'Alternatyva 5'!P$89-'Alternatyva 5'!P$114</f>
        <v>0</v>
      </c>
      <c r="Q82" s="43">
        <f>'Alternatyva 5'!Q$89-'Alternatyva 5'!Q$114</f>
        <v>0</v>
      </c>
      <c r="R82" s="43">
        <f>'Alternatyva 5'!R$89-'Alternatyva 5'!R$114</f>
        <v>0</v>
      </c>
      <c r="S82" s="43">
        <f>'Alternatyva 5'!S$89-'Alternatyva 5'!S$114</f>
        <v>0</v>
      </c>
      <c r="T82" s="43">
        <f>'Alternatyva 5'!T$89-'Alternatyva 5'!T$114</f>
        <v>0</v>
      </c>
      <c r="U82" s="43">
        <f>'Alternatyva 5'!U$89-'Alternatyva 5'!U$114</f>
        <v>0</v>
      </c>
      <c r="V82" s="43">
        <f>'Alternatyva 5'!V$89-'Alternatyva 5'!V$114</f>
        <v>0</v>
      </c>
      <c r="W82" s="43">
        <f>'Alternatyva 5'!W$89-'Alternatyva 5'!W$114</f>
        <v>0</v>
      </c>
      <c r="X82" s="43">
        <f>'Alternatyva 5'!X$89-'Alternatyva 5'!X$114</f>
        <v>0</v>
      </c>
      <c r="Y82" s="43">
        <f>'Alternatyva 5'!Y$89-'Alternatyva 5'!Y$114</f>
        <v>0</v>
      </c>
      <c r="Z82" s="43">
        <f>'Alternatyva 5'!Z$89-'Alternatyva 5'!Z$114</f>
        <v>0</v>
      </c>
      <c r="AA82" s="43">
        <f>'Alternatyva 5'!AA$89-'Alternatyva 5'!AA$114</f>
        <v>0</v>
      </c>
      <c r="AB82" s="43">
        <f>'Alternatyva 5'!AB$89-'Alternatyva 5'!AB$114</f>
        <v>0</v>
      </c>
      <c r="AC82" s="43">
        <f>'Alternatyva 5'!AC$89-'Alternatyva 5'!AC$114</f>
        <v>0</v>
      </c>
      <c r="AD82" s="43">
        <f>'Alternatyva 5'!AD$89-'Alternatyva 5'!AD$114</f>
        <v>0</v>
      </c>
      <c r="AE82" s="43">
        <f>'Alternatyva 5'!AE$89-'Alternatyva 5'!AE$114</f>
        <v>0</v>
      </c>
      <c r="AF82" s="43">
        <f>'Alternatyva 5'!AF$89-'Alternatyva 5'!AF$114</f>
        <v>0</v>
      </c>
      <c r="AG82" s="43">
        <f>'Alternatyva 5'!AG$89-'Alternatyva 5'!AG$114</f>
        <v>0</v>
      </c>
      <c r="AH82" s="43">
        <f>'Alternatyva 5'!AH$89-'Alternatyva 5'!AH$114</f>
        <v>0</v>
      </c>
      <c r="AI82" s="43">
        <f>'Alternatyva 5'!AI$89-'Alternatyva 5'!AI$114</f>
        <v>0</v>
      </c>
      <c r="AJ82" s="43">
        <f>'Alternatyva 5'!AJ$89-'Alternatyva 5'!AJ$114</f>
        <v>0</v>
      </c>
      <c r="AK82" s="43">
        <f>'Alternatyva 5'!AK$89-'Alternatyva 5'!AK$114</f>
        <v>0</v>
      </c>
      <c r="AL82" s="43">
        <f>'Alternatyva 5'!AL$89-'Alternatyva 5'!AL$114</f>
        <v>0</v>
      </c>
      <c r="AM82" s="43">
        <f>'Alternatyva 5'!AM$89-'Alternatyva 5'!AM$114</f>
        <v>0</v>
      </c>
      <c r="AN82" s="43">
        <f>'Alternatyva 5'!AN$89-'Alternatyva 5'!AN$114</f>
        <v>0</v>
      </c>
      <c r="AO82" s="43">
        <f>'Alternatyva 5'!AO$89-'Alternatyva 5'!AO$114</f>
        <v>0</v>
      </c>
      <c r="AP82" s="43">
        <f>'Alternatyva 5'!AP$89-'Alternatyva 5'!AP$114</f>
        <v>0</v>
      </c>
      <c r="AQ82" s="43">
        <f>'Alternatyva 5'!AQ$89-'Alternatyva 5'!AQ$114</f>
        <v>0</v>
      </c>
      <c r="AR82" s="43">
        <f>'Alternatyva 5'!AR$89-'Alternatyva 5'!AR$114</f>
        <v>0</v>
      </c>
      <c r="AS82" s="43">
        <f>'Alternatyva 5'!AS$89-'Alternatyva 5'!AS$114</f>
        <v>0</v>
      </c>
      <c r="AT82" s="43">
        <f>'Alternatyva 5'!AT$89-'Alternatyva 5'!AT$114</f>
        <v>0</v>
      </c>
      <c r="AU82" s="43">
        <f>'Alternatyva 5'!AU$89-'Alternatyva 5'!AU$114</f>
        <v>0</v>
      </c>
      <c r="AV82" s="43">
        <f>'Alternatyva 5'!AV$89-'Alternatyva 5'!AV$114</f>
        <v>0</v>
      </c>
      <c r="AW82" s="43">
        <f>'Alternatyva 5'!AW$89-'Alternatyva 5'!AW$114</f>
        <v>0</v>
      </c>
      <c r="AX82" s="43">
        <f>'Alternatyva 5'!AX$89-'Alternatyva 5'!AX$114</f>
        <v>0</v>
      </c>
      <c r="AY82" s="43">
        <f>'Alternatyva 5'!AY$89-'Alternatyva 5'!AY$114</f>
        <v>0</v>
      </c>
      <c r="AZ82" s="43">
        <f>'Alternatyva 5'!AZ$89-'Alternatyva 5'!AZ$114</f>
        <v>0</v>
      </c>
      <c r="BA82" s="43">
        <f>'Alternatyva 5'!BA$89-'Alternatyva 5'!BA$114</f>
        <v>0</v>
      </c>
      <c r="BB82" s="43">
        <f>'Alternatyva 5'!BB$89-'Alternatyva 5'!BB$114</f>
        <v>0</v>
      </c>
      <c r="BC82" s="43">
        <f>'Alternatyva 5'!BC$89-'Alternatyva 5'!BC$114</f>
        <v>0</v>
      </c>
      <c r="BD82" s="43">
        <f>'Alternatyva 5'!BD$89-'Alternatyva 5'!BD$114</f>
        <v>0</v>
      </c>
      <c r="BE82" s="43">
        <f>'Alternatyva 5'!BE$89-'Alternatyva 5'!BE$114</f>
        <v>0</v>
      </c>
      <c r="BF82" s="43">
        <f>'Alternatyva 5'!BF$89-'Alternatyva 5'!BF$114</f>
        <v>0</v>
      </c>
      <c r="BG82" s="43">
        <f>'Alternatyva 5'!BG$89-'Alternatyva 5'!BG$114</f>
        <v>0</v>
      </c>
      <c r="BH82" s="43">
        <f>'Alternatyva 5'!BH$89-'Alternatyva 5'!BH$114</f>
        <v>0</v>
      </c>
      <c r="BI82" s="43">
        <f>'Alternatyva 5'!BI$89-'Alternatyva 5'!BI$114</f>
        <v>0</v>
      </c>
      <c r="BJ82" s="43">
        <f>'Alternatyva 5'!BJ$89-'Alternatyva 5'!BJ$114</f>
        <v>0</v>
      </c>
      <c r="BK82" s="43">
        <f>'Alternatyva 5'!BK$89-'Alternatyva 5'!BK$114</f>
        <v>0</v>
      </c>
      <c r="BL82" s="43">
        <f>'Alternatyva 5'!BL$89-'Alternatyva 5'!BL$114</f>
        <v>0</v>
      </c>
      <c r="BM82" s="43">
        <f>'Alternatyva 5'!BM$89-'Alternatyva 5'!BM$114</f>
        <v>0</v>
      </c>
      <c r="BN82" s="43">
        <f>'Alternatyva 5'!BN$89-'Alternatyva 5'!BN$114</f>
        <v>0</v>
      </c>
      <c r="BO82" s="43">
        <f>'Alternatyva 5'!BO$89-'Alternatyva 5'!BO$114</f>
        <v>0</v>
      </c>
      <c r="BP82" s="43">
        <f>'Alternatyva 5'!BP$89-'Alternatyva 5'!BP$114</f>
        <v>0</v>
      </c>
      <c r="BQ82" s="43">
        <f>'Alternatyva 5'!BQ$89-'Alternatyva 5'!BQ$114</f>
        <v>0</v>
      </c>
      <c r="BR82" s="43">
        <f>'Alternatyva 5'!BR$89-'Alternatyva 5'!BR$114</f>
        <v>0</v>
      </c>
      <c r="BS82" s="43">
        <f>'Alternatyva 5'!BS$89-'Alternatyva 5'!BS$114</f>
        <v>0</v>
      </c>
      <c r="BT82" s="43">
        <f>'Alternatyva 5'!BT$89-'Alternatyva 5'!BT$114</f>
        <v>0</v>
      </c>
      <c r="BU82" s="43">
        <f>'Alternatyva 5'!BU$89-'Alternatyva 5'!BU$114</f>
        <v>0</v>
      </c>
      <c r="BV82" s="43">
        <f>'Alternatyva 5'!BV$89-'Alternatyva 5'!BV$114</f>
        <v>0</v>
      </c>
      <c r="BW82" s="43">
        <f>'Alternatyva 5'!BW$89-'Alternatyva 5'!BW$114</f>
        <v>0</v>
      </c>
      <c r="BX82" s="43">
        <f>'Alternatyva 5'!BX$89-'Alternatyva 5'!BX$114</f>
        <v>0</v>
      </c>
      <c r="BY82" s="43">
        <f>'Alternatyva 5'!BY$89-'Alternatyva 5'!BY$114</f>
        <v>0</v>
      </c>
      <c r="BZ82" s="43">
        <f>'Alternatyva 5'!BZ$89-'Alternatyva 5'!BZ$114</f>
        <v>0</v>
      </c>
      <c r="CA82" s="43">
        <f>'Alternatyva 5'!CA$89-'Alternatyva 5'!CA$114</f>
        <v>0</v>
      </c>
      <c r="CB82" s="43">
        <f>'Alternatyva 5'!CB$89-'Alternatyva 5'!CB$114</f>
        <v>0</v>
      </c>
      <c r="CC82" s="43">
        <f>'Alternatyva 5'!CC$89-'Alternatyva 5'!CC$114</f>
        <v>0</v>
      </c>
      <c r="CD82" s="43">
        <f>'Alternatyva 5'!CD$89-'Alternatyva 5'!CD$114</f>
        <v>0</v>
      </c>
      <c r="CE82" s="43">
        <f>'Alternatyva 5'!CE$89-'Alternatyva 5'!CE$114</f>
        <v>0</v>
      </c>
      <c r="CF82" s="43">
        <f>'Alternatyva 5'!CF$89-'Alternatyva 5'!CF$114</f>
        <v>0</v>
      </c>
      <c r="CG82" s="43">
        <f>'Alternatyva 5'!CG$89-'Alternatyva 5'!CG$114</f>
        <v>0</v>
      </c>
      <c r="CH82" s="43">
        <f>'Alternatyva 5'!CH$89-'Alternatyva 5'!CH$114</f>
        <v>0</v>
      </c>
      <c r="CI82" s="43">
        <f>'Alternatyva 5'!CI$89-'Alternatyva 5'!CI$114</f>
        <v>0</v>
      </c>
      <c r="CJ82" s="43">
        <f>'Alternatyva 5'!CJ$89-'Alternatyva 5'!CJ$114</f>
        <v>0</v>
      </c>
      <c r="CK82" s="43">
        <f>'Alternatyva 5'!CK$89-'Alternatyva 5'!CK$114</f>
        <v>0</v>
      </c>
      <c r="CL82" s="43">
        <f>'Alternatyva 5'!CL$89-'Alternatyva 5'!CL$114</f>
        <v>0</v>
      </c>
      <c r="CM82" s="43">
        <f>'Alternatyva 5'!CM$89-'Alternatyva 5'!CM$114</f>
        <v>0</v>
      </c>
      <c r="CN82" s="43">
        <f>'Alternatyva 5'!CN$89-'Alternatyva 5'!CN$114</f>
        <v>0</v>
      </c>
      <c r="CO82" s="43">
        <f>'Alternatyva 5'!CO$89-'Alternatyva 5'!CO$114</f>
        <v>0</v>
      </c>
      <c r="CP82" s="43">
        <f>'Alternatyva 5'!CP$89-'Alternatyva 5'!CP$114</f>
        <v>0</v>
      </c>
      <c r="CQ82" s="43">
        <f>'Alternatyva 5'!CQ$89-'Alternatyva 5'!CQ$114</f>
        <v>0</v>
      </c>
      <c r="CR82" s="43">
        <f>'Alternatyva 5'!CR$89-'Alternatyva 5'!CR$114</f>
        <v>0</v>
      </c>
      <c r="CS82" s="43">
        <f>'Alternatyva 5'!CS$89-'Alternatyva 5'!CS$114</f>
        <v>0</v>
      </c>
      <c r="CT82" s="43">
        <f>'Alternatyva 5'!CT$89-'Alternatyva 5'!CT$114</f>
        <v>0</v>
      </c>
      <c r="CU82" s="43">
        <f>'Alternatyva 5'!CU$89-'Alternatyva 5'!CU$114</f>
        <v>0</v>
      </c>
      <c r="CV82" s="43">
        <f>'Alternatyva 5'!CV$89-'Alternatyva 5'!CV$114</f>
        <v>0</v>
      </c>
      <c r="CW82" s="43">
        <f>'Alternatyva 5'!CW$89-'Alternatyva 5'!CW$114</f>
        <v>0</v>
      </c>
      <c r="CX82" s="43">
        <f>'Alternatyva 5'!CX$89-'Alternatyva 5'!CX$114</f>
        <v>0</v>
      </c>
      <c r="CY82" s="43">
        <f>'Alternatyva 5'!CY$89-'Alternatyva 5'!CY$114</f>
        <v>0</v>
      </c>
      <c r="CZ82" s="43">
        <f>'Alternatyva 5'!CZ$89-'Alternatyva 5'!CZ$114</f>
        <v>0</v>
      </c>
      <c r="DA82" s="43">
        <f>'Alternatyva 5'!DA$89-'Alternatyva 5'!DA$114</f>
        <v>0</v>
      </c>
      <c r="DB82" s="43">
        <f>'Alternatyva 5'!DB$89-'Alternatyva 5'!DB$114</f>
        <v>0</v>
      </c>
      <c r="DC82" s="43">
        <f>'Alternatyva 5'!DC$89-'Alternatyva 5'!DC$114</f>
        <v>0</v>
      </c>
    </row>
    <row r="83" spans="2:107" ht="15" hidden="1" customHeight="1">
      <c r="B83" s="5" t="s">
        <v>194</v>
      </c>
      <c r="C83" s="777" t="s">
        <v>16</v>
      </c>
      <c r="D83" s="778"/>
      <c r="E83" s="779"/>
      <c r="F83" s="49">
        <f>H83+NPV(FD,I83:INDEX(I83:DC83,PAL))</f>
        <v>0</v>
      </c>
      <c r="G83" s="43">
        <f>SUMIF($H$6:$DC$6,"&lt;="&amp;PAL,$H83:$DC83)</f>
        <v>0</v>
      </c>
      <c r="H83" s="43">
        <f>SUM('Alternatyva 5'!H$21,'Alternatyva 5'!H$32,'Alternatyva 5'!H$43,'Alternatyva 5'!H$55,'Alternatyva 5'!H$66,'Alternatyva 5'!H$77,'Alternatyva 5'!H$88)</f>
        <v>0</v>
      </c>
      <c r="I83" s="43">
        <f>SUM('Alternatyva 5'!I$21,'Alternatyva 5'!I$32,'Alternatyva 5'!I$43,'Alternatyva 5'!I$55,'Alternatyva 5'!I$66,'Alternatyva 5'!I$77,'Alternatyva 5'!I$88)</f>
        <v>0</v>
      </c>
      <c r="J83" s="43">
        <f>SUM('Alternatyva 5'!J$21,'Alternatyva 5'!J$32,'Alternatyva 5'!J$43,'Alternatyva 5'!J$55,'Alternatyva 5'!J$66,'Alternatyva 5'!J$77,'Alternatyva 5'!J$88)</f>
        <v>0</v>
      </c>
      <c r="K83" s="43">
        <f>SUM('Alternatyva 5'!K$21,'Alternatyva 5'!K$32,'Alternatyva 5'!K$43,'Alternatyva 5'!K$55,'Alternatyva 5'!K$66,'Alternatyva 5'!K$77,'Alternatyva 5'!K$88)</f>
        <v>0</v>
      </c>
      <c r="L83" s="43">
        <f>SUM('Alternatyva 5'!L$21,'Alternatyva 5'!L$32,'Alternatyva 5'!L$43,'Alternatyva 5'!L$55,'Alternatyva 5'!L$66,'Alternatyva 5'!L$77,'Alternatyva 5'!L$88)</f>
        <v>0</v>
      </c>
      <c r="M83" s="43">
        <f>SUM('Alternatyva 5'!M$21,'Alternatyva 5'!M$32,'Alternatyva 5'!M$43,'Alternatyva 5'!M$55,'Alternatyva 5'!M$66,'Alternatyva 5'!M$77,'Alternatyva 5'!M$88)</f>
        <v>0</v>
      </c>
      <c r="N83" s="43">
        <f>SUM('Alternatyva 5'!N$21,'Alternatyva 5'!N$32,'Alternatyva 5'!N$43,'Alternatyva 5'!N$55,'Alternatyva 5'!N$66,'Alternatyva 5'!N$77,'Alternatyva 5'!N$88)</f>
        <v>0</v>
      </c>
      <c r="O83" s="43">
        <f>SUM('Alternatyva 5'!O$21,'Alternatyva 5'!O$32,'Alternatyva 5'!O$43,'Alternatyva 5'!O$55,'Alternatyva 5'!O$66,'Alternatyva 5'!O$77,'Alternatyva 5'!O$88)</f>
        <v>0</v>
      </c>
      <c r="P83" s="43">
        <f>SUM('Alternatyva 5'!P$21,'Alternatyva 5'!P$32,'Alternatyva 5'!P$43,'Alternatyva 5'!P$55,'Alternatyva 5'!P$66,'Alternatyva 5'!P$77,'Alternatyva 5'!P$88)</f>
        <v>0</v>
      </c>
      <c r="Q83" s="43">
        <f>SUM('Alternatyva 5'!Q$21,'Alternatyva 5'!Q$32,'Alternatyva 5'!Q$43,'Alternatyva 5'!Q$55,'Alternatyva 5'!Q$66,'Alternatyva 5'!Q$77,'Alternatyva 5'!Q$88)</f>
        <v>0</v>
      </c>
      <c r="R83" s="43">
        <f>SUM('Alternatyva 5'!R$21,'Alternatyva 5'!R$32,'Alternatyva 5'!R$43,'Alternatyva 5'!R$55,'Alternatyva 5'!R$66,'Alternatyva 5'!R$77,'Alternatyva 5'!R$88)</f>
        <v>0</v>
      </c>
      <c r="S83" s="43">
        <f>SUM('Alternatyva 5'!S$21,'Alternatyva 5'!S$32,'Alternatyva 5'!S$43,'Alternatyva 5'!S$55,'Alternatyva 5'!S$66,'Alternatyva 5'!S$77,'Alternatyva 5'!S$88)</f>
        <v>0</v>
      </c>
      <c r="T83" s="43">
        <f>SUM('Alternatyva 5'!T$21,'Alternatyva 5'!T$32,'Alternatyva 5'!T$43,'Alternatyva 5'!T$55,'Alternatyva 5'!T$66,'Alternatyva 5'!T$77,'Alternatyva 5'!T$88)</f>
        <v>0</v>
      </c>
      <c r="U83" s="43">
        <f>SUM('Alternatyva 5'!U$21,'Alternatyva 5'!U$32,'Alternatyva 5'!U$43,'Alternatyva 5'!U$55,'Alternatyva 5'!U$66,'Alternatyva 5'!U$77,'Alternatyva 5'!U$88)</f>
        <v>0</v>
      </c>
      <c r="V83" s="43">
        <f>SUM('Alternatyva 5'!V$21,'Alternatyva 5'!V$32,'Alternatyva 5'!V$43,'Alternatyva 5'!V$55,'Alternatyva 5'!V$66,'Alternatyva 5'!V$77,'Alternatyva 5'!V$88)</f>
        <v>0</v>
      </c>
      <c r="W83" s="43">
        <f>SUM('Alternatyva 5'!W$21,'Alternatyva 5'!W$32,'Alternatyva 5'!W$43,'Alternatyva 5'!W$55,'Alternatyva 5'!W$66,'Alternatyva 5'!W$77,'Alternatyva 5'!W$88)</f>
        <v>0</v>
      </c>
      <c r="X83" s="43">
        <f>SUM('Alternatyva 5'!X$21,'Alternatyva 5'!X$32,'Alternatyva 5'!X$43,'Alternatyva 5'!X$55,'Alternatyva 5'!X$66,'Alternatyva 5'!X$77,'Alternatyva 5'!X$88)</f>
        <v>0</v>
      </c>
      <c r="Y83" s="43">
        <f>SUM('Alternatyva 5'!Y$21,'Alternatyva 5'!Y$32,'Alternatyva 5'!Y$43,'Alternatyva 5'!Y$55,'Alternatyva 5'!Y$66,'Alternatyva 5'!Y$77,'Alternatyva 5'!Y$88)</f>
        <v>0</v>
      </c>
      <c r="Z83" s="43">
        <f>SUM('Alternatyva 5'!Z$21,'Alternatyva 5'!Z$32,'Alternatyva 5'!Z$43,'Alternatyva 5'!Z$55,'Alternatyva 5'!Z$66,'Alternatyva 5'!Z$77,'Alternatyva 5'!Z$88)</f>
        <v>0</v>
      </c>
      <c r="AA83" s="43">
        <f>SUM('Alternatyva 5'!AA$21,'Alternatyva 5'!AA$32,'Alternatyva 5'!AA$43,'Alternatyva 5'!AA$55,'Alternatyva 5'!AA$66,'Alternatyva 5'!AA$77,'Alternatyva 5'!AA$88)</f>
        <v>0</v>
      </c>
      <c r="AB83" s="43">
        <f>SUM('Alternatyva 5'!AB$21,'Alternatyva 5'!AB$32,'Alternatyva 5'!AB$43,'Alternatyva 5'!AB$55,'Alternatyva 5'!AB$66,'Alternatyva 5'!AB$77,'Alternatyva 5'!AB$88)</f>
        <v>0</v>
      </c>
      <c r="AC83" s="43">
        <f>SUM('Alternatyva 5'!AC$21,'Alternatyva 5'!AC$32,'Alternatyva 5'!AC$43,'Alternatyva 5'!AC$55,'Alternatyva 5'!AC$66,'Alternatyva 5'!AC$77,'Alternatyva 5'!AC$88)</f>
        <v>0</v>
      </c>
      <c r="AD83" s="43">
        <f>SUM('Alternatyva 5'!AD$21,'Alternatyva 5'!AD$32,'Alternatyva 5'!AD$43,'Alternatyva 5'!AD$55,'Alternatyva 5'!AD$66,'Alternatyva 5'!AD$77,'Alternatyva 5'!AD$88)</f>
        <v>0</v>
      </c>
      <c r="AE83" s="43">
        <f>SUM('Alternatyva 5'!AE$21,'Alternatyva 5'!AE$32,'Alternatyva 5'!AE$43,'Alternatyva 5'!AE$55,'Alternatyva 5'!AE$66,'Alternatyva 5'!AE$77,'Alternatyva 5'!AE$88)</f>
        <v>0</v>
      </c>
      <c r="AF83" s="43">
        <f>SUM('Alternatyva 5'!AF$21,'Alternatyva 5'!AF$32,'Alternatyva 5'!AF$43,'Alternatyva 5'!AF$55,'Alternatyva 5'!AF$66,'Alternatyva 5'!AF$77,'Alternatyva 5'!AF$88)</f>
        <v>0</v>
      </c>
      <c r="AG83" s="43">
        <f>SUM('Alternatyva 5'!AG$21,'Alternatyva 5'!AG$32,'Alternatyva 5'!AG$43,'Alternatyva 5'!AG$55,'Alternatyva 5'!AG$66,'Alternatyva 5'!AG$77,'Alternatyva 5'!AG$88)</f>
        <v>0</v>
      </c>
      <c r="AH83" s="43">
        <f>SUM('Alternatyva 5'!AH$21,'Alternatyva 5'!AH$32,'Alternatyva 5'!AH$43,'Alternatyva 5'!AH$55,'Alternatyva 5'!AH$66,'Alternatyva 5'!AH$77,'Alternatyva 5'!AH$88)</f>
        <v>0</v>
      </c>
      <c r="AI83" s="43">
        <f>SUM('Alternatyva 5'!AI$21,'Alternatyva 5'!AI$32,'Alternatyva 5'!AI$43,'Alternatyva 5'!AI$55,'Alternatyva 5'!AI$66,'Alternatyva 5'!AI$77,'Alternatyva 5'!AI$88)</f>
        <v>0</v>
      </c>
      <c r="AJ83" s="43">
        <f>SUM('Alternatyva 5'!AJ$21,'Alternatyva 5'!AJ$32,'Alternatyva 5'!AJ$43,'Alternatyva 5'!AJ$55,'Alternatyva 5'!AJ$66,'Alternatyva 5'!AJ$77,'Alternatyva 5'!AJ$88)</f>
        <v>0</v>
      </c>
      <c r="AK83" s="43">
        <f>SUM('Alternatyva 5'!AK$21,'Alternatyva 5'!AK$32,'Alternatyva 5'!AK$43,'Alternatyva 5'!AK$55,'Alternatyva 5'!AK$66,'Alternatyva 5'!AK$77,'Alternatyva 5'!AK$88)</f>
        <v>0</v>
      </c>
      <c r="AL83" s="43">
        <f>SUM('Alternatyva 5'!AL$21,'Alternatyva 5'!AL$32,'Alternatyva 5'!AL$43,'Alternatyva 5'!AL$55,'Alternatyva 5'!AL$66,'Alternatyva 5'!AL$77,'Alternatyva 5'!AL$88)</f>
        <v>0</v>
      </c>
      <c r="AM83" s="43">
        <f>SUM('Alternatyva 5'!AM$21,'Alternatyva 5'!AM$32,'Alternatyva 5'!AM$43,'Alternatyva 5'!AM$55,'Alternatyva 5'!AM$66,'Alternatyva 5'!AM$77,'Alternatyva 5'!AM$88)</f>
        <v>0</v>
      </c>
      <c r="AN83" s="43">
        <f>SUM('Alternatyva 5'!AN$21,'Alternatyva 5'!AN$32,'Alternatyva 5'!AN$43,'Alternatyva 5'!AN$55,'Alternatyva 5'!AN$66,'Alternatyva 5'!AN$77,'Alternatyva 5'!AN$88)</f>
        <v>0</v>
      </c>
      <c r="AO83" s="43">
        <f>SUM('Alternatyva 5'!AO$21,'Alternatyva 5'!AO$32,'Alternatyva 5'!AO$43,'Alternatyva 5'!AO$55,'Alternatyva 5'!AO$66,'Alternatyva 5'!AO$77,'Alternatyva 5'!AO$88)</f>
        <v>0</v>
      </c>
      <c r="AP83" s="43">
        <f>SUM('Alternatyva 5'!AP$21,'Alternatyva 5'!AP$32,'Alternatyva 5'!AP$43,'Alternatyva 5'!AP$55,'Alternatyva 5'!AP$66,'Alternatyva 5'!AP$77,'Alternatyva 5'!AP$88)</f>
        <v>0</v>
      </c>
      <c r="AQ83" s="43">
        <f>SUM('Alternatyva 5'!AQ$21,'Alternatyva 5'!AQ$32,'Alternatyva 5'!AQ$43,'Alternatyva 5'!AQ$55,'Alternatyva 5'!AQ$66,'Alternatyva 5'!AQ$77,'Alternatyva 5'!AQ$88)</f>
        <v>0</v>
      </c>
      <c r="AR83" s="43">
        <f>SUM('Alternatyva 5'!AR$21,'Alternatyva 5'!AR$32,'Alternatyva 5'!AR$43,'Alternatyva 5'!AR$55,'Alternatyva 5'!AR$66,'Alternatyva 5'!AR$77,'Alternatyva 5'!AR$88)</f>
        <v>0</v>
      </c>
      <c r="AS83" s="43">
        <f>SUM('Alternatyva 5'!AS$21,'Alternatyva 5'!AS$32,'Alternatyva 5'!AS$43,'Alternatyva 5'!AS$55,'Alternatyva 5'!AS$66,'Alternatyva 5'!AS$77,'Alternatyva 5'!AS$88)</f>
        <v>0</v>
      </c>
      <c r="AT83" s="43">
        <f>SUM('Alternatyva 5'!AT$21,'Alternatyva 5'!AT$32,'Alternatyva 5'!AT$43,'Alternatyva 5'!AT$55,'Alternatyva 5'!AT$66,'Alternatyva 5'!AT$77,'Alternatyva 5'!AT$88)</f>
        <v>0</v>
      </c>
      <c r="AU83" s="43">
        <f>SUM('Alternatyva 5'!AU$21,'Alternatyva 5'!AU$32,'Alternatyva 5'!AU$43,'Alternatyva 5'!AU$55,'Alternatyva 5'!AU$66,'Alternatyva 5'!AU$77,'Alternatyva 5'!AU$88)</f>
        <v>0</v>
      </c>
      <c r="AV83" s="43">
        <f>SUM('Alternatyva 5'!AV$21,'Alternatyva 5'!AV$32,'Alternatyva 5'!AV$43,'Alternatyva 5'!AV$55,'Alternatyva 5'!AV$66,'Alternatyva 5'!AV$77,'Alternatyva 5'!AV$88)</f>
        <v>0</v>
      </c>
      <c r="AW83" s="43">
        <f>SUM('Alternatyva 5'!AW$21,'Alternatyva 5'!AW$32,'Alternatyva 5'!AW$43,'Alternatyva 5'!AW$55,'Alternatyva 5'!AW$66,'Alternatyva 5'!AW$77,'Alternatyva 5'!AW$88)</f>
        <v>0</v>
      </c>
      <c r="AX83" s="43">
        <f>SUM('Alternatyva 5'!AX$21,'Alternatyva 5'!AX$32,'Alternatyva 5'!AX$43,'Alternatyva 5'!AX$55,'Alternatyva 5'!AX$66,'Alternatyva 5'!AX$77,'Alternatyva 5'!AX$88)</f>
        <v>0</v>
      </c>
      <c r="AY83" s="43">
        <f>SUM('Alternatyva 5'!AY$21,'Alternatyva 5'!AY$32,'Alternatyva 5'!AY$43,'Alternatyva 5'!AY$55,'Alternatyva 5'!AY$66,'Alternatyva 5'!AY$77,'Alternatyva 5'!AY$88)</f>
        <v>0</v>
      </c>
      <c r="AZ83" s="43">
        <f>SUM('Alternatyva 5'!AZ$21,'Alternatyva 5'!AZ$32,'Alternatyva 5'!AZ$43,'Alternatyva 5'!AZ$55,'Alternatyva 5'!AZ$66,'Alternatyva 5'!AZ$77,'Alternatyva 5'!AZ$88)</f>
        <v>0</v>
      </c>
      <c r="BA83" s="43">
        <f>SUM('Alternatyva 5'!BA$21,'Alternatyva 5'!BA$32,'Alternatyva 5'!BA$43,'Alternatyva 5'!BA$55,'Alternatyva 5'!BA$66,'Alternatyva 5'!BA$77,'Alternatyva 5'!BA$88)</f>
        <v>0</v>
      </c>
      <c r="BB83" s="43">
        <f>SUM('Alternatyva 5'!BB$21,'Alternatyva 5'!BB$32,'Alternatyva 5'!BB$43,'Alternatyva 5'!BB$55,'Alternatyva 5'!BB$66,'Alternatyva 5'!BB$77,'Alternatyva 5'!BB$88)</f>
        <v>0</v>
      </c>
      <c r="BC83" s="43">
        <f>SUM('Alternatyva 5'!BC$21,'Alternatyva 5'!BC$32,'Alternatyva 5'!BC$43,'Alternatyva 5'!BC$55,'Alternatyva 5'!BC$66,'Alternatyva 5'!BC$77,'Alternatyva 5'!BC$88)</f>
        <v>0</v>
      </c>
      <c r="BD83" s="43">
        <f>SUM('Alternatyva 5'!BD$21,'Alternatyva 5'!BD$32,'Alternatyva 5'!BD$43,'Alternatyva 5'!BD$55,'Alternatyva 5'!BD$66,'Alternatyva 5'!BD$77,'Alternatyva 5'!BD$88)</f>
        <v>0</v>
      </c>
      <c r="BE83" s="43">
        <f>SUM('Alternatyva 5'!BE$21,'Alternatyva 5'!BE$32,'Alternatyva 5'!BE$43,'Alternatyva 5'!BE$55,'Alternatyva 5'!BE$66,'Alternatyva 5'!BE$77,'Alternatyva 5'!BE$88)</f>
        <v>0</v>
      </c>
      <c r="BF83" s="43">
        <f>SUM('Alternatyva 5'!BF$21,'Alternatyva 5'!BF$32,'Alternatyva 5'!BF$43,'Alternatyva 5'!BF$55,'Alternatyva 5'!BF$66,'Alternatyva 5'!BF$77,'Alternatyva 5'!BF$88)</f>
        <v>0</v>
      </c>
      <c r="BG83" s="43">
        <f>SUM('Alternatyva 5'!BG$21,'Alternatyva 5'!BG$32,'Alternatyva 5'!BG$43,'Alternatyva 5'!BG$55,'Alternatyva 5'!BG$66,'Alternatyva 5'!BG$77,'Alternatyva 5'!BG$88)</f>
        <v>0</v>
      </c>
      <c r="BH83" s="43">
        <f>SUM('Alternatyva 5'!BH$21,'Alternatyva 5'!BH$32,'Alternatyva 5'!BH$43,'Alternatyva 5'!BH$55,'Alternatyva 5'!BH$66,'Alternatyva 5'!BH$77,'Alternatyva 5'!BH$88)</f>
        <v>0</v>
      </c>
      <c r="BI83" s="43">
        <f>SUM('Alternatyva 5'!BI$21,'Alternatyva 5'!BI$32,'Alternatyva 5'!BI$43,'Alternatyva 5'!BI$55,'Alternatyva 5'!BI$66,'Alternatyva 5'!BI$77,'Alternatyva 5'!BI$88)</f>
        <v>0</v>
      </c>
      <c r="BJ83" s="43">
        <f>SUM('Alternatyva 5'!BJ$21,'Alternatyva 5'!BJ$32,'Alternatyva 5'!BJ$43,'Alternatyva 5'!BJ$55,'Alternatyva 5'!BJ$66,'Alternatyva 5'!BJ$77,'Alternatyva 5'!BJ$88)</f>
        <v>0</v>
      </c>
      <c r="BK83" s="43">
        <f>SUM('Alternatyva 5'!BK$21,'Alternatyva 5'!BK$32,'Alternatyva 5'!BK$43,'Alternatyva 5'!BK$55,'Alternatyva 5'!BK$66,'Alternatyva 5'!BK$77,'Alternatyva 5'!BK$88)</f>
        <v>0</v>
      </c>
      <c r="BL83" s="43">
        <f>SUM('Alternatyva 5'!BL$21,'Alternatyva 5'!BL$32,'Alternatyva 5'!BL$43,'Alternatyva 5'!BL$55,'Alternatyva 5'!BL$66,'Alternatyva 5'!BL$77,'Alternatyva 5'!BL$88)</f>
        <v>0</v>
      </c>
      <c r="BM83" s="43">
        <f>SUM('Alternatyva 5'!BM$21,'Alternatyva 5'!BM$32,'Alternatyva 5'!BM$43,'Alternatyva 5'!BM$55,'Alternatyva 5'!BM$66,'Alternatyva 5'!BM$77,'Alternatyva 5'!BM$88)</f>
        <v>0</v>
      </c>
      <c r="BN83" s="43">
        <f>SUM('Alternatyva 5'!BN$21,'Alternatyva 5'!BN$32,'Alternatyva 5'!BN$43,'Alternatyva 5'!BN$55,'Alternatyva 5'!BN$66,'Alternatyva 5'!BN$77,'Alternatyva 5'!BN$88)</f>
        <v>0</v>
      </c>
      <c r="BO83" s="43">
        <f>SUM('Alternatyva 5'!BO$21,'Alternatyva 5'!BO$32,'Alternatyva 5'!BO$43,'Alternatyva 5'!BO$55,'Alternatyva 5'!BO$66,'Alternatyva 5'!BO$77,'Alternatyva 5'!BO$88)</f>
        <v>0</v>
      </c>
      <c r="BP83" s="43">
        <f>SUM('Alternatyva 5'!BP$21,'Alternatyva 5'!BP$32,'Alternatyva 5'!BP$43,'Alternatyva 5'!BP$55,'Alternatyva 5'!BP$66,'Alternatyva 5'!BP$77,'Alternatyva 5'!BP$88)</f>
        <v>0</v>
      </c>
      <c r="BQ83" s="43">
        <f>SUM('Alternatyva 5'!BQ$21,'Alternatyva 5'!BQ$32,'Alternatyva 5'!BQ$43,'Alternatyva 5'!BQ$55,'Alternatyva 5'!BQ$66,'Alternatyva 5'!BQ$77,'Alternatyva 5'!BQ$88)</f>
        <v>0</v>
      </c>
      <c r="BR83" s="43">
        <f>SUM('Alternatyva 5'!BR$21,'Alternatyva 5'!BR$32,'Alternatyva 5'!BR$43,'Alternatyva 5'!BR$55,'Alternatyva 5'!BR$66,'Alternatyva 5'!BR$77,'Alternatyva 5'!BR$88)</f>
        <v>0</v>
      </c>
      <c r="BS83" s="43">
        <f>SUM('Alternatyva 5'!BS$21,'Alternatyva 5'!BS$32,'Alternatyva 5'!BS$43,'Alternatyva 5'!BS$55,'Alternatyva 5'!BS$66,'Alternatyva 5'!BS$77,'Alternatyva 5'!BS$88)</f>
        <v>0</v>
      </c>
      <c r="BT83" s="43">
        <f>SUM('Alternatyva 5'!BT$21,'Alternatyva 5'!BT$32,'Alternatyva 5'!BT$43,'Alternatyva 5'!BT$55,'Alternatyva 5'!BT$66,'Alternatyva 5'!BT$77,'Alternatyva 5'!BT$88)</f>
        <v>0</v>
      </c>
      <c r="BU83" s="43">
        <f>SUM('Alternatyva 5'!BU$21,'Alternatyva 5'!BU$32,'Alternatyva 5'!BU$43,'Alternatyva 5'!BU$55,'Alternatyva 5'!BU$66,'Alternatyva 5'!BU$77,'Alternatyva 5'!BU$88)</f>
        <v>0</v>
      </c>
      <c r="BV83" s="43">
        <f>SUM('Alternatyva 5'!BV$21,'Alternatyva 5'!BV$32,'Alternatyva 5'!BV$43,'Alternatyva 5'!BV$55,'Alternatyva 5'!BV$66,'Alternatyva 5'!BV$77,'Alternatyva 5'!BV$88)</f>
        <v>0</v>
      </c>
      <c r="BW83" s="43">
        <f>SUM('Alternatyva 5'!BW$21,'Alternatyva 5'!BW$32,'Alternatyva 5'!BW$43,'Alternatyva 5'!BW$55,'Alternatyva 5'!BW$66,'Alternatyva 5'!BW$77,'Alternatyva 5'!BW$88)</f>
        <v>0</v>
      </c>
      <c r="BX83" s="43">
        <f>SUM('Alternatyva 5'!BX$21,'Alternatyva 5'!BX$32,'Alternatyva 5'!BX$43,'Alternatyva 5'!BX$55,'Alternatyva 5'!BX$66,'Alternatyva 5'!BX$77,'Alternatyva 5'!BX$88)</f>
        <v>0</v>
      </c>
      <c r="BY83" s="43">
        <f>SUM('Alternatyva 5'!BY$21,'Alternatyva 5'!BY$32,'Alternatyva 5'!BY$43,'Alternatyva 5'!BY$55,'Alternatyva 5'!BY$66,'Alternatyva 5'!BY$77,'Alternatyva 5'!BY$88)</f>
        <v>0</v>
      </c>
      <c r="BZ83" s="43">
        <f>SUM('Alternatyva 5'!BZ$21,'Alternatyva 5'!BZ$32,'Alternatyva 5'!BZ$43,'Alternatyva 5'!BZ$55,'Alternatyva 5'!BZ$66,'Alternatyva 5'!BZ$77,'Alternatyva 5'!BZ$88)</f>
        <v>0</v>
      </c>
      <c r="CA83" s="43">
        <f>SUM('Alternatyva 5'!CA$21,'Alternatyva 5'!CA$32,'Alternatyva 5'!CA$43,'Alternatyva 5'!CA$55,'Alternatyva 5'!CA$66,'Alternatyva 5'!CA$77,'Alternatyva 5'!CA$88)</f>
        <v>0</v>
      </c>
      <c r="CB83" s="43">
        <f>SUM('Alternatyva 5'!CB$21,'Alternatyva 5'!CB$32,'Alternatyva 5'!CB$43,'Alternatyva 5'!CB$55,'Alternatyva 5'!CB$66,'Alternatyva 5'!CB$77,'Alternatyva 5'!CB$88)</f>
        <v>0</v>
      </c>
      <c r="CC83" s="43">
        <f>SUM('Alternatyva 5'!CC$21,'Alternatyva 5'!CC$32,'Alternatyva 5'!CC$43,'Alternatyva 5'!CC$55,'Alternatyva 5'!CC$66,'Alternatyva 5'!CC$77,'Alternatyva 5'!CC$88)</f>
        <v>0</v>
      </c>
      <c r="CD83" s="43">
        <f>SUM('Alternatyva 5'!CD$21,'Alternatyva 5'!CD$32,'Alternatyva 5'!CD$43,'Alternatyva 5'!CD$55,'Alternatyva 5'!CD$66,'Alternatyva 5'!CD$77,'Alternatyva 5'!CD$88)</f>
        <v>0</v>
      </c>
      <c r="CE83" s="43">
        <f>SUM('Alternatyva 5'!CE$21,'Alternatyva 5'!CE$32,'Alternatyva 5'!CE$43,'Alternatyva 5'!CE$55,'Alternatyva 5'!CE$66,'Alternatyva 5'!CE$77,'Alternatyva 5'!CE$88)</f>
        <v>0</v>
      </c>
      <c r="CF83" s="43">
        <f>SUM('Alternatyva 5'!CF$21,'Alternatyva 5'!CF$32,'Alternatyva 5'!CF$43,'Alternatyva 5'!CF$55,'Alternatyva 5'!CF$66,'Alternatyva 5'!CF$77,'Alternatyva 5'!CF$88)</f>
        <v>0</v>
      </c>
      <c r="CG83" s="43">
        <f>SUM('Alternatyva 5'!CG$21,'Alternatyva 5'!CG$32,'Alternatyva 5'!CG$43,'Alternatyva 5'!CG$55,'Alternatyva 5'!CG$66,'Alternatyva 5'!CG$77,'Alternatyva 5'!CG$88)</f>
        <v>0</v>
      </c>
      <c r="CH83" s="43">
        <f>SUM('Alternatyva 5'!CH$21,'Alternatyva 5'!CH$32,'Alternatyva 5'!CH$43,'Alternatyva 5'!CH$55,'Alternatyva 5'!CH$66,'Alternatyva 5'!CH$77,'Alternatyva 5'!CH$88)</f>
        <v>0</v>
      </c>
      <c r="CI83" s="43">
        <f>SUM('Alternatyva 5'!CI$21,'Alternatyva 5'!CI$32,'Alternatyva 5'!CI$43,'Alternatyva 5'!CI$55,'Alternatyva 5'!CI$66,'Alternatyva 5'!CI$77,'Alternatyva 5'!CI$88)</f>
        <v>0</v>
      </c>
      <c r="CJ83" s="43">
        <f>SUM('Alternatyva 5'!CJ$21,'Alternatyva 5'!CJ$32,'Alternatyva 5'!CJ$43,'Alternatyva 5'!CJ$55,'Alternatyva 5'!CJ$66,'Alternatyva 5'!CJ$77,'Alternatyva 5'!CJ$88)</f>
        <v>0</v>
      </c>
      <c r="CK83" s="43">
        <f>SUM('Alternatyva 5'!CK$21,'Alternatyva 5'!CK$32,'Alternatyva 5'!CK$43,'Alternatyva 5'!CK$55,'Alternatyva 5'!CK$66,'Alternatyva 5'!CK$77,'Alternatyva 5'!CK$88)</f>
        <v>0</v>
      </c>
      <c r="CL83" s="43">
        <f>SUM('Alternatyva 5'!CL$21,'Alternatyva 5'!CL$32,'Alternatyva 5'!CL$43,'Alternatyva 5'!CL$55,'Alternatyva 5'!CL$66,'Alternatyva 5'!CL$77,'Alternatyva 5'!CL$88)</f>
        <v>0</v>
      </c>
      <c r="CM83" s="43">
        <f>SUM('Alternatyva 5'!CM$21,'Alternatyva 5'!CM$32,'Alternatyva 5'!CM$43,'Alternatyva 5'!CM$55,'Alternatyva 5'!CM$66,'Alternatyva 5'!CM$77,'Alternatyva 5'!CM$88)</f>
        <v>0</v>
      </c>
      <c r="CN83" s="43">
        <f>SUM('Alternatyva 5'!CN$21,'Alternatyva 5'!CN$32,'Alternatyva 5'!CN$43,'Alternatyva 5'!CN$55,'Alternatyva 5'!CN$66,'Alternatyva 5'!CN$77,'Alternatyva 5'!CN$88)</f>
        <v>0</v>
      </c>
      <c r="CO83" s="43">
        <f>SUM('Alternatyva 5'!CO$21,'Alternatyva 5'!CO$32,'Alternatyva 5'!CO$43,'Alternatyva 5'!CO$55,'Alternatyva 5'!CO$66,'Alternatyva 5'!CO$77,'Alternatyva 5'!CO$88)</f>
        <v>0</v>
      </c>
      <c r="CP83" s="43">
        <f>SUM('Alternatyva 5'!CP$21,'Alternatyva 5'!CP$32,'Alternatyva 5'!CP$43,'Alternatyva 5'!CP$55,'Alternatyva 5'!CP$66,'Alternatyva 5'!CP$77,'Alternatyva 5'!CP$88)</f>
        <v>0</v>
      </c>
      <c r="CQ83" s="43">
        <f>SUM('Alternatyva 5'!CQ$21,'Alternatyva 5'!CQ$32,'Alternatyva 5'!CQ$43,'Alternatyva 5'!CQ$55,'Alternatyva 5'!CQ$66,'Alternatyva 5'!CQ$77,'Alternatyva 5'!CQ$88)</f>
        <v>0</v>
      </c>
      <c r="CR83" s="43">
        <f>SUM('Alternatyva 5'!CR$21,'Alternatyva 5'!CR$32,'Alternatyva 5'!CR$43,'Alternatyva 5'!CR$55,'Alternatyva 5'!CR$66,'Alternatyva 5'!CR$77,'Alternatyva 5'!CR$88)</f>
        <v>0</v>
      </c>
      <c r="CS83" s="43">
        <f>SUM('Alternatyva 5'!CS$21,'Alternatyva 5'!CS$32,'Alternatyva 5'!CS$43,'Alternatyva 5'!CS$55,'Alternatyva 5'!CS$66,'Alternatyva 5'!CS$77,'Alternatyva 5'!CS$88)</f>
        <v>0</v>
      </c>
      <c r="CT83" s="43">
        <f>SUM('Alternatyva 5'!CT$21,'Alternatyva 5'!CT$32,'Alternatyva 5'!CT$43,'Alternatyva 5'!CT$55,'Alternatyva 5'!CT$66,'Alternatyva 5'!CT$77,'Alternatyva 5'!CT$88)</f>
        <v>0</v>
      </c>
      <c r="CU83" s="43">
        <f>SUM('Alternatyva 5'!CU$21,'Alternatyva 5'!CU$32,'Alternatyva 5'!CU$43,'Alternatyva 5'!CU$55,'Alternatyva 5'!CU$66,'Alternatyva 5'!CU$77,'Alternatyva 5'!CU$88)</f>
        <v>0</v>
      </c>
      <c r="CV83" s="43">
        <f>SUM('Alternatyva 5'!CV$21,'Alternatyva 5'!CV$32,'Alternatyva 5'!CV$43,'Alternatyva 5'!CV$55,'Alternatyva 5'!CV$66,'Alternatyva 5'!CV$77,'Alternatyva 5'!CV$88)</f>
        <v>0</v>
      </c>
      <c r="CW83" s="43">
        <f>SUM('Alternatyva 5'!CW$21,'Alternatyva 5'!CW$32,'Alternatyva 5'!CW$43,'Alternatyva 5'!CW$55,'Alternatyva 5'!CW$66,'Alternatyva 5'!CW$77,'Alternatyva 5'!CW$88)</f>
        <v>0</v>
      </c>
      <c r="CX83" s="43">
        <f>SUM('Alternatyva 5'!CX$21,'Alternatyva 5'!CX$32,'Alternatyva 5'!CX$43,'Alternatyva 5'!CX$55,'Alternatyva 5'!CX$66,'Alternatyva 5'!CX$77,'Alternatyva 5'!CX$88)</f>
        <v>0</v>
      </c>
      <c r="CY83" s="43">
        <f>SUM('Alternatyva 5'!CY$21,'Alternatyva 5'!CY$32,'Alternatyva 5'!CY$43,'Alternatyva 5'!CY$55,'Alternatyva 5'!CY$66,'Alternatyva 5'!CY$77,'Alternatyva 5'!CY$88)</f>
        <v>0</v>
      </c>
      <c r="CZ83" s="43">
        <f>SUM('Alternatyva 5'!CZ$21,'Alternatyva 5'!CZ$32,'Alternatyva 5'!CZ$43,'Alternatyva 5'!CZ$55,'Alternatyva 5'!CZ$66,'Alternatyva 5'!CZ$77,'Alternatyva 5'!CZ$88)</f>
        <v>0</v>
      </c>
      <c r="DA83" s="43">
        <f>SUM('Alternatyva 5'!DA$21,'Alternatyva 5'!DA$32,'Alternatyva 5'!DA$43,'Alternatyva 5'!DA$55,'Alternatyva 5'!DA$66,'Alternatyva 5'!DA$77,'Alternatyva 5'!DA$88)</f>
        <v>0</v>
      </c>
      <c r="DB83" s="43">
        <f>SUM('Alternatyva 5'!DB$21,'Alternatyva 5'!DB$32,'Alternatyva 5'!DB$43,'Alternatyva 5'!DB$55,'Alternatyva 5'!DB$66,'Alternatyva 5'!DB$77,'Alternatyva 5'!DB$88)</f>
        <v>0</v>
      </c>
      <c r="DC83" s="43">
        <f>SUM('Alternatyva 5'!DC$21,'Alternatyva 5'!DC$32,'Alternatyva 5'!DC$43,'Alternatyva 5'!DC$55,'Alternatyva 5'!DC$66,'Alternatyva 5'!DC$77,'Alternatyva 5'!DC$88)</f>
        <v>0</v>
      </c>
    </row>
    <row r="84" spans="2:107" ht="15" hidden="1" customHeight="1">
      <c r="B84" s="5" t="s">
        <v>195</v>
      </c>
      <c r="C84" s="777" t="s">
        <v>264</v>
      </c>
      <c r="D84" s="778"/>
      <c r="E84" s="779"/>
      <c r="F84" s="49">
        <f>H84+NPV(SD,I84:INDEX(I84:DC84,PAL))</f>
        <v>0</v>
      </c>
      <c r="G84" s="43">
        <f>SUMIF($H$6:$DC$6,"&lt;="&amp;PAL,$H84:$DC84)</f>
        <v>0</v>
      </c>
      <c r="H84" s="43">
        <f>H83-SUMPRODUCT('Alternatyva 5'!H$21:H$88,'Alternatyva 5'!$DH$21:$DH$88)</f>
        <v>0</v>
      </c>
      <c r="I84" s="43">
        <f>I83-SUMPRODUCT('Alternatyva 5'!I$21:I$88,'Alternatyva 5'!$DH$21:$DH$88)</f>
        <v>0</v>
      </c>
      <c r="J84" s="43">
        <f>J83-SUMPRODUCT('Alternatyva 5'!J$21:J$88,'Alternatyva 5'!$DH$21:$DH$88)</f>
        <v>0</v>
      </c>
      <c r="K84" s="43">
        <f>K83-SUMPRODUCT('Alternatyva 5'!K$21:K$88,'Alternatyva 5'!$DH$21:$DH$88)</f>
        <v>0</v>
      </c>
      <c r="L84" s="43">
        <f>L83-SUMPRODUCT('Alternatyva 5'!L$21:L$88,'Alternatyva 5'!$DH$21:$DH$88)</f>
        <v>0</v>
      </c>
      <c r="M84" s="43">
        <f>M83-SUMPRODUCT('Alternatyva 5'!M$21:M$88,'Alternatyva 5'!$DH$21:$DH$88)</f>
        <v>0</v>
      </c>
      <c r="N84" s="43">
        <f>N83-SUMPRODUCT('Alternatyva 5'!N$21:N$88,'Alternatyva 5'!$DH$21:$DH$88)</f>
        <v>0</v>
      </c>
      <c r="O84" s="43">
        <f>O83-SUMPRODUCT('Alternatyva 5'!O$21:O$88,'Alternatyva 5'!$DH$21:$DH$88)</f>
        <v>0</v>
      </c>
      <c r="P84" s="43">
        <f>P83-SUMPRODUCT('Alternatyva 5'!P$21:P$88,'Alternatyva 5'!$DH$21:$DH$88)</f>
        <v>0</v>
      </c>
      <c r="Q84" s="43">
        <f>Q83-SUMPRODUCT('Alternatyva 5'!Q$21:Q$88,'Alternatyva 5'!$DH$21:$DH$88)</f>
        <v>0</v>
      </c>
      <c r="R84" s="43">
        <f>R83-SUMPRODUCT('Alternatyva 5'!R$21:R$88,'Alternatyva 5'!$DH$21:$DH$88)</f>
        <v>0</v>
      </c>
      <c r="S84" s="43">
        <f>S83-SUMPRODUCT('Alternatyva 5'!S$21:S$88,'Alternatyva 5'!$DH$21:$DH$88)</f>
        <v>0</v>
      </c>
      <c r="T84" s="43">
        <f>T83-SUMPRODUCT('Alternatyva 5'!T$21:T$88,'Alternatyva 5'!$DH$21:$DH$88)</f>
        <v>0</v>
      </c>
      <c r="U84" s="43">
        <f>U83-SUMPRODUCT('Alternatyva 5'!U$21:U$88,'Alternatyva 5'!$DH$21:$DH$88)</f>
        <v>0</v>
      </c>
      <c r="V84" s="43">
        <f>V83-SUMPRODUCT('Alternatyva 5'!V$21:V$88,'Alternatyva 5'!$DH$21:$DH$88)</f>
        <v>0</v>
      </c>
      <c r="W84" s="43">
        <f>W83-SUMPRODUCT('Alternatyva 5'!W$21:W$88,'Alternatyva 5'!$DH$21:$DH$88)</f>
        <v>0</v>
      </c>
      <c r="X84" s="43">
        <f>X83-SUMPRODUCT('Alternatyva 5'!X$21:X$88,'Alternatyva 5'!$DH$21:$DH$88)</f>
        <v>0</v>
      </c>
      <c r="Y84" s="43">
        <f>Y83-SUMPRODUCT('Alternatyva 5'!Y$21:Y$88,'Alternatyva 5'!$DH$21:$DH$88)</f>
        <v>0</v>
      </c>
      <c r="Z84" s="43">
        <f>Z83-SUMPRODUCT('Alternatyva 5'!Z$21:Z$88,'Alternatyva 5'!$DH$21:$DH$88)</f>
        <v>0</v>
      </c>
      <c r="AA84" s="43">
        <f>AA83-SUMPRODUCT('Alternatyva 5'!AA$21:AA$88,'Alternatyva 5'!$DH$21:$DH$88)</f>
        <v>0</v>
      </c>
      <c r="AB84" s="43">
        <f>AB83-SUMPRODUCT('Alternatyva 5'!AB$21:AB$88,'Alternatyva 5'!$DH$21:$DH$88)</f>
        <v>0</v>
      </c>
      <c r="AC84" s="43">
        <f>AC83-SUMPRODUCT('Alternatyva 5'!AC$21:AC$88,'Alternatyva 5'!$DH$21:$DH$88)</f>
        <v>0</v>
      </c>
      <c r="AD84" s="43">
        <f>AD83-SUMPRODUCT('Alternatyva 5'!AD$21:AD$88,'Alternatyva 5'!$DH$21:$DH$88)</f>
        <v>0</v>
      </c>
      <c r="AE84" s="43">
        <f>AE83-SUMPRODUCT('Alternatyva 5'!AE$21:AE$88,'Alternatyva 5'!$DH$21:$DH$88)</f>
        <v>0</v>
      </c>
      <c r="AF84" s="43">
        <f>AF83-SUMPRODUCT('Alternatyva 5'!AF$21:AF$88,'Alternatyva 5'!$DH$21:$DH$88)</f>
        <v>0</v>
      </c>
      <c r="AG84" s="43">
        <f>AG83-SUMPRODUCT('Alternatyva 5'!AG$21:AG$88,'Alternatyva 5'!$DH$21:$DH$88)</f>
        <v>0</v>
      </c>
      <c r="AH84" s="43">
        <f>AH83-SUMPRODUCT('Alternatyva 5'!AH$21:AH$88,'Alternatyva 5'!$DH$21:$DH$88)</f>
        <v>0</v>
      </c>
      <c r="AI84" s="43">
        <f>AI83-SUMPRODUCT('Alternatyva 5'!AI$21:AI$88,'Alternatyva 5'!$DH$21:$DH$88)</f>
        <v>0</v>
      </c>
      <c r="AJ84" s="43">
        <f>AJ83-SUMPRODUCT('Alternatyva 5'!AJ$21:AJ$88,'Alternatyva 5'!$DH$21:$DH$88)</f>
        <v>0</v>
      </c>
      <c r="AK84" s="43">
        <f>AK83-SUMPRODUCT('Alternatyva 5'!AK$21:AK$88,'Alternatyva 5'!$DH$21:$DH$88)</f>
        <v>0</v>
      </c>
      <c r="AL84" s="43">
        <f>AL83-SUMPRODUCT('Alternatyva 5'!AL$21:AL$88,'Alternatyva 5'!$DH$21:$DH$88)</f>
        <v>0</v>
      </c>
      <c r="AM84" s="43">
        <f>AM83-SUMPRODUCT('Alternatyva 5'!AM$21:AM$88,'Alternatyva 5'!$DH$21:$DH$88)</f>
        <v>0</v>
      </c>
      <c r="AN84" s="43">
        <f>AN83-SUMPRODUCT('Alternatyva 5'!AN$21:AN$88,'Alternatyva 5'!$DH$21:$DH$88)</f>
        <v>0</v>
      </c>
      <c r="AO84" s="43">
        <f>AO83-SUMPRODUCT('Alternatyva 5'!AO$21:AO$88,'Alternatyva 5'!$DH$21:$DH$88)</f>
        <v>0</v>
      </c>
      <c r="AP84" s="43">
        <f>AP83-SUMPRODUCT('Alternatyva 5'!AP$21:AP$88,'Alternatyva 5'!$DH$21:$DH$88)</f>
        <v>0</v>
      </c>
      <c r="AQ84" s="43">
        <f>AQ83-SUMPRODUCT('Alternatyva 5'!AQ$21:AQ$88,'Alternatyva 5'!$DH$21:$DH$88)</f>
        <v>0</v>
      </c>
      <c r="AR84" s="43">
        <f>AR83-SUMPRODUCT('Alternatyva 5'!AR$21:AR$88,'Alternatyva 5'!$DH$21:$DH$88)</f>
        <v>0</v>
      </c>
      <c r="AS84" s="43">
        <f>AS83-SUMPRODUCT('Alternatyva 5'!AS$21:AS$88,'Alternatyva 5'!$DH$21:$DH$88)</f>
        <v>0</v>
      </c>
      <c r="AT84" s="43">
        <f>AT83-SUMPRODUCT('Alternatyva 5'!AT$21:AT$88,'Alternatyva 5'!$DH$21:$DH$88)</f>
        <v>0</v>
      </c>
      <c r="AU84" s="43">
        <f>AU83-SUMPRODUCT('Alternatyva 5'!AU$21:AU$88,'Alternatyva 5'!$DH$21:$DH$88)</f>
        <v>0</v>
      </c>
      <c r="AV84" s="43">
        <f>AV83-SUMPRODUCT('Alternatyva 5'!AV$21:AV$88,'Alternatyva 5'!$DH$21:$DH$88)</f>
        <v>0</v>
      </c>
      <c r="AW84" s="43">
        <f>AW83-SUMPRODUCT('Alternatyva 5'!AW$21:AW$88,'Alternatyva 5'!$DH$21:$DH$88)</f>
        <v>0</v>
      </c>
      <c r="AX84" s="43">
        <f>AX83-SUMPRODUCT('Alternatyva 5'!AX$21:AX$88,'Alternatyva 5'!$DH$21:$DH$88)</f>
        <v>0</v>
      </c>
      <c r="AY84" s="43">
        <f>AY83-SUMPRODUCT('Alternatyva 5'!AY$21:AY$88,'Alternatyva 5'!$DH$21:$DH$88)</f>
        <v>0</v>
      </c>
      <c r="AZ84" s="43">
        <f>AZ83-SUMPRODUCT('Alternatyva 5'!AZ$21:AZ$88,'Alternatyva 5'!$DH$21:$DH$88)</f>
        <v>0</v>
      </c>
      <c r="BA84" s="43">
        <f>BA83-SUMPRODUCT('Alternatyva 5'!BA$21:BA$88,'Alternatyva 5'!$DH$21:$DH$88)</f>
        <v>0</v>
      </c>
      <c r="BB84" s="43">
        <f>BB83-SUMPRODUCT('Alternatyva 5'!BB$21:BB$88,'Alternatyva 5'!$DH$21:$DH$88)</f>
        <v>0</v>
      </c>
      <c r="BC84" s="43">
        <f>BC83-SUMPRODUCT('Alternatyva 5'!BC$21:BC$88,'Alternatyva 5'!$DH$21:$DH$88)</f>
        <v>0</v>
      </c>
      <c r="BD84" s="43">
        <f>BD83-SUMPRODUCT('Alternatyva 5'!BD$21:BD$88,'Alternatyva 5'!$DH$21:$DH$88)</f>
        <v>0</v>
      </c>
      <c r="BE84" s="43">
        <f>BE83-SUMPRODUCT('Alternatyva 5'!BE$21:BE$88,'Alternatyva 5'!$DH$21:$DH$88)</f>
        <v>0</v>
      </c>
      <c r="BF84" s="43">
        <f>BF83-SUMPRODUCT('Alternatyva 5'!BF$21:BF$88,'Alternatyva 5'!$DH$21:$DH$88)</f>
        <v>0</v>
      </c>
      <c r="BG84" s="43">
        <f>BG83-SUMPRODUCT('Alternatyva 5'!BG$21:BG$88,'Alternatyva 5'!$DH$21:$DH$88)</f>
        <v>0</v>
      </c>
      <c r="BH84" s="43">
        <f>BH83-SUMPRODUCT('Alternatyva 5'!BH$21:BH$88,'Alternatyva 5'!$DH$21:$DH$88)</f>
        <v>0</v>
      </c>
      <c r="BI84" s="43">
        <f>BI83-SUMPRODUCT('Alternatyva 5'!BI$21:BI$88,'Alternatyva 5'!$DH$21:$DH$88)</f>
        <v>0</v>
      </c>
      <c r="BJ84" s="43">
        <f>BJ83-SUMPRODUCT('Alternatyva 5'!BJ$21:BJ$88,'Alternatyva 5'!$DH$21:$DH$88)</f>
        <v>0</v>
      </c>
      <c r="BK84" s="43">
        <f>BK83-SUMPRODUCT('Alternatyva 5'!BK$21:BK$88,'Alternatyva 5'!$DH$21:$DH$88)</f>
        <v>0</v>
      </c>
      <c r="BL84" s="43">
        <f>BL83-SUMPRODUCT('Alternatyva 5'!BL$21:BL$88,'Alternatyva 5'!$DH$21:$DH$88)</f>
        <v>0</v>
      </c>
      <c r="BM84" s="43">
        <f>BM83-SUMPRODUCT('Alternatyva 5'!BM$21:BM$88,'Alternatyva 5'!$DH$21:$DH$88)</f>
        <v>0</v>
      </c>
      <c r="BN84" s="43">
        <f>BN83-SUMPRODUCT('Alternatyva 5'!BN$21:BN$88,'Alternatyva 5'!$DH$21:$DH$88)</f>
        <v>0</v>
      </c>
      <c r="BO84" s="43">
        <f>BO83-SUMPRODUCT('Alternatyva 5'!BO$21:BO$88,'Alternatyva 5'!$DH$21:$DH$88)</f>
        <v>0</v>
      </c>
      <c r="BP84" s="43">
        <f>BP83-SUMPRODUCT('Alternatyva 5'!BP$21:BP$88,'Alternatyva 5'!$DH$21:$DH$88)</f>
        <v>0</v>
      </c>
      <c r="BQ84" s="43">
        <f>BQ83-SUMPRODUCT('Alternatyva 5'!BQ$21:BQ$88,'Alternatyva 5'!$DH$21:$DH$88)</f>
        <v>0</v>
      </c>
      <c r="BR84" s="43">
        <f>BR83-SUMPRODUCT('Alternatyva 5'!BR$21:BR$88,'Alternatyva 5'!$DH$21:$DH$88)</f>
        <v>0</v>
      </c>
      <c r="BS84" s="43">
        <f>BS83-SUMPRODUCT('Alternatyva 5'!BS$21:BS$88,'Alternatyva 5'!$DH$21:$DH$88)</f>
        <v>0</v>
      </c>
      <c r="BT84" s="43">
        <f>BT83-SUMPRODUCT('Alternatyva 5'!BT$21:BT$88,'Alternatyva 5'!$DH$21:$DH$88)</f>
        <v>0</v>
      </c>
      <c r="BU84" s="43">
        <f>BU83-SUMPRODUCT('Alternatyva 5'!BU$21:BU$88,'Alternatyva 5'!$DH$21:$DH$88)</f>
        <v>0</v>
      </c>
      <c r="BV84" s="43">
        <f>BV83-SUMPRODUCT('Alternatyva 5'!BV$21:BV$88,'Alternatyva 5'!$DH$21:$DH$88)</f>
        <v>0</v>
      </c>
      <c r="BW84" s="43">
        <f>BW83-SUMPRODUCT('Alternatyva 5'!BW$21:BW$88,'Alternatyva 5'!$DH$21:$DH$88)</f>
        <v>0</v>
      </c>
      <c r="BX84" s="43">
        <f>BX83-SUMPRODUCT('Alternatyva 5'!BX$21:BX$88,'Alternatyva 5'!$DH$21:$DH$88)</f>
        <v>0</v>
      </c>
      <c r="BY84" s="43">
        <f>BY83-SUMPRODUCT('Alternatyva 5'!BY$21:BY$88,'Alternatyva 5'!$DH$21:$DH$88)</f>
        <v>0</v>
      </c>
      <c r="BZ84" s="43">
        <f>BZ83-SUMPRODUCT('Alternatyva 5'!BZ$21:BZ$88,'Alternatyva 5'!$DH$21:$DH$88)</f>
        <v>0</v>
      </c>
      <c r="CA84" s="43">
        <f>CA83-SUMPRODUCT('Alternatyva 5'!CA$21:CA$88,'Alternatyva 5'!$DH$21:$DH$88)</f>
        <v>0</v>
      </c>
      <c r="CB84" s="43">
        <f>CB83-SUMPRODUCT('Alternatyva 5'!CB$21:CB$88,'Alternatyva 5'!$DH$21:$DH$88)</f>
        <v>0</v>
      </c>
      <c r="CC84" s="43">
        <f>CC83-SUMPRODUCT('Alternatyva 5'!CC$21:CC$88,'Alternatyva 5'!$DH$21:$DH$88)</f>
        <v>0</v>
      </c>
      <c r="CD84" s="43">
        <f>CD83-SUMPRODUCT('Alternatyva 5'!CD$21:CD$88,'Alternatyva 5'!$DH$21:$DH$88)</f>
        <v>0</v>
      </c>
      <c r="CE84" s="43">
        <f>CE83-SUMPRODUCT('Alternatyva 5'!CE$21:CE$88,'Alternatyva 5'!$DH$21:$DH$88)</f>
        <v>0</v>
      </c>
      <c r="CF84" s="43">
        <f>CF83-SUMPRODUCT('Alternatyva 5'!CF$21:CF$88,'Alternatyva 5'!$DH$21:$DH$88)</f>
        <v>0</v>
      </c>
      <c r="CG84" s="43">
        <f>CG83-SUMPRODUCT('Alternatyva 5'!CG$21:CG$88,'Alternatyva 5'!$DH$21:$DH$88)</f>
        <v>0</v>
      </c>
      <c r="CH84" s="43">
        <f>CH83-SUMPRODUCT('Alternatyva 5'!CH$21:CH$88,'Alternatyva 5'!$DH$21:$DH$88)</f>
        <v>0</v>
      </c>
      <c r="CI84" s="43">
        <f>CI83-SUMPRODUCT('Alternatyva 5'!CI$21:CI$88,'Alternatyva 5'!$DH$21:$DH$88)</f>
        <v>0</v>
      </c>
      <c r="CJ84" s="43">
        <f>CJ83-SUMPRODUCT('Alternatyva 5'!CJ$21:CJ$88,'Alternatyva 5'!$DH$21:$DH$88)</f>
        <v>0</v>
      </c>
      <c r="CK84" s="43">
        <f>CK83-SUMPRODUCT('Alternatyva 5'!CK$21:CK$88,'Alternatyva 5'!$DH$21:$DH$88)</f>
        <v>0</v>
      </c>
      <c r="CL84" s="43">
        <f>CL83-SUMPRODUCT('Alternatyva 5'!CL$21:CL$88,'Alternatyva 5'!$DH$21:$DH$88)</f>
        <v>0</v>
      </c>
      <c r="CM84" s="43">
        <f>CM83-SUMPRODUCT('Alternatyva 5'!CM$21:CM$88,'Alternatyva 5'!$DH$21:$DH$88)</f>
        <v>0</v>
      </c>
      <c r="CN84" s="43">
        <f>CN83-SUMPRODUCT('Alternatyva 5'!CN$21:CN$88,'Alternatyva 5'!$DH$21:$DH$88)</f>
        <v>0</v>
      </c>
      <c r="CO84" s="43">
        <f>CO83-SUMPRODUCT('Alternatyva 5'!CO$21:CO$88,'Alternatyva 5'!$DH$21:$DH$88)</f>
        <v>0</v>
      </c>
      <c r="CP84" s="43">
        <f>CP83-SUMPRODUCT('Alternatyva 5'!CP$21:CP$88,'Alternatyva 5'!$DH$21:$DH$88)</f>
        <v>0</v>
      </c>
      <c r="CQ84" s="43">
        <f>CQ83-SUMPRODUCT('Alternatyva 5'!CQ$21:CQ$88,'Alternatyva 5'!$DH$21:$DH$88)</f>
        <v>0</v>
      </c>
      <c r="CR84" s="43">
        <f>CR83-SUMPRODUCT('Alternatyva 5'!CR$21:CR$88,'Alternatyva 5'!$DH$21:$DH$88)</f>
        <v>0</v>
      </c>
      <c r="CS84" s="43">
        <f>CS83-SUMPRODUCT('Alternatyva 5'!CS$21:CS$88,'Alternatyva 5'!$DH$21:$DH$88)</f>
        <v>0</v>
      </c>
      <c r="CT84" s="43">
        <f>CT83-SUMPRODUCT('Alternatyva 5'!CT$21:CT$88,'Alternatyva 5'!$DH$21:$DH$88)</f>
        <v>0</v>
      </c>
      <c r="CU84" s="43">
        <f>CU83-SUMPRODUCT('Alternatyva 5'!CU$21:CU$88,'Alternatyva 5'!$DH$21:$DH$88)</f>
        <v>0</v>
      </c>
      <c r="CV84" s="43">
        <f>CV83-SUMPRODUCT('Alternatyva 5'!CV$21:CV$88,'Alternatyva 5'!$DH$21:$DH$88)</f>
        <v>0</v>
      </c>
      <c r="CW84" s="43">
        <f>CW83-SUMPRODUCT('Alternatyva 5'!CW$21:CW$88,'Alternatyva 5'!$DH$21:$DH$88)</f>
        <v>0</v>
      </c>
      <c r="CX84" s="43">
        <f>CX83-SUMPRODUCT('Alternatyva 5'!CX$21:CX$88,'Alternatyva 5'!$DH$21:$DH$88)</f>
        <v>0</v>
      </c>
      <c r="CY84" s="43">
        <f>CY83-SUMPRODUCT('Alternatyva 5'!CY$21:CY$88,'Alternatyva 5'!$DH$21:$DH$88)</f>
        <v>0</v>
      </c>
      <c r="CZ84" s="43">
        <f>CZ83-SUMPRODUCT('Alternatyva 5'!CZ$21:CZ$88,'Alternatyva 5'!$DH$21:$DH$88)</f>
        <v>0</v>
      </c>
      <c r="DA84" s="43">
        <f>DA83-SUMPRODUCT('Alternatyva 5'!DA$21:DA$88,'Alternatyva 5'!$DH$21:$DH$88)</f>
        <v>0</v>
      </c>
      <c r="DB84" s="43">
        <f>DB83-SUMPRODUCT('Alternatyva 5'!DB$21:DB$88,'Alternatyva 5'!$DH$21:$DH$88)</f>
        <v>0</v>
      </c>
      <c r="DC84" s="43">
        <f>DC83-SUMPRODUCT('Alternatyva 5'!DC$21:DC$88,'Alternatyva 5'!$DH$21:$DH$88)</f>
        <v>0</v>
      </c>
    </row>
    <row r="85" spans="2:107" ht="15" hidden="1" customHeight="1" thickBot="1">
      <c r="B85" s="5" t="s">
        <v>241</v>
      </c>
      <c r="C85" s="795" t="s">
        <v>162</v>
      </c>
      <c r="D85" s="796"/>
      <c r="E85" s="797"/>
      <c r="F85" s="14">
        <f>H85+NPV(SD,I85:INDEX(I85:DC85,PAL))</f>
        <v>0</v>
      </c>
      <c r="G85" s="43">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802" t="s">
        <v>205</v>
      </c>
      <c r="D86" s="803"/>
      <c r="E86" s="803"/>
      <c r="F86" s="804"/>
      <c r="G86" s="55"/>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799" t="s">
        <v>29</v>
      </c>
      <c r="D87" s="800"/>
      <c r="E87" s="801"/>
      <c r="F87" s="50">
        <f>F85</f>
        <v>0</v>
      </c>
      <c r="G87" s="44"/>
    </row>
    <row r="88" spans="2:107" ht="15" hidden="1" customHeight="1">
      <c r="C88" s="792" t="s">
        <v>30</v>
      </c>
      <c r="D88" s="793"/>
      <c r="E88" s="794"/>
      <c r="F88" s="51" t="str">
        <f>IFERROR(IF(F82&lt;0,(F80-F82)/(F81-F84),(F80)/(F81+F82-F84)),"")</f>
        <v/>
      </c>
      <c r="G88" s="53"/>
    </row>
    <row r="89" spans="2:107" ht="15" hidden="1" customHeight="1" thickBot="1">
      <c r="C89" s="789" t="s">
        <v>196</v>
      </c>
      <c r="D89" s="790"/>
      <c r="E89" s="791"/>
      <c r="F89" s="171" t="str">
        <f>IFERROR(IRR(H85:INDEX(H85:DC85,PAL+1)),"-")</f>
        <v>-</v>
      </c>
      <c r="G89" s="45"/>
    </row>
    <row r="90" spans="2:107" ht="15" hidden="1" customHeight="1" thickBot="1">
      <c r="C90" s="802" t="s">
        <v>197</v>
      </c>
      <c r="D90" s="803"/>
      <c r="E90" s="803"/>
      <c r="F90" s="804"/>
      <c r="G90" s="12" t="s">
        <v>33</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780" t="s">
        <v>201</v>
      </c>
      <c r="D91" s="781"/>
      <c r="E91" s="782"/>
      <c r="F91" s="61"/>
      <c r="G91" s="59">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783" t="s">
        <v>272</v>
      </c>
      <c r="D92" s="784"/>
      <c r="E92" s="785"/>
      <c r="F92" s="54">
        <f>H91+NPV(FD,I91:INDEX(I91:DC91,PAL))</f>
        <v>0</v>
      </c>
      <c r="G92" s="53"/>
    </row>
    <row r="93" spans="2:107" ht="15" hidden="1" customHeight="1">
      <c r="C93" s="783" t="s">
        <v>273</v>
      </c>
      <c r="D93" s="784"/>
      <c r="E93" s="785"/>
      <c r="F93" s="174" t="str">
        <f>IFERROR(IRR(H91:INDEX(H91:DC91,PAL+1)),"-")</f>
        <v>-</v>
      </c>
      <c r="G93" s="45"/>
    </row>
    <row r="94" spans="2:107" ht="15" hidden="1" customHeight="1" thickBot="1">
      <c r="C94" s="789" t="s">
        <v>200</v>
      </c>
      <c r="D94" s="790"/>
      <c r="E94" s="791"/>
      <c r="F94" s="52" t="str">
        <f>IFERROR(IF('Alternatyva 5'!F$89&lt;0,SUM('Alternatyva 5'!F$100,-'Alternatyva 5'!F$115,-'Alternatyva 5'!F$89)/SUM('Alternatyva 5'!F$9,'Alternatyva 5'!F$8,-SNA!F83),SUM('Alternatyva 5'!F$100,-'Alternatyva 5'!F$115)/SUM('Alternatyva 5'!F$9,'Alternatyva 5'!F$8,-SNA!F83,'Alternatyva 5'!F$89)),"")</f>
        <v/>
      </c>
      <c r="G94" s="45"/>
    </row>
  </sheetData>
  <sheetProtection algorithmName="SHA-512" hashValue="qygK7A4Umv+IohNNkG3H8Dm7ApQVOQyGgIEmLwaYrGZiAmhTN/fMNaAojoiYodFOOEx6k2bhIvzaTKR0j7WLFw==" saltValue="9TxzQeiodvenmmEO+yZ9tg=="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335280</xdr:colOff>
                    <xdr:row>1</xdr:row>
                    <xdr:rowOff>182880</xdr:rowOff>
                  </from>
                  <to>
                    <xdr:col>6</xdr:col>
                    <xdr:colOff>1203960</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4.4"/>
  <cols>
    <col min="1" max="1" width="3.6640625" customWidth="1"/>
    <col min="2" max="2" width="58.6640625" customWidth="1"/>
    <col min="3" max="3" width="15" customWidth="1"/>
    <col min="4" max="4" width="13.88671875" customWidth="1"/>
    <col min="5" max="5" width="11" customWidth="1"/>
    <col min="6" max="7" width="16.6640625" customWidth="1"/>
    <col min="8" max="28" width="14.6640625" customWidth="1"/>
    <col min="29" max="107" width="14.6640625" hidden="1" customWidth="1"/>
    <col min="108" max="109" width="9.109375" customWidth="1"/>
  </cols>
  <sheetData>
    <row r="1" spans="2:107" ht="9" customHeight="1">
      <c r="E1" s="16"/>
      <c r="F1" s="2"/>
      <c r="G1" s="2"/>
      <c r="K1" s="2"/>
    </row>
    <row r="2" spans="2:107">
      <c r="B2" s="18" t="s">
        <v>41</v>
      </c>
      <c r="C2" s="18"/>
      <c r="D2" s="18"/>
    </row>
    <row r="3" spans="2:107">
      <c r="B3" t="s">
        <v>632</v>
      </c>
    </row>
    <row r="5" spans="2:107">
      <c r="B5" t="s">
        <v>259</v>
      </c>
    </row>
    <row r="6" spans="2:107" ht="29.25" customHeight="1">
      <c r="B6" s="189" t="str">
        <f>IF(Result=0,"",Result)</f>
        <v>Lietuvos gyventojų dalis, mananti, kad Lietuvos diplomatinė tarnyba labai gerai, gerai atstovauja Lietuvos saugumo interesams, išnaudoja dvišalio ir daugiašalio bendradarbiavimo priemones bei narystės NATO teikiamas galimybes</v>
      </c>
      <c r="C6" s="189"/>
      <c r="D6" s="189"/>
      <c r="E6" s="2"/>
    </row>
    <row r="7" spans="2:107">
      <c r="B7" s="10"/>
      <c r="C7" s="10"/>
      <c r="D7" s="10"/>
    </row>
    <row r="8" spans="2:107">
      <c r="B8" s="18" t="str">
        <f>IF(Result_mat&lt;&gt;"",Result_mat,"-")</f>
        <v>proc.</v>
      </c>
      <c r="C8" s="18"/>
      <c r="D8" s="18"/>
      <c r="F8" s="786" t="s">
        <v>236</v>
      </c>
      <c r="G8" s="788"/>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807" t="s">
        <v>142</v>
      </c>
      <c r="C9" s="807"/>
      <c r="D9" s="807"/>
      <c r="E9" s="807"/>
      <c r="F9" s="13" t="s">
        <v>34</v>
      </c>
      <c r="G9" s="12" t="s">
        <v>33</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809" t="str">
        <f>IF(A1_pav="","",A1_pav)</f>
        <v xml:space="preserve">Politinės/ekonominės svarbos scenarijus
</v>
      </c>
      <c r="C10" s="809"/>
      <c r="D10" s="809"/>
      <c r="E10" s="809"/>
      <c r="F10" s="35">
        <f>H10+NPV(FD,I10:INDEX(I10:DC10,PAL))</f>
        <v>34.342439635093235</v>
      </c>
      <c r="G10" s="35">
        <f>SUMIF($H$8:$DC$8,"&lt;="&amp;PAL,$H10:$DC10)</f>
        <v>47</v>
      </c>
      <c r="H10" s="14">
        <f>'Alternatyva 1'!H$116</f>
        <v>0</v>
      </c>
      <c r="I10" s="14">
        <f>'Alternatyva 1'!I$116</f>
        <v>0</v>
      </c>
      <c r="J10" s="14">
        <f>'Alternatyva 1'!J$116</f>
        <v>0</v>
      </c>
      <c r="K10" s="14">
        <f>'Alternatyva 1'!K$116</f>
        <v>0</v>
      </c>
      <c r="L10" s="14">
        <f>'Alternatyva 1'!L$116</f>
        <v>0</v>
      </c>
      <c r="M10" s="14">
        <f>'Alternatyva 1'!M$116</f>
        <v>0</v>
      </c>
      <c r="N10" s="14">
        <f>'Alternatyva 1'!N$116</f>
        <v>0</v>
      </c>
      <c r="O10" s="14">
        <f>'Alternatyva 1'!O$116</f>
        <v>0</v>
      </c>
      <c r="P10" s="14">
        <f>'Alternatyva 1'!P$116</f>
        <v>47</v>
      </c>
      <c r="Q10" s="14">
        <f>'Alternatyva 1'!Q$116</f>
        <v>0</v>
      </c>
      <c r="R10" s="14">
        <f>'Alternatyva 1'!R$116</f>
        <v>0</v>
      </c>
      <c r="S10" s="14">
        <f>'Alternatyva 1'!S$116</f>
        <v>0</v>
      </c>
      <c r="T10" s="14">
        <f>'Alternatyva 1'!T$116</f>
        <v>0</v>
      </c>
      <c r="U10" s="14">
        <f>'Alternatyva 1'!U$116</f>
        <v>0</v>
      </c>
      <c r="V10" s="14">
        <f>'Alternatyva 1'!V$116</f>
        <v>0</v>
      </c>
      <c r="W10" s="14">
        <f>'Alternatyva 1'!W$116</f>
        <v>0</v>
      </c>
      <c r="X10" s="14">
        <f>'Alternatyva 1'!X$116</f>
        <v>0</v>
      </c>
      <c r="Y10" s="14">
        <f>'Alternatyva 1'!Y$116</f>
        <v>0</v>
      </c>
      <c r="Z10" s="14">
        <f>'Alternatyva 1'!Z$116</f>
        <v>0</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809" t="str">
        <f>IF(A2_pav="","",A2_pav)</f>
        <v>Regioninės svarbos scenarijus</v>
      </c>
      <c r="C11" s="809"/>
      <c r="D11" s="809"/>
      <c r="E11" s="809"/>
      <c r="F11" s="35">
        <f>H11+NPV(FD,I11:INDEX(I11:DC11,PAL))</f>
        <v>34.342439635093235</v>
      </c>
      <c r="G11" s="35">
        <f>SUMIF($H$8:$DC$8,"&lt;="&amp;PAL,$H11:$DC11)</f>
        <v>47</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47</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c r="B12" s="809" t="str">
        <f>IF(A3_pav="","",A3_pav)</f>
        <v>Konsulinės/diasporos svarbos scenarijus</v>
      </c>
      <c r="C12" s="809"/>
      <c r="D12" s="809"/>
      <c r="E12" s="809"/>
      <c r="F12" s="35">
        <f>H12+NPV(FD,I12:INDEX(I12:DC12,PAL))</f>
        <v>34.342439635093235</v>
      </c>
      <c r="G12" s="35">
        <f>SUMIF($H$8:$DC$8,"&lt;="&amp;PAL,$H12:$DC12)</f>
        <v>47</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47</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hidden="1">
      <c r="B13" s="809" t="str">
        <f>IF(A4_pav="","",A4_pav)</f>
        <v/>
      </c>
      <c r="C13" s="809"/>
      <c r="D13" s="809"/>
      <c r="E13" s="809"/>
      <c r="F13" s="35">
        <f>H13+NPV(FD,I13:INDEX(I13:DC13,PAL))</f>
        <v>0</v>
      </c>
      <c r="G13" s="35">
        <f>SUMIF($H$8:$DC$8,"&lt;="&amp;PAL,$H13:$DC13)</f>
        <v>0</v>
      </c>
      <c r="H13" s="14">
        <f>'Alternatyva 4'!H$116</f>
        <v>0</v>
      </c>
      <c r="I13" s="14">
        <f>'Alternatyva 4'!I$116</f>
        <v>0</v>
      </c>
      <c r="J13" s="14">
        <f>'Alternatyva 4'!J$116</f>
        <v>0</v>
      </c>
      <c r="K13" s="14">
        <f>'Alternatyva 4'!K$116</f>
        <v>0</v>
      </c>
      <c r="L13" s="14">
        <f>'Alternatyva 4'!L$116</f>
        <v>0</v>
      </c>
      <c r="M13" s="14">
        <f>'Alternatyva 4'!M$116</f>
        <v>0</v>
      </c>
      <c r="N13" s="14">
        <f>'Alternatyva 4'!N$116</f>
        <v>0</v>
      </c>
      <c r="O13" s="14">
        <f>'Alternatyva 4'!O$116</f>
        <v>0</v>
      </c>
      <c r="P13" s="14">
        <f>'Alternatyva 4'!P$116</f>
        <v>0</v>
      </c>
      <c r="Q13" s="14">
        <f>'Alternatyva 4'!Q$116</f>
        <v>0</v>
      </c>
      <c r="R13" s="14">
        <f>'Alternatyva 4'!R$116</f>
        <v>0</v>
      </c>
      <c r="S13" s="14">
        <f>'Alternatyva 4'!S$116</f>
        <v>0</v>
      </c>
      <c r="T13" s="14">
        <f>'Alternatyva 4'!T$116</f>
        <v>0</v>
      </c>
      <c r="U13" s="14">
        <f>'Alternatyva 4'!U$116</f>
        <v>0</v>
      </c>
      <c r="V13" s="14">
        <f>'Alternatyva 4'!V$116</f>
        <v>0</v>
      </c>
      <c r="W13" s="14">
        <f>'Alternatyva 4'!W$116</f>
        <v>0</v>
      </c>
      <c r="X13" s="14">
        <f>'Alternatyva 4'!X$116</f>
        <v>0</v>
      </c>
      <c r="Y13" s="14">
        <f>'Alternatyva 4'!Y$116</f>
        <v>0</v>
      </c>
      <c r="Z13" s="14">
        <f>'Alternatyva 4'!Z$116</f>
        <v>0</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809" t="str">
        <f>IF(A5_pav="","",A5_pav)</f>
        <v/>
      </c>
      <c r="C14" s="809"/>
      <c r="D14" s="809"/>
      <c r="E14" s="809"/>
      <c r="F14" s="35">
        <f>H14+NPV(FD,I14:INDEX(I14:DC14,PAL))</f>
        <v>0</v>
      </c>
      <c r="G14" s="35">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proc.</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810" t="s">
        <v>142</v>
      </c>
      <c r="C17" s="810"/>
      <c r="D17" s="810"/>
      <c r="E17" s="810"/>
      <c r="F17" s="13" t="s">
        <v>261</v>
      </c>
      <c r="G17" s="25"/>
      <c r="H17" s="25"/>
      <c r="J17" s="19"/>
      <c r="K17" s="19"/>
      <c r="L17" s="19"/>
      <c r="M17" s="19"/>
      <c r="N17" s="19"/>
      <c r="O17" s="19"/>
      <c r="P17" s="19"/>
    </row>
    <row r="18" spans="2:107">
      <c r="B18" s="809" t="str">
        <f>IF(A1_pav="","",A1_pav)</f>
        <v xml:space="preserve">Politinės/ekonominės svarbos scenarijus
</v>
      </c>
      <c r="C18" s="809"/>
      <c r="D18" s="809"/>
      <c r="E18" s="809"/>
      <c r="F18" s="177">
        <f>IFERROR(('Alternatyva 1'!$F$7+'Alternatyva 1'!F$115-F28)/$F10,"-")</f>
        <v>3890955.1676419335</v>
      </c>
      <c r="G18" s="26"/>
      <c r="H18" s="2"/>
      <c r="M18" s="2"/>
      <c r="N18" s="27"/>
      <c r="P18" s="2"/>
    </row>
    <row r="19" spans="2:107">
      <c r="B19" s="809" t="str">
        <f>IF(A2_pav="","",A2_pav)</f>
        <v>Regioninės svarbos scenarijus</v>
      </c>
      <c r="C19" s="809"/>
      <c r="D19" s="809"/>
      <c r="E19" s="809"/>
      <c r="F19" s="177">
        <f>IFERROR(('Alternatyva 2'!$F$7+'Alternatyva 2'!F$115-F36)/$F11,"-")</f>
        <v>3922187.354793218</v>
      </c>
      <c r="G19" s="26"/>
      <c r="H19" s="26"/>
      <c r="M19" s="2"/>
      <c r="N19" s="27"/>
      <c r="P19" s="2"/>
    </row>
    <row r="20" spans="2:107">
      <c r="B20" s="809" t="str">
        <f>IF(A3_pav="","",A3_pav)</f>
        <v>Konsulinės/diasporos svarbos scenarijus</v>
      </c>
      <c r="C20" s="809"/>
      <c r="D20" s="809"/>
      <c r="E20" s="809"/>
      <c r="F20" s="177">
        <f>IFERROR(('Alternatyva 3'!$F$7+'Alternatyva 3'!F$115-F44)/$F12,"-")</f>
        <v>4063016.7656829604</v>
      </c>
      <c r="G20" s="26"/>
      <c r="H20" s="26"/>
      <c r="M20" s="2"/>
      <c r="N20" s="27"/>
      <c r="P20" s="2"/>
    </row>
    <row r="21" spans="2:107" hidden="1">
      <c r="B21" s="809" t="str">
        <f>IF(A4_pav="","",A4_pav)</f>
        <v/>
      </c>
      <c r="C21" s="809"/>
      <c r="D21" s="809"/>
      <c r="E21" s="809"/>
      <c r="F21" s="177" t="str">
        <f>IFERROR(('Alternatyva 4'!$F$7+'Alternatyva 4'!F$115-F52)/$F13,"-")</f>
        <v>-</v>
      </c>
      <c r="G21" s="26"/>
      <c r="H21" s="26"/>
      <c r="M21" s="2"/>
      <c r="N21" s="27"/>
      <c r="P21" s="2"/>
    </row>
    <row r="22" spans="2:107" hidden="1">
      <c r="B22" s="809" t="str">
        <f>IF(A5_pav="","",A5_pav)</f>
        <v/>
      </c>
      <c r="C22" s="809"/>
      <c r="D22" s="809"/>
      <c r="E22" s="809"/>
      <c r="F22" s="177" t="str">
        <f>IFERROR(('Alternatyva 5'!$F$7++'Alternatyva 5'!F$115-F60)/$F14,"-")</f>
        <v>-</v>
      </c>
      <c r="G22" s="26"/>
      <c r="H22" s="26"/>
      <c r="M22" s="2"/>
      <c r="N22" s="27"/>
      <c r="P22" s="2"/>
    </row>
    <row r="23" spans="2:107">
      <c r="B23" s="2"/>
      <c r="C23" s="2"/>
      <c r="D23" s="2"/>
      <c r="E23" s="56"/>
      <c r="F23" s="10"/>
      <c r="G23" s="26"/>
      <c r="H23" s="26"/>
      <c r="M23" s="2"/>
      <c r="N23" s="27"/>
      <c r="P23" s="2"/>
    </row>
    <row r="24" spans="2:107">
      <c r="B24" s="2"/>
      <c r="C24" s="2"/>
      <c r="D24" s="2"/>
      <c r="E24" s="56"/>
      <c r="F24" s="10"/>
      <c r="G24" s="26"/>
      <c r="H24" s="26"/>
      <c r="M24" s="2"/>
      <c r="N24" s="27"/>
      <c r="P24" s="2"/>
    </row>
    <row r="25" spans="2:107">
      <c r="B25" s="2"/>
      <c r="C25" s="2"/>
      <c r="D25" s="2"/>
      <c r="E25" s="56"/>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807" t="s">
        <v>197</v>
      </c>
      <c r="C27" s="807"/>
      <c r="D27" s="807"/>
      <c r="E27" s="807"/>
      <c r="F27" s="1"/>
      <c r="G27" s="12" t="s">
        <v>33</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806" t="s">
        <v>16</v>
      </c>
      <c r="C28" s="806"/>
      <c r="D28" s="806"/>
      <c r="E28" s="806"/>
      <c r="F28" s="43">
        <f>H28+NPV(FD,I28:INDEX(I28:DC28,PAL))</f>
        <v>0</v>
      </c>
      <c r="G28" s="59">
        <f>SUMIF($H$8:$DC$8,"&lt;="&amp;PAL,$H28:$DC28)</f>
        <v>0</v>
      </c>
      <c r="H28" s="69">
        <f>SUM('Alternatyva 1'!H$21,'Alternatyva 1'!H$32,'Alternatyva 1'!H$43,'Alternatyva 1'!H$55,'Alternatyva 1'!H$66,'Alternatyva 1'!H$77,'Alternatyva 1'!H$88)</f>
        <v>0</v>
      </c>
      <c r="I28" s="69">
        <f>SUM('Alternatyva 1'!I$21,'Alternatyva 1'!I$32,'Alternatyva 1'!I$43,'Alternatyva 1'!I$55,'Alternatyva 1'!I$66,'Alternatyva 1'!I$77,'Alternatyva 1'!I$88)</f>
        <v>0</v>
      </c>
      <c r="J28" s="69">
        <f>SUM('Alternatyva 1'!J$21,'Alternatyva 1'!J$32,'Alternatyva 1'!J$43,'Alternatyva 1'!J$55,'Alternatyva 1'!J$66,'Alternatyva 1'!J$77,'Alternatyva 1'!J$88)</f>
        <v>0</v>
      </c>
      <c r="K28" s="69">
        <f>SUM('Alternatyva 1'!K$21,'Alternatyva 1'!K$32,'Alternatyva 1'!K$43,'Alternatyva 1'!K$55,'Alternatyva 1'!K$66,'Alternatyva 1'!K$77,'Alternatyva 1'!K$88)</f>
        <v>0</v>
      </c>
      <c r="L28" s="69">
        <f>SUM('Alternatyva 1'!L$21,'Alternatyva 1'!L$32,'Alternatyva 1'!L$43,'Alternatyva 1'!L$55,'Alternatyva 1'!L$66,'Alternatyva 1'!L$77,'Alternatyva 1'!L$88)</f>
        <v>0</v>
      </c>
      <c r="M28" s="69">
        <f>SUM('Alternatyva 1'!M$21,'Alternatyva 1'!M$32,'Alternatyva 1'!M$43,'Alternatyva 1'!M$55,'Alternatyva 1'!M$66,'Alternatyva 1'!M$77,'Alternatyva 1'!M$88)</f>
        <v>0</v>
      </c>
      <c r="N28" s="69">
        <f>SUM('Alternatyva 1'!N$21,'Alternatyva 1'!N$32,'Alternatyva 1'!N$43,'Alternatyva 1'!N$55,'Alternatyva 1'!N$66,'Alternatyva 1'!N$77,'Alternatyva 1'!N$88)</f>
        <v>0</v>
      </c>
      <c r="O28" s="69">
        <f>SUM('Alternatyva 1'!O$21,'Alternatyva 1'!O$32,'Alternatyva 1'!O$43,'Alternatyva 1'!O$55,'Alternatyva 1'!O$66,'Alternatyva 1'!O$77,'Alternatyva 1'!O$88)</f>
        <v>0</v>
      </c>
      <c r="P28" s="69">
        <f>SUM('Alternatyva 1'!P$21,'Alternatyva 1'!P$32,'Alternatyva 1'!P$43,'Alternatyva 1'!P$55,'Alternatyva 1'!P$66,'Alternatyva 1'!P$77,'Alternatyva 1'!P$88)</f>
        <v>0</v>
      </c>
      <c r="Q28" s="69">
        <f>SUM('Alternatyva 1'!Q$21,'Alternatyva 1'!Q$32,'Alternatyva 1'!Q$43,'Alternatyva 1'!Q$55,'Alternatyva 1'!Q$66,'Alternatyva 1'!Q$77,'Alternatyva 1'!Q$88)</f>
        <v>0</v>
      </c>
      <c r="R28" s="69">
        <f>SUM('Alternatyva 1'!R$21,'Alternatyva 1'!R$32,'Alternatyva 1'!R$43,'Alternatyva 1'!R$55,'Alternatyva 1'!R$66,'Alternatyva 1'!R$77,'Alternatyva 1'!R$88)</f>
        <v>0</v>
      </c>
      <c r="S28" s="69">
        <f>SUM('Alternatyva 1'!S$21,'Alternatyva 1'!S$32,'Alternatyva 1'!S$43,'Alternatyva 1'!S$55,'Alternatyva 1'!S$66,'Alternatyva 1'!S$77,'Alternatyva 1'!S$88)</f>
        <v>0</v>
      </c>
      <c r="T28" s="69">
        <f>SUM('Alternatyva 1'!T$21,'Alternatyva 1'!T$32,'Alternatyva 1'!T$43,'Alternatyva 1'!T$55,'Alternatyva 1'!T$66,'Alternatyva 1'!T$77,'Alternatyva 1'!T$88)</f>
        <v>0</v>
      </c>
      <c r="U28" s="69">
        <f>SUM('Alternatyva 1'!U$21,'Alternatyva 1'!U$32,'Alternatyva 1'!U$43,'Alternatyva 1'!U$55,'Alternatyva 1'!U$66,'Alternatyva 1'!U$77,'Alternatyva 1'!U$88)</f>
        <v>0</v>
      </c>
      <c r="V28" s="69">
        <f>SUM('Alternatyva 1'!V$21,'Alternatyva 1'!V$32,'Alternatyva 1'!V$43,'Alternatyva 1'!V$55,'Alternatyva 1'!V$66,'Alternatyva 1'!V$77,'Alternatyva 1'!V$88)</f>
        <v>0</v>
      </c>
      <c r="W28" s="69">
        <f>SUM('Alternatyva 1'!W$21,'Alternatyva 1'!W$32,'Alternatyva 1'!W$43,'Alternatyva 1'!W$55,'Alternatyva 1'!W$66,'Alternatyva 1'!W$77,'Alternatyva 1'!W$88)</f>
        <v>0</v>
      </c>
      <c r="X28" s="69">
        <f>SUM('Alternatyva 1'!X$21,'Alternatyva 1'!X$32,'Alternatyva 1'!X$43,'Alternatyva 1'!X$55,'Alternatyva 1'!X$66,'Alternatyva 1'!X$77,'Alternatyva 1'!X$88)</f>
        <v>0</v>
      </c>
      <c r="Y28" s="69">
        <f>SUM('Alternatyva 1'!Y$21,'Alternatyva 1'!Y$32,'Alternatyva 1'!Y$43,'Alternatyva 1'!Y$55,'Alternatyva 1'!Y$66,'Alternatyva 1'!Y$77,'Alternatyva 1'!Y$88)</f>
        <v>0</v>
      </c>
      <c r="Z28" s="69">
        <f>SUM('Alternatyva 1'!Z$21,'Alternatyva 1'!Z$32,'Alternatyva 1'!Z$43,'Alternatyva 1'!Z$55,'Alternatyva 1'!Z$66,'Alternatyva 1'!Z$77,'Alternatyva 1'!Z$88)</f>
        <v>0</v>
      </c>
      <c r="AA28" s="69">
        <f>SUM('Alternatyva 1'!AA$21,'Alternatyva 1'!AA$32,'Alternatyva 1'!AA$43,'Alternatyva 1'!AA$55,'Alternatyva 1'!AA$66,'Alternatyva 1'!AA$77,'Alternatyva 1'!AA$88)</f>
        <v>0</v>
      </c>
      <c r="AB28" s="69">
        <f>SUM('Alternatyva 1'!AB$21,'Alternatyva 1'!AB$32,'Alternatyva 1'!AB$43,'Alternatyva 1'!AB$55,'Alternatyva 1'!AB$66,'Alternatyva 1'!AB$77,'Alternatyva 1'!AB$88)</f>
        <v>0</v>
      </c>
      <c r="AC28" s="69">
        <f>SUM('Alternatyva 1'!AC$21,'Alternatyva 1'!AC$32,'Alternatyva 1'!AC$43,'Alternatyva 1'!AC$55,'Alternatyva 1'!AC$66,'Alternatyva 1'!AC$77,'Alternatyva 1'!AC$88)</f>
        <v>0</v>
      </c>
      <c r="AD28" s="69">
        <f>SUM('Alternatyva 1'!AD$21,'Alternatyva 1'!AD$32,'Alternatyva 1'!AD$43,'Alternatyva 1'!AD$55,'Alternatyva 1'!AD$66,'Alternatyva 1'!AD$77,'Alternatyva 1'!AD$88)</f>
        <v>0</v>
      </c>
      <c r="AE28" s="69">
        <f>SUM('Alternatyva 1'!AE$21,'Alternatyva 1'!AE$32,'Alternatyva 1'!AE$43,'Alternatyva 1'!AE$55,'Alternatyva 1'!AE$66,'Alternatyva 1'!AE$77,'Alternatyva 1'!AE$88)</f>
        <v>0</v>
      </c>
      <c r="AF28" s="69">
        <f>SUM('Alternatyva 1'!AF$21,'Alternatyva 1'!AF$32,'Alternatyva 1'!AF$43,'Alternatyva 1'!AF$55,'Alternatyva 1'!AF$66,'Alternatyva 1'!AF$77,'Alternatyva 1'!AF$88)</f>
        <v>0</v>
      </c>
      <c r="AG28" s="69">
        <f>SUM('Alternatyva 1'!AG$21,'Alternatyva 1'!AG$32,'Alternatyva 1'!AG$43,'Alternatyva 1'!AG$55,'Alternatyva 1'!AG$66,'Alternatyva 1'!AG$77,'Alternatyva 1'!AG$88)</f>
        <v>0</v>
      </c>
      <c r="AH28" s="69">
        <f>SUM('Alternatyva 1'!AH$21,'Alternatyva 1'!AH$32,'Alternatyva 1'!AH$43,'Alternatyva 1'!AH$55,'Alternatyva 1'!AH$66,'Alternatyva 1'!AH$77,'Alternatyva 1'!AH$88)</f>
        <v>0</v>
      </c>
      <c r="AI28" s="69">
        <f>SUM('Alternatyva 1'!AI$21,'Alternatyva 1'!AI$32,'Alternatyva 1'!AI$43,'Alternatyva 1'!AI$55,'Alternatyva 1'!AI$66,'Alternatyva 1'!AI$77,'Alternatyva 1'!AI$88)</f>
        <v>0</v>
      </c>
      <c r="AJ28" s="69">
        <f>SUM('Alternatyva 1'!AJ$21,'Alternatyva 1'!AJ$32,'Alternatyva 1'!AJ$43,'Alternatyva 1'!AJ$55,'Alternatyva 1'!AJ$66,'Alternatyva 1'!AJ$77,'Alternatyva 1'!AJ$88)</f>
        <v>0</v>
      </c>
      <c r="AK28" s="69">
        <f>SUM('Alternatyva 1'!AK$21,'Alternatyva 1'!AK$32,'Alternatyva 1'!AK$43,'Alternatyva 1'!AK$55,'Alternatyva 1'!AK$66,'Alternatyva 1'!AK$77,'Alternatyva 1'!AK$88)</f>
        <v>0</v>
      </c>
      <c r="AL28" s="69">
        <f>SUM('Alternatyva 1'!AL$21,'Alternatyva 1'!AL$32,'Alternatyva 1'!AL$43,'Alternatyva 1'!AL$55,'Alternatyva 1'!AL$66,'Alternatyva 1'!AL$77,'Alternatyva 1'!AL$88)</f>
        <v>0</v>
      </c>
      <c r="AM28" s="69">
        <f>SUM('Alternatyva 1'!AM$21,'Alternatyva 1'!AM$32,'Alternatyva 1'!AM$43,'Alternatyva 1'!AM$55,'Alternatyva 1'!AM$66,'Alternatyva 1'!AM$77,'Alternatyva 1'!AM$88)</f>
        <v>0</v>
      </c>
      <c r="AN28" s="69">
        <f>SUM('Alternatyva 1'!AN$21,'Alternatyva 1'!AN$32,'Alternatyva 1'!AN$43,'Alternatyva 1'!AN$55,'Alternatyva 1'!AN$66,'Alternatyva 1'!AN$77,'Alternatyva 1'!AN$88)</f>
        <v>0</v>
      </c>
      <c r="AO28" s="69">
        <f>SUM('Alternatyva 1'!AO$21,'Alternatyva 1'!AO$32,'Alternatyva 1'!AO$43,'Alternatyva 1'!AO$55,'Alternatyva 1'!AO$66,'Alternatyva 1'!AO$77,'Alternatyva 1'!AO$88)</f>
        <v>0</v>
      </c>
      <c r="AP28" s="69">
        <f>SUM('Alternatyva 1'!AP$21,'Alternatyva 1'!AP$32,'Alternatyva 1'!AP$43,'Alternatyva 1'!AP$55,'Alternatyva 1'!AP$66,'Alternatyva 1'!AP$77,'Alternatyva 1'!AP$88)</f>
        <v>0</v>
      </c>
      <c r="AQ28" s="69">
        <f>SUM('Alternatyva 1'!AQ$21,'Alternatyva 1'!AQ$32,'Alternatyva 1'!AQ$43,'Alternatyva 1'!AQ$55,'Alternatyva 1'!AQ$66,'Alternatyva 1'!AQ$77,'Alternatyva 1'!AQ$88)</f>
        <v>0</v>
      </c>
      <c r="AR28" s="69">
        <f>SUM('Alternatyva 1'!AR$21,'Alternatyva 1'!AR$32,'Alternatyva 1'!AR$43,'Alternatyva 1'!AR$55,'Alternatyva 1'!AR$66,'Alternatyva 1'!AR$77,'Alternatyva 1'!AR$88)</f>
        <v>0</v>
      </c>
      <c r="AS28" s="69">
        <f>SUM('Alternatyva 1'!AS$21,'Alternatyva 1'!AS$32,'Alternatyva 1'!AS$43,'Alternatyva 1'!AS$55,'Alternatyva 1'!AS$66,'Alternatyva 1'!AS$77,'Alternatyva 1'!AS$88)</f>
        <v>0</v>
      </c>
      <c r="AT28" s="69">
        <f>SUM('Alternatyva 1'!AT$21,'Alternatyva 1'!AT$32,'Alternatyva 1'!AT$43,'Alternatyva 1'!AT$55,'Alternatyva 1'!AT$66,'Alternatyva 1'!AT$77,'Alternatyva 1'!AT$88)</f>
        <v>0</v>
      </c>
      <c r="AU28" s="69">
        <f>SUM('Alternatyva 1'!AU$21,'Alternatyva 1'!AU$32,'Alternatyva 1'!AU$43,'Alternatyva 1'!AU$55,'Alternatyva 1'!AU$66,'Alternatyva 1'!AU$77,'Alternatyva 1'!AU$88)</f>
        <v>0</v>
      </c>
      <c r="AV28" s="69">
        <f>SUM('Alternatyva 1'!AV$21,'Alternatyva 1'!AV$32,'Alternatyva 1'!AV$43,'Alternatyva 1'!AV$55,'Alternatyva 1'!AV$66,'Alternatyva 1'!AV$77,'Alternatyva 1'!AV$88)</f>
        <v>0</v>
      </c>
      <c r="AW28" s="69">
        <f>SUM('Alternatyva 1'!AW$21,'Alternatyva 1'!AW$32,'Alternatyva 1'!AW$43,'Alternatyva 1'!AW$55,'Alternatyva 1'!AW$66,'Alternatyva 1'!AW$77,'Alternatyva 1'!AW$88)</f>
        <v>0</v>
      </c>
      <c r="AX28" s="69">
        <f>SUM('Alternatyva 1'!AX$21,'Alternatyva 1'!AX$32,'Alternatyva 1'!AX$43,'Alternatyva 1'!AX$55,'Alternatyva 1'!AX$66,'Alternatyva 1'!AX$77,'Alternatyva 1'!AX$88)</f>
        <v>0</v>
      </c>
      <c r="AY28" s="69">
        <f>SUM('Alternatyva 1'!AY$21,'Alternatyva 1'!AY$32,'Alternatyva 1'!AY$43,'Alternatyva 1'!AY$55,'Alternatyva 1'!AY$66,'Alternatyva 1'!AY$77,'Alternatyva 1'!AY$88)</f>
        <v>0</v>
      </c>
      <c r="AZ28" s="69">
        <f>SUM('Alternatyva 1'!AZ$21,'Alternatyva 1'!AZ$32,'Alternatyva 1'!AZ$43,'Alternatyva 1'!AZ$55,'Alternatyva 1'!AZ$66,'Alternatyva 1'!AZ$77,'Alternatyva 1'!AZ$88)</f>
        <v>0</v>
      </c>
      <c r="BA28" s="69">
        <f>SUM('Alternatyva 1'!BA$21,'Alternatyva 1'!BA$32,'Alternatyva 1'!BA$43,'Alternatyva 1'!BA$55,'Alternatyva 1'!BA$66,'Alternatyva 1'!BA$77,'Alternatyva 1'!BA$88)</f>
        <v>0</v>
      </c>
      <c r="BB28" s="69">
        <f>SUM('Alternatyva 1'!BB$21,'Alternatyva 1'!BB$32,'Alternatyva 1'!BB$43,'Alternatyva 1'!BB$55,'Alternatyva 1'!BB$66,'Alternatyva 1'!BB$77,'Alternatyva 1'!BB$88)</f>
        <v>0</v>
      </c>
      <c r="BC28" s="69">
        <f>SUM('Alternatyva 1'!BC$21,'Alternatyva 1'!BC$32,'Alternatyva 1'!BC$43,'Alternatyva 1'!BC$55,'Alternatyva 1'!BC$66,'Alternatyva 1'!BC$77,'Alternatyva 1'!BC$88)</f>
        <v>0</v>
      </c>
      <c r="BD28" s="69">
        <f>SUM('Alternatyva 1'!BD$21,'Alternatyva 1'!BD$32,'Alternatyva 1'!BD$43,'Alternatyva 1'!BD$55,'Alternatyva 1'!BD$66,'Alternatyva 1'!BD$77,'Alternatyva 1'!BD$88)</f>
        <v>0</v>
      </c>
      <c r="BE28" s="69">
        <f>SUM('Alternatyva 1'!BE$21,'Alternatyva 1'!BE$32,'Alternatyva 1'!BE$43,'Alternatyva 1'!BE$55,'Alternatyva 1'!BE$66,'Alternatyva 1'!BE$77,'Alternatyva 1'!BE$88)</f>
        <v>0</v>
      </c>
      <c r="BF28" s="69">
        <f>SUM('Alternatyva 1'!BF$21,'Alternatyva 1'!BF$32,'Alternatyva 1'!BF$43,'Alternatyva 1'!BF$55,'Alternatyva 1'!BF$66,'Alternatyva 1'!BF$77,'Alternatyva 1'!BF$88)</f>
        <v>0</v>
      </c>
      <c r="BG28" s="69">
        <f>SUM('Alternatyva 1'!BG$21,'Alternatyva 1'!BG$32,'Alternatyva 1'!BG$43,'Alternatyva 1'!BG$55,'Alternatyva 1'!BG$66,'Alternatyva 1'!BG$77,'Alternatyva 1'!BG$88)</f>
        <v>0</v>
      </c>
      <c r="BH28" s="69">
        <f>SUM('Alternatyva 1'!BH$21,'Alternatyva 1'!BH$32,'Alternatyva 1'!BH$43,'Alternatyva 1'!BH$55,'Alternatyva 1'!BH$66,'Alternatyva 1'!BH$77,'Alternatyva 1'!BH$88)</f>
        <v>0</v>
      </c>
      <c r="BI28" s="69">
        <f>SUM('Alternatyva 1'!BI$21,'Alternatyva 1'!BI$32,'Alternatyva 1'!BI$43,'Alternatyva 1'!BI$55,'Alternatyva 1'!BI$66,'Alternatyva 1'!BI$77,'Alternatyva 1'!BI$88)</f>
        <v>0</v>
      </c>
      <c r="BJ28" s="69">
        <f>SUM('Alternatyva 1'!BJ$21,'Alternatyva 1'!BJ$32,'Alternatyva 1'!BJ$43,'Alternatyva 1'!BJ$55,'Alternatyva 1'!BJ$66,'Alternatyva 1'!BJ$77,'Alternatyva 1'!BJ$88)</f>
        <v>0</v>
      </c>
      <c r="BK28" s="69">
        <f>SUM('Alternatyva 1'!BK$21,'Alternatyva 1'!BK$32,'Alternatyva 1'!BK$43,'Alternatyva 1'!BK$55,'Alternatyva 1'!BK$66,'Alternatyva 1'!BK$77,'Alternatyva 1'!BK$88)</f>
        <v>0</v>
      </c>
      <c r="BL28" s="69">
        <f>SUM('Alternatyva 1'!BL$21,'Alternatyva 1'!BL$32,'Alternatyva 1'!BL$43,'Alternatyva 1'!BL$55,'Alternatyva 1'!BL$66,'Alternatyva 1'!BL$77,'Alternatyva 1'!BL$88)</f>
        <v>0</v>
      </c>
      <c r="BM28" s="69">
        <f>SUM('Alternatyva 1'!BM$21,'Alternatyva 1'!BM$32,'Alternatyva 1'!BM$43,'Alternatyva 1'!BM$55,'Alternatyva 1'!BM$66,'Alternatyva 1'!BM$77,'Alternatyva 1'!BM$88)</f>
        <v>0</v>
      </c>
      <c r="BN28" s="69">
        <f>SUM('Alternatyva 1'!BN$21,'Alternatyva 1'!BN$32,'Alternatyva 1'!BN$43,'Alternatyva 1'!BN$55,'Alternatyva 1'!BN$66,'Alternatyva 1'!BN$77,'Alternatyva 1'!BN$88)</f>
        <v>0</v>
      </c>
      <c r="BO28" s="69">
        <f>SUM('Alternatyva 1'!BO$21,'Alternatyva 1'!BO$32,'Alternatyva 1'!BO$43,'Alternatyva 1'!BO$55,'Alternatyva 1'!BO$66,'Alternatyva 1'!BO$77,'Alternatyva 1'!BO$88)</f>
        <v>0</v>
      </c>
      <c r="BP28" s="69">
        <f>SUM('Alternatyva 1'!BP$21,'Alternatyva 1'!BP$32,'Alternatyva 1'!BP$43,'Alternatyva 1'!BP$55,'Alternatyva 1'!BP$66,'Alternatyva 1'!BP$77,'Alternatyva 1'!BP$88)</f>
        <v>0</v>
      </c>
      <c r="BQ28" s="69">
        <f>SUM('Alternatyva 1'!BQ$21,'Alternatyva 1'!BQ$32,'Alternatyva 1'!BQ$43,'Alternatyva 1'!BQ$55,'Alternatyva 1'!BQ$66,'Alternatyva 1'!BQ$77,'Alternatyva 1'!BQ$88)</f>
        <v>0</v>
      </c>
      <c r="BR28" s="69">
        <f>SUM('Alternatyva 1'!BR$21,'Alternatyva 1'!BR$32,'Alternatyva 1'!BR$43,'Alternatyva 1'!BR$55,'Alternatyva 1'!BR$66,'Alternatyva 1'!BR$77,'Alternatyva 1'!BR$88)</f>
        <v>0</v>
      </c>
      <c r="BS28" s="69">
        <f>SUM('Alternatyva 1'!BS$21,'Alternatyva 1'!BS$32,'Alternatyva 1'!BS$43,'Alternatyva 1'!BS$55,'Alternatyva 1'!BS$66,'Alternatyva 1'!BS$77,'Alternatyva 1'!BS$88)</f>
        <v>0</v>
      </c>
      <c r="BT28" s="69">
        <f>SUM('Alternatyva 1'!BT$21,'Alternatyva 1'!BT$32,'Alternatyva 1'!BT$43,'Alternatyva 1'!BT$55,'Alternatyva 1'!BT$66,'Alternatyva 1'!BT$77,'Alternatyva 1'!BT$88)</f>
        <v>0</v>
      </c>
      <c r="BU28" s="69">
        <f>SUM('Alternatyva 1'!BU$21,'Alternatyva 1'!BU$32,'Alternatyva 1'!BU$43,'Alternatyva 1'!BU$55,'Alternatyva 1'!BU$66,'Alternatyva 1'!BU$77,'Alternatyva 1'!BU$88)</f>
        <v>0</v>
      </c>
      <c r="BV28" s="69">
        <f>SUM('Alternatyva 1'!BV$21,'Alternatyva 1'!BV$32,'Alternatyva 1'!BV$43,'Alternatyva 1'!BV$55,'Alternatyva 1'!BV$66,'Alternatyva 1'!BV$77,'Alternatyva 1'!BV$88)</f>
        <v>0</v>
      </c>
      <c r="BW28" s="69">
        <f>SUM('Alternatyva 1'!BW$21,'Alternatyva 1'!BW$32,'Alternatyva 1'!BW$43,'Alternatyva 1'!BW$55,'Alternatyva 1'!BW$66,'Alternatyva 1'!BW$77,'Alternatyva 1'!BW$88)</f>
        <v>0</v>
      </c>
      <c r="BX28" s="69">
        <f>SUM('Alternatyva 1'!BX$21,'Alternatyva 1'!BX$32,'Alternatyva 1'!BX$43,'Alternatyva 1'!BX$55,'Alternatyva 1'!BX$66,'Alternatyva 1'!BX$77,'Alternatyva 1'!BX$88)</f>
        <v>0</v>
      </c>
      <c r="BY28" s="69">
        <f>SUM('Alternatyva 1'!BY$21,'Alternatyva 1'!BY$32,'Alternatyva 1'!BY$43,'Alternatyva 1'!BY$55,'Alternatyva 1'!BY$66,'Alternatyva 1'!BY$77,'Alternatyva 1'!BY$88)</f>
        <v>0</v>
      </c>
      <c r="BZ28" s="69">
        <f>SUM('Alternatyva 1'!BZ$21,'Alternatyva 1'!BZ$32,'Alternatyva 1'!BZ$43,'Alternatyva 1'!BZ$55,'Alternatyva 1'!BZ$66,'Alternatyva 1'!BZ$77,'Alternatyva 1'!BZ$88)</f>
        <v>0</v>
      </c>
      <c r="CA28" s="69">
        <f>SUM('Alternatyva 1'!CA$21,'Alternatyva 1'!CA$32,'Alternatyva 1'!CA$43,'Alternatyva 1'!CA$55,'Alternatyva 1'!CA$66,'Alternatyva 1'!CA$77,'Alternatyva 1'!CA$88)</f>
        <v>0</v>
      </c>
      <c r="CB28" s="69">
        <f>SUM('Alternatyva 1'!CB$21,'Alternatyva 1'!CB$32,'Alternatyva 1'!CB$43,'Alternatyva 1'!CB$55,'Alternatyva 1'!CB$66,'Alternatyva 1'!CB$77,'Alternatyva 1'!CB$88)</f>
        <v>0</v>
      </c>
      <c r="CC28" s="69">
        <f>SUM('Alternatyva 1'!CC$21,'Alternatyva 1'!CC$32,'Alternatyva 1'!CC$43,'Alternatyva 1'!CC$55,'Alternatyva 1'!CC$66,'Alternatyva 1'!CC$77,'Alternatyva 1'!CC$88)</f>
        <v>0</v>
      </c>
      <c r="CD28" s="69">
        <f>SUM('Alternatyva 1'!CD$21,'Alternatyva 1'!CD$32,'Alternatyva 1'!CD$43,'Alternatyva 1'!CD$55,'Alternatyva 1'!CD$66,'Alternatyva 1'!CD$77,'Alternatyva 1'!CD$88)</f>
        <v>0</v>
      </c>
      <c r="CE28" s="69">
        <f>SUM('Alternatyva 1'!CE$21,'Alternatyva 1'!CE$32,'Alternatyva 1'!CE$43,'Alternatyva 1'!CE$55,'Alternatyva 1'!CE$66,'Alternatyva 1'!CE$77,'Alternatyva 1'!CE$88)</f>
        <v>0</v>
      </c>
      <c r="CF28" s="69">
        <f>SUM('Alternatyva 1'!CF$21,'Alternatyva 1'!CF$32,'Alternatyva 1'!CF$43,'Alternatyva 1'!CF$55,'Alternatyva 1'!CF$66,'Alternatyva 1'!CF$77,'Alternatyva 1'!CF$88)</f>
        <v>0</v>
      </c>
      <c r="CG28" s="69">
        <f>SUM('Alternatyva 1'!CG$21,'Alternatyva 1'!CG$32,'Alternatyva 1'!CG$43,'Alternatyva 1'!CG$55,'Alternatyva 1'!CG$66,'Alternatyva 1'!CG$77,'Alternatyva 1'!CG$88)</f>
        <v>0</v>
      </c>
      <c r="CH28" s="69">
        <f>SUM('Alternatyva 1'!CH$21,'Alternatyva 1'!CH$32,'Alternatyva 1'!CH$43,'Alternatyva 1'!CH$55,'Alternatyva 1'!CH$66,'Alternatyva 1'!CH$77,'Alternatyva 1'!CH$88)</f>
        <v>0</v>
      </c>
      <c r="CI28" s="69">
        <f>SUM('Alternatyva 1'!CI$21,'Alternatyva 1'!CI$32,'Alternatyva 1'!CI$43,'Alternatyva 1'!CI$55,'Alternatyva 1'!CI$66,'Alternatyva 1'!CI$77,'Alternatyva 1'!CI$88)</f>
        <v>0</v>
      </c>
      <c r="CJ28" s="69">
        <f>SUM('Alternatyva 1'!CJ$21,'Alternatyva 1'!CJ$32,'Alternatyva 1'!CJ$43,'Alternatyva 1'!CJ$55,'Alternatyva 1'!CJ$66,'Alternatyva 1'!CJ$77,'Alternatyva 1'!CJ$88)</f>
        <v>0</v>
      </c>
      <c r="CK28" s="69">
        <f>SUM('Alternatyva 1'!CK$21,'Alternatyva 1'!CK$32,'Alternatyva 1'!CK$43,'Alternatyva 1'!CK$55,'Alternatyva 1'!CK$66,'Alternatyva 1'!CK$77,'Alternatyva 1'!CK$88)</f>
        <v>0</v>
      </c>
      <c r="CL28" s="69">
        <f>SUM('Alternatyva 1'!CL$21,'Alternatyva 1'!CL$32,'Alternatyva 1'!CL$43,'Alternatyva 1'!CL$55,'Alternatyva 1'!CL$66,'Alternatyva 1'!CL$77,'Alternatyva 1'!CL$88)</f>
        <v>0</v>
      </c>
      <c r="CM28" s="69">
        <f>SUM('Alternatyva 1'!CM$21,'Alternatyva 1'!CM$32,'Alternatyva 1'!CM$43,'Alternatyva 1'!CM$55,'Alternatyva 1'!CM$66,'Alternatyva 1'!CM$77,'Alternatyva 1'!CM$88)</f>
        <v>0</v>
      </c>
      <c r="CN28" s="69">
        <f>SUM('Alternatyva 1'!CN$21,'Alternatyva 1'!CN$32,'Alternatyva 1'!CN$43,'Alternatyva 1'!CN$55,'Alternatyva 1'!CN$66,'Alternatyva 1'!CN$77,'Alternatyva 1'!CN$88)</f>
        <v>0</v>
      </c>
      <c r="CO28" s="69">
        <f>SUM('Alternatyva 1'!CO$21,'Alternatyva 1'!CO$32,'Alternatyva 1'!CO$43,'Alternatyva 1'!CO$55,'Alternatyva 1'!CO$66,'Alternatyva 1'!CO$77,'Alternatyva 1'!CO$88)</f>
        <v>0</v>
      </c>
      <c r="CP28" s="69">
        <f>SUM('Alternatyva 1'!CP$21,'Alternatyva 1'!CP$32,'Alternatyva 1'!CP$43,'Alternatyva 1'!CP$55,'Alternatyva 1'!CP$66,'Alternatyva 1'!CP$77,'Alternatyva 1'!CP$88)</f>
        <v>0</v>
      </c>
      <c r="CQ28" s="69">
        <f>SUM('Alternatyva 1'!CQ$21,'Alternatyva 1'!CQ$32,'Alternatyva 1'!CQ$43,'Alternatyva 1'!CQ$55,'Alternatyva 1'!CQ$66,'Alternatyva 1'!CQ$77,'Alternatyva 1'!CQ$88)</f>
        <v>0</v>
      </c>
      <c r="CR28" s="69">
        <f>SUM('Alternatyva 1'!CR$21,'Alternatyva 1'!CR$32,'Alternatyva 1'!CR$43,'Alternatyva 1'!CR$55,'Alternatyva 1'!CR$66,'Alternatyva 1'!CR$77,'Alternatyva 1'!CR$88)</f>
        <v>0</v>
      </c>
      <c r="CS28" s="69">
        <f>SUM('Alternatyva 1'!CS$21,'Alternatyva 1'!CS$32,'Alternatyva 1'!CS$43,'Alternatyva 1'!CS$55,'Alternatyva 1'!CS$66,'Alternatyva 1'!CS$77,'Alternatyva 1'!CS$88)</f>
        <v>0</v>
      </c>
      <c r="CT28" s="69">
        <f>SUM('Alternatyva 1'!CT$21,'Alternatyva 1'!CT$32,'Alternatyva 1'!CT$43,'Alternatyva 1'!CT$55,'Alternatyva 1'!CT$66,'Alternatyva 1'!CT$77,'Alternatyva 1'!CT$88)</f>
        <v>0</v>
      </c>
      <c r="CU28" s="69">
        <f>SUM('Alternatyva 1'!CU$21,'Alternatyva 1'!CU$32,'Alternatyva 1'!CU$43,'Alternatyva 1'!CU$55,'Alternatyva 1'!CU$66,'Alternatyva 1'!CU$77,'Alternatyva 1'!CU$88)</f>
        <v>0</v>
      </c>
      <c r="CV28" s="69">
        <f>SUM('Alternatyva 1'!CV$21,'Alternatyva 1'!CV$32,'Alternatyva 1'!CV$43,'Alternatyva 1'!CV$55,'Alternatyva 1'!CV$66,'Alternatyva 1'!CV$77,'Alternatyva 1'!CV$88)</f>
        <v>0</v>
      </c>
      <c r="CW28" s="69">
        <f>SUM('Alternatyva 1'!CW$21,'Alternatyva 1'!CW$32,'Alternatyva 1'!CW$43,'Alternatyva 1'!CW$55,'Alternatyva 1'!CW$66,'Alternatyva 1'!CW$77,'Alternatyva 1'!CW$88)</f>
        <v>0</v>
      </c>
      <c r="CX28" s="69">
        <f>SUM('Alternatyva 1'!CX$21,'Alternatyva 1'!CX$32,'Alternatyva 1'!CX$43,'Alternatyva 1'!CX$55,'Alternatyva 1'!CX$66,'Alternatyva 1'!CX$77,'Alternatyva 1'!CX$88)</f>
        <v>0</v>
      </c>
      <c r="CY28" s="69">
        <f>SUM('Alternatyva 1'!CY$21,'Alternatyva 1'!CY$32,'Alternatyva 1'!CY$43,'Alternatyva 1'!CY$55,'Alternatyva 1'!CY$66,'Alternatyva 1'!CY$77,'Alternatyva 1'!CY$88)</f>
        <v>0</v>
      </c>
      <c r="CZ28" s="69">
        <f>SUM('Alternatyva 1'!CZ$21,'Alternatyva 1'!CZ$32,'Alternatyva 1'!CZ$43,'Alternatyva 1'!CZ$55,'Alternatyva 1'!CZ$66,'Alternatyva 1'!CZ$77,'Alternatyva 1'!CZ$88)</f>
        <v>0</v>
      </c>
      <c r="DA28" s="69">
        <f>SUM('Alternatyva 1'!DA$21,'Alternatyva 1'!DA$32,'Alternatyva 1'!DA$43,'Alternatyva 1'!DA$55,'Alternatyva 1'!DA$66,'Alternatyva 1'!DA$77,'Alternatyva 1'!DA$88)</f>
        <v>0</v>
      </c>
      <c r="DB28" s="69">
        <f>SUM('Alternatyva 1'!DB$21,'Alternatyva 1'!DB$32,'Alternatyva 1'!DB$43,'Alternatyva 1'!DB$55,'Alternatyva 1'!DB$66,'Alternatyva 1'!DB$77,'Alternatyva 1'!DB$88)</f>
        <v>0</v>
      </c>
      <c r="DC28" s="69">
        <f>SUM('Alternatyva 1'!DC$21,'Alternatyva 1'!DC$32,'Alternatyva 1'!DC$43,'Alternatyva 1'!DC$55,'Alternatyva 1'!DC$66,'Alternatyva 1'!DC$77,'Alternatyva 1'!DC$88)</f>
        <v>0</v>
      </c>
    </row>
    <row r="29" spans="2:107" ht="14.25" hidden="1" customHeight="1">
      <c r="B29" s="808" t="s">
        <v>201</v>
      </c>
      <c r="C29" s="808"/>
      <c r="D29" s="808"/>
      <c r="E29" s="808"/>
      <c r="F29" s="67"/>
      <c r="G29" s="59">
        <f>SUMIF($H$8:$DC$8,"&lt;="&amp;PAL,$H29:$DC29)</f>
        <v>-198829806.24019569</v>
      </c>
      <c r="H29" s="14">
        <f>H28-'Alternatyva 1'!H$7+'Alternatyva 1'!H$115</f>
        <v>-1708000</v>
      </c>
      <c r="I29" s="14">
        <f>I28-'Alternatyva 1'!I$7+'Alternatyva 1'!I$115</f>
        <v>-4900980.7675320003</v>
      </c>
      <c r="J29" s="14">
        <f>J28-'Alternatyva 1'!J$7+'Alternatyva 1'!J$115</f>
        <v>-7587358.9378861329</v>
      </c>
      <c r="K29" s="14">
        <f>K28-'Alternatyva 1'!K$7+'Alternatyva 1'!K$115</f>
        <v>-10781120.3630432</v>
      </c>
      <c r="L29" s="14">
        <f>L28-'Alternatyva 1'!L$7+'Alternatyva 1'!L$115</f>
        <v>-10183520.3630432</v>
      </c>
      <c r="M29" s="14">
        <f>M28-'Alternatyva 1'!M$7+'Alternatyva 1'!M$115</f>
        <v>-10203520.3630432</v>
      </c>
      <c r="N29" s="14">
        <f>N28-'Alternatyva 1'!N$7+'Alternatyva 1'!N$115</f>
        <v>-10183020.3630432</v>
      </c>
      <c r="O29" s="14">
        <f>O28-'Alternatyva 1'!O$7+'Alternatyva 1'!O$115</f>
        <v>-10183020.3630432</v>
      </c>
      <c r="P29" s="14">
        <f>P28-'Alternatyva 1'!P$7+'Alternatyva 1'!P$115</f>
        <v>-10183020.3630432</v>
      </c>
      <c r="Q29" s="14">
        <f>Q28-'Alternatyva 1'!Q$7+'Alternatyva 1'!Q$115</f>
        <v>-10183020.3630432</v>
      </c>
      <c r="R29" s="14">
        <f>R28-'Alternatyva 1'!R$7+'Alternatyva 1'!R$115</f>
        <v>-10303020.3630432</v>
      </c>
      <c r="S29" s="14">
        <f>S28-'Alternatyva 1'!S$7+'Alternatyva 1'!S$115</f>
        <v>-10423020.3630432</v>
      </c>
      <c r="T29" s="14">
        <f>T28-'Alternatyva 1'!T$7+'Alternatyva 1'!T$115</f>
        <v>-10303020.3630432</v>
      </c>
      <c r="U29" s="14">
        <f>U28-'Alternatyva 1'!U$7+'Alternatyva 1'!U$115</f>
        <v>-10423020.3630432</v>
      </c>
      <c r="V29" s="14">
        <f>V28-'Alternatyva 1'!V$7+'Alternatyva 1'!V$115</f>
        <v>-10183020.3630432</v>
      </c>
      <c r="W29" s="14">
        <f>W28-'Alternatyva 1'!W$7+'Alternatyva 1'!W$115</f>
        <v>-10183020.3630432</v>
      </c>
      <c r="X29" s="14">
        <f>X28-'Alternatyva 1'!X$7+'Alternatyva 1'!X$115</f>
        <v>-10183020.3630432</v>
      </c>
      <c r="Y29" s="14">
        <f>Y28-'Alternatyva 1'!Y$7+'Alternatyva 1'!Y$115</f>
        <v>-10183020.3630432</v>
      </c>
      <c r="Z29" s="14">
        <f>Z28-'Alternatyva 1'!Z$7+'Alternatyva 1'!Z$115</f>
        <v>-10183020.3630432</v>
      </c>
      <c r="AA29" s="14">
        <f>AA28-'Alternatyva 1'!AA$7+'Alternatyva 1'!AA$115</f>
        <v>-10183020.3630432</v>
      </c>
      <c r="AB29" s="14">
        <f>AB28-'Alternatyva 1'!AB$7+'Alternatyva 1'!AB$115</f>
        <v>-10183020.3630432</v>
      </c>
      <c r="AC29" s="14">
        <f>AC28-'Alternatyva 1'!AC$7+'Alternatyva 1'!AC$115</f>
        <v>-2329431.8160736002</v>
      </c>
      <c r="AD29" s="14">
        <f>AD28-'Alternatyva 1'!AD$7+'Alternatyva 1'!AD$115</f>
        <v>-2329431.8160736002</v>
      </c>
      <c r="AE29" s="14">
        <f>AE28-'Alternatyva 1'!AE$7+'Alternatyva 1'!AE$115</f>
        <v>-2329431.8160736002</v>
      </c>
      <c r="AF29" s="14">
        <f>AF28-'Alternatyva 1'!AF$7+'Alternatyva 1'!AF$115</f>
        <v>-2329431.8160736002</v>
      </c>
      <c r="AG29" s="14">
        <f>AG28-'Alternatyva 1'!AG$7+'Alternatyva 1'!AG$115</f>
        <v>-2329431.8160736002</v>
      </c>
      <c r="AH29" s="14">
        <f>AH28-'Alternatyva 1'!AH$7+'Alternatyva 1'!AH$115</f>
        <v>-2329431.8160736002</v>
      </c>
      <c r="AI29" s="14">
        <f>AI28-'Alternatyva 1'!AI$7+'Alternatyva 1'!AI$115</f>
        <v>-2329431.8160736002</v>
      </c>
      <c r="AJ29" s="14">
        <f>AJ28-'Alternatyva 1'!AJ$7+'Alternatyva 1'!AJ$115</f>
        <v>-2329431.8160736002</v>
      </c>
      <c r="AK29" s="14">
        <f>AK28-'Alternatyva 1'!AK$7+'Alternatyva 1'!AK$115</f>
        <v>-2329431.8160736002</v>
      </c>
      <c r="AL29" s="14">
        <f>AL28-'Alternatyva 1'!AL$7+'Alternatyva 1'!AL$115</f>
        <v>-2329431.8160736002</v>
      </c>
      <c r="AM29" s="14">
        <f>AM28-'Alternatyva 1'!AM$7+'Alternatyva 1'!AM$115</f>
        <v>-2329431.8160736002</v>
      </c>
      <c r="AN29" s="14">
        <f>AN28-'Alternatyva 1'!AN$7+'Alternatyva 1'!AN$115</f>
        <v>-2329431.8160736002</v>
      </c>
      <c r="AO29" s="14">
        <f>AO28-'Alternatyva 1'!AO$7+'Alternatyva 1'!AO$115</f>
        <v>-2329431.8160736002</v>
      </c>
      <c r="AP29" s="14">
        <f>AP28-'Alternatyva 1'!AP$7+'Alternatyva 1'!AP$115</f>
        <v>-2329431.8160736002</v>
      </c>
      <c r="AQ29" s="14">
        <f>AQ28-'Alternatyva 1'!AQ$7+'Alternatyva 1'!AQ$115</f>
        <v>-2329431.8160736002</v>
      </c>
      <c r="AR29" s="14">
        <f>AR28-'Alternatyva 1'!AR$7+'Alternatyva 1'!AR$115</f>
        <v>-2329431.8160736002</v>
      </c>
      <c r="AS29" s="14">
        <f>AS28-'Alternatyva 1'!AS$7+'Alternatyva 1'!AS$115</f>
        <v>-2329431.8160736002</v>
      </c>
      <c r="AT29" s="14">
        <f>AT28-'Alternatyva 1'!AT$7+'Alternatyva 1'!AT$115</f>
        <v>-2329431.8160736002</v>
      </c>
      <c r="AU29" s="14">
        <f>AU28-'Alternatyva 1'!AU$7+'Alternatyva 1'!AU$115</f>
        <v>-2329431.8160736002</v>
      </c>
      <c r="AV29" s="14">
        <f>AV28-'Alternatyva 1'!AV$7+'Alternatyva 1'!AV$115</f>
        <v>-2329431.8160736002</v>
      </c>
      <c r="AW29" s="14">
        <f>AW28-'Alternatyva 1'!AW$7+'Alternatyva 1'!AW$115</f>
        <v>-2329431.8160736002</v>
      </c>
      <c r="AX29" s="14">
        <f>AX28-'Alternatyva 1'!AX$7+'Alternatyva 1'!AX$115</f>
        <v>-2329431.8160736002</v>
      </c>
      <c r="AY29" s="14">
        <f>AY28-'Alternatyva 1'!AY$7+'Alternatyva 1'!AY$115</f>
        <v>-2329431.8160736002</v>
      </c>
      <c r="AZ29" s="14">
        <f>AZ28-'Alternatyva 1'!AZ$7+'Alternatyva 1'!AZ$115</f>
        <v>-2329431.8160736002</v>
      </c>
      <c r="BA29" s="14">
        <f>BA28-'Alternatyva 1'!BA$7+'Alternatyva 1'!BA$115</f>
        <v>-2329431.8160736002</v>
      </c>
      <c r="BB29" s="14">
        <f>BB28-'Alternatyva 1'!BB$7+'Alternatyva 1'!BB$115</f>
        <v>-2329431.8160736002</v>
      </c>
      <c r="BC29" s="14">
        <f>BC28-'Alternatyva 1'!BC$7+'Alternatyva 1'!BC$115</f>
        <v>-2329431.8160736002</v>
      </c>
      <c r="BD29" s="14">
        <f>BD28-'Alternatyva 1'!BD$7+'Alternatyva 1'!BD$115</f>
        <v>-2329431.8160736002</v>
      </c>
      <c r="BE29" s="14">
        <f>BE28-'Alternatyva 1'!BE$7+'Alternatyva 1'!BE$115</f>
        <v>-2329431.8160736002</v>
      </c>
      <c r="BF29" s="14">
        <f>BF28-'Alternatyva 1'!BF$7+'Alternatyva 1'!BF$115</f>
        <v>-2329431.8160736002</v>
      </c>
      <c r="BG29" s="14">
        <f>BG28-'Alternatyva 1'!BG$7+'Alternatyva 1'!BG$115</f>
        <v>-2329431.8160736002</v>
      </c>
      <c r="BH29" s="14">
        <f>BH28-'Alternatyva 1'!BH$7+'Alternatyva 1'!BH$115</f>
        <v>-2329431.8160736002</v>
      </c>
      <c r="BI29" s="14">
        <f>BI28-'Alternatyva 1'!BI$7+'Alternatyva 1'!BI$115</f>
        <v>-2329431.8160736002</v>
      </c>
      <c r="BJ29" s="14">
        <f>BJ28-'Alternatyva 1'!BJ$7+'Alternatyva 1'!BJ$115</f>
        <v>-2329431.8160736002</v>
      </c>
      <c r="BK29" s="14">
        <f>BK28-'Alternatyva 1'!BK$7+'Alternatyva 1'!BK$115</f>
        <v>-2329431.8160736002</v>
      </c>
      <c r="BL29" s="14">
        <f>BL28-'Alternatyva 1'!BL$7+'Alternatyva 1'!BL$115</f>
        <v>-2329431.8160736002</v>
      </c>
      <c r="BM29" s="14">
        <f>BM28-'Alternatyva 1'!BM$7+'Alternatyva 1'!BM$115</f>
        <v>-2329431.8160736002</v>
      </c>
      <c r="BN29" s="14">
        <f>BN28-'Alternatyva 1'!BN$7+'Alternatyva 1'!BN$115</f>
        <v>-2329431.8160736002</v>
      </c>
      <c r="BO29" s="14">
        <f>BO28-'Alternatyva 1'!BO$7+'Alternatyva 1'!BO$115</f>
        <v>-2329431.8160736002</v>
      </c>
      <c r="BP29" s="14">
        <f>BP28-'Alternatyva 1'!BP$7+'Alternatyva 1'!BP$115</f>
        <v>-2329431.8160736002</v>
      </c>
      <c r="BQ29" s="14">
        <f>BQ28-'Alternatyva 1'!BQ$7+'Alternatyva 1'!BQ$115</f>
        <v>-2329431.8160736002</v>
      </c>
      <c r="BR29" s="14">
        <f>BR28-'Alternatyva 1'!BR$7+'Alternatyva 1'!BR$115</f>
        <v>-2329431.8160736002</v>
      </c>
      <c r="BS29" s="14">
        <f>BS28-'Alternatyva 1'!BS$7+'Alternatyva 1'!BS$115</f>
        <v>-2329431.8160736002</v>
      </c>
      <c r="BT29" s="14">
        <f>BT28-'Alternatyva 1'!BT$7+'Alternatyva 1'!BT$115</f>
        <v>-2329431.8160736002</v>
      </c>
      <c r="BU29" s="14">
        <f>BU28-'Alternatyva 1'!BU$7+'Alternatyva 1'!BU$115</f>
        <v>-2329431.8160736002</v>
      </c>
      <c r="BV29" s="14">
        <f>BV28-'Alternatyva 1'!BV$7+'Alternatyva 1'!BV$115</f>
        <v>-2329431.8160736002</v>
      </c>
      <c r="BW29" s="14">
        <f>BW28-'Alternatyva 1'!BW$7+'Alternatyva 1'!BW$115</f>
        <v>-2329431.8160736002</v>
      </c>
      <c r="BX29" s="14">
        <f>BX28-'Alternatyva 1'!BX$7+'Alternatyva 1'!BX$115</f>
        <v>-2329431.8160736002</v>
      </c>
      <c r="BY29" s="14">
        <f>BY28-'Alternatyva 1'!BY$7+'Alternatyva 1'!BY$115</f>
        <v>-2329431.8160736002</v>
      </c>
      <c r="BZ29" s="14">
        <f>BZ28-'Alternatyva 1'!BZ$7+'Alternatyva 1'!BZ$115</f>
        <v>-2329431.8160736002</v>
      </c>
      <c r="CA29" s="14">
        <f>CA28-'Alternatyva 1'!CA$7+'Alternatyva 1'!CA$115</f>
        <v>-2329431.8160736002</v>
      </c>
      <c r="CB29" s="14">
        <f>CB28-'Alternatyva 1'!CB$7+'Alternatyva 1'!CB$115</f>
        <v>-2329431.8160736002</v>
      </c>
      <c r="CC29" s="14">
        <f>CC28-'Alternatyva 1'!CC$7+'Alternatyva 1'!CC$115</f>
        <v>-2329431.8160736002</v>
      </c>
      <c r="CD29" s="14">
        <f>CD28-'Alternatyva 1'!CD$7+'Alternatyva 1'!CD$115</f>
        <v>-2329431.8160736002</v>
      </c>
      <c r="CE29" s="14">
        <f>CE28-'Alternatyva 1'!CE$7+'Alternatyva 1'!CE$115</f>
        <v>-2329431.8160736002</v>
      </c>
      <c r="CF29" s="14">
        <f>CF28-'Alternatyva 1'!CF$7+'Alternatyva 1'!CF$115</f>
        <v>-2329431.8160736002</v>
      </c>
      <c r="CG29" s="14">
        <f>CG28-'Alternatyva 1'!CG$7+'Alternatyva 1'!CG$115</f>
        <v>-2329431.8160736002</v>
      </c>
      <c r="CH29" s="14">
        <f>CH28-'Alternatyva 1'!CH$7+'Alternatyva 1'!CH$115</f>
        <v>-2329431.8160736002</v>
      </c>
      <c r="CI29" s="14">
        <f>CI28-'Alternatyva 1'!CI$7+'Alternatyva 1'!CI$115</f>
        <v>-2329431.8160736002</v>
      </c>
      <c r="CJ29" s="14">
        <f>CJ28-'Alternatyva 1'!CJ$7+'Alternatyva 1'!CJ$115</f>
        <v>-2329431.8160736002</v>
      </c>
      <c r="CK29" s="14">
        <f>CK28-'Alternatyva 1'!CK$7+'Alternatyva 1'!CK$115</f>
        <v>-2329431.8160736002</v>
      </c>
      <c r="CL29" s="14">
        <f>CL28-'Alternatyva 1'!CL$7+'Alternatyva 1'!CL$115</f>
        <v>-2329431.8160736002</v>
      </c>
      <c r="CM29" s="14">
        <f>CM28-'Alternatyva 1'!CM$7+'Alternatyva 1'!CM$115</f>
        <v>-2329431.8160736002</v>
      </c>
      <c r="CN29" s="14">
        <f>CN28-'Alternatyva 1'!CN$7+'Alternatyva 1'!CN$115</f>
        <v>-2329431.8160736002</v>
      </c>
      <c r="CO29" s="14">
        <f>CO28-'Alternatyva 1'!CO$7+'Alternatyva 1'!CO$115</f>
        <v>-2329431.8160736002</v>
      </c>
      <c r="CP29" s="14">
        <f>CP28-'Alternatyva 1'!CP$7+'Alternatyva 1'!CP$115</f>
        <v>-2329431.8160736002</v>
      </c>
      <c r="CQ29" s="14">
        <f>CQ28-'Alternatyva 1'!CQ$7+'Alternatyva 1'!CQ$115</f>
        <v>-2329431.8160736002</v>
      </c>
      <c r="CR29" s="14">
        <f>CR28-'Alternatyva 1'!CR$7+'Alternatyva 1'!CR$115</f>
        <v>-2329431.8160736002</v>
      </c>
      <c r="CS29" s="14">
        <f>CS28-'Alternatyva 1'!CS$7+'Alternatyva 1'!CS$115</f>
        <v>-2329431.8160736002</v>
      </c>
      <c r="CT29" s="14">
        <f>CT28-'Alternatyva 1'!CT$7+'Alternatyva 1'!CT$115</f>
        <v>-2329431.8160736002</v>
      </c>
      <c r="CU29" s="14">
        <f>CU28-'Alternatyva 1'!CU$7+'Alternatyva 1'!CU$115</f>
        <v>-2329431.8160736002</v>
      </c>
      <c r="CV29" s="14">
        <f>CV28-'Alternatyva 1'!CV$7+'Alternatyva 1'!CV$115</f>
        <v>-2329431.8160736002</v>
      </c>
      <c r="CW29" s="14">
        <f>CW28-'Alternatyva 1'!CW$7+'Alternatyva 1'!CW$115</f>
        <v>-2329431.8160736002</v>
      </c>
      <c r="CX29" s="14">
        <f>CX28-'Alternatyva 1'!CX$7+'Alternatyva 1'!CX$115</f>
        <v>-2329431.8160736002</v>
      </c>
      <c r="CY29" s="14">
        <f>CY28-'Alternatyva 1'!CY$7+'Alternatyva 1'!CY$115</f>
        <v>-2329431.8160736002</v>
      </c>
      <c r="CZ29" s="14">
        <f>CZ28-'Alternatyva 1'!CZ$7+'Alternatyva 1'!CZ$115</f>
        <v>-2329431.8160736002</v>
      </c>
      <c r="DA29" s="14">
        <f>DA28-'Alternatyva 1'!DA$7+'Alternatyva 1'!DA$115</f>
        <v>-2329431.8160736002</v>
      </c>
      <c r="DB29" s="14">
        <f>DB28-'Alternatyva 1'!DB$7+'Alternatyva 1'!DB$115</f>
        <v>-2329431.8160736002</v>
      </c>
      <c r="DC29" s="14">
        <f>DC28-'Alternatyva 1'!DC$7+'Alternatyva 1'!DC$115</f>
        <v>-2329431.8160736002</v>
      </c>
    </row>
    <row r="30" spans="2:107" ht="14.25" hidden="1" customHeight="1">
      <c r="B30" s="806" t="s">
        <v>272</v>
      </c>
      <c r="C30" s="806"/>
      <c r="D30" s="806"/>
      <c r="E30" s="806"/>
      <c r="F30" s="43">
        <f>H29+NPV(FD,I29:INDEX(I29:DC29,PAL))</f>
        <v>-133624892.96759719</v>
      </c>
      <c r="G30" s="53"/>
    </row>
    <row r="31" spans="2:107" hidden="1">
      <c r="B31" s="806" t="s">
        <v>273</v>
      </c>
      <c r="C31" s="806"/>
      <c r="D31" s="806"/>
      <c r="E31" s="806"/>
      <c r="F31" s="173" t="str">
        <f>IFERROR(IRR(H29:INDEX(H29:DC29,PAL+1)),"-")</f>
        <v>-</v>
      </c>
      <c r="G31" s="45"/>
    </row>
    <row r="32" spans="2:107" hidden="1">
      <c r="B32" s="806" t="s">
        <v>200</v>
      </c>
      <c r="C32" s="806"/>
      <c r="D32" s="806"/>
      <c r="E32" s="806"/>
      <c r="F32" s="68">
        <f>IFERROR(IF('Alternatyva 1'!H$89&lt;0,SUM('Alternatyva 1'!F$100,-'Alternatyva 1'!H$115,-'Alternatyva 1'!F$89)/SUM('Alternatyva 1'!F$9,'Alternatyva 1'!F$8,-F28),SUM('Alternatyva 1'!F$100,-'Alternatyva 1'!H$115)/SUM('Alternatyva 1'!F$9,'Alternatyva 1'!F$8,-F28,'Alternatyva 1'!F$89)),"")</f>
        <v>3.0335185581180743E-2</v>
      </c>
      <c r="G32" s="45"/>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807" t="s">
        <v>197</v>
      </c>
      <c r="C35" s="807"/>
      <c r="D35" s="807"/>
      <c r="E35" s="807"/>
      <c r="F35" s="1"/>
      <c r="G35" s="12" t="s">
        <v>33</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806" t="s">
        <v>16</v>
      </c>
      <c r="C36" s="806"/>
      <c r="D36" s="806"/>
      <c r="E36" s="806"/>
      <c r="F36" s="43">
        <f>H36+NPV(FD,I36:INDEX(I36:DC36,PAL))</f>
        <v>0</v>
      </c>
      <c r="G36" s="59">
        <f>SUMIF($H$8:$DC$8,"&lt;="&amp;PAL,$H36:$DC36)</f>
        <v>0</v>
      </c>
      <c r="H36" s="69">
        <f>SUM('Alternatyva 2'!H$21,'Alternatyva 2'!H$32,'Alternatyva 2'!H$43,'Alternatyva 2'!H$55,'Alternatyva 2'!H$66,'Alternatyva 2'!H$77,'Alternatyva 2'!H$88)</f>
        <v>0</v>
      </c>
      <c r="I36" s="69">
        <f>SUM('Alternatyva 2'!I$21,'Alternatyva 2'!I$32,'Alternatyva 2'!I$43,'Alternatyva 2'!I$55,'Alternatyva 2'!I$66,'Alternatyva 2'!I$77,'Alternatyva 2'!I$88)</f>
        <v>0</v>
      </c>
      <c r="J36" s="69">
        <f>SUM('Alternatyva 2'!J$21,'Alternatyva 2'!J$32,'Alternatyva 2'!J$43,'Alternatyva 2'!J$55,'Alternatyva 2'!J$66,'Alternatyva 2'!J$77,'Alternatyva 2'!J$88)</f>
        <v>0</v>
      </c>
      <c r="K36" s="69">
        <f>SUM('Alternatyva 2'!K$21,'Alternatyva 2'!K$32,'Alternatyva 2'!K$43,'Alternatyva 2'!K$55,'Alternatyva 2'!K$66,'Alternatyva 2'!K$77,'Alternatyva 2'!K$88)</f>
        <v>0</v>
      </c>
      <c r="L36" s="69">
        <f>SUM('Alternatyva 2'!L$21,'Alternatyva 2'!L$32,'Alternatyva 2'!L$43,'Alternatyva 2'!L$55,'Alternatyva 2'!L$66,'Alternatyva 2'!L$77,'Alternatyva 2'!L$88)</f>
        <v>0</v>
      </c>
      <c r="M36" s="69">
        <f>SUM('Alternatyva 2'!M$21,'Alternatyva 2'!M$32,'Alternatyva 2'!M$43,'Alternatyva 2'!M$55,'Alternatyva 2'!M$66,'Alternatyva 2'!M$77,'Alternatyva 2'!M$88)</f>
        <v>0</v>
      </c>
      <c r="N36" s="69">
        <f>SUM('Alternatyva 2'!N$21,'Alternatyva 2'!N$32,'Alternatyva 2'!N$43,'Alternatyva 2'!N$55,'Alternatyva 2'!N$66,'Alternatyva 2'!N$77,'Alternatyva 2'!N$88)</f>
        <v>0</v>
      </c>
      <c r="O36" s="69">
        <f>SUM('Alternatyva 2'!O$21,'Alternatyva 2'!O$32,'Alternatyva 2'!O$43,'Alternatyva 2'!O$55,'Alternatyva 2'!O$66,'Alternatyva 2'!O$77,'Alternatyva 2'!O$88)</f>
        <v>0</v>
      </c>
      <c r="P36" s="69">
        <f>SUM('Alternatyva 2'!P$21,'Alternatyva 2'!P$32,'Alternatyva 2'!P$43,'Alternatyva 2'!P$55,'Alternatyva 2'!P$66,'Alternatyva 2'!P$77,'Alternatyva 2'!P$88)</f>
        <v>0</v>
      </c>
      <c r="Q36" s="69">
        <f>SUM('Alternatyva 2'!Q$21,'Alternatyva 2'!Q$32,'Alternatyva 2'!Q$43,'Alternatyva 2'!Q$55,'Alternatyva 2'!Q$66,'Alternatyva 2'!Q$77,'Alternatyva 2'!Q$88)</f>
        <v>0</v>
      </c>
      <c r="R36" s="69">
        <f>SUM('Alternatyva 2'!R$21,'Alternatyva 2'!R$32,'Alternatyva 2'!R$43,'Alternatyva 2'!R$55,'Alternatyva 2'!R$66,'Alternatyva 2'!R$77,'Alternatyva 2'!R$88)</f>
        <v>0</v>
      </c>
      <c r="S36" s="69">
        <f>SUM('Alternatyva 2'!S$21,'Alternatyva 2'!S$32,'Alternatyva 2'!S$43,'Alternatyva 2'!S$55,'Alternatyva 2'!S$66,'Alternatyva 2'!S$77,'Alternatyva 2'!S$88)</f>
        <v>0</v>
      </c>
      <c r="T36" s="69">
        <f>SUM('Alternatyva 2'!T$21,'Alternatyva 2'!T$32,'Alternatyva 2'!T$43,'Alternatyva 2'!T$55,'Alternatyva 2'!T$66,'Alternatyva 2'!T$77,'Alternatyva 2'!T$88)</f>
        <v>0</v>
      </c>
      <c r="U36" s="69">
        <f>SUM('Alternatyva 2'!U$21,'Alternatyva 2'!U$32,'Alternatyva 2'!U$43,'Alternatyva 2'!U$55,'Alternatyva 2'!U$66,'Alternatyva 2'!U$77,'Alternatyva 2'!U$88)</f>
        <v>0</v>
      </c>
      <c r="V36" s="69">
        <f>SUM('Alternatyva 2'!V$21,'Alternatyva 2'!V$32,'Alternatyva 2'!V$43,'Alternatyva 2'!V$55,'Alternatyva 2'!V$66,'Alternatyva 2'!V$77,'Alternatyva 2'!V$88)</f>
        <v>0</v>
      </c>
      <c r="W36" s="69">
        <f>SUM('Alternatyva 2'!W$21,'Alternatyva 2'!W$32,'Alternatyva 2'!W$43,'Alternatyva 2'!W$55,'Alternatyva 2'!W$66,'Alternatyva 2'!W$77,'Alternatyva 2'!W$88)</f>
        <v>0</v>
      </c>
      <c r="X36" s="69">
        <f>SUM('Alternatyva 2'!X$21,'Alternatyva 2'!X$32,'Alternatyva 2'!X$43,'Alternatyva 2'!X$55,'Alternatyva 2'!X$66,'Alternatyva 2'!X$77,'Alternatyva 2'!X$88)</f>
        <v>0</v>
      </c>
      <c r="Y36" s="69">
        <f>SUM('Alternatyva 2'!Y$21,'Alternatyva 2'!Y$32,'Alternatyva 2'!Y$43,'Alternatyva 2'!Y$55,'Alternatyva 2'!Y$66,'Alternatyva 2'!Y$77,'Alternatyva 2'!Y$88)</f>
        <v>0</v>
      </c>
      <c r="Z36" s="69">
        <f>SUM('Alternatyva 2'!Z$21,'Alternatyva 2'!Z$32,'Alternatyva 2'!Z$43,'Alternatyva 2'!Z$55,'Alternatyva 2'!Z$66,'Alternatyva 2'!Z$77,'Alternatyva 2'!Z$88)</f>
        <v>0</v>
      </c>
      <c r="AA36" s="69">
        <f>SUM('Alternatyva 2'!AA$21,'Alternatyva 2'!AA$32,'Alternatyva 2'!AA$43,'Alternatyva 2'!AA$55,'Alternatyva 2'!AA$66,'Alternatyva 2'!AA$77,'Alternatyva 2'!AA$88)</f>
        <v>0</v>
      </c>
      <c r="AB36" s="69">
        <f>SUM('Alternatyva 2'!AB$21,'Alternatyva 2'!AB$32,'Alternatyva 2'!AB$43,'Alternatyva 2'!AB$55,'Alternatyva 2'!AB$66,'Alternatyva 2'!AB$77,'Alternatyva 2'!AB$88)</f>
        <v>0</v>
      </c>
      <c r="AC36" s="69">
        <f>SUM('Alternatyva 2'!AC$21,'Alternatyva 2'!AC$32,'Alternatyva 2'!AC$43,'Alternatyva 2'!AC$55,'Alternatyva 2'!AC$66,'Alternatyva 2'!AC$77,'Alternatyva 2'!AC$88)</f>
        <v>0</v>
      </c>
      <c r="AD36" s="69">
        <f>SUM('Alternatyva 2'!AD$21,'Alternatyva 2'!AD$32,'Alternatyva 2'!AD$43,'Alternatyva 2'!AD$55,'Alternatyva 2'!AD$66,'Alternatyva 2'!AD$77,'Alternatyva 2'!AD$88)</f>
        <v>0</v>
      </c>
      <c r="AE36" s="69">
        <f>SUM('Alternatyva 2'!AE$21,'Alternatyva 2'!AE$32,'Alternatyva 2'!AE$43,'Alternatyva 2'!AE$55,'Alternatyva 2'!AE$66,'Alternatyva 2'!AE$77,'Alternatyva 2'!AE$88)</f>
        <v>0</v>
      </c>
      <c r="AF36" s="69">
        <f>SUM('Alternatyva 2'!AF$21,'Alternatyva 2'!AF$32,'Alternatyva 2'!AF$43,'Alternatyva 2'!AF$55,'Alternatyva 2'!AF$66,'Alternatyva 2'!AF$77,'Alternatyva 2'!AF$88)</f>
        <v>0</v>
      </c>
      <c r="AG36" s="69">
        <f>SUM('Alternatyva 2'!AG$21,'Alternatyva 2'!AG$32,'Alternatyva 2'!AG$43,'Alternatyva 2'!AG$55,'Alternatyva 2'!AG$66,'Alternatyva 2'!AG$77,'Alternatyva 2'!AG$88)</f>
        <v>0</v>
      </c>
      <c r="AH36" s="69">
        <f>SUM('Alternatyva 2'!AH$21,'Alternatyva 2'!AH$32,'Alternatyva 2'!AH$43,'Alternatyva 2'!AH$55,'Alternatyva 2'!AH$66,'Alternatyva 2'!AH$77,'Alternatyva 2'!AH$88)</f>
        <v>0</v>
      </c>
      <c r="AI36" s="69">
        <f>SUM('Alternatyva 2'!AI$21,'Alternatyva 2'!AI$32,'Alternatyva 2'!AI$43,'Alternatyva 2'!AI$55,'Alternatyva 2'!AI$66,'Alternatyva 2'!AI$77,'Alternatyva 2'!AI$88)</f>
        <v>0</v>
      </c>
      <c r="AJ36" s="69">
        <f>SUM('Alternatyva 2'!AJ$21,'Alternatyva 2'!AJ$32,'Alternatyva 2'!AJ$43,'Alternatyva 2'!AJ$55,'Alternatyva 2'!AJ$66,'Alternatyva 2'!AJ$77,'Alternatyva 2'!AJ$88)</f>
        <v>0</v>
      </c>
      <c r="AK36" s="69">
        <f>SUM('Alternatyva 2'!AK$21,'Alternatyva 2'!AK$32,'Alternatyva 2'!AK$43,'Alternatyva 2'!AK$55,'Alternatyva 2'!AK$66,'Alternatyva 2'!AK$77,'Alternatyva 2'!AK$88)</f>
        <v>0</v>
      </c>
      <c r="AL36" s="69">
        <f>SUM('Alternatyva 2'!AL$21,'Alternatyva 2'!AL$32,'Alternatyva 2'!AL$43,'Alternatyva 2'!AL$55,'Alternatyva 2'!AL$66,'Alternatyva 2'!AL$77,'Alternatyva 2'!AL$88)</f>
        <v>0</v>
      </c>
      <c r="AM36" s="69">
        <f>SUM('Alternatyva 2'!AM$21,'Alternatyva 2'!AM$32,'Alternatyva 2'!AM$43,'Alternatyva 2'!AM$55,'Alternatyva 2'!AM$66,'Alternatyva 2'!AM$77,'Alternatyva 2'!AM$88)</f>
        <v>0</v>
      </c>
      <c r="AN36" s="69">
        <f>SUM('Alternatyva 2'!AN$21,'Alternatyva 2'!AN$32,'Alternatyva 2'!AN$43,'Alternatyva 2'!AN$55,'Alternatyva 2'!AN$66,'Alternatyva 2'!AN$77,'Alternatyva 2'!AN$88)</f>
        <v>0</v>
      </c>
      <c r="AO36" s="69">
        <f>SUM('Alternatyva 2'!AO$21,'Alternatyva 2'!AO$32,'Alternatyva 2'!AO$43,'Alternatyva 2'!AO$55,'Alternatyva 2'!AO$66,'Alternatyva 2'!AO$77,'Alternatyva 2'!AO$88)</f>
        <v>0</v>
      </c>
      <c r="AP36" s="69">
        <f>SUM('Alternatyva 2'!AP$21,'Alternatyva 2'!AP$32,'Alternatyva 2'!AP$43,'Alternatyva 2'!AP$55,'Alternatyva 2'!AP$66,'Alternatyva 2'!AP$77,'Alternatyva 2'!AP$88)</f>
        <v>0</v>
      </c>
      <c r="AQ36" s="69">
        <f>SUM('Alternatyva 2'!AQ$21,'Alternatyva 2'!AQ$32,'Alternatyva 2'!AQ$43,'Alternatyva 2'!AQ$55,'Alternatyva 2'!AQ$66,'Alternatyva 2'!AQ$77,'Alternatyva 2'!AQ$88)</f>
        <v>0</v>
      </c>
      <c r="AR36" s="69">
        <f>SUM('Alternatyva 2'!AR$21,'Alternatyva 2'!AR$32,'Alternatyva 2'!AR$43,'Alternatyva 2'!AR$55,'Alternatyva 2'!AR$66,'Alternatyva 2'!AR$77,'Alternatyva 2'!AR$88)</f>
        <v>0</v>
      </c>
      <c r="AS36" s="69">
        <f>SUM('Alternatyva 2'!AS$21,'Alternatyva 2'!AS$32,'Alternatyva 2'!AS$43,'Alternatyva 2'!AS$55,'Alternatyva 2'!AS$66,'Alternatyva 2'!AS$77,'Alternatyva 2'!AS$88)</f>
        <v>0</v>
      </c>
      <c r="AT36" s="69">
        <f>SUM('Alternatyva 2'!AT$21,'Alternatyva 2'!AT$32,'Alternatyva 2'!AT$43,'Alternatyva 2'!AT$55,'Alternatyva 2'!AT$66,'Alternatyva 2'!AT$77,'Alternatyva 2'!AT$88)</f>
        <v>0</v>
      </c>
      <c r="AU36" s="69">
        <f>SUM('Alternatyva 2'!AU$21,'Alternatyva 2'!AU$32,'Alternatyva 2'!AU$43,'Alternatyva 2'!AU$55,'Alternatyva 2'!AU$66,'Alternatyva 2'!AU$77,'Alternatyva 2'!AU$88)</f>
        <v>0</v>
      </c>
      <c r="AV36" s="69">
        <f>SUM('Alternatyva 2'!AV$21,'Alternatyva 2'!AV$32,'Alternatyva 2'!AV$43,'Alternatyva 2'!AV$55,'Alternatyva 2'!AV$66,'Alternatyva 2'!AV$77,'Alternatyva 2'!AV$88)</f>
        <v>0</v>
      </c>
      <c r="AW36" s="69">
        <f>SUM('Alternatyva 2'!AW$21,'Alternatyva 2'!AW$32,'Alternatyva 2'!AW$43,'Alternatyva 2'!AW$55,'Alternatyva 2'!AW$66,'Alternatyva 2'!AW$77,'Alternatyva 2'!AW$88)</f>
        <v>0</v>
      </c>
      <c r="AX36" s="69">
        <f>SUM('Alternatyva 2'!AX$21,'Alternatyva 2'!AX$32,'Alternatyva 2'!AX$43,'Alternatyva 2'!AX$55,'Alternatyva 2'!AX$66,'Alternatyva 2'!AX$77,'Alternatyva 2'!AX$88)</f>
        <v>0</v>
      </c>
      <c r="AY36" s="69">
        <f>SUM('Alternatyva 2'!AY$21,'Alternatyva 2'!AY$32,'Alternatyva 2'!AY$43,'Alternatyva 2'!AY$55,'Alternatyva 2'!AY$66,'Alternatyva 2'!AY$77,'Alternatyva 2'!AY$88)</f>
        <v>0</v>
      </c>
      <c r="AZ36" s="69">
        <f>SUM('Alternatyva 2'!AZ$21,'Alternatyva 2'!AZ$32,'Alternatyva 2'!AZ$43,'Alternatyva 2'!AZ$55,'Alternatyva 2'!AZ$66,'Alternatyva 2'!AZ$77,'Alternatyva 2'!AZ$88)</f>
        <v>0</v>
      </c>
      <c r="BA36" s="69">
        <f>SUM('Alternatyva 2'!BA$21,'Alternatyva 2'!BA$32,'Alternatyva 2'!BA$43,'Alternatyva 2'!BA$55,'Alternatyva 2'!BA$66,'Alternatyva 2'!BA$77,'Alternatyva 2'!BA$88)</f>
        <v>0</v>
      </c>
      <c r="BB36" s="69">
        <f>SUM('Alternatyva 2'!BB$21,'Alternatyva 2'!BB$32,'Alternatyva 2'!BB$43,'Alternatyva 2'!BB$55,'Alternatyva 2'!BB$66,'Alternatyva 2'!BB$77,'Alternatyva 2'!BB$88)</f>
        <v>0</v>
      </c>
      <c r="BC36" s="69">
        <f>SUM('Alternatyva 2'!BC$21,'Alternatyva 2'!BC$32,'Alternatyva 2'!BC$43,'Alternatyva 2'!BC$55,'Alternatyva 2'!BC$66,'Alternatyva 2'!BC$77,'Alternatyva 2'!BC$88)</f>
        <v>0</v>
      </c>
      <c r="BD36" s="69">
        <f>SUM('Alternatyva 2'!BD$21,'Alternatyva 2'!BD$32,'Alternatyva 2'!BD$43,'Alternatyva 2'!BD$55,'Alternatyva 2'!BD$66,'Alternatyva 2'!BD$77,'Alternatyva 2'!BD$88)</f>
        <v>0</v>
      </c>
      <c r="BE36" s="69">
        <f>SUM('Alternatyva 2'!BE$21,'Alternatyva 2'!BE$32,'Alternatyva 2'!BE$43,'Alternatyva 2'!BE$55,'Alternatyva 2'!BE$66,'Alternatyva 2'!BE$77,'Alternatyva 2'!BE$88)</f>
        <v>0</v>
      </c>
      <c r="BF36" s="69">
        <f>SUM('Alternatyva 2'!BF$21,'Alternatyva 2'!BF$32,'Alternatyva 2'!BF$43,'Alternatyva 2'!BF$55,'Alternatyva 2'!BF$66,'Alternatyva 2'!BF$77,'Alternatyva 2'!BF$88)</f>
        <v>0</v>
      </c>
      <c r="BG36" s="69">
        <f>SUM('Alternatyva 2'!BG$21,'Alternatyva 2'!BG$32,'Alternatyva 2'!BG$43,'Alternatyva 2'!BG$55,'Alternatyva 2'!BG$66,'Alternatyva 2'!BG$77,'Alternatyva 2'!BG$88)</f>
        <v>0</v>
      </c>
      <c r="BH36" s="69">
        <f>SUM('Alternatyva 2'!BH$21,'Alternatyva 2'!BH$32,'Alternatyva 2'!BH$43,'Alternatyva 2'!BH$55,'Alternatyva 2'!BH$66,'Alternatyva 2'!BH$77,'Alternatyva 2'!BH$88)</f>
        <v>0</v>
      </c>
      <c r="BI36" s="69">
        <f>SUM('Alternatyva 2'!BI$21,'Alternatyva 2'!BI$32,'Alternatyva 2'!BI$43,'Alternatyva 2'!BI$55,'Alternatyva 2'!BI$66,'Alternatyva 2'!BI$77,'Alternatyva 2'!BI$88)</f>
        <v>0</v>
      </c>
      <c r="BJ36" s="69">
        <f>SUM('Alternatyva 2'!BJ$21,'Alternatyva 2'!BJ$32,'Alternatyva 2'!BJ$43,'Alternatyva 2'!BJ$55,'Alternatyva 2'!BJ$66,'Alternatyva 2'!BJ$77,'Alternatyva 2'!BJ$88)</f>
        <v>0</v>
      </c>
      <c r="BK36" s="69">
        <f>SUM('Alternatyva 2'!BK$21,'Alternatyva 2'!BK$32,'Alternatyva 2'!BK$43,'Alternatyva 2'!BK$55,'Alternatyva 2'!BK$66,'Alternatyva 2'!BK$77,'Alternatyva 2'!BK$88)</f>
        <v>0</v>
      </c>
      <c r="BL36" s="69">
        <f>SUM('Alternatyva 2'!BL$21,'Alternatyva 2'!BL$32,'Alternatyva 2'!BL$43,'Alternatyva 2'!BL$55,'Alternatyva 2'!BL$66,'Alternatyva 2'!BL$77,'Alternatyva 2'!BL$88)</f>
        <v>0</v>
      </c>
      <c r="BM36" s="69">
        <f>SUM('Alternatyva 2'!BM$21,'Alternatyva 2'!BM$32,'Alternatyva 2'!BM$43,'Alternatyva 2'!BM$55,'Alternatyva 2'!BM$66,'Alternatyva 2'!BM$77,'Alternatyva 2'!BM$88)</f>
        <v>0</v>
      </c>
      <c r="BN36" s="69">
        <f>SUM('Alternatyva 2'!BN$21,'Alternatyva 2'!BN$32,'Alternatyva 2'!BN$43,'Alternatyva 2'!BN$55,'Alternatyva 2'!BN$66,'Alternatyva 2'!BN$77,'Alternatyva 2'!BN$88)</f>
        <v>0</v>
      </c>
      <c r="BO36" s="69">
        <f>SUM('Alternatyva 2'!BO$21,'Alternatyva 2'!BO$32,'Alternatyva 2'!BO$43,'Alternatyva 2'!BO$55,'Alternatyva 2'!BO$66,'Alternatyva 2'!BO$77,'Alternatyva 2'!BO$88)</f>
        <v>0</v>
      </c>
      <c r="BP36" s="69">
        <f>SUM('Alternatyva 2'!BP$21,'Alternatyva 2'!BP$32,'Alternatyva 2'!BP$43,'Alternatyva 2'!BP$55,'Alternatyva 2'!BP$66,'Alternatyva 2'!BP$77,'Alternatyva 2'!BP$88)</f>
        <v>0</v>
      </c>
      <c r="BQ36" s="69">
        <f>SUM('Alternatyva 2'!BQ$21,'Alternatyva 2'!BQ$32,'Alternatyva 2'!BQ$43,'Alternatyva 2'!BQ$55,'Alternatyva 2'!BQ$66,'Alternatyva 2'!BQ$77,'Alternatyva 2'!BQ$88)</f>
        <v>0</v>
      </c>
      <c r="BR36" s="69">
        <f>SUM('Alternatyva 2'!BR$21,'Alternatyva 2'!BR$32,'Alternatyva 2'!BR$43,'Alternatyva 2'!BR$55,'Alternatyva 2'!BR$66,'Alternatyva 2'!BR$77,'Alternatyva 2'!BR$88)</f>
        <v>0</v>
      </c>
      <c r="BS36" s="69">
        <f>SUM('Alternatyva 2'!BS$21,'Alternatyva 2'!BS$32,'Alternatyva 2'!BS$43,'Alternatyva 2'!BS$55,'Alternatyva 2'!BS$66,'Alternatyva 2'!BS$77,'Alternatyva 2'!BS$88)</f>
        <v>0</v>
      </c>
      <c r="BT36" s="69">
        <f>SUM('Alternatyva 2'!BT$21,'Alternatyva 2'!BT$32,'Alternatyva 2'!BT$43,'Alternatyva 2'!BT$55,'Alternatyva 2'!BT$66,'Alternatyva 2'!BT$77,'Alternatyva 2'!BT$88)</f>
        <v>0</v>
      </c>
      <c r="BU36" s="69">
        <f>SUM('Alternatyva 2'!BU$21,'Alternatyva 2'!BU$32,'Alternatyva 2'!BU$43,'Alternatyva 2'!BU$55,'Alternatyva 2'!BU$66,'Alternatyva 2'!BU$77,'Alternatyva 2'!BU$88)</f>
        <v>0</v>
      </c>
      <c r="BV36" s="69">
        <f>SUM('Alternatyva 2'!BV$21,'Alternatyva 2'!BV$32,'Alternatyva 2'!BV$43,'Alternatyva 2'!BV$55,'Alternatyva 2'!BV$66,'Alternatyva 2'!BV$77,'Alternatyva 2'!BV$88)</f>
        <v>0</v>
      </c>
      <c r="BW36" s="69">
        <f>SUM('Alternatyva 2'!BW$21,'Alternatyva 2'!BW$32,'Alternatyva 2'!BW$43,'Alternatyva 2'!BW$55,'Alternatyva 2'!BW$66,'Alternatyva 2'!BW$77,'Alternatyva 2'!BW$88)</f>
        <v>0</v>
      </c>
      <c r="BX36" s="69">
        <f>SUM('Alternatyva 2'!BX$21,'Alternatyva 2'!BX$32,'Alternatyva 2'!BX$43,'Alternatyva 2'!BX$55,'Alternatyva 2'!BX$66,'Alternatyva 2'!BX$77,'Alternatyva 2'!BX$88)</f>
        <v>0</v>
      </c>
      <c r="BY36" s="69">
        <f>SUM('Alternatyva 2'!BY$21,'Alternatyva 2'!BY$32,'Alternatyva 2'!BY$43,'Alternatyva 2'!BY$55,'Alternatyva 2'!BY$66,'Alternatyva 2'!BY$77,'Alternatyva 2'!BY$88)</f>
        <v>0</v>
      </c>
      <c r="BZ36" s="69">
        <f>SUM('Alternatyva 2'!BZ$21,'Alternatyva 2'!BZ$32,'Alternatyva 2'!BZ$43,'Alternatyva 2'!BZ$55,'Alternatyva 2'!BZ$66,'Alternatyva 2'!BZ$77,'Alternatyva 2'!BZ$88)</f>
        <v>0</v>
      </c>
      <c r="CA36" s="69">
        <f>SUM('Alternatyva 2'!CA$21,'Alternatyva 2'!CA$32,'Alternatyva 2'!CA$43,'Alternatyva 2'!CA$55,'Alternatyva 2'!CA$66,'Alternatyva 2'!CA$77,'Alternatyva 2'!CA$88)</f>
        <v>0</v>
      </c>
      <c r="CB36" s="69">
        <f>SUM('Alternatyva 2'!CB$21,'Alternatyva 2'!CB$32,'Alternatyva 2'!CB$43,'Alternatyva 2'!CB$55,'Alternatyva 2'!CB$66,'Alternatyva 2'!CB$77,'Alternatyva 2'!CB$88)</f>
        <v>0</v>
      </c>
      <c r="CC36" s="69">
        <f>SUM('Alternatyva 2'!CC$21,'Alternatyva 2'!CC$32,'Alternatyva 2'!CC$43,'Alternatyva 2'!CC$55,'Alternatyva 2'!CC$66,'Alternatyva 2'!CC$77,'Alternatyva 2'!CC$88)</f>
        <v>0</v>
      </c>
      <c r="CD36" s="69">
        <f>SUM('Alternatyva 2'!CD$21,'Alternatyva 2'!CD$32,'Alternatyva 2'!CD$43,'Alternatyva 2'!CD$55,'Alternatyva 2'!CD$66,'Alternatyva 2'!CD$77,'Alternatyva 2'!CD$88)</f>
        <v>0</v>
      </c>
      <c r="CE36" s="69">
        <f>SUM('Alternatyva 2'!CE$21,'Alternatyva 2'!CE$32,'Alternatyva 2'!CE$43,'Alternatyva 2'!CE$55,'Alternatyva 2'!CE$66,'Alternatyva 2'!CE$77,'Alternatyva 2'!CE$88)</f>
        <v>0</v>
      </c>
      <c r="CF36" s="69">
        <f>SUM('Alternatyva 2'!CF$21,'Alternatyva 2'!CF$32,'Alternatyva 2'!CF$43,'Alternatyva 2'!CF$55,'Alternatyva 2'!CF$66,'Alternatyva 2'!CF$77,'Alternatyva 2'!CF$88)</f>
        <v>0</v>
      </c>
      <c r="CG36" s="69">
        <f>SUM('Alternatyva 2'!CG$21,'Alternatyva 2'!CG$32,'Alternatyva 2'!CG$43,'Alternatyva 2'!CG$55,'Alternatyva 2'!CG$66,'Alternatyva 2'!CG$77,'Alternatyva 2'!CG$88)</f>
        <v>0</v>
      </c>
      <c r="CH36" s="69">
        <f>SUM('Alternatyva 2'!CH$21,'Alternatyva 2'!CH$32,'Alternatyva 2'!CH$43,'Alternatyva 2'!CH$55,'Alternatyva 2'!CH$66,'Alternatyva 2'!CH$77,'Alternatyva 2'!CH$88)</f>
        <v>0</v>
      </c>
      <c r="CI36" s="69">
        <f>SUM('Alternatyva 2'!CI$21,'Alternatyva 2'!CI$32,'Alternatyva 2'!CI$43,'Alternatyva 2'!CI$55,'Alternatyva 2'!CI$66,'Alternatyva 2'!CI$77,'Alternatyva 2'!CI$88)</f>
        <v>0</v>
      </c>
      <c r="CJ36" s="69">
        <f>SUM('Alternatyva 2'!CJ$21,'Alternatyva 2'!CJ$32,'Alternatyva 2'!CJ$43,'Alternatyva 2'!CJ$55,'Alternatyva 2'!CJ$66,'Alternatyva 2'!CJ$77,'Alternatyva 2'!CJ$88)</f>
        <v>0</v>
      </c>
      <c r="CK36" s="69">
        <f>SUM('Alternatyva 2'!CK$21,'Alternatyva 2'!CK$32,'Alternatyva 2'!CK$43,'Alternatyva 2'!CK$55,'Alternatyva 2'!CK$66,'Alternatyva 2'!CK$77,'Alternatyva 2'!CK$88)</f>
        <v>0</v>
      </c>
      <c r="CL36" s="69">
        <f>SUM('Alternatyva 2'!CL$21,'Alternatyva 2'!CL$32,'Alternatyva 2'!CL$43,'Alternatyva 2'!CL$55,'Alternatyva 2'!CL$66,'Alternatyva 2'!CL$77,'Alternatyva 2'!CL$88)</f>
        <v>0</v>
      </c>
      <c r="CM36" s="69">
        <f>SUM('Alternatyva 2'!CM$21,'Alternatyva 2'!CM$32,'Alternatyva 2'!CM$43,'Alternatyva 2'!CM$55,'Alternatyva 2'!CM$66,'Alternatyva 2'!CM$77,'Alternatyva 2'!CM$88)</f>
        <v>0</v>
      </c>
      <c r="CN36" s="69">
        <f>SUM('Alternatyva 2'!CN$21,'Alternatyva 2'!CN$32,'Alternatyva 2'!CN$43,'Alternatyva 2'!CN$55,'Alternatyva 2'!CN$66,'Alternatyva 2'!CN$77,'Alternatyva 2'!CN$88)</f>
        <v>0</v>
      </c>
      <c r="CO36" s="69">
        <f>SUM('Alternatyva 2'!CO$21,'Alternatyva 2'!CO$32,'Alternatyva 2'!CO$43,'Alternatyva 2'!CO$55,'Alternatyva 2'!CO$66,'Alternatyva 2'!CO$77,'Alternatyva 2'!CO$88)</f>
        <v>0</v>
      </c>
      <c r="CP36" s="69">
        <f>SUM('Alternatyva 2'!CP$21,'Alternatyva 2'!CP$32,'Alternatyva 2'!CP$43,'Alternatyva 2'!CP$55,'Alternatyva 2'!CP$66,'Alternatyva 2'!CP$77,'Alternatyva 2'!CP$88)</f>
        <v>0</v>
      </c>
      <c r="CQ36" s="69">
        <f>SUM('Alternatyva 2'!CQ$21,'Alternatyva 2'!CQ$32,'Alternatyva 2'!CQ$43,'Alternatyva 2'!CQ$55,'Alternatyva 2'!CQ$66,'Alternatyva 2'!CQ$77,'Alternatyva 2'!CQ$88)</f>
        <v>0</v>
      </c>
      <c r="CR36" s="69">
        <f>SUM('Alternatyva 2'!CR$21,'Alternatyva 2'!CR$32,'Alternatyva 2'!CR$43,'Alternatyva 2'!CR$55,'Alternatyva 2'!CR$66,'Alternatyva 2'!CR$77,'Alternatyva 2'!CR$88)</f>
        <v>0</v>
      </c>
      <c r="CS36" s="69">
        <f>SUM('Alternatyva 2'!CS$21,'Alternatyva 2'!CS$32,'Alternatyva 2'!CS$43,'Alternatyva 2'!CS$55,'Alternatyva 2'!CS$66,'Alternatyva 2'!CS$77,'Alternatyva 2'!CS$88)</f>
        <v>0</v>
      </c>
      <c r="CT36" s="69">
        <f>SUM('Alternatyva 2'!CT$21,'Alternatyva 2'!CT$32,'Alternatyva 2'!CT$43,'Alternatyva 2'!CT$55,'Alternatyva 2'!CT$66,'Alternatyva 2'!CT$77,'Alternatyva 2'!CT$88)</f>
        <v>0</v>
      </c>
      <c r="CU36" s="69">
        <f>SUM('Alternatyva 2'!CU$21,'Alternatyva 2'!CU$32,'Alternatyva 2'!CU$43,'Alternatyva 2'!CU$55,'Alternatyva 2'!CU$66,'Alternatyva 2'!CU$77,'Alternatyva 2'!CU$88)</f>
        <v>0</v>
      </c>
      <c r="CV36" s="69">
        <f>SUM('Alternatyva 2'!CV$21,'Alternatyva 2'!CV$32,'Alternatyva 2'!CV$43,'Alternatyva 2'!CV$55,'Alternatyva 2'!CV$66,'Alternatyva 2'!CV$77,'Alternatyva 2'!CV$88)</f>
        <v>0</v>
      </c>
      <c r="CW36" s="69">
        <f>SUM('Alternatyva 2'!CW$21,'Alternatyva 2'!CW$32,'Alternatyva 2'!CW$43,'Alternatyva 2'!CW$55,'Alternatyva 2'!CW$66,'Alternatyva 2'!CW$77,'Alternatyva 2'!CW$88)</f>
        <v>0</v>
      </c>
      <c r="CX36" s="69">
        <f>SUM('Alternatyva 2'!CX$21,'Alternatyva 2'!CX$32,'Alternatyva 2'!CX$43,'Alternatyva 2'!CX$55,'Alternatyva 2'!CX$66,'Alternatyva 2'!CX$77,'Alternatyva 2'!CX$88)</f>
        <v>0</v>
      </c>
      <c r="CY36" s="69">
        <f>SUM('Alternatyva 2'!CY$21,'Alternatyva 2'!CY$32,'Alternatyva 2'!CY$43,'Alternatyva 2'!CY$55,'Alternatyva 2'!CY$66,'Alternatyva 2'!CY$77,'Alternatyva 2'!CY$88)</f>
        <v>0</v>
      </c>
      <c r="CZ36" s="69">
        <f>SUM('Alternatyva 2'!CZ$21,'Alternatyva 2'!CZ$32,'Alternatyva 2'!CZ$43,'Alternatyva 2'!CZ$55,'Alternatyva 2'!CZ$66,'Alternatyva 2'!CZ$77,'Alternatyva 2'!CZ$88)</f>
        <v>0</v>
      </c>
      <c r="DA36" s="69">
        <f>SUM('Alternatyva 2'!DA$21,'Alternatyva 2'!DA$32,'Alternatyva 2'!DA$43,'Alternatyva 2'!DA$55,'Alternatyva 2'!DA$66,'Alternatyva 2'!DA$77,'Alternatyva 2'!DA$88)</f>
        <v>0</v>
      </c>
      <c r="DB36" s="69">
        <f>SUM('Alternatyva 2'!DB$21,'Alternatyva 2'!DB$32,'Alternatyva 2'!DB$43,'Alternatyva 2'!DB$55,'Alternatyva 2'!DB$66,'Alternatyva 2'!DB$77,'Alternatyva 2'!DB$88)</f>
        <v>0</v>
      </c>
      <c r="DC36" s="69">
        <f>SUM('Alternatyva 2'!DC$21,'Alternatyva 2'!DC$32,'Alternatyva 2'!DC$43,'Alternatyva 2'!DC$55,'Alternatyva 2'!DC$66,'Alternatyva 2'!DC$77,'Alternatyva 2'!DC$88)</f>
        <v>0</v>
      </c>
    </row>
    <row r="37" spans="2:107" ht="14.25" hidden="1" customHeight="1">
      <c r="B37" s="808" t="s">
        <v>201</v>
      </c>
      <c r="C37" s="808"/>
      <c r="D37" s="808"/>
      <c r="E37" s="808"/>
      <c r="F37" s="67"/>
      <c r="G37" s="59">
        <f>SUMIF($H$8:$DC$8,"&lt;="&amp;PAL,$H37:$DC37)</f>
        <v>-200439606.24019569</v>
      </c>
      <c r="H37" s="14">
        <f>H36-'Alternatyva 2'!H$7+'Alternatyva 2'!H$115</f>
        <v>-1708000</v>
      </c>
      <c r="I37" s="14">
        <f>I36-'Alternatyva 2'!I$7+'Alternatyva 2'!I$115</f>
        <v>-4900980.7675320003</v>
      </c>
      <c r="J37" s="14">
        <f>J36-'Alternatyva 2'!J$7+'Alternatyva 2'!J$115</f>
        <v>-7681558.9378861329</v>
      </c>
      <c r="K37" s="14">
        <f>K36-'Alternatyva 2'!K$7+'Alternatyva 2'!K$115</f>
        <v>-10865320.3630432</v>
      </c>
      <c r="L37" s="14">
        <f>L36-'Alternatyva 2'!L$7+'Alternatyva 2'!L$115</f>
        <v>-10267720.3630432</v>
      </c>
      <c r="M37" s="14">
        <f>M36-'Alternatyva 2'!M$7+'Alternatyva 2'!M$115</f>
        <v>-10287720.3630432</v>
      </c>
      <c r="N37" s="14">
        <f>N36-'Alternatyva 2'!N$7+'Alternatyva 2'!N$115</f>
        <v>-10267220.3630432</v>
      </c>
      <c r="O37" s="14">
        <f>O36-'Alternatyva 2'!O$7+'Alternatyva 2'!O$115</f>
        <v>-10267220.3630432</v>
      </c>
      <c r="P37" s="14">
        <f>P36-'Alternatyva 2'!P$7+'Alternatyva 2'!P$115</f>
        <v>-10267220.3630432</v>
      </c>
      <c r="Q37" s="14">
        <f>Q36-'Alternatyva 2'!Q$7+'Alternatyva 2'!Q$115</f>
        <v>-10267220.3630432</v>
      </c>
      <c r="R37" s="14">
        <f>R36-'Alternatyva 2'!R$7+'Alternatyva 2'!R$115</f>
        <v>-10387220.3630432</v>
      </c>
      <c r="S37" s="14">
        <f>S36-'Alternatyva 2'!S$7+'Alternatyva 2'!S$115</f>
        <v>-10507220.3630432</v>
      </c>
      <c r="T37" s="14">
        <f>T36-'Alternatyva 2'!T$7+'Alternatyva 2'!T$115</f>
        <v>-10387220.3630432</v>
      </c>
      <c r="U37" s="14">
        <f>U36-'Alternatyva 2'!U$7+'Alternatyva 2'!U$115</f>
        <v>-10507220.3630432</v>
      </c>
      <c r="V37" s="14">
        <f>V36-'Alternatyva 2'!V$7+'Alternatyva 2'!V$115</f>
        <v>-10267220.3630432</v>
      </c>
      <c r="W37" s="14">
        <f>W36-'Alternatyva 2'!W$7+'Alternatyva 2'!W$115</f>
        <v>-10267220.3630432</v>
      </c>
      <c r="X37" s="14">
        <f>X36-'Alternatyva 2'!X$7+'Alternatyva 2'!X$115</f>
        <v>-10267220.3630432</v>
      </c>
      <c r="Y37" s="14">
        <f>Y36-'Alternatyva 2'!Y$7+'Alternatyva 2'!Y$115</f>
        <v>-10267220.3630432</v>
      </c>
      <c r="Z37" s="14">
        <f>Z36-'Alternatyva 2'!Z$7+'Alternatyva 2'!Z$115</f>
        <v>-10267220.3630432</v>
      </c>
      <c r="AA37" s="14">
        <f>AA36-'Alternatyva 2'!AA$7+'Alternatyva 2'!AA$115</f>
        <v>-10267220.3630432</v>
      </c>
      <c r="AB37" s="14">
        <f>AB36-'Alternatyva 2'!AB$7+'Alternatyva 2'!AB$115</f>
        <v>-10267220.3630432</v>
      </c>
      <c r="AC37" s="14">
        <f>AC36-'Alternatyva 2'!AC$7+'Alternatyva 2'!AC$115</f>
        <v>-1974603.0655936003</v>
      </c>
      <c r="AD37" s="14">
        <f>AD36-'Alternatyva 2'!AD$7+'Alternatyva 2'!AD$115</f>
        <v>-1974603.0655936003</v>
      </c>
      <c r="AE37" s="14">
        <f>AE36-'Alternatyva 2'!AE$7+'Alternatyva 2'!AE$115</f>
        <v>-1974603.0655936003</v>
      </c>
      <c r="AF37" s="14">
        <f>AF36-'Alternatyva 2'!AF$7+'Alternatyva 2'!AF$115</f>
        <v>-1974603.0655936003</v>
      </c>
      <c r="AG37" s="14">
        <f>AG36-'Alternatyva 2'!AG$7+'Alternatyva 2'!AG$115</f>
        <v>-1974603.0655936003</v>
      </c>
      <c r="AH37" s="14">
        <f>AH36-'Alternatyva 2'!AH$7+'Alternatyva 2'!AH$115</f>
        <v>-1974603.0655936003</v>
      </c>
      <c r="AI37" s="14">
        <f>AI36-'Alternatyva 2'!AI$7+'Alternatyva 2'!AI$115</f>
        <v>-1974603.0655936003</v>
      </c>
      <c r="AJ37" s="14">
        <f>AJ36-'Alternatyva 2'!AJ$7+'Alternatyva 2'!AJ$115</f>
        <v>-1974603.0655936003</v>
      </c>
      <c r="AK37" s="14">
        <f>AK36-'Alternatyva 2'!AK$7+'Alternatyva 2'!AK$115</f>
        <v>-1974603.0655936003</v>
      </c>
      <c r="AL37" s="14">
        <f>AL36-'Alternatyva 2'!AL$7+'Alternatyva 2'!AL$115</f>
        <v>-1974603.0655936003</v>
      </c>
      <c r="AM37" s="14">
        <f>AM36-'Alternatyva 2'!AM$7+'Alternatyva 2'!AM$115</f>
        <v>-1974603.0655936003</v>
      </c>
      <c r="AN37" s="14">
        <f>AN36-'Alternatyva 2'!AN$7+'Alternatyva 2'!AN$115</f>
        <v>-1974603.0655936003</v>
      </c>
      <c r="AO37" s="14">
        <f>AO36-'Alternatyva 2'!AO$7+'Alternatyva 2'!AO$115</f>
        <v>-1974603.0655936003</v>
      </c>
      <c r="AP37" s="14">
        <f>AP36-'Alternatyva 2'!AP$7+'Alternatyva 2'!AP$115</f>
        <v>-1974603.0655936003</v>
      </c>
      <c r="AQ37" s="14">
        <f>AQ36-'Alternatyva 2'!AQ$7+'Alternatyva 2'!AQ$115</f>
        <v>-1974603.0655936003</v>
      </c>
      <c r="AR37" s="14">
        <f>AR36-'Alternatyva 2'!AR$7+'Alternatyva 2'!AR$115</f>
        <v>-1974603.0655936003</v>
      </c>
      <c r="AS37" s="14">
        <f>AS36-'Alternatyva 2'!AS$7+'Alternatyva 2'!AS$115</f>
        <v>-1974603.0655936003</v>
      </c>
      <c r="AT37" s="14">
        <f>AT36-'Alternatyva 2'!AT$7+'Alternatyva 2'!AT$115</f>
        <v>-1974603.0655936003</v>
      </c>
      <c r="AU37" s="14">
        <f>AU36-'Alternatyva 2'!AU$7+'Alternatyva 2'!AU$115</f>
        <v>-1974603.0655936003</v>
      </c>
      <c r="AV37" s="14">
        <f>AV36-'Alternatyva 2'!AV$7+'Alternatyva 2'!AV$115</f>
        <v>-1974603.0655936003</v>
      </c>
      <c r="AW37" s="14">
        <f>AW36-'Alternatyva 2'!AW$7+'Alternatyva 2'!AW$115</f>
        <v>-1974603.0655936003</v>
      </c>
      <c r="AX37" s="14">
        <f>AX36-'Alternatyva 2'!AX$7+'Alternatyva 2'!AX$115</f>
        <v>-1974603.0655936003</v>
      </c>
      <c r="AY37" s="14">
        <f>AY36-'Alternatyva 2'!AY$7+'Alternatyva 2'!AY$115</f>
        <v>-1974603.0655936003</v>
      </c>
      <c r="AZ37" s="14">
        <f>AZ36-'Alternatyva 2'!AZ$7+'Alternatyva 2'!AZ$115</f>
        <v>-1974603.0655936003</v>
      </c>
      <c r="BA37" s="14">
        <f>BA36-'Alternatyva 2'!BA$7+'Alternatyva 2'!BA$115</f>
        <v>-1974603.0655936003</v>
      </c>
      <c r="BB37" s="14">
        <f>BB36-'Alternatyva 2'!BB$7+'Alternatyva 2'!BB$115</f>
        <v>-1974603.0655936003</v>
      </c>
      <c r="BC37" s="14">
        <f>BC36-'Alternatyva 2'!BC$7+'Alternatyva 2'!BC$115</f>
        <v>-1974603.0655936003</v>
      </c>
      <c r="BD37" s="14">
        <f>BD36-'Alternatyva 2'!BD$7+'Alternatyva 2'!BD$115</f>
        <v>-1974603.0655936003</v>
      </c>
      <c r="BE37" s="14">
        <f>BE36-'Alternatyva 2'!BE$7+'Alternatyva 2'!BE$115</f>
        <v>-1974603.0655936003</v>
      </c>
      <c r="BF37" s="14">
        <f>BF36-'Alternatyva 2'!BF$7+'Alternatyva 2'!BF$115</f>
        <v>-1974603.0655936003</v>
      </c>
      <c r="BG37" s="14">
        <f>BG36-'Alternatyva 2'!BG$7+'Alternatyva 2'!BG$115</f>
        <v>-1974603.0655936003</v>
      </c>
      <c r="BH37" s="14">
        <f>BH36-'Alternatyva 2'!BH$7+'Alternatyva 2'!BH$115</f>
        <v>-1974603.0655936003</v>
      </c>
      <c r="BI37" s="14">
        <f>BI36-'Alternatyva 2'!BI$7+'Alternatyva 2'!BI$115</f>
        <v>-1974603.0655936003</v>
      </c>
      <c r="BJ37" s="14">
        <f>BJ36-'Alternatyva 2'!BJ$7+'Alternatyva 2'!BJ$115</f>
        <v>-1974603.0655936003</v>
      </c>
      <c r="BK37" s="14">
        <f>BK36-'Alternatyva 2'!BK$7+'Alternatyva 2'!BK$115</f>
        <v>-1974603.0655936003</v>
      </c>
      <c r="BL37" s="14">
        <f>BL36-'Alternatyva 2'!BL$7+'Alternatyva 2'!BL$115</f>
        <v>-1974603.0655936003</v>
      </c>
      <c r="BM37" s="14">
        <f>BM36-'Alternatyva 2'!BM$7+'Alternatyva 2'!BM$115</f>
        <v>-1974603.0655936003</v>
      </c>
      <c r="BN37" s="14">
        <f>BN36-'Alternatyva 2'!BN$7+'Alternatyva 2'!BN$115</f>
        <v>-1974603.0655936003</v>
      </c>
      <c r="BO37" s="14">
        <f>BO36-'Alternatyva 2'!BO$7+'Alternatyva 2'!BO$115</f>
        <v>-1974603.0655936003</v>
      </c>
      <c r="BP37" s="14">
        <f>BP36-'Alternatyva 2'!BP$7+'Alternatyva 2'!BP$115</f>
        <v>-1974603.0655936003</v>
      </c>
      <c r="BQ37" s="14">
        <f>BQ36-'Alternatyva 2'!BQ$7+'Alternatyva 2'!BQ$115</f>
        <v>-1974603.0655936003</v>
      </c>
      <c r="BR37" s="14">
        <f>BR36-'Alternatyva 2'!BR$7+'Alternatyva 2'!BR$115</f>
        <v>-1974603.0655936003</v>
      </c>
      <c r="BS37" s="14">
        <f>BS36-'Alternatyva 2'!BS$7+'Alternatyva 2'!BS$115</f>
        <v>-1974603.0655936003</v>
      </c>
      <c r="BT37" s="14">
        <f>BT36-'Alternatyva 2'!BT$7+'Alternatyva 2'!BT$115</f>
        <v>-1974603.0655936003</v>
      </c>
      <c r="BU37" s="14">
        <f>BU36-'Alternatyva 2'!BU$7+'Alternatyva 2'!BU$115</f>
        <v>-1974603.0655936003</v>
      </c>
      <c r="BV37" s="14">
        <f>BV36-'Alternatyva 2'!BV$7+'Alternatyva 2'!BV$115</f>
        <v>-1974603.0655936003</v>
      </c>
      <c r="BW37" s="14">
        <f>BW36-'Alternatyva 2'!BW$7+'Alternatyva 2'!BW$115</f>
        <v>-1974603.0655936003</v>
      </c>
      <c r="BX37" s="14">
        <f>BX36-'Alternatyva 2'!BX$7+'Alternatyva 2'!BX$115</f>
        <v>-1974603.0655936003</v>
      </c>
      <c r="BY37" s="14">
        <f>BY36-'Alternatyva 2'!BY$7+'Alternatyva 2'!BY$115</f>
        <v>-1974603.0655936003</v>
      </c>
      <c r="BZ37" s="14">
        <f>BZ36-'Alternatyva 2'!BZ$7+'Alternatyva 2'!BZ$115</f>
        <v>-1974603.0655936003</v>
      </c>
      <c r="CA37" s="14">
        <f>CA36-'Alternatyva 2'!CA$7+'Alternatyva 2'!CA$115</f>
        <v>-1974603.0655936003</v>
      </c>
      <c r="CB37" s="14">
        <f>CB36-'Alternatyva 2'!CB$7+'Alternatyva 2'!CB$115</f>
        <v>-1974603.0655936003</v>
      </c>
      <c r="CC37" s="14">
        <f>CC36-'Alternatyva 2'!CC$7+'Alternatyva 2'!CC$115</f>
        <v>-1974603.0655936003</v>
      </c>
      <c r="CD37" s="14">
        <f>CD36-'Alternatyva 2'!CD$7+'Alternatyva 2'!CD$115</f>
        <v>-1974603.0655936003</v>
      </c>
      <c r="CE37" s="14">
        <f>CE36-'Alternatyva 2'!CE$7+'Alternatyva 2'!CE$115</f>
        <v>-1974603.0655936003</v>
      </c>
      <c r="CF37" s="14">
        <f>CF36-'Alternatyva 2'!CF$7+'Alternatyva 2'!CF$115</f>
        <v>-1974603.0655936003</v>
      </c>
      <c r="CG37" s="14">
        <f>CG36-'Alternatyva 2'!CG$7+'Alternatyva 2'!CG$115</f>
        <v>-1974603.0655936003</v>
      </c>
      <c r="CH37" s="14">
        <f>CH36-'Alternatyva 2'!CH$7+'Alternatyva 2'!CH$115</f>
        <v>-1974603.0655936003</v>
      </c>
      <c r="CI37" s="14">
        <f>CI36-'Alternatyva 2'!CI$7+'Alternatyva 2'!CI$115</f>
        <v>-1974603.0655936003</v>
      </c>
      <c r="CJ37" s="14">
        <f>CJ36-'Alternatyva 2'!CJ$7+'Alternatyva 2'!CJ$115</f>
        <v>-1974603.0655936003</v>
      </c>
      <c r="CK37" s="14">
        <f>CK36-'Alternatyva 2'!CK$7+'Alternatyva 2'!CK$115</f>
        <v>-1974603.0655936003</v>
      </c>
      <c r="CL37" s="14">
        <f>CL36-'Alternatyva 2'!CL$7+'Alternatyva 2'!CL$115</f>
        <v>-1974603.0655936003</v>
      </c>
      <c r="CM37" s="14">
        <f>CM36-'Alternatyva 2'!CM$7+'Alternatyva 2'!CM$115</f>
        <v>-1974603.0655936003</v>
      </c>
      <c r="CN37" s="14">
        <f>CN36-'Alternatyva 2'!CN$7+'Alternatyva 2'!CN$115</f>
        <v>-1974603.0655936003</v>
      </c>
      <c r="CO37" s="14">
        <f>CO36-'Alternatyva 2'!CO$7+'Alternatyva 2'!CO$115</f>
        <v>-1974603.0655936003</v>
      </c>
      <c r="CP37" s="14">
        <f>CP36-'Alternatyva 2'!CP$7+'Alternatyva 2'!CP$115</f>
        <v>-1974603.0655936003</v>
      </c>
      <c r="CQ37" s="14">
        <f>CQ36-'Alternatyva 2'!CQ$7+'Alternatyva 2'!CQ$115</f>
        <v>-1974603.0655936003</v>
      </c>
      <c r="CR37" s="14">
        <f>CR36-'Alternatyva 2'!CR$7+'Alternatyva 2'!CR$115</f>
        <v>-1974603.0655936003</v>
      </c>
      <c r="CS37" s="14">
        <f>CS36-'Alternatyva 2'!CS$7+'Alternatyva 2'!CS$115</f>
        <v>-1974603.0655936003</v>
      </c>
      <c r="CT37" s="14">
        <f>CT36-'Alternatyva 2'!CT$7+'Alternatyva 2'!CT$115</f>
        <v>-1974603.0655936003</v>
      </c>
      <c r="CU37" s="14">
        <f>CU36-'Alternatyva 2'!CU$7+'Alternatyva 2'!CU$115</f>
        <v>-1974603.0655936003</v>
      </c>
      <c r="CV37" s="14">
        <f>CV36-'Alternatyva 2'!CV$7+'Alternatyva 2'!CV$115</f>
        <v>-1974603.0655936003</v>
      </c>
      <c r="CW37" s="14">
        <f>CW36-'Alternatyva 2'!CW$7+'Alternatyva 2'!CW$115</f>
        <v>-1974603.0655936003</v>
      </c>
      <c r="CX37" s="14">
        <f>CX36-'Alternatyva 2'!CX$7+'Alternatyva 2'!CX$115</f>
        <v>-1974603.0655936003</v>
      </c>
      <c r="CY37" s="14">
        <f>CY36-'Alternatyva 2'!CY$7+'Alternatyva 2'!CY$115</f>
        <v>-1974603.0655936003</v>
      </c>
      <c r="CZ37" s="14">
        <f>CZ36-'Alternatyva 2'!CZ$7+'Alternatyva 2'!CZ$115</f>
        <v>-1974603.0655936003</v>
      </c>
      <c r="DA37" s="14">
        <f>DA36-'Alternatyva 2'!DA$7+'Alternatyva 2'!DA$115</f>
        <v>-1974603.0655936003</v>
      </c>
      <c r="DB37" s="14">
        <f>DB36-'Alternatyva 2'!DB$7+'Alternatyva 2'!DB$115</f>
        <v>-1974603.0655936003</v>
      </c>
      <c r="DC37" s="14">
        <f>DC36-'Alternatyva 2'!DC$7+'Alternatyva 2'!DC$115</f>
        <v>-1974603.0655936003</v>
      </c>
    </row>
    <row r="38" spans="2:107" ht="14.25" hidden="1" customHeight="1">
      <c r="B38" s="806" t="s">
        <v>272</v>
      </c>
      <c r="C38" s="806"/>
      <c r="D38" s="806"/>
      <c r="E38" s="806"/>
      <c r="F38" s="43">
        <f>H37+NPV(FD,I37:INDEX(I37:DC37,PAL))</f>
        <v>-134697482.4695121</v>
      </c>
      <c r="G38" s="53"/>
    </row>
    <row r="39" spans="2:107" hidden="1">
      <c r="B39" s="806" t="s">
        <v>273</v>
      </c>
      <c r="C39" s="806"/>
      <c r="D39" s="806"/>
      <c r="E39" s="806"/>
      <c r="F39" s="173" t="str">
        <f>IFERROR(IRR(H37:INDEX(H37:DC37,PAL+1)),"-")</f>
        <v>-</v>
      </c>
      <c r="G39" s="45"/>
    </row>
    <row r="40" spans="2:107" hidden="1">
      <c r="B40" s="806" t="s">
        <v>200</v>
      </c>
      <c r="C40" s="806"/>
      <c r="D40" s="806"/>
      <c r="E40" s="806"/>
      <c r="F40" s="68">
        <f>IFERROR(IF('Alternatyva 2'!H$89&lt;0,SUM('Alternatyva 2'!F$100,-'Alternatyva 2'!H$115,-'Alternatyva 2'!F$89)/SUM('Alternatyva 2'!F$9,'Alternatyva 2'!F$8,-F36),SUM('Alternatyva 2'!F$100,-'Alternatyva 2'!H$115)/SUM('Alternatyva 2'!F$9,'Alternatyva 2'!F$8,-F36,'Alternatyva 2'!F$89)),"")</f>
        <v>2.2993409569943449E-2</v>
      </c>
      <c r="G40" s="45"/>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807" t="s">
        <v>197</v>
      </c>
      <c r="C43" s="807"/>
      <c r="D43" s="807"/>
      <c r="E43" s="807"/>
      <c r="F43" s="1"/>
      <c r="G43" s="12" t="s">
        <v>33</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806" t="s">
        <v>16</v>
      </c>
      <c r="C44" s="806"/>
      <c r="D44" s="806"/>
      <c r="E44" s="806"/>
      <c r="F44" s="43">
        <f>H44+NPV(FD,I44:INDEX(I44:DC44,PAL))</f>
        <v>0</v>
      </c>
      <c r="G44" s="59">
        <f>SUMIF($H$8:$DC$8,"&lt;="&amp;PAL,$H44:$DC44)</f>
        <v>0</v>
      </c>
      <c r="H44" s="69">
        <f>SUM('Alternatyva 3'!H$21,'Alternatyva 3'!H$32,'Alternatyva 3'!H$43,'Alternatyva 3'!H$55,'Alternatyva 3'!H$66,'Alternatyva 3'!H$77,'Alternatyva 3'!H$88)</f>
        <v>0</v>
      </c>
      <c r="I44" s="69">
        <f>SUM('Alternatyva 3'!I$21,'Alternatyva 3'!I$32,'Alternatyva 3'!I$43,'Alternatyva 3'!I$55,'Alternatyva 3'!I$66,'Alternatyva 3'!I$77,'Alternatyva 3'!I$88)</f>
        <v>0</v>
      </c>
      <c r="J44" s="69">
        <f>SUM('Alternatyva 3'!J$21,'Alternatyva 3'!J$32,'Alternatyva 3'!J$43,'Alternatyva 3'!J$55,'Alternatyva 3'!J$66,'Alternatyva 3'!J$77,'Alternatyva 3'!J$88)</f>
        <v>0</v>
      </c>
      <c r="K44" s="69">
        <f>SUM('Alternatyva 3'!K$21,'Alternatyva 3'!K$32,'Alternatyva 3'!K$43,'Alternatyva 3'!K$55,'Alternatyva 3'!K$66,'Alternatyva 3'!K$77,'Alternatyva 3'!K$88)</f>
        <v>0</v>
      </c>
      <c r="L44" s="69">
        <f>SUM('Alternatyva 3'!L$21,'Alternatyva 3'!L$32,'Alternatyva 3'!L$43,'Alternatyva 3'!L$55,'Alternatyva 3'!L$66,'Alternatyva 3'!L$77,'Alternatyva 3'!L$88)</f>
        <v>0</v>
      </c>
      <c r="M44" s="69">
        <f>SUM('Alternatyva 3'!M$21,'Alternatyva 3'!M$32,'Alternatyva 3'!M$43,'Alternatyva 3'!M$55,'Alternatyva 3'!M$66,'Alternatyva 3'!M$77,'Alternatyva 3'!M$88)</f>
        <v>0</v>
      </c>
      <c r="N44" s="69">
        <f>SUM('Alternatyva 3'!N$21,'Alternatyva 3'!N$32,'Alternatyva 3'!N$43,'Alternatyva 3'!N$55,'Alternatyva 3'!N$66,'Alternatyva 3'!N$77,'Alternatyva 3'!N$88)</f>
        <v>0</v>
      </c>
      <c r="O44" s="69">
        <f>SUM('Alternatyva 3'!O$21,'Alternatyva 3'!O$32,'Alternatyva 3'!O$43,'Alternatyva 3'!O$55,'Alternatyva 3'!O$66,'Alternatyva 3'!O$77,'Alternatyva 3'!O$88)</f>
        <v>0</v>
      </c>
      <c r="P44" s="69">
        <f>SUM('Alternatyva 3'!P$21,'Alternatyva 3'!P$32,'Alternatyva 3'!P$43,'Alternatyva 3'!P$55,'Alternatyva 3'!P$66,'Alternatyva 3'!P$77,'Alternatyva 3'!P$88)</f>
        <v>0</v>
      </c>
      <c r="Q44" s="69">
        <f>SUM('Alternatyva 3'!Q$21,'Alternatyva 3'!Q$32,'Alternatyva 3'!Q$43,'Alternatyva 3'!Q$55,'Alternatyva 3'!Q$66,'Alternatyva 3'!Q$77,'Alternatyva 3'!Q$88)</f>
        <v>0</v>
      </c>
      <c r="R44" s="69">
        <f>SUM('Alternatyva 3'!R$21,'Alternatyva 3'!R$32,'Alternatyva 3'!R$43,'Alternatyva 3'!R$55,'Alternatyva 3'!R$66,'Alternatyva 3'!R$77,'Alternatyva 3'!R$88)</f>
        <v>0</v>
      </c>
      <c r="S44" s="69">
        <f>SUM('Alternatyva 3'!S$21,'Alternatyva 3'!S$32,'Alternatyva 3'!S$43,'Alternatyva 3'!S$55,'Alternatyva 3'!S$66,'Alternatyva 3'!S$77,'Alternatyva 3'!S$88)</f>
        <v>0</v>
      </c>
      <c r="T44" s="69">
        <f>SUM('Alternatyva 3'!T$21,'Alternatyva 3'!T$32,'Alternatyva 3'!T$43,'Alternatyva 3'!T$55,'Alternatyva 3'!T$66,'Alternatyva 3'!T$77,'Alternatyva 3'!T$88)</f>
        <v>0</v>
      </c>
      <c r="U44" s="69">
        <f>SUM('Alternatyva 3'!U$21,'Alternatyva 3'!U$32,'Alternatyva 3'!U$43,'Alternatyva 3'!U$55,'Alternatyva 3'!U$66,'Alternatyva 3'!U$77,'Alternatyva 3'!U$88)</f>
        <v>0</v>
      </c>
      <c r="V44" s="69">
        <f>SUM('Alternatyva 3'!V$21,'Alternatyva 3'!V$32,'Alternatyva 3'!V$43,'Alternatyva 3'!V$55,'Alternatyva 3'!V$66,'Alternatyva 3'!V$77,'Alternatyva 3'!V$88)</f>
        <v>0</v>
      </c>
      <c r="W44" s="69">
        <f>SUM('Alternatyva 3'!W$21,'Alternatyva 3'!W$32,'Alternatyva 3'!W$43,'Alternatyva 3'!W$55,'Alternatyva 3'!W$66,'Alternatyva 3'!W$77,'Alternatyva 3'!W$88)</f>
        <v>0</v>
      </c>
      <c r="X44" s="69">
        <f>SUM('Alternatyva 3'!X$21,'Alternatyva 3'!X$32,'Alternatyva 3'!X$43,'Alternatyva 3'!X$55,'Alternatyva 3'!X$66,'Alternatyva 3'!X$77,'Alternatyva 3'!X$88)</f>
        <v>0</v>
      </c>
      <c r="Y44" s="69">
        <f>SUM('Alternatyva 3'!Y$21,'Alternatyva 3'!Y$32,'Alternatyva 3'!Y$43,'Alternatyva 3'!Y$55,'Alternatyva 3'!Y$66,'Alternatyva 3'!Y$77,'Alternatyva 3'!Y$88)</f>
        <v>0</v>
      </c>
      <c r="Z44" s="69">
        <f>SUM('Alternatyva 3'!Z$21,'Alternatyva 3'!Z$32,'Alternatyva 3'!Z$43,'Alternatyva 3'!Z$55,'Alternatyva 3'!Z$66,'Alternatyva 3'!Z$77,'Alternatyva 3'!Z$88)</f>
        <v>0</v>
      </c>
      <c r="AA44" s="69">
        <f>SUM('Alternatyva 3'!AA$21,'Alternatyva 3'!AA$32,'Alternatyva 3'!AA$43,'Alternatyva 3'!AA$55,'Alternatyva 3'!AA$66,'Alternatyva 3'!AA$77,'Alternatyva 3'!AA$88)</f>
        <v>0</v>
      </c>
      <c r="AB44" s="69">
        <f>SUM('Alternatyva 3'!AB$21,'Alternatyva 3'!AB$32,'Alternatyva 3'!AB$43,'Alternatyva 3'!AB$55,'Alternatyva 3'!AB$66,'Alternatyva 3'!AB$77,'Alternatyva 3'!AB$88)</f>
        <v>0</v>
      </c>
      <c r="AC44" s="69">
        <f>SUM('Alternatyva 3'!AC$21,'Alternatyva 3'!AC$32,'Alternatyva 3'!AC$43,'Alternatyva 3'!AC$55,'Alternatyva 3'!AC$66,'Alternatyva 3'!AC$77,'Alternatyva 3'!AC$88)</f>
        <v>0</v>
      </c>
      <c r="AD44" s="69">
        <f>SUM('Alternatyva 3'!AD$21,'Alternatyva 3'!AD$32,'Alternatyva 3'!AD$43,'Alternatyva 3'!AD$55,'Alternatyva 3'!AD$66,'Alternatyva 3'!AD$77,'Alternatyva 3'!AD$88)</f>
        <v>0</v>
      </c>
      <c r="AE44" s="69">
        <f>SUM('Alternatyva 3'!AE$21,'Alternatyva 3'!AE$32,'Alternatyva 3'!AE$43,'Alternatyva 3'!AE$55,'Alternatyva 3'!AE$66,'Alternatyva 3'!AE$77,'Alternatyva 3'!AE$88)</f>
        <v>0</v>
      </c>
      <c r="AF44" s="69">
        <f>SUM('Alternatyva 3'!AF$21,'Alternatyva 3'!AF$32,'Alternatyva 3'!AF$43,'Alternatyva 3'!AF$55,'Alternatyva 3'!AF$66,'Alternatyva 3'!AF$77,'Alternatyva 3'!AF$88)</f>
        <v>0</v>
      </c>
      <c r="AG44" s="69">
        <f>SUM('Alternatyva 3'!AG$21,'Alternatyva 3'!AG$32,'Alternatyva 3'!AG$43,'Alternatyva 3'!AG$55,'Alternatyva 3'!AG$66,'Alternatyva 3'!AG$77,'Alternatyva 3'!AG$88)</f>
        <v>0</v>
      </c>
      <c r="AH44" s="69">
        <f>SUM('Alternatyva 3'!AH$21,'Alternatyva 3'!AH$32,'Alternatyva 3'!AH$43,'Alternatyva 3'!AH$55,'Alternatyva 3'!AH$66,'Alternatyva 3'!AH$77,'Alternatyva 3'!AH$88)</f>
        <v>0</v>
      </c>
      <c r="AI44" s="69">
        <f>SUM('Alternatyva 3'!AI$21,'Alternatyva 3'!AI$32,'Alternatyva 3'!AI$43,'Alternatyva 3'!AI$55,'Alternatyva 3'!AI$66,'Alternatyva 3'!AI$77,'Alternatyva 3'!AI$88)</f>
        <v>0</v>
      </c>
      <c r="AJ44" s="69">
        <f>SUM('Alternatyva 3'!AJ$21,'Alternatyva 3'!AJ$32,'Alternatyva 3'!AJ$43,'Alternatyva 3'!AJ$55,'Alternatyva 3'!AJ$66,'Alternatyva 3'!AJ$77,'Alternatyva 3'!AJ$88)</f>
        <v>0</v>
      </c>
      <c r="AK44" s="69">
        <f>SUM('Alternatyva 3'!AK$21,'Alternatyva 3'!AK$32,'Alternatyva 3'!AK$43,'Alternatyva 3'!AK$55,'Alternatyva 3'!AK$66,'Alternatyva 3'!AK$77,'Alternatyva 3'!AK$88)</f>
        <v>0</v>
      </c>
      <c r="AL44" s="69">
        <f>SUM('Alternatyva 3'!AL$21,'Alternatyva 3'!AL$32,'Alternatyva 3'!AL$43,'Alternatyva 3'!AL$55,'Alternatyva 3'!AL$66,'Alternatyva 3'!AL$77,'Alternatyva 3'!AL$88)</f>
        <v>0</v>
      </c>
      <c r="AM44" s="69">
        <f>SUM('Alternatyva 3'!AM$21,'Alternatyva 3'!AM$32,'Alternatyva 3'!AM$43,'Alternatyva 3'!AM$55,'Alternatyva 3'!AM$66,'Alternatyva 3'!AM$77,'Alternatyva 3'!AM$88)</f>
        <v>0</v>
      </c>
      <c r="AN44" s="69">
        <f>SUM('Alternatyva 3'!AN$21,'Alternatyva 3'!AN$32,'Alternatyva 3'!AN$43,'Alternatyva 3'!AN$55,'Alternatyva 3'!AN$66,'Alternatyva 3'!AN$77,'Alternatyva 3'!AN$88)</f>
        <v>0</v>
      </c>
      <c r="AO44" s="69">
        <f>SUM('Alternatyva 3'!AO$21,'Alternatyva 3'!AO$32,'Alternatyva 3'!AO$43,'Alternatyva 3'!AO$55,'Alternatyva 3'!AO$66,'Alternatyva 3'!AO$77,'Alternatyva 3'!AO$88)</f>
        <v>0</v>
      </c>
      <c r="AP44" s="69">
        <f>SUM('Alternatyva 3'!AP$21,'Alternatyva 3'!AP$32,'Alternatyva 3'!AP$43,'Alternatyva 3'!AP$55,'Alternatyva 3'!AP$66,'Alternatyva 3'!AP$77,'Alternatyva 3'!AP$88)</f>
        <v>0</v>
      </c>
      <c r="AQ44" s="69">
        <f>SUM('Alternatyva 3'!AQ$21,'Alternatyva 3'!AQ$32,'Alternatyva 3'!AQ$43,'Alternatyva 3'!AQ$55,'Alternatyva 3'!AQ$66,'Alternatyva 3'!AQ$77,'Alternatyva 3'!AQ$88)</f>
        <v>0</v>
      </c>
      <c r="AR44" s="69">
        <f>SUM('Alternatyva 3'!AR$21,'Alternatyva 3'!AR$32,'Alternatyva 3'!AR$43,'Alternatyva 3'!AR$55,'Alternatyva 3'!AR$66,'Alternatyva 3'!AR$77,'Alternatyva 3'!AR$88)</f>
        <v>0</v>
      </c>
      <c r="AS44" s="69">
        <f>SUM('Alternatyva 3'!AS$21,'Alternatyva 3'!AS$32,'Alternatyva 3'!AS$43,'Alternatyva 3'!AS$55,'Alternatyva 3'!AS$66,'Alternatyva 3'!AS$77,'Alternatyva 3'!AS$88)</f>
        <v>0</v>
      </c>
      <c r="AT44" s="69">
        <f>SUM('Alternatyva 3'!AT$21,'Alternatyva 3'!AT$32,'Alternatyva 3'!AT$43,'Alternatyva 3'!AT$55,'Alternatyva 3'!AT$66,'Alternatyva 3'!AT$77,'Alternatyva 3'!AT$88)</f>
        <v>0</v>
      </c>
      <c r="AU44" s="69">
        <f>SUM('Alternatyva 3'!AU$21,'Alternatyva 3'!AU$32,'Alternatyva 3'!AU$43,'Alternatyva 3'!AU$55,'Alternatyva 3'!AU$66,'Alternatyva 3'!AU$77,'Alternatyva 3'!AU$88)</f>
        <v>0</v>
      </c>
      <c r="AV44" s="69">
        <f>SUM('Alternatyva 3'!AV$21,'Alternatyva 3'!AV$32,'Alternatyva 3'!AV$43,'Alternatyva 3'!AV$55,'Alternatyva 3'!AV$66,'Alternatyva 3'!AV$77,'Alternatyva 3'!AV$88)</f>
        <v>0</v>
      </c>
      <c r="AW44" s="69">
        <f>SUM('Alternatyva 3'!AW$21,'Alternatyva 3'!AW$32,'Alternatyva 3'!AW$43,'Alternatyva 3'!AW$55,'Alternatyva 3'!AW$66,'Alternatyva 3'!AW$77,'Alternatyva 3'!AW$88)</f>
        <v>0</v>
      </c>
      <c r="AX44" s="69">
        <f>SUM('Alternatyva 3'!AX$21,'Alternatyva 3'!AX$32,'Alternatyva 3'!AX$43,'Alternatyva 3'!AX$55,'Alternatyva 3'!AX$66,'Alternatyva 3'!AX$77,'Alternatyva 3'!AX$88)</f>
        <v>0</v>
      </c>
      <c r="AY44" s="69">
        <f>SUM('Alternatyva 3'!AY$21,'Alternatyva 3'!AY$32,'Alternatyva 3'!AY$43,'Alternatyva 3'!AY$55,'Alternatyva 3'!AY$66,'Alternatyva 3'!AY$77,'Alternatyva 3'!AY$88)</f>
        <v>0</v>
      </c>
      <c r="AZ44" s="69">
        <f>SUM('Alternatyva 3'!AZ$21,'Alternatyva 3'!AZ$32,'Alternatyva 3'!AZ$43,'Alternatyva 3'!AZ$55,'Alternatyva 3'!AZ$66,'Alternatyva 3'!AZ$77,'Alternatyva 3'!AZ$88)</f>
        <v>0</v>
      </c>
      <c r="BA44" s="69">
        <f>SUM('Alternatyva 3'!BA$21,'Alternatyva 3'!BA$32,'Alternatyva 3'!BA$43,'Alternatyva 3'!BA$55,'Alternatyva 3'!BA$66,'Alternatyva 3'!BA$77,'Alternatyva 3'!BA$88)</f>
        <v>0</v>
      </c>
      <c r="BB44" s="69">
        <f>SUM('Alternatyva 3'!BB$21,'Alternatyva 3'!BB$32,'Alternatyva 3'!BB$43,'Alternatyva 3'!BB$55,'Alternatyva 3'!BB$66,'Alternatyva 3'!BB$77,'Alternatyva 3'!BB$88)</f>
        <v>0</v>
      </c>
      <c r="BC44" s="69">
        <f>SUM('Alternatyva 3'!BC$21,'Alternatyva 3'!BC$32,'Alternatyva 3'!BC$43,'Alternatyva 3'!BC$55,'Alternatyva 3'!BC$66,'Alternatyva 3'!BC$77,'Alternatyva 3'!BC$88)</f>
        <v>0</v>
      </c>
      <c r="BD44" s="69">
        <f>SUM('Alternatyva 3'!BD$21,'Alternatyva 3'!BD$32,'Alternatyva 3'!BD$43,'Alternatyva 3'!BD$55,'Alternatyva 3'!BD$66,'Alternatyva 3'!BD$77,'Alternatyva 3'!BD$88)</f>
        <v>0</v>
      </c>
      <c r="BE44" s="69">
        <f>SUM('Alternatyva 3'!BE$21,'Alternatyva 3'!BE$32,'Alternatyva 3'!BE$43,'Alternatyva 3'!BE$55,'Alternatyva 3'!BE$66,'Alternatyva 3'!BE$77,'Alternatyva 3'!BE$88)</f>
        <v>0</v>
      </c>
      <c r="BF44" s="69">
        <f>SUM('Alternatyva 3'!BF$21,'Alternatyva 3'!BF$32,'Alternatyva 3'!BF$43,'Alternatyva 3'!BF$55,'Alternatyva 3'!BF$66,'Alternatyva 3'!BF$77,'Alternatyva 3'!BF$88)</f>
        <v>0</v>
      </c>
      <c r="BG44" s="69">
        <f>SUM('Alternatyva 3'!BG$21,'Alternatyva 3'!BG$32,'Alternatyva 3'!BG$43,'Alternatyva 3'!BG$55,'Alternatyva 3'!BG$66,'Alternatyva 3'!BG$77,'Alternatyva 3'!BG$88)</f>
        <v>0</v>
      </c>
      <c r="BH44" s="69">
        <f>SUM('Alternatyva 3'!BH$21,'Alternatyva 3'!BH$32,'Alternatyva 3'!BH$43,'Alternatyva 3'!BH$55,'Alternatyva 3'!BH$66,'Alternatyva 3'!BH$77,'Alternatyva 3'!BH$88)</f>
        <v>0</v>
      </c>
      <c r="BI44" s="69">
        <f>SUM('Alternatyva 3'!BI$21,'Alternatyva 3'!BI$32,'Alternatyva 3'!BI$43,'Alternatyva 3'!BI$55,'Alternatyva 3'!BI$66,'Alternatyva 3'!BI$77,'Alternatyva 3'!BI$88)</f>
        <v>0</v>
      </c>
      <c r="BJ44" s="69">
        <f>SUM('Alternatyva 3'!BJ$21,'Alternatyva 3'!BJ$32,'Alternatyva 3'!BJ$43,'Alternatyva 3'!BJ$55,'Alternatyva 3'!BJ$66,'Alternatyva 3'!BJ$77,'Alternatyva 3'!BJ$88)</f>
        <v>0</v>
      </c>
      <c r="BK44" s="69">
        <f>SUM('Alternatyva 3'!BK$21,'Alternatyva 3'!BK$32,'Alternatyva 3'!BK$43,'Alternatyva 3'!BK$55,'Alternatyva 3'!BK$66,'Alternatyva 3'!BK$77,'Alternatyva 3'!BK$88)</f>
        <v>0</v>
      </c>
      <c r="BL44" s="69">
        <f>SUM('Alternatyva 3'!BL$21,'Alternatyva 3'!BL$32,'Alternatyva 3'!BL$43,'Alternatyva 3'!BL$55,'Alternatyva 3'!BL$66,'Alternatyva 3'!BL$77,'Alternatyva 3'!BL$88)</f>
        <v>0</v>
      </c>
      <c r="BM44" s="69">
        <f>SUM('Alternatyva 3'!BM$21,'Alternatyva 3'!BM$32,'Alternatyva 3'!BM$43,'Alternatyva 3'!BM$55,'Alternatyva 3'!BM$66,'Alternatyva 3'!BM$77,'Alternatyva 3'!BM$88)</f>
        <v>0</v>
      </c>
      <c r="BN44" s="69">
        <f>SUM('Alternatyva 3'!BN$21,'Alternatyva 3'!BN$32,'Alternatyva 3'!BN$43,'Alternatyva 3'!BN$55,'Alternatyva 3'!BN$66,'Alternatyva 3'!BN$77,'Alternatyva 3'!BN$88)</f>
        <v>0</v>
      </c>
      <c r="BO44" s="69">
        <f>SUM('Alternatyva 3'!BO$21,'Alternatyva 3'!BO$32,'Alternatyva 3'!BO$43,'Alternatyva 3'!BO$55,'Alternatyva 3'!BO$66,'Alternatyva 3'!BO$77,'Alternatyva 3'!BO$88)</f>
        <v>0</v>
      </c>
      <c r="BP44" s="69">
        <f>SUM('Alternatyva 3'!BP$21,'Alternatyva 3'!BP$32,'Alternatyva 3'!BP$43,'Alternatyva 3'!BP$55,'Alternatyva 3'!BP$66,'Alternatyva 3'!BP$77,'Alternatyva 3'!BP$88)</f>
        <v>0</v>
      </c>
      <c r="BQ44" s="69">
        <f>SUM('Alternatyva 3'!BQ$21,'Alternatyva 3'!BQ$32,'Alternatyva 3'!BQ$43,'Alternatyva 3'!BQ$55,'Alternatyva 3'!BQ$66,'Alternatyva 3'!BQ$77,'Alternatyva 3'!BQ$88)</f>
        <v>0</v>
      </c>
      <c r="BR44" s="69">
        <f>SUM('Alternatyva 3'!BR$21,'Alternatyva 3'!BR$32,'Alternatyva 3'!BR$43,'Alternatyva 3'!BR$55,'Alternatyva 3'!BR$66,'Alternatyva 3'!BR$77,'Alternatyva 3'!BR$88)</f>
        <v>0</v>
      </c>
      <c r="BS44" s="69">
        <f>SUM('Alternatyva 3'!BS$21,'Alternatyva 3'!BS$32,'Alternatyva 3'!BS$43,'Alternatyva 3'!BS$55,'Alternatyva 3'!BS$66,'Alternatyva 3'!BS$77,'Alternatyva 3'!BS$88)</f>
        <v>0</v>
      </c>
      <c r="BT44" s="69">
        <f>SUM('Alternatyva 3'!BT$21,'Alternatyva 3'!BT$32,'Alternatyva 3'!BT$43,'Alternatyva 3'!BT$55,'Alternatyva 3'!BT$66,'Alternatyva 3'!BT$77,'Alternatyva 3'!BT$88)</f>
        <v>0</v>
      </c>
      <c r="BU44" s="69">
        <f>SUM('Alternatyva 3'!BU$21,'Alternatyva 3'!BU$32,'Alternatyva 3'!BU$43,'Alternatyva 3'!BU$55,'Alternatyva 3'!BU$66,'Alternatyva 3'!BU$77,'Alternatyva 3'!BU$88)</f>
        <v>0</v>
      </c>
      <c r="BV44" s="69">
        <f>SUM('Alternatyva 3'!BV$21,'Alternatyva 3'!BV$32,'Alternatyva 3'!BV$43,'Alternatyva 3'!BV$55,'Alternatyva 3'!BV$66,'Alternatyva 3'!BV$77,'Alternatyva 3'!BV$88)</f>
        <v>0</v>
      </c>
      <c r="BW44" s="69">
        <f>SUM('Alternatyva 3'!BW$21,'Alternatyva 3'!BW$32,'Alternatyva 3'!BW$43,'Alternatyva 3'!BW$55,'Alternatyva 3'!BW$66,'Alternatyva 3'!BW$77,'Alternatyva 3'!BW$88)</f>
        <v>0</v>
      </c>
      <c r="BX44" s="69">
        <f>SUM('Alternatyva 3'!BX$21,'Alternatyva 3'!BX$32,'Alternatyva 3'!BX$43,'Alternatyva 3'!BX$55,'Alternatyva 3'!BX$66,'Alternatyva 3'!BX$77,'Alternatyva 3'!BX$88)</f>
        <v>0</v>
      </c>
      <c r="BY44" s="69">
        <f>SUM('Alternatyva 3'!BY$21,'Alternatyva 3'!BY$32,'Alternatyva 3'!BY$43,'Alternatyva 3'!BY$55,'Alternatyva 3'!BY$66,'Alternatyva 3'!BY$77,'Alternatyva 3'!BY$88)</f>
        <v>0</v>
      </c>
      <c r="BZ44" s="69">
        <f>SUM('Alternatyva 3'!BZ$21,'Alternatyva 3'!BZ$32,'Alternatyva 3'!BZ$43,'Alternatyva 3'!BZ$55,'Alternatyva 3'!BZ$66,'Alternatyva 3'!BZ$77,'Alternatyva 3'!BZ$88)</f>
        <v>0</v>
      </c>
      <c r="CA44" s="69">
        <f>SUM('Alternatyva 3'!CA$21,'Alternatyva 3'!CA$32,'Alternatyva 3'!CA$43,'Alternatyva 3'!CA$55,'Alternatyva 3'!CA$66,'Alternatyva 3'!CA$77,'Alternatyva 3'!CA$88)</f>
        <v>0</v>
      </c>
      <c r="CB44" s="69">
        <f>SUM('Alternatyva 3'!CB$21,'Alternatyva 3'!CB$32,'Alternatyva 3'!CB$43,'Alternatyva 3'!CB$55,'Alternatyva 3'!CB$66,'Alternatyva 3'!CB$77,'Alternatyva 3'!CB$88)</f>
        <v>0</v>
      </c>
      <c r="CC44" s="69">
        <f>SUM('Alternatyva 3'!CC$21,'Alternatyva 3'!CC$32,'Alternatyva 3'!CC$43,'Alternatyva 3'!CC$55,'Alternatyva 3'!CC$66,'Alternatyva 3'!CC$77,'Alternatyva 3'!CC$88)</f>
        <v>0</v>
      </c>
      <c r="CD44" s="69">
        <f>SUM('Alternatyva 3'!CD$21,'Alternatyva 3'!CD$32,'Alternatyva 3'!CD$43,'Alternatyva 3'!CD$55,'Alternatyva 3'!CD$66,'Alternatyva 3'!CD$77,'Alternatyva 3'!CD$88)</f>
        <v>0</v>
      </c>
      <c r="CE44" s="69">
        <f>SUM('Alternatyva 3'!CE$21,'Alternatyva 3'!CE$32,'Alternatyva 3'!CE$43,'Alternatyva 3'!CE$55,'Alternatyva 3'!CE$66,'Alternatyva 3'!CE$77,'Alternatyva 3'!CE$88)</f>
        <v>0</v>
      </c>
      <c r="CF44" s="69">
        <f>SUM('Alternatyva 3'!CF$21,'Alternatyva 3'!CF$32,'Alternatyva 3'!CF$43,'Alternatyva 3'!CF$55,'Alternatyva 3'!CF$66,'Alternatyva 3'!CF$77,'Alternatyva 3'!CF$88)</f>
        <v>0</v>
      </c>
      <c r="CG44" s="69">
        <f>SUM('Alternatyva 3'!CG$21,'Alternatyva 3'!CG$32,'Alternatyva 3'!CG$43,'Alternatyva 3'!CG$55,'Alternatyva 3'!CG$66,'Alternatyva 3'!CG$77,'Alternatyva 3'!CG$88)</f>
        <v>0</v>
      </c>
      <c r="CH44" s="69">
        <f>SUM('Alternatyva 3'!CH$21,'Alternatyva 3'!CH$32,'Alternatyva 3'!CH$43,'Alternatyva 3'!CH$55,'Alternatyva 3'!CH$66,'Alternatyva 3'!CH$77,'Alternatyva 3'!CH$88)</f>
        <v>0</v>
      </c>
      <c r="CI44" s="69">
        <f>SUM('Alternatyva 3'!CI$21,'Alternatyva 3'!CI$32,'Alternatyva 3'!CI$43,'Alternatyva 3'!CI$55,'Alternatyva 3'!CI$66,'Alternatyva 3'!CI$77,'Alternatyva 3'!CI$88)</f>
        <v>0</v>
      </c>
      <c r="CJ44" s="69">
        <f>SUM('Alternatyva 3'!CJ$21,'Alternatyva 3'!CJ$32,'Alternatyva 3'!CJ$43,'Alternatyva 3'!CJ$55,'Alternatyva 3'!CJ$66,'Alternatyva 3'!CJ$77,'Alternatyva 3'!CJ$88)</f>
        <v>0</v>
      </c>
      <c r="CK44" s="69">
        <f>SUM('Alternatyva 3'!CK$21,'Alternatyva 3'!CK$32,'Alternatyva 3'!CK$43,'Alternatyva 3'!CK$55,'Alternatyva 3'!CK$66,'Alternatyva 3'!CK$77,'Alternatyva 3'!CK$88)</f>
        <v>0</v>
      </c>
      <c r="CL44" s="69">
        <f>SUM('Alternatyva 3'!CL$21,'Alternatyva 3'!CL$32,'Alternatyva 3'!CL$43,'Alternatyva 3'!CL$55,'Alternatyva 3'!CL$66,'Alternatyva 3'!CL$77,'Alternatyva 3'!CL$88)</f>
        <v>0</v>
      </c>
      <c r="CM44" s="69">
        <f>SUM('Alternatyva 3'!CM$21,'Alternatyva 3'!CM$32,'Alternatyva 3'!CM$43,'Alternatyva 3'!CM$55,'Alternatyva 3'!CM$66,'Alternatyva 3'!CM$77,'Alternatyva 3'!CM$88)</f>
        <v>0</v>
      </c>
      <c r="CN44" s="69">
        <f>SUM('Alternatyva 3'!CN$21,'Alternatyva 3'!CN$32,'Alternatyva 3'!CN$43,'Alternatyva 3'!CN$55,'Alternatyva 3'!CN$66,'Alternatyva 3'!CN$77,'Alternatyva 3'!CN$88)</f>
        <v>0</v>
      </c>
      <c r="CO44" s="69">
        <f>SUM('Alternatyva 3'!CO$21,'Alternatyva 3'!CO$32,'Alternatyva 3'!CO$43,'Alternatyva 3'!CO$55,'Alternatyva 3'!CO$66,'Alternatyva 3'!CO$77,'Alternatyva 3'!CO$88)</f>
        <v>0</v>
      </c>
      <c r="CP44" s="69">
        <f>SUM('Alternatyva 3'!CP$21,'Alternatyva 3'!CP$32,'Alternatyva 3'!CP$43,'Alternatyva 3'!CP$55,'Alternatyva 3'!CP$66,'Alternatyva 3'!CP$77,'Alternatyva 3'!CP$88)</f>
        <v>0</v>
      </c>
      <c r="CQ44" s="69">
        <f>SUM('Alternatyva 3'!CQ$21,'Alternatyva 3'!CQ$32,'Alternatyva 3'!CQ$43,'Alternatyva 3'!CQ$55,'Alternatyva 3'!CQ$66,'Alternatyva 3'!CQ$77,'Alternatyva 3'!CQ$88)</f>
        <v>0</v>
      </c>
      <c r="CR44" s="69">
        <f>SUM('Alternatyva 3'!CR$21,'Alternatyva 3'!CR$32,'Alternatyva 3'!CR$43,'Alternatyva 3'!CR$55,'Alternatyva 3'!CR$66,'Alternatyva 3'!CR$77,'Alternatyva 3'!CR$88)</f>
        <v>0</v>
      </c>
      <c r="CS44" s="69">
        <f>SUM('Alternatyva 3'!CS$21,'Alternatyva 3'!CS$32,'Alternatyva 3'!CS$43,'Alternatyva 3'!CS$55,'Alternatyva 3'!CS$66,'Alternatyva 3'!CS$77,'Alternatyva 3'!CS$88)</f>
        <v>0</v>
      </c>
      <c r="CT44" s="69">
        <f>SUM('Alternatyva 3'!CT$21,'Alternatyva 3'!CT$32,'Alternatyva 3'!CT$43,'Alternatyva 3'!CT$55,'Alternatyva 3'!CT$66,'Alternatyva 3'!CT$77,'Alternatyva 3'!CT$88)</f>
        <v>0</v>
      </c>
      <c r="CU44" s="69">
        <f>SUM('Alternatyva 3'!CU$21,'Alternatyva 3'!CU$32,'Alternatyva 3'!CU$43,'Alternatyva 3'!CU$55,'Alternatyva 3'!CU$66,'Alternatyva 3'!CU$77,'Alternatyva 3'!CU$88)</f>
        <v>0</v>
      </c>
      <c r="CV44" s="69">
        <f>SUM('Alternatyva 3'!CV$21,'Alternatyva 3'!CV$32,'Alternatyva 3'!CV$43,'Alternatyva 3'!CV$55,'Alternatyva 3'!CV$66,'Alternatyva 3'!CV$77,'Alternatyva 3'!CV$88)</f>
        <v>0</v>
      </c>
      <c r="CW44" s="69">
        <f>SUM('Alternatyva 3'!CW$21,'Alternatyva 3'!CW$32,'Alternatyva 3'!CW$43,'Alternatyva 3'!CW$55,'Alternatyva 3'!CW$66,'Alternatyva 3'!CW$77,'Alternatyva 3'!CW$88)</f>
        <v>0</v>
      </c>
      <c r="CX44" s="69">
        <f>SUM('Alternatyva 3'!CX$21,'Alternatyva 3'!CX$32,'Alternatyva 3'!CX$43,'Alternatyva 3'!CX$55,'Alternatyva 3'!CX$66,'Alternatyva 3'!CX$77,'Alternatyva 3'!CX$88)</f>
        <v>0</v>
      </c>
      <c r="CY44" s="69">
        <f>SUM('Alternatyva 3'!CY$21,'Alternatyva 3'!CY$32,'Alternatyva 3'!CY$43,'Alternatyva 3'!CY$55,'Alternatyva 3'!CY$66,'Alternatyva 3'!CY$77,'Alternatyva 3'!CY$88)</f>
        <v>0</v>
      </c>
      <c r="CZ44" s="69">
        <f>SUM('Alternatyva 3'!CZ$21,'Alternatyva 3'!CZ$32,'Alternatyva 3'!CZ$43,'Alternatyva 3'!CZ$55,'Alternatyva 3'!CZ$66,'Alternatyva 3'!CZ$77,'Alternatyva 3'!CZ$88)</f>
        <v>0</v>
      </c>
      <c r="DA44" s="69">
        <f>SUM('Alternatyva 3'!DA$21,'Alternatyva 3'!DA$32,'Alternatyva 3'!DA$43,'Alternatyva 3'!DA$55,'Alternatyva 3'!DA$66,'Alternatyva 3'!DA$77,'Alternatyva 3'!DA$88)</f>
        <v>0</v>
      </c>
      <c r="DB44" s="69">
        <f>SUM('Alternatyva 3'!DB$21,'Alternatyva 3'!DB$32,'Alternatyva 3'!DB$43,'Alternatyva 3'!DB$55,'Alternatyva 3'!DB$66,'Alternatyva 3'!DB$77,'Alternatyva 3'!DB$88)</f>
        <v>0</v>
      </c>
      <c r="DC44" s="69">
        <f>SUM('Alternatyva 3'!DC$21,'Alternatyva 3'!DC$32,'Alternatyva 3'!DC$43,'Alternatyva 3'!DC$55,'Alternatyva 3'!DC$66,'Alternatyva 3'!DC$77,'Alternatyva 3'!DC$88)</f>
        <v>0</v>
      </c>
    </row>
    <row r="45" spans="2:107" ht="14.25" hidden="1" customHeight="1">
      <c r="B45" s="808" t="s">
        <v>201</v>
      </c>
      <c r="C45" s="808"/>
      <c r="D45" s="808"/>
      <c r="E45" s="808"/>
      <c r="F45" s="67"/>
      <c r="G45" s="59">
        <f>SUMIF($H$8:$DC$8,"&lt;="&amp;PAL,$H45:$DC45)</f>
        <v>-205368706.24019569</v>
      </c>
      <c r="H45" s="14">
        <f>H44-'Alternatyva 3'!H$7+'Alternatyva 3'!H$115</f>
        <v>-1708000</v>
      </c>
      <c r="I45" s="14">
        <f>I44-'Alternatyva 3'!I$7+'Alternatyva 3'!I$115</f>
        <v>-7481480.7675320003</v>
      </c>
      <c r="J45" s="14">
        <f>J44-'Alternatyva 3'!J$7+'Alternatyva 3'!J$115</f>
        <v>-8635258.9378861338</v>
      </c>
      <c r="K45" s="14">
        <f>K44-'Alternatyva 3'!K$7+'Alternatyva 3'!K$115</f>
        <v>-13183320.3630432</v>
      </c>
      <c r="L45" s="14">
        <f>L44-'Alternatyva 3'!L$7+'Alternatyva 3'!L$115</f>
        <v>-10213420.3630432</v>
      </c>
      <c r="M45" s="14">
        <f>M44-'Alternatyva 3'!M$7+'Alternatyva 3'!M$115</f>
        <v>-10233420.3630432</v>
      </c>
      <c r="N45" s="14">
        <f>N44-'Alternatyva 3'!N$7+'Alternatyva 3'!N$115</f>
        <v>-10212920.3630432</v>
      </c>
      <c r="O45" s="14">
        <f>O44-'Alternatyva 3'!O$7+'Alternatyva 3'!O$115</f>
        <v>-10212920.3630432</v>
      </c>
      <c r="P45" s="14">
        <f>P44-'Alternatyva 3'!P$7+'Alternatyva 3'!P$115</f>
        <v>-10212920.3630432</v>
      </c>
      <c r="Q45" s="14">
        <f>Q44-'Alternatyva 3'!Q$7+'Alternatyva 3'!Q$115</f>
        <v>-10212920.3630432</v>
      </c>
      <c r="R45" s="14">
        <f>R44-'Alternatyva 3'!R$7+'Alternatyva 3'!R$115</f>
        <v>-10332920.3630432</v>
      </c>
      <c r="S45" s="14">
        <f>S44-'Alternatyva 3'!S$7+'Alternatyva 3'!S$115</f>
        <v>-10452920.3630432</v>
      </c>
      <c r="T45" s="14">
        <f>T44-'Alternatyva 3'!T$7+'Alternatyva 3'!T$115</f>
        <v>-10332920.3630432</v>
      </c>
      <c r="U45" s="14">
        <f>U44-'Alternatyva 3'!U$7+'Alternatyva 3'!U$115</f>
        <v>-10452920.3630432</v>
      </c>
      <c r="V45" s="14">
        <f>V44-'Alternatyva 3'!V$7+'Alternatyva 3'!V$115</f>
        <v>-10212920.3630432</v>
      </c>
      <c r="W45" s="14">
        <f>W44-'Alternatyva 3'!W$7+'Alternatyva 3'!W$115</f>
        <v>-10212920.3630432</v>
      </c>
      <c r="X45" s="14">
        <f>X44-'Alternatyva 3'!X$7+'Alternatyva 3'!X$115</f>
        <v>-10212920.3630432</v>
      </c>
      <c r="Y45" s="14">
        <f>Y44-'Alternatyva 3'!Y$7+'Alternatyva 3'!Y$115</f>
        <v>-10212920.3630432</v>
      </c>
      <c r="Z45" s="14">
        <f>Z44-'Alternatyva 3'!Z$7+'Alternatyva 3'!Z$115</f>
        <v>-10212920.3630432</v>
      </c>
      <c r="AA45" s="14">
        <f>AA44-'Alternatyva 3'!AA$7+'Alternatyva 3'!AA$115</f>
        <v>-10212920.3630432</v>
      </c>
      <c r="AB45" s="14">
        <f>AB44-'Alternatyva 3'!AB$7+'Alternatyva 3'!AB$115</f>
        <v>-10212920.3630432</v>
      </c>
      <c r="AC45" s="14">
        <f>AC44-'Alternatyva 3'!AC$7+'Alternatyva 3'!AC$115</f>
        <v>-8501131.8160736002</v>
      </c>
      <c r="AD45" s="14">
        <f>AD44-'Alternatyva 3'!AD$7+'Alternatyva 3'!AD$115</f>
        <v>-8501131.8160736002</v>
      </c>
      <c r="AE45" s="14">
        <f>AE44-'Alternatyva 3'!AE$7+'Alternatyva 3'!AE$115</f>
        <v>-8501131.8160736002</v>
      </c>
      <c r="AF45" s="14">
        <f>AF44-'Alternatyva 3'!AF$7+'Alternatyva 3'!AF$115</f>
        <v>-8501131.8160736002</v>
      </c>
      <c r="AG45" s="14">
        <f>AG44-'Alternatyva 3'!AG$7+'Alternatyva 3'!AG$115</f>
        <v>-8501131.8160736002</v>
      </c>
      <c r="AH45" s="14">
        <f>AH44-'Alternatyva 3'!AH$7+'Alternatyva 3'!AH$115</f>
        <v>-8501131.8160736002</v>
      </c>
      <c r="AI45" s="14">
        <f>AI44-'Alternatyva 3'!AI$7+'Alternatyva 3'!AI$115</f>
        <v>-8501131.8160736002</v>
      </c>
      <c r="AJ45" s="14">
        <f>AJ44-'Alternatyva 3'!AJ$7+'Alternatyva 3'!AJ$115</f>
        <v>-8501131.8160736002</v>
      </c>
      <c r="AK45" s="14">
        <f>AK44-'Alternatyva 3'!AK$7+'Alternatyva 3'!AK$115</f>
        <v>-8501131.8160736002</v>
      </c>
      <c r="AL45" s="14">
        <f>AL44-'Alternatyva 3'!AL$7+'Alternatyva 3'!AL$115</f>
        <v>-8501131.8160736002</v>
      </c>
      <c r="AM45" s="14">
        <f>AM44-'Alternatyva 3'!AM$7+'Alternatyva 3'!AM$115</f>
        <v>-8501131.8160736002</v>
      </c>
      <c r="AN45" s="14">
        <f>AN44-'Alternatyva 3'!AN$7+'Alternatyva 3'!AN$115</f>
        <v>-8501131.8160736002</v>
      </c>
      <c r="AO45" s="14">
        <f>AO44-'Alternatyva 3'!AO$7+'Alternatyva 3'!AO$115</f>
        <v>-8501131.8160736002</v>
      </c>
      <c r="AP45" s="14">
        <f>AP44-'Alternatyva 3'!AP$7+'Alternatyva 3'!AP$115</f>
        <v>-8501131.8160736002</v>
      </c>
      <c r="AQ45" s="14">
        <f>AQ44-'Alternatyva 3'!AQ$7+'Alternatyva 3'!AQ$115</f>
        <v>-8501131.8160736002</v>
      </c>
      <c r="AR45" s="14">
        <f>AR44-'Alternatyva 3'!AR$7+'Alternatyva 3'!AR$115</f>
        <v>-8501131.8160736002</v>
      </c>
      <c r="AS45" s="14">
        <f>AS44-'Alternatyva 3'!AS$7+'Alternatyva 3'!AS$115</f>
        <v>-8501131.8160736002</v>
      </c>
      <c r="AT45" s="14">
        <f>AT44-'Alternatyva 3'!AT$7+'Alternatyva 3'!AT$115</f>
        <v>-8501131.8160736002</v>
      </c>
      <c r="AU45" s="14">
        <f>AU44-'Alternatyva 3'!AU$7+'Alternatyva 3'!AU$115</f>
        <v>-8501131.8160736002</v>
      </c>
      <c r="AV45" s="14">
        <f>AV44-'Alternatyva 3'!AV$7+'Alternatyva 3'!AV$115</f>
        <v>-8501131.8160736002</v>
      </c>
      <c r="AW45" s="14">
        <f>AW44-'Alternatyva 3'!AW$7+'Alternatyva 3'!AW$115</f>
        <v>-8501131.8160736002</v>
      </c>
      <c r="AX45" s="14">
        <f>AX44-'Alternatyva 3'!AX$7+'Alternatyva 3'!AX$115</f>
        <v>-8501131.8160736002</v>
      </c>
      <c r="AY45" s="14">
        <f>AY44-'Alternatyva 3'!AY$7+'Alternatyva 3'!AY$115</f>
        <v>-8501131.8160736002</v>
      </c>
      <c r="AZ45" s="14">
        <f>AZ44-'Alternatyva 3'!AZ$7+'Alternatyva 3'!AZ$115</f>
        <v>-8501131.8160736002</v>
      </c>
      <c r="BA45" s="14">
        <f>BA44-'Alternatyva 3'!BA$7+'Alternatyva 3'!BA$115</f>
        <v>-8501131.8160736002</v>
      </c>
      <c r="BB45" s="14">
        <f>BB44-'Alternatyva 3'!BB$7+'Alternatyva 3'!BB$115</f>
        <v>-8501131.8160736002</v>
      </c>
      <c r="BC45" s="14">
        <f>BC44-'Alternatyva 3'!BC$7+'Alternatyva 3'!BC$115</f>
        <v>-8501131.8160736002</v>
      </c>
      <c r="BD45" s="14">
        <f>BD44-'Alternatyva 3'!BD$7+'Alternatyva 3'!BD$115</f>
        <v>-8501131.8160736002</v>
      </c>
      <c r="BE45" s="14">
        <f>BE44-'Alternatyva 3'!BE$7+'Alternatyva 3'!BE$115</f>
        <v>-8501131.8160736002</v>
      </c>
      <c r="BF45" s="14">
        <f>BF44-'Alternatyva 3'!BF$7+'Alternatyva 3'!BF$115</f>
        <v>-8501131.8160736002</v>
      </c>
      <c r="BG45" s="14">
        <f>BG44-'Alternatyva 3'!BG$7+'Alternatyva 3'!BG$115</f>
        <v>-8501131.8160736002</v>
      </c>
      <c r="BH45" s="14">
        <f>BH44-'Alternatyva 3'!BH$7+'Alternatyva 3'!BH$115</f>
        <v>-8501131.8160736002</v>
      </c>
      <c r="BI45" s="14">
        <f>BI44-'Alternatyva 3'!BI$7+'Alternatyva 3'!BI$115</f>
        <v>-8501131.8160736002</v>
      </c>
      <c r="BJ45" s="14">
        <f>BJ44-'Alternatyva 3'!BJ$7+'Alternatyva 3'!BJ$115</f>
        <v>-8501131.8160736002</v>
      </c>
      <c r="BK45" s="14">
        <f>BK44-'Alternatyva 3'!BK$7+'Alternatyva 3'!BK$115</f>
        <v>-8501131.8160736002</v>
      </c>
      <c r="BL45" s="14">
        <f>BL44-'Alternatyva 3'!BL$7+'Alternatyva 3'!BL$115</f>
        <v>-8501131.8160736002</v>
      </c>
      <c r="BM45" s="14">
        <f>BM44-'Alternatyva 3'!BM$7+'Alternatyva 3'!BM$115</f>
        <v>-8501131.8160736002</v>
      </c>
      <c r="BN45" s="14">
        <f>BN44-'Alternatyva 3'!BN$7+'Alternatyva 3'!BN$115</f>
        <v>-8501131.8160736002</v>
      </c>
      <c r="BO45" s="14">
        <f>BO44-'Alternatyva 3'!BO$7+'Alternatyva 3'!BO$115</f>
        <v>-8501131.8160736002</v>
      </c>
      <c r="BP45" s="14">
        <f>BP44-'Alternatyva 3'!BP$7+'Alternatyva 3'!BP$115</f>
        <v>-8501131.8160736002</v>
      </c>
      <c r="BQ45" s="14">
        <f>BQ44-'Alternatyva 3'!BQ$7+'Alternatyva 3'!BQ$115</f>
        <v>-8501131.8160736002</v>
      </c>
      <c r="BR45" s="14">
        <f>BR44-'Alternatyva 3'!BR$7+'Alternatyva 3'!BR$115</f>
        <v>-8501131.8160736002</v>
      </c>
      <c r="BS45" s="14">
        <f>BS44-'Alternatyva 3'!BS$7+'Alternatyva 3'!BS$115</f>
        <v>-8501131.8160736002</v>
      </c>
      <c r="BT45" s="14">
        <f>BT44-'Alternatyva 3'!BT$7+'Alternatyva 3'!BT$115</f>
        <v>-8501131.8160736002</v>
      </c>
      <c r="BU45" s="14">
        <f>BU44-'Alternatyva 3'!BU$7+'Alternatyva 3'!BU$115</f>
        <v>-8501131.8160736002</v>
      </c>
      <c r="BV45" s="14">
        <f>BV44-'Alternatyva 3'!BV$7+'Alternatyva 3'!BV$115</f>
        <v>-8501131.8160736002</v>
      </c>
      <c r="BW45" s="14">
        <f>BW44-'Alternatyva 3'!BW$7+'Alternatyva 3'!BW$115</f>
        <v>-8501131.8160736002</v>
      </c>
      <c r="BX45" s="14">
        <f>BX44-'Alternatyva 3'!BX$7+'Alternatyva 3'!BX$115</f>
        <v>-8501131.8160736002</v>
      </c>
      <c r="BY45" s="14">
        <f>BY44-'Alternatyva 3'!BY$7+'Alternatyva 3'!BY$115</f>
        <v>-8501131.8160736002</v>
      </c>
      <c r="BZ45" s="14">
        <f>BZ44-'Alternatyva 3'!BZ$7+'Alternatyva 3'!BZ$115</f>
        <v>-8501131.8160736002</v>
      </c>
      <c r="CA45" s="14">
        <f>CA44-'Alternatyva 3'!CA$7+'Alternatyva 3'!CA$115</f>
        <v>-8501131.8160736002</v>
      </c>
      <c r="CB45" s="14">
        <f>CB44-'Alternatyva 3'!CB$7+'Alternatyva 3'!CB$115</f>
        <v>-8501131.8160736002</v>
      </c>
      <c r="CC45" s="14">
        <f>CC44-'Alternatyva 3'!CC$7+'Alternatyva 3'!CC$115</f>
        <v>-8501131.8160736002</v>
      </c>
      <c r="CD45" s="14">
        <f>CD44-'Alternatyva 3'!CD$7+'Alternatyva 3'!CD$115</f>
        <v>-8501131.8160736002</v>
      </c>
      <c r="CE45" s="14">
        <f>CE44-'Alternatyva 3'!CE$7+'Alternatyva 3'!CE$115</f>
        <v>-8501131.8160736002</v>
      </c>
      <c r="CF45" s="14">
        <f>CF44-'Alternatyva 3'!CF$7+'Alternatyva 3'!CF$115</f>
        <v>-8501131.8160736002</v>
      </c>
      <c r="CG45" s="14">
        <f>CG44-'Alternatyva 3'!CG$7+'Alternatyva 3'!CG$115</f>
        <v>-8501131.8160736002</v>
      </c>
      <c r="CH45" s="14">
        <f>CH44-'Alternatyva 3'!CH$7+'Alternatyva 3'!CH$115</f>
        <v>-8501131.8160736002</v>
      </c>
      <c r="CI45" s="14">
        <f>CI44-'Alternatyva 3'!CI$7+'Alternatyva 3'!CI$115</f>
        <v>-8501131.8160736002</v>
      </c>
      <c r="CJ45" s="14">
        <f>CJ44-'Alternatyva 3'!CJ$7+'Alternatyva 3'!CJ$115</f>
        <v>-8501131.8160736002</v>
      </c>
      <c r="CK45" s="14">
        <f>CK44-'Alternatyva 3'!CK$7+'Alternatyva 3'!CK$115</f>
        <v>-8501131.8160736002</v>
      </c>
      <c r="CL45" s="14">
        <f>CL44-'Alternatyva 3'!CL$7+'Alternatyva 3'!CL$115</f>
        <v>-8501131.8160736002</v>
      </c>
      <c r="CM45" s="14">
        <f>CM44-'Alternatyva 3'!CM$7+'Alternatyva 3'!CM$115</f>
        <v>-8501131.8160736002</v>
      </c>
      <c r="CN45" s="14">
        <f>CN44-'Alternatyva 3'!CN$7+'Alternatyva 3'!CN$115</f>
        <v>-8501131.8160736002</v>
      </c>
      <c r="CO45" s="14">
        <f>CO44-'Alternatyva 3'!CO$7+'Alternatyva 3'!CO$115</f>
        <v>-8501131.8160736002</v>
      </c>
      <c r="CP45" s="14">
        <f>CP44-'Alternatyva 3'!CP$7+'Alternatyva 3'!CP$115</f>
        <v>-8501131.8160736002</v>
      </c>
      <c r="CQ45" s="14">
        <f>CQ44-'Alternatyva 3'!CQ$7+'Alternatyva 3'!CQ$115</f>
        <v>-8501131.8160736002</v>
      </c>
      <c r="CR45" s="14">
        <f>CR44-'Alternatyva 3'!CR$7+'Alternatyva 3'!CR$115</f>
        <v>-8501131.8160736002</v>
      </c>
      <c r="CS45" s="14">
        <f>CS44-'Alternatyva 3'!CS$7+'Alternatyva 3'!CS$115</f>
        <v>-8501131.8160736002</v>
      </c>
      <c r="CT45" s="14">
        <f>CT44-'Alternatyva 3'!CT$7+'Alternatyva 3'!CT$115</f>
        <v>-8501131.8160736002</v>
      </c>
      <c r="CU45" s="14">
        <f>CU44-'Alternatyva 3'!CU$7+'Alternatyva 3'!CU$115</f>
        <v>-8501131.8160736002</v>
      </c>
      <c r="CV45" s="14">
        <f>CV44-'Alternatyva 3'!CV$7+'Alternatyva 3'!CV$115</f>
        <v>-8501131.8160736002</v>
      </c>
      <c r="CW45" s="14">
        <f>CW44-'Alternatyva 3'!CW$7+'Alternatyva 3'!CW$115</f>
        <v>-8501131.8160736002</v>
      </c>
      <c r="CX45" s="14">
        <f>CX44-'Alternatyva 3'!CX$7+'Alternatyva 3'!CX$115</f>
        <v>-8501131.8160736002</v>
      </c>
      <c r="CY45" s="14">
        <f>CY44-'Alternatyva 3'!CY$7+'Alternatyva 3'!CY$115</f>
        <v>-8501131.8160736002</v>
      </c>
      <c r="CZ45" s="14">
        <f>CZ44-'Alternatyva 3'!CZ$7+'Alternatyva 3'!CZ$115</f>
        <v>-8501131.8160736002</v>
      </c>
      <c r="DA45" s="14">
        <f>DA44-'Alternatyva 3'!DA$7+'Alternatyva 3'!DA$115</f>
        <v>-8501131.8160736002</v>
      </c>
      <c r="DB45" s="14">
        <f>DB44-'Alternatyva 3'!DB$7+'Alternatyva 3'!DB$115</f>
        <v>-8501131.8160736002</v>
      </c>
      <c r="DC45" s="14">
        <f>DC44-'Alternatyva 3'!DC$7+'Alternatyva 3'!DC$115</f>
        <v>-8501131.8160736002</v>
      </c>
    </row>
    <row r="46" spans="2:107" ht="14.25" hidden="1" customHeight="1">
      <c r="B46" s="806" t="s">
        <v>272</v>
      </c>
      <c r="C46" s="806"/>
      <c r="D46" s="806"/>
      <c r="E46" s="806"/>
      <c r="F46" s="43">
        <f>H45+NPV(FD,I45:INDEX(I45:DC45,PAL))</f>
        <v>-139533908.01183882</v>
      </c>
      <c r="G46" s="53"/>
    </row>
    <row r="47" spans="2:107" hidden="1">
      <c r="B47" s="806" t="s">
        <v>273</v>
      </c>
      <c r="C47" s="806"/>
      <c r="D47" s="806"/>
      <c r="E47" s="806"/>
      <c r="F47" s="173" t="str">
        <f>IFERROR(IRR(H45:INDEX(H45:DC45,PAL+1)),"-")</f>
        <v>-</v>
      </c>
      <c r="G47" s="45"/>
    </row>
    <row r="48" spans="2:107" hidden="1">
      <c r="B48" s="806" t="s">
        <v>200</v>
      </c>
      <c r="C48" s="806"/>
      <c r="D48" s="806"/>
      <c r="E48" s="806"/>
      <c r="F48" s="68">
        <f>IFERROR(IF('Alternatyva 3'!H$89&lt;0,SUM('Alternatyva 3'!F$100,-'Alternatyva 3'!H$115,-'Alternatyva 3'!F$89)/SUM('Alternatyva 3'!F$9,'Alternatyva 3'!F$8,-F44),SUM('Alternatyva 3'!F$100,-'Alternatyva 3'!H$115)/SUM('Alternatyva 3'!F$9,'Alternatyva 3'!F$8,-F44,'Alternatyva 3'!F$89)),"")</f>
        <v>2.5914692501103474E-2</v>
      </c>
      <c r="G48" s="45"/>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807" t="s">
        <v>197</v>
      </c>
      <c r="C51" s="807"/>
      <c r="D51" s="807"/>
      <c r="E51" s="807"/>
      <c r="F51" s="1"/>
      <c r="G51" s="12" t="s">
        <v>33</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806" t="s">
        <v>16</v>
      </c>
      <c r="C52" s="806"/>
      <c r="D52" s="806"/>
      <c r="E52" s="806"/>
      <c r="F52" s="43">
        <f>H52+NPV(FD,I52:INDEX(I52:DC52,PAL))</f>
        <v>0</v>
      </c>
      <c r="G52" s="59">
        <f>SUMIF($H$8:$DC$8,"&lt;="&amp;PAL,$H52:$DC52)</f>
        <v>0</v>
      </c>
      <c r="H52" s="69">
        <f>SUM('Alternatyva 4'!H$21,'Alternatyva 4'!H$32,'Alternatyva 4'!H$43,'Alternatyva 4'!H$55,'Alternatyva 4'!H$66,'Alternatyva 4'!H$77,'Alternatyva 4'!H$88)</f>
        <v>0</v>
      </c>
      <c r="I52" s="69">
        <f>SUM('Alternatyva 4'!I$21,'Alternatyva 4'!I$32,'Alternatyva 4'!I$43,'Alternatyva 4'!I$55,'Alternatyva 4'!I$66,'Alternatyva 4'!I$77,'Alternatyva 4'!I$88)</f>
        <v>0</v>
      </c>
      <c r="J52" s="69">
        <f>SUM('Alternatyva 4'!J$21,'Alternatyva 4'!J$32,'Alternatyva 4'!J$43,'Alternatyva 4'!J$55,'Alternatyva 4'!J$66,'Alternatyva 4'!J$77,'Alternatyva 4'!J$88)</f>
        <v>0</v>
      </c>
      <c r="K52" s="69">
        <f>SUM('Alternatyva 4'!K$21,'Alternatyva 4'!K$32,'Alternatyva 4'!K$43,'Alternatyva 4'!K$55,'Alternatyva 4'!K$66,'Alternatyva 4'!K$77,'Alternatyva 4'!K$88)</f>
        <v>0</v>
      </c>
      <c r="L52" s="69">
        <f>SUM('Alternatyva 4'!L$21,'Alternatyva 4'!L$32,'Alternatyva 4'!L$43,'Alternatyva 4'!L$55,'Alternatyva 4'!L$66,'Alternatyva 4'!L$77,'Alternatyva 4'!L$88)</f>
        <v>0</v>
      </c>
      <c r="M52" s="69">
        <f>SUM('Alternatyva 4'!M$21,'Alternatyva 4'!M$32,'Alternatyva 4'!M$43,'Alternatyva 4'!M$55,'Alternatyva 4'!M$66,'Alternatyva 4'!M$77,'Alternatyva 4'!M$88)</f>
        <v>0</v>
      </c>
      <c r="N52" s="69">
        <f>SUM('Alternatyva 4'!N$21,'Alternatyva 4'!N$32,'Alternatyva 4'!N$43,'Alternatyva 4'!N$55,'Alternatyva 4'!N$66,'Alternatyva 4'!N$77,'Alternatyva 4'!N$88)</f>
        <v>0</v>
      </c>
      <c r="O52" s="69">
        <f>SUM('Alternatyva 4'!O$21,'Alternatyva 4'!O$32,'Alternatyva 4'!O$43,'Alternatyva 4'!O$55,'Alternatyva 4'!O$66,'Alternatyva 4'!O$77,'Alternatyva 4'!O$88)</f>
        <v>0</v>
      </c>
      <c r="P52" s="69">
        <f>SUM('Alternatyva 4'!P$21,'Alternatyva 4'!P$32,'Alternatyva 4'!P$43,'Alternatyva 4'!P$55,'Alternatyva 4'!P$66,'Alternatyva 4'!P$77,'Alternatyva 4'!P$88)</f>
        <v>0</v>
      </c>
      <c r="Q52" s="69">
        <f>SUM('Alternatyva 4'!Q$21,'Alternatyva 4'!Q$32,'Alternatyva 4'!Q$43,'Alternatyva 4'!Q$55,'Alternatyva 4'!Q$66,'Alternatyva 4'!Q$77,'Alternatyva 4'!Q$88)</f>
        <v>0</v>
      </c>
      <c r="R52" s="69">
        <f>SUM('Alternatyva 4'!R$21,'Alternatyva 4'!R$32,'Alternatyva 4'!R$43,'Alternatyva 4'!R$55,'Alternatyva 4'!R$66,'Alternatyva 4'!R$77,'Alternatyva 4'!R$88)</f>
        <v>0</v>
      </c>
      <c r="S52" s="69">
        <f>SUM('Alternatyva 4'!S$21,'Alternatyva 4'!S$32,'Alternatyva 4'!S$43,'Alternatyva 4'!S$55,'Alternatyva 4'!S$66,'Alternatyva 4'!S$77,'Alternatyva 4'!S$88)</f>
        <v>0</v>
      </c>
      <c r="T52" s="69">
        <f>SUM('Alternatyva 4'!T$21,'Alternatyva 4'!T$32,'Alternatyva 4'!T$43,'Alternatyva 4'!T$55,'Alternatyva 4'!T$66,'Alternatyva 4'!T$77,'Alternatyva 4'!T$88)</f>
        <v>0</v>
      </c>
      <c r="U52" s="69">
        <f>SUM('Alternatyva 4'!U$21,'Alternatyva 4'!U$32,'Alternatyva 4'!U$43,'Alternatyva 4'!U$55,'Alternatyva 4'!U$66,'Alternatyva 4'!U$77,'Alternatyva 4'!U$88)</f>
        <v>0</v>
      </c>
      <c r="V52" s="69">
        <f>SUM('Alternatyva 4'!V$21,'Alternatyva 4'!V$32,'Alternatyva 4'!V$43,'Alternatyva 4'!V$55,'Alternatyva 4'!V$66,'Alternatyva 4'!V$77,'Alternatyva 4'!V$88)</f>
        <v>0</v>
      </c>
      <c r="W52" s="69">
        <f>SUM('Alternatyva 4'!W$21,'Alternatyva 4'!W$32,'Alternatyva 4'!W$43,'Alternatyva 4'!W$55,'Alternatyva 4'!W$66,'Alternatyva 4'!W$77,'Alternatyva 4'!W$88)</f>
        <v>0</v>
      </c>
      <c r="X52" s="69">
        <f>SUM('Alternatyva 4'!X$21,'Alternatyva 4'!X$32,'Alternatyva 4'!X$43,'Alternatyva 4'!X$55,'Alternatyva 4'!X$66,'Alternatyva 4'!X$77,'Alternatyva 4'!X$88)</f>
        <v>0</v>
      </c>
      <c r="Y52" s="69">
        <f>SUM('Alternatyva 4'!Y$21,'Alternatyva 4'!Y$32,'Alternatyva 4'!Y$43,'Alternatyva 4'!Y$55,'Alternatyva 4'!Y$66,'Alternatyva 4'!Y$77,'Alternatyva 4'!Y$88)</f>
        <v>0</v>
      </c>
      <c r="Z52" s="69">
        <f>SUM('Alternatyva 4'!Z$21,'Alternatyva 4'!Z$32,'Alternatyva 4'!Z$43,'Alternatyva 4'!Z$55,'Alternatyva 4'!Z$66,'Alternatyva 4'!Z$77,'Alternatyva 4'!Z$88)</f>
        <v>0</v>
      </c>
      <c r="AA52" s="69">
        <f>SUM('Alternatyva 4'!AA$21,'Alternatyva 4'!AA$32,'Alternatyva 4'!AA$43,'Alternatyva 4'!AA$55,'Alternatyva 4'!AA$66,'Alternatyva 4'!AA$77,'Alternatyva 4'!AA$88)</f>
        <v>0</v>
      </c>
      <c r="AB52" s="69">
        <f>SUM('Alternatyva 4'!AB$21,'Alternatyva 4'!AB$32,'Alternatyva 4'!AB$43,'Alternatyva 4'!AB$55,'Alternatyva 4'!AB$66,'Alternatyva 4'!AB$77,'Alternatyva 4'!AB$88)</f>
        <v>0</v>
      </c>
      <c r="AC52" s="69">
        <f>SUM('Alternatyva 4'!AC$21,'Alternatyva 4'!AC$32,'Alternatyva 4'!AC$43,'Alternatyva 4'!AC$55,'Alternatyva 4'!AC$66,'Alternatyva 4'!AC$77,'Alternatyva 4'!AC$88)</f>
        <v>0</v>
      </c>
      <c r="AD52" s="69">
        <f>SUM('Alternatyva 4'!AD$21,'Alternatyva 4'!AD$32,'Alternatyva 4'!AD$43,'Alternatyva 4'!AD$55,'Alternatyva 4'!AD$66,'Alternatyva 4'!AD$77,'Alternatyva 4'!AD$88)</f>
        <v>0</v>
      </c>
      <c r="AE52" s="69">
        <f>SUM('Alternatyva 4'!AE$21,'Alternatyva 4'!AE$32,'Alternatyva 4'!AE$43,'Alternatyva 4'!AE$55,'Alternatyva 4'!AE$66,'Alternatyva 4'!AE$77,'Alternatyva 4'!AE$88)</f>
        <v>0</v>
      </c>
      <c r="AF52" s="69">
        <f>SUM('Alternatyva 4'!AF$21,'Alternatyva 4'!AF$32,'Alternatyva 4'!AF$43,'Alternatyva 4'!AF$55,'Alternatyva 4'!AF$66,'Alternatyva 4'!AF$77,'Alternatyva 4'!AF$88)</f>
        <v>0</v>
      </c>
      <c r="AG52" s="69">
        <f>SUM('Alternatyva 4'!AG$21,'Alternatyva 4'!AG$32,'Alternatyva 4'!AG$43,'Alternatyva 4'!AG$55,'Alternatyva 4'!AG$66,'Alternatyva 4'!AG$77,'Alternatyva 4'!AG$88)</f>
        <v>0</v>
      </c>
      <c r="AH52" s="69">
        <f>SUM('Alternatyva 4'!AH$21,'Alternatyva 4'!AH$32,'Alternatyva 4'!AH$43,'Alternatyva 4'!AH$55,'Alternatyva 4'!AH$66,'Alternatyva 4'!AH$77,'Alternatyva 4'!AH$88)</f>
        <v>0</v>
      </c>
      <c r="AI52" s="69">
        <f>SUM('Alternatyva 4'!AI$21,'Alternatyva 4'!AI$32,'Alternatyva 4'!AI$43,'Alternatyva 4'!AI$55,'Alternatyva 4'!AI$66,'Alternatyva 4'!AI$77,'Alternatyva 4'!AI$88)</f>
        <v>0</v>
      </c>
      <c r="AJ52" s="69">
        <f>SUM('Alternatyva 4'!AJ$21,'Alternatyva 4'!AJ$32,'Alternatyva 4'!AJ$43,'Alternatyva 4'!AJ$55,'Alternatyva 4'!AJ$66,'Alternatyva 4'!AJ$77,'Alternatyva 4'!AJ$88)</f>
        <v>0</v>
      </c>
      <c r="AK52" s="69">
        <f>SUM('Alternatyva 4'!AK$21,'Alternatyva 4'!AK$32,'Alternatyva 4'!AK$43,'Alternatyva 4'!AK$55,'Alternatyva 4'!AK$66,'Alternatyva 4'!AK$77,'Alternatyva 4'!AK$88)</f>
        <v>0</v>
      </c>
      <c r="AL52" s="69">
        <f>SUM('Alternatyva 4'!AL$21,'Alternatyva 4'!AL$32,'Alternatyva 4'!AL$43,'Alternatyva 4'!AL$55,'Alternatyva 4'!AL$66,'Alternatyva 4'!AL$77,'Alternatyva 4'!AL$88)</f>
        <v>0</v>
      </c>
      <c r="AM52" s="69">
        <f>SUM('Alternatyva 4'!AM$21,'Alternatyva 4'!AM$32,'Alternatyva 4'!AM$43,'Alternatyva 4'!AM$55,'Alternatyva 4'!AM$66,'Alternatyva 4'!AM$77,'Alternatyva 4'!AM$88)</f>
        <v>0</v>
      </c>
      <c r="AN52" s="69">
        <f>SUM('Alternatyva 4'!AN$21,'Alternatyva 4'!AN$32,'Alternatyva 4'!AN$43,'Alternatyva 4'!AN$55,'Alternatyva 4'!AN$66,'Alternatyva 4'!AN$77,'Alternatyva 4'!AN$88)</f>
        <v>0</v>
      </c>
      <c r="AO52" s="69">
        <f>SUM('Alternatyva 4'!AO$21,'Alternatyva 4'!AO$32,'Alternatyva 4'!AO$43,'Alternatyva 4'!AO$55,'Alternatyva 4'!AO$66,'Alternatyva 4'!AO$77,'Alternatyva 4'!AO$88)</f>
        <v>0</v>
      </c>
      <c r="AP52" s="69">
        <f>SUM('Alternatyva 4'!AP$21,'Alternatyva 4'!AP$32,'Alternatyva 4'!AP$43,'Alternatyva 4'!AP$55,'Alternatyva 4'!AP$66,'Alternatyva 4'!AP$77,'Alternatyva 4'!AP$88)</f>
        <v>0</v>
      </c>
      <c r="AQ52" s="69">
        <f>SUM('Alternatyva 4'!AQ$21,'Alternatyva 4'!AQ$32,'Alternatyva 4'!AQ$43,'Alternatyva 4'!AQ$55,'Alternatyva 4'!AQ$66,'Alternatyva 4'!AQ$77,'Alternatyva 4'!AQ$88)</f>
        <v>0</v>
      </c>
      <c r="AR52" s="69">
        <f>SUM('Alternatyva 4'!AR$21,'Alternatyva 4'!AR$32,'Alternatyva 4'!AR$43,'Alternatyva 4'!AR$55,'Alternatyva 4'!AR$66,'Alternatyva 4'!AR$77,'Alternatyva 4'!AR$88)</f>
        <v>0</v>
      </c>
      <c r="AS52" s="69">
        <f>SUM('Alternatyva 4'!AS$21,'Alternatyva 4'!AS$32,'Alternatyva 4'!AS$43,'Alternatyva 4'!AS$55,'Alternatyva 4'!AS$66,'Alternatyva 4'!AS$77,'Alternatyva 4'!AS$88)</f>
        <v>0</v>
      </c>
      <c r="AT52" s="69">
        <f>SUM('Alternatyva 4'!AT$21,'Alternatyva 4'!AT$32,'Alternatyva 4'!AT$43,'Alternatyva 4'!AT$55,'Alternatyva 4'!AT$66,'Alternatyva 4'!AT$77,'Alternatyva 4'!AT$88)</f>
        <v>0</v>
      </c>
      <c r="AU52" s="69">
        <f>SUM('Alternatyva 4'!AU$21,'Alternatyva 4'!AU$32,'Alternatyva 4'!AU$43,'Alternatyva 4'!AU$55,'Alternatyva 4'!AU$66,'Alternatyva 4'!AU$77,'Alternatyva 4'!AU$88)</f>
        <v>0</v>
      </c>
      <c r="AV52" s="69">
        <f>SUM('Alternatyva 4'!AV$21,'Alternatyva 4'!AV$32,'Alternatyva 4'!AV$43,'Alternatyva 4'!AV$55,'Alternatyva 4'!AV$66,'Alternatyva 4'!AV$77,'Alternatyva 4'!AV$88)</f>
        <v>0</v>
      </c>
      <c r="AW52" s="69">
        <f>SUM('Alternatyva 4'!AW$21,'Alternatyva 4'!AW$32,'Alternatyva 4'!AW$43,'Alternatyva 4'!AW$55,'Alternatyva 4'!AW$66,'Alternatyva 4'!AW$77,'Alternatyva 4'!AW$88)</f>
        <v>0</v>
      </c>
      <c r="AX52" s="69">
        <f>SUM('Alternatyva 4'!AX$21,'Alternatyva 4'!AX$32,'Alternatyva 4'!AX$43,'Alternatyva 4'!AX$55,'Alternatyva 4'!AX$66,'Alternatyva 4'!AX$77,'Alternatyva 4'!AX$88)</f>
        <v>0</v>
      </c>
      <c r="AY52" s="69">
        <f>SUM('Alternatyva 4'!AY$21,'Alternatyva 4'!AY$32,'Alternatyva 4'!AY$43,'Alternatyva 4'!AY$55,'Alternatyva 4'!AY$66,'Alternatyva 4'!AY$77,'Alternatyva 4'!AY$88)</f>
        <v>0</v>
      </c>
      <c r="AZ52" s="69">
        <f>SUM('Alternatyva 4'!AZ$21,'Alternatyva 4'!AZ$32,'Alternatyva 4'!AZ$43,'Alternatyva 4'!AZ$55,'Alternatyva 4'!AZ$66,'Alternatyva 4'!AZ$77,'Alternatyva 4'!AZ$88)</f>
        <v>0</v>
      </c>
      <c r="BA52" s="69">
        <f>SUM('Alternatyva 4'!BA$21,'Alternatyva 4'!BA$32,'Alternatyva 4'!BA$43,'Alternatyva 4'!BA$55,'Alternatyva 4'!BA$66,'Alternatyva 4'!BA$77,'Alternatyva 4'!BA$88)</f>
        <v>0</v>
      </c>
      <c r="BB52" s="69">
        <f>SUM('Alternatyva 4'!BB$21,'Alternatyva 4'!BB$32,'Alternatyva 4'!BB$43,'Alternatyva 4'!BB$55,'Alternatyva 4'!BB$66,'Alternatyva 4'!BB$77,'Alternatyva 4'!BB$88)</f>
        <v>0</v>
      </c>
      <c r="BC52" s="69">
        <f>SUM('Alternatyva 4'!BC$21,'Alternatyva 4'!BC$32,'Alternatyva 4'!BC$43,'Alternatyva 4'!BC$55,'Alternatyva 4'!BC$66,'Alternatyva 4'!BC$77,'Alternatyva 4'!BC$88)</f>
        <v>0</v>
      </c>
      <c r="BD52" s="69">
        <f>SUM('Alternatyva 4'!BD$21,'Alternatyva 4'!BD$32,'Alternatyva 4'!BD$43,'Alternatyva 4'!BD$55,'Alternatyva 4'!BD$66,'Alternatyva 4'!BD$77,'Alternatyva 4'!BD$88)</f>
        <v>0</v>
      </c>
      <c r="BE52" s="69">
        <f>SUM('Alternatyva 4'!BE$21,'Alternatyva 4'!BE$32,'Alternatyva 4'!BE$43,'Alternatyva 4'!BE$55,'Alternatyva 4'!BE$66,'Alternatyva 4'!BE$77,'Alternatyva 4'!BE$88)</f>
        <v>0</v>
      </c>
      <c r="BF52" s="69">
        <f>SUM('Alternatyva 4'!BF$21,'Alternatyva 4'!BF$32,'Alternatyva 4'!BF$43,'Alternatyva 4'!BF$55,'Alternatyva 4'!BF$66,'Alternatyva 4'!BF$77,'Alternatyva 4'!BF$88)</f>
        <v>0</v>
      </c>
      <c r="BG52" s="69">
        <f>SUM('Alternatyva 4'!BG$21,'Alternatyva 4'!BG$32,'Alternatyva 4'!BG$43,'Alternatyva 4'!BG$55,'Alternatyva 4'!BG$66,'Alternatyva 4'!BG$77,'Alternatyva 4'!BG$88)</f>
        <v>0</v>
      </c>
      <c r="BH52" s="69">
        <f>SUM('Alternatyva 4'!BH$21,'Alternatyva 4'!BH$32,'Alternatyva 4'!BH$43,'Alternatyva 4'!BH$55,'Alternatyva 4'!BH$66,'Alternatyva 4'!BH$77,'Alternatyva 4'!BH$88)</f>
        <v>0</v>
      </c>
      <c r="BI52" s="69">
        <f>SUM('Alternatyva 4'!BI$21,'Alternatyva 4'!BI$32,'Alternatyva 4'!BI$43,'Alternatyva 4'!BI$55,'Alternatyva 4'!BI$66,'Alternatyva 4'!BI$77,'Alternatyva 4'!BI$88)</f>
        <v>0</v>
      </c>
      <c r="BJ52" s="69">
        <f>SUM('Alternatyva 4'!BJ$21,'Alternatyva 4'!BJ$32,'Alternatyva 4'!BJ$43,'Alternatyva 4'!BJ$55,'Alternatyva 4'!BJ$66,'Alternatyva 4'!BJ$77,'Alternatyva 4'!BJ$88)</f>
        <v>0</v>
      </c>
      <c r="BK52" s="69">
        <f>SUM('Alternatyva 4'!BK$21,'Alternatyva 4'!BK$32,'Alternatyva 4'!BK$43,'Alternatyva 4'!BK$55,'Alternatyva 4'!BK$66,'Alternatyva 4'!BK$77,'Alternatyva 4'!BK$88)</f>
        <v>0</v>
      </c>
      <c r="BL52" s="69">
        <f>SUM('Alternatyva 4'!BL$21,'Alternatyva 4'!BL$32,'Alternatyva 4'!BL$43,'Alternatyva 4'!BL$55,'Alternatyva 4'!BL$66,'Alternatyva 4'!BL$77,'Alternatyva 4'!BL$88)</f>
        <v>0</v>
      </c>
      <c r="BM52" s="69">
        <f>SUM('Alternatyva 4'!BM$21,'Alternatyva 4'!BM$32,'Alternatyva 4'!BM$43,'Alternatyva 4'!BM$55,'Alternatyva 4'!BM$66,'Alternatyva 4'!BM$77,'Alternatyva 4'!BM$88)</f>
        <v>0</v>
      </c>
      <c r="BN52" s="69">
        <f>SUM('Alternatyva 4'!BN$21,'Alternatyva 4'!BN$32,'Alternatyva 4'!BN$43,'Alternatyva 4'!BN$55,'Alternatyva 4'!BN$66,'Alternatyva 4'!BN$77,'Alternatyva 4'!BN$88)</f>
        <v>0</v>
      </c>
      <c r="BO52" s="69">
        <f>SUM('Alternatyva 4'!BO$21,'Alternatyva 4'!BO$32,'Alternatyva 4'!BO$43,'Alternatyva 4'!BO$55,'Alternatyva 4'!BO$66,'Alternatyva 4'!BO$77,'Alternatyva 4'!BO$88)</f>
        <v>0</v>
      </c>
      <c r="BP52" s="69">
        <f>SUM('Alternatyva 4'!BP$21,'Alternatyva 4'!BP$32,'Alternatyva 4'!BP$43,'Alternatyva 4'!BP$55,'Alternatyva 4'!BP$66,'Alternatyva 4'!BP$77,'Alternatyva 4'!BP$88)</f>
        <v>0</v>
      </c>
      <c r="BQ52" s="69">
        <f>SUM('Alternatyva 4'!BQ$21,'Alternatyva 4'!BQ$32,'Alternatyva 4'!BQ$43,'Alternatyva 4'!BQ$55,'Alternatyva 4'!BQ$66,'Alternatyva 4'!BQ$77,'Alternatyva 4'!BQ$88)</f>
        <v>0</v>
      </c>
      <c r="BR52" s="69">
        <f>SUM('Alternatyva 4'!BR$21,'Alternatyva 4'!BR$32,'Alternatyva 4'!BR$43,'Alternatyva 4'!BR$55,'Alternatyva 4'!BR$66,'Alternatyva 4'!BR$77,'Alternatyva 4'!BR$88)</f>
        <v>0</v>
      </c>
      <c r="BS52" s="69">
        <f>SUM('Alternatyva 4'!BS$21,'Alternatyva 4'!BS$32,'Alternatyva 4'!BS$43,'Alternatyva 4'!BS$55,'Alternatyva 4'!BS$66,'Alternatyva 4'!BS$77,'Alternatyva 4'!BS$88)</f>
        <v>0</v>
      </c>
      <c r="BT52" s="69">
        <f>SUM('Alternatyva 4'!BT$21,'Alternatyva 4'!BT$32,'Alternatyva 4'!BT$43,'Alternatyva 4'!BT$55,'Alternatyva 4'!BT$66,'Alternatyva 4'!BT$77,'Alternatyva 4'!BT$88)</f>
        <v>0</v>
      </c>
      <c r="BU52" s="69">
        <f>SUM('Alternatyva 4'!BU$21,'Alternatyva 4'!BU$32,'Alternatyva 4'!BU$43,'Alternatyva 4'!BU$55,'Alternatyva 4'!BU$66,'Alternatyva 4'!BU$77,'Alternatyva 4'!BU$88)</f>
        <v>0</v>
      </c>
      <c r="BV52" s="69">
        <f>SUM('Alternatyva 4'!BV$21,'Alternatyva 4'!BV$32,'Alternatyva 4'!BV$43,'Alternatyva 4'!BV$55,'Alternatyva 4'!BV$66,'Alternatyva 4'!BV$77,'Alternatyva 4'!BV$88)</f>
        <v>0</v>
      </c>
      <c r="BW52" s="69">
        <f>SUM('Alternatyva 4'!BW$21,'Alternatyva 4'!BW$32,'Alternatyva 4'!BW$43,'Alternatyva 4'!BW$55,'Alternatyva 4'!BW$66,'Alternatyva 4'!BW$77,'Alternatyva 4'!BW$88)</f>
        <v>0</v>
      </c>
      <c r="BX52" s="69">
        <f>SUM('Alternatyva 4'!BX$21,'Alternatyva 4'!BX$32,'Alternatyva 4'!BX$43,'Alternatyva 4'!BX$55,'Alternatyva 4'!BX$66,'Alternatyva 4'!BX$77,'Alternatyva 4'!BX$88)</f>
        <v>0</v>
      </c>
      <c r="BY52" s="69">
        <f>SUM('Alternatyva 4'!BY$21,'Alternatyva 4'!BY$32,'Alternatyva 4'!BY$43,'Alternatyva 4'!BY$55,'Alternatyva 4'!BY$66,'Alternatyva 4'!BY$77,'Alternatyva 4'!BY$88)</f>
        <v>0</v>
      </c>
      <c r="BZ52" s="69">
        <f>SUM('Alternatyva 4'!BZ$21,'Alternatyva 4'!BZ$32,'Alternatyva 4'!BZ$43,'Alternatyva 4'!BZ$55,'Alternatyva 4'!BZ$66,'Alternatyva 4'!BZ$77,'Alternatyva 4'!BZ$88)</f>
        <v>0</v>
      </c>
      <c r="CA52" s="69">
        <f>SUM('Alternatyva 4'!CA$21,'Alternatyva 4'!CA$32,'Alternatyva 4'!CA$43,'Alternatyva 4'!CA$55,'Alternatyva 4'!CA$66,'Alternatyva 4'!CA$77,'Alternatyva 4'!CA$88)</f>
        <v>0</v>
      </c>
      <c r="CB52" s="69">
        <f>SUM('Alternatyva 4'!CB$21,'Alternatyva 4'!CB$32,'Alternatyva 4'!CB$43,'Alternatyva 4'!CB$55,'Alternatyva 4'!CB$66,'Alternatyva 4'!CB$77,'Alternatyva 4'!CB$88)</f>
        <v>0</v>
      </c>
      <c r="CC52" s="69">
        <f>SUM('Alternatyva 4'!CC$21,'Alternatyva 4'!CC$32,'Alternatyva 4'!CC$43,'Alternatyva 4'!CC$55,'Alternatyva 4'!CC$66,'Alternatyva 4'!CC$77,'Alternatyva 4'!CC$88)</f>
        <v>0</v>
      </c>
      <c r="CD52" s="69">
        <f>SUM('Alternatyva 4'!CD$21,'Alternatyva 4'!CD$32,'Alternatyva 4'!CD$43,'Alternatyva 4'!CD$55,'Alternatyva 4'!CD$66,'Alternatyva 4'!CD$77,'Alternatyva 4'!CD$88)</f>
        <v>0</v>
      </c>
      <c r="CE52" s="69">
        <f>SUM('Alternatyva 4'!CE$21,'Alternatyva 4'!CE$32,'Alternatyva 4'!CE$43,'Alternatyva 4'!CE$55,'Alternatyva 4'!CE$66,'Alternatyva 4'!CE$77,'Alternatyva 4'!CE$88)</f>
        <v>0</v>
      </c>
      <c r="CF52" s="69">
        <f>SUM('Alternatyva 4'!CF$21,'Alternatyva 4'!CF$32,'Alternatyva 4'!CF$43,'Alternatyva 4'!CF$55,'Alternatyva 4'!CF$66,'Alternatyva 4'!CF$77,'Alternatyva 4'!CF$88)</f>
        <v>0</v>
      </c>
      <c r="CG52" s="69">
        <f>SUM('Alternatyva 4'!CG$21,'Alternatyva 4'!CG$32,'Alternatyva 4'!CG$43,'Alternatyva 4'!CG$55,'Alternatyva 4'!CG$66,'Alternatyva 4'!CG$77,'Alternatyva 4'!CG$88)</f>
        <v>0</v>
      </c>
      <c r="CH52" s="69">
        <f>SUM('Alternatyva 4'!CH$21,'Alternatyva 4'!CH$32,'Alternatyva 4'!CH$43,'Alternatyva 4'!CH$55,'Alternatyva 4'!CH$66,'Alternatyva 4'!CH$77,'Alternatyva 4'!CH$88)</f>
        <v>0</v>
      </c>
      <c r="CI52" s="69">
        <f>SUM('Alternatyva 4'!CI$21,'Alternatyva 4'!CI$32,'Alternatyva 4'!CI$43,'Alternatyva 4'!CI$55,'Alternatyva 4'!CI$66,'Alternatyva 4'!CI$77,'Alternatyva 4'!CI$88)</f>
        <v>0</v>
      </c>
      <c r="CJ52" s="69">
        <f>SUM('Alternatyva 4'!CJ$21,'Alternatyva 4'!CJ$32,'Alternatyva 4'!CJ$43,'Alternatyva 4'!CJ$55,'Alternatyva 4'!CJ$66,'Alternatyva 4'!CJ$77,'Alternatyva 4'!CJ$88)</f>
        <v>0</v>
      </c>
      <c r="CK52" s="69">
        <f>SUM('Alternatyva 4'!CK$21,'Alternatyva 4'!CK$32,'Alternatyva 4'!CK$43,'Alternatyva 4'!CK$55,'Alternatyva 4'!CK$66,'Alternatyva 4'!CK$77,'Alternatyva 4'!CK$88)</f>
        <v>0</v>
      </c>
      <c r="CL52" s="69">
        <f>SUM('Alternatyva 4'!CL$21,'Alternatyva 4'!CL$32,'Alternatyva 4'!CL$43,'Alternatyva 4'!CL$55,'Alternatyva 4'!CL$66,'Alternatyva 4'!CL$77,'Alternatyva 4'!CL$88)</f>
        <v>0</v>
      </c>
      <c r="CM52" s="69">
        <f>SUM('Alternatyva 4'!CM$21,'Alternatyva 4'!CM$32,'Alternatyva 4'!CM$43,'Alternatyva 4'!CM$55,'Alternatyva 4'!CM$66,'Alternatyva 4'!CM$77,'Alternatyva 4'!CM$88)</f>
        <v>0</v>
      </c>
      <c r="CN52" s="69">
        <f>SUM('Alternatyva 4'!CN$21,'Alternatyva 4'!CN$32,'Alternatyva 4'!CN$43,'Alternatyva 4'!CN$55,'Alternatyva 4'!CN$66,'Alternatyva 4'!CN$77,'Alternatyva 4'!CN$88)</f>
        <v>0</v>
      </c>
      <c r="CO52" s="69">
        <f>SUM('Alternatyva 4'!CO$21,'Alternatyva 4'!CO$32,'Alternatyva 4'!CO$43,'Alternatyva 4'!CO$55,'Alternatyva 4'!CO$66,'Alternatyva 4'!CO$77,'Alternatyva 4'!CO$88)</f>
        <v>0</v>
      </c>
      <c r="CP52" s="69">
        <f>SUM('Alternatyva 4'!CP$21,'Alternatyva 4'!CP$32,'Alternatyva 4'!CP$43,'Alternatyva 4'!CP$55,'Alternatyva 4'!CP$66,'Alternatyva 4'!CP$77,'Alternatyva 4'!CP$88)</f>
        <v>0</v>
      </c>
      <c r="CQ52" s="69">
        <f>SUM('Alternatyva 4'!CQ$21,'Alternatyva 4'!CQ$32,'Alternatyva 4'!CQ$43,'Alternatyva 4'!CQ$55,'Alternatyva 4'!CQ$66,'Alternatyva 4'!CQ$77,'Alternatyva 4'!CQ$88)</f>
        <v>0</v>
      </c>
      <c r="CR52" s="69">
        <f>SUM('Alternatyva 4'!CR$21,'Alternatyva 4'!CR$32,'Alternatyva 4'!CR$43,'Alternatyva 4'!CR$55,'Alternatyva 4'!CR$66,'Alternatyva 4'!CR$77,'Alternatyva 4'!CR$88)</f>
        <v>0</v>
      </c>
      <c r="CS52" s="69">
        <f>SUM('Alternatyva 4'!CS$21,'Alternatyva 4'!CS$32,'Alternatyva 4'!CS$43,'Alternatyva 4'!CS$55,'Alternatyva 4'!CS$66,'Alternatyva 4'!CS$77,'Alternatyva 4'!CS$88)</f>
        <v>0</v>
      </c>
      <c r="CT52" s="69">
        <f>SUM('Alternatyva 4'!CT$21,'Alternatyva 4'!CT$32,'Alternatyva 4'!CT$43,'Alternatyva 4'!CT$55,'Alternatyva 4'!CT$66,'Alternatyva 4'!CT$77,'Alternatyva 4'!CT$88)</f>
        <v>0</v>
      </c>
      <c r="CU52" s="69">
        <f>SUM('Alternatyva 4'!CU$21,'Alternatyva 4'!CU$32,'Alternatyva 4'!CU$43,'Alternatyva 4'!CU$55,'Alternatyva 4'!CU$66,'Alternatyva 4'!CU$77,'Alternatyva 4'!CU$88)</f>
        <v>0</v>
      </c>
      <c r="CV52" s="69">
        <f>SUM('Alternatyva 4'!CV$21,'Alternatyva 4'!CV$32,'Alternatyva 4'!CV$43,'Alternatyva 4'!CV$55,'Alternatyva 4'!CV$66,'Alternatyva 4'!CV$77,'Alternatyva 4'!CV$88)</f>
        <v>0</v>
      </c>
      <c r="CW52" s="69">
        <f>SUM('Alternatyva 4'!CW$21,'Alternatyva 4'!CW$32,'Alternatyva 4'!CW$43,'Alternatyva 4'!CW$55,'Alternatyva 4'!CW$66,'Alternatyva 4'!CW$77,'Alternatyva 4'!CW$88)</f>
        <v>0</v>
      </c>
      <c r="CX52" s="69">
        <f>SUM('Alternatyva 4'!CX$21,'Alternatyva 4'!CX$32,'Alternatyva 4'!CX$43,'Alternatyva 4'!CX$55,'Alternatyva 4'!CX$66,'Alternatyva 4'!CX$77,'Alternatyva 4'!CX$88)</f>
        <v>0</v>
      </c>
      <c r="CY52" s="69">
        <f>SUM('Alternatyva 4'!CY$21,'Alternatyva 4'!CY$32,'Alternatyva 4'!CY$43,'Alternatyva 4'!CY$55,'Alternatyva 4'!CY$66,'Alternatyva 4'!CY$77,'Alternatyva 4'!CY$88)</f>
        <v>0</v>
      </c>
      <c r="CZ52" s="69">
        <f>SUM('Alternatyva 4'!CZ$21,'Alternatyva 4'!CZ$32,'Alternatyva 4'!CZ$43,'Alternatyva 4'!CZ$55,'Alternatyva 4'!CZ$66,'Alternatyva 4'!CZ$77,'Alternatyva 4'!CZ$88)</f>
        <v>0</v>
      </c>
      <c r="DA52" s="69">
        <f>SUM('Alternatyva 4'!DA$21,'Alternatyva 4'!DA$32,'Alternatyva 4'!DA$43,'Alternatyva 4'!DA$55,'Alternatyva 4'!DA$66,'Alternatyva 4'!DA$77,'Alternatyva 4'!DA$88)</f>
        <v>0</v>
      </c>
      <c r="DB52" s="69">
        <f>SUM('Alternatyva 4'!DB$21,'Alternatyva 4'!DB$32,'Alternatyva 4'!DB$43,'Alternatyva 4'!DB$55,'Alternatyva 4'!DB$66,'Alternatyva 4'!DB$77,'Alternatyva 4'!DB$88)</f>
        <v>0</v>
      </c>
      <c r="DC52" s="69">
        <f>SUM('Alternatyva 4'!DC$21,'Alternatyva 4'!DC$32,'Alternatyva 4'!DC$43,'Alternatyva 4'!DC$55,'Alternatyva 4'!DC$66,'Alternatyva 4'!DC$77,'Alternatyva 4'!DC$88)</f>
        <v>0</v>
      </c>
    </row>
    <row r="53" spans="2:107" ht="14.25" hidden="1" customHeight="1">
      <c r="B53" s="808" t="s">
        <v>201</v>
      </c>
      <c r="C53" s="808"/>
      <c r="D53" s="808"/>
      <c r="E53" s="808"/>
      <c r="F53" s="67"/>
      <c r="G53" s="59">
        <f>SUMIF($H$8:$DC$8,"&lt;="&amp;PAL,$H53:$DC53)</f>
        <v>0</v>
      </c>
      <c r="H53" s="14">
        <f>H52-'Alternatyva 4'!H$7+'Alternatyva 4'!H$115</f>
        <v>0</v>
      </c>
      <c r="I53" s="14">
        <f>I52-'Alternatyva 4'!I$7+'Alternatyva 4'!I$115</f>
        <v>0</v>
      </c>
      <c r="J53" s="14">
        <f>J52-'Alternatyva 4'!J$7+'Alternatyva 4'!J$115</f>
        <v>0</v>
      </c>
      <c r="K53" s="14">
        <f>K52-'Alternatyva 4'!K$7+'Alternatyva 4'!K$115</f>
        <v>0</v>
      </c>
      <c r="L53" s="14">
        <f>L52-'Alternatyva 4'!L$7+'Alternatyva 4'!L$115</f>
        <v>0</v>
      </c>
      <c r="M53" s="14">
        <f>M52-'Alternatyva 4'!M$7+'Alternatyva 4'!M$115</f>
        <v>0</v>
      </c>
      <c r="N53" s="14">
        <f>N52-'Alternatyva 4'!N$7+'Alternatyva 4'!N$115</f>
        <v>0</v>
      </c>
      <c r="O53" s="14">
        <f>O52-'Alternatyva 4'!O$7+'Alternatyva 4'!O$115</f>
        <v>0</v>
      </c>
      <c r="P53" s="14">
        <f>P52-'Alternatyva 4'!P$7+'Alternatyva 4'!P$115</f>
        <v>0</v>
      </c>
      <c r="Q53" s="14">
        <f>Q52-'Alternatyva 4'!Q$7+'Alternatyva 4'!Q$115</f>
        <v>0</v>
      </c>
      <c r="R53" s="14">
        <f>R52-'Alternatyva 4'!R$7+'Alternatyva 4'!R$115</f>
        <v>0</v>
      </c>
      <c r="S53" s="14">
        <f>S52-'Alternatyva 4'!S$7+'Alternatyva 4'!S$115</f>
        <v>0</v>
      </c>
      <c r="T53" s="14">
        <f>T52-'Alternatyva 4'!T$7+'Alternatyva 4'!T$115</f>
        <v>0</v>
      </c>
      <c r="U53" s="14">
        <f>U52-'Alternatyva 4'!U$7+'Alternatyva 4'!U$115</f>
        <v>0</v>
      </c>
      <c r="V53" s="14">
        <f>V52-'Alternatyva 4'!V$7+'Alternatyva 4'!V$115</f>
        <v>0</v>
      </c>
      <c r="W53" s="14">
        <f>W52-'Alternatyva 4'!W$7+'Alternatyva 4'!W$115</f>
        <v>0</v>
      </c>
      <c r="X53" s="14">
        <f>X52-'Alternatyva 4'!X$7+'Alternatyva 4'!X$115</f>
        <v>0</v>
      </c>
      <c r="Y53" s="14">
        <f>Y52-'Alternatyva 4'!Y$7+'Alternatyva 4'!Y$115</f>
        <v>0</v>
      </c>
      <c r="Z53" s="14">
        <f>Z52-'Alternatyva 4'!Z$7+'Alternatyva 4'!Z$115</f>
        <v>0</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806" t="s">
        <v>272</v>
      </c>
      <c r="C54" s="806"/>
      <c r="D54" s="806"/>
      <c r="E54" s="806"/>
      <c r="F54" s="43">
        <f>H53+NPV(FD,I53:INDEX(I53:DC53,PAL))</f>
        <v>0</v>
      </c>
      <c r="G54" s="53"/>
    </row>
    <row r="55" spans="2:107" hidden="1">
      <c r="B55" s="806" t="s">
        <v>273</v>
      </c>
      <c r="C55" s="806"/>
      <c r="D55" s="806"/>
      <c r="E55" s="806"/>
      <c r="F55" s="173" t="str">
        <f>IFERROR(IRR(H53:INDEX(H53:DC53,PAL+1)),"-")</f>
        <v>-</v>
      </c>
      <c r="G55" s="45"/>
    </row>
    <row r="56" spans="2:107" hidden="1">
      <c r="B56" s="806" t="s">
        <v>200</v>
      </c>
      <c r="C56" s="806"/>
      <c r="D56" s="806"/>
      <c r="E56" s="806"/>
      <c r="F56" s="68" t="str">
        <f>IFERROR(IF('Alternatyva 4'!H$89&lt;0,SUM('Alternatyva 4'!F$100,-'Alternatyva 4'!H$115,-'Alternatyva 4'!F$89)/SUM('Alternatyva 4'!F$9,'Alternatyva 4'!F$8,-F52),SUM('Alternatyva 4'!F$100,-'Alternatyva 4'!H$115)/SUM('Alternatyva 4'!F$9,'Alternatyva 4'!F$8,-F52,'Alternatyva 4'!F$89)),"")</f>
        <v/>
      </c>
      <c r="G56" s="45"/>
    </row>
    <row r="57" spans="2:107" hidden="1"/>
    <row r="58" spans="2:107" hidden="1">
      <c r="B58" s="31" t="s">
        <v>13</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807" t="s">
        <v>197</v>
      </c>
      <c r="C59" s="807"/>
      <c r="D59" s="807"/>
      <c r="E59" s="807"/>
      <c r="F59" s="1"/>
      <c r="G59" s="12" t="s">
        <v>33</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806" t="s">
        <v>16</v>
      </c>
      <c r="C60" s="806"/>
      <c r="D60" s="806"/>
      <c r="E60" s="806"/>
      <c r="F60" s="43">
        <f>H60+NPV(FD,I60:INDEX(I60:DC60,PAL))</f>
        <v>0</v>
      </c>
      <c r="G60" s="59">
        <f>SUMIF($H$8:$DC$8,"&lt;="&amp;PAL,$H60:$DC60)</f>
        <v>0</v>
      </c>
      <c r="H60" s="69">
        <f>SUM('Alternatyva 5'!H$21,'Alternatyva 5'!H$32,'Alternatyva 5'!H$43,'Alternatyva 5'!H$55,'Alternatyva 5'!H$66,'Alternatyva 5'!H$77,'Alternatyva 5'!H$88)</f>
        <v>0</v>
      </c>
      <c r="I60" s="69">
        <f>SUM('Alternatyva 5'!I$21,'Alternatyva 5'!I$32,'Alternatyva 5'!I$43,'Alternatyva 5'!I$55,'Alternatyva 5'!I$66,'Alternatyva 5'!I$77,'Alternatyva 5'!I$88)</f>
        <v>0</v>
      </c>
      <c r="J60" s="69">
        <f>SUM('Alternatyva 5'!J$21,'Alternatyva 5'!J$32,'Alternatyva 5'!J$43,'Alternatyva 5'!J$55,'Alternatyva 5'!J$66,'Alternatyva 5'!J$77,'Alternatyva 5'!J$88)</f>
        <v>0</v>
      </c>
      <c r="K60" s="69">
        <f>SUM('Alternatyva 5'!K$21,'Alternatyva 5'!K$32,'Alternatyva 5'!K$43,'Alternatyva 5'!K$55,'Alternatyva 5'!K$66,'Alternatyva 5'!K$77,'Alternatyva 5'!K$88)</f>
        <v>0</v>
      </c>
      <c r="L60" s="69">
        <f>SUM('Alternatyva 5'!L$21,'Alternatyva 5'!L$32,'Alternatyva 5'!L$43,'Alternatyva 5'!L$55,'Alternatyva 5'!L$66,'Alternatyva 5'!L$77,'Alternatyva 5'!L$88)</f>
        <v>0</v>
      </c>
      <c r="M60" s="69">
        <f>SUM('Alternatyva 5'!M$21,'Alternatyva 5'!M$32,'Alternatyva 5'!M$43,'Alternatyva 5'!M$55,'Alternatyva 5'!M$66,'Alternatyva 5'!M$77,'Alternatyva 5'!M$88)</f>
        <v>0</v>
      </c>
      <c r="N60" s="69">
        <f>SUM('Alternatyva 5'!N$21,'Alternatyva 5'!N$32,'Alternatyva 5'!N$43,'Alternatyva 5'!N$55,'Alternatyva 5'!N$66,'Alternatyva 5'!N$77,'Alternatyva 5'!N$88)</f>
        <v>0</v>
      </c>
      <c r="O60" s="69">
        <f>SUM('Alternatyva 5'!O$21,'Alternatyva 5'!O$32,'Alternatyva 5'!O$43,'Alternatyva 5'!O$55,'Alternatyva 5'!O$66,'Alternatyva 5'!O$77,'Alternatyva 5'!O$88)</f>
        <v>0</v>
      </c>
      <c r="P60" s="69">
        <f>SUM('Alternatyva 5'!P$21,'Alternatyva 5'!P$32,'Alternatyva 5'!P$43,'Alternatyva 5'!P$55,'Alternatyva 5'!P$66,'Alternatyva 5'!P$77,'Alternatyva 5'!P$88)</f>
        <v>0</v>
      </c>
      <c r="Q60" s="69">
        <f>SUM('Alternatyva 5'!Q$21,'Alternatyva 5'!Q$32,'Alternatyva 5'!Q$43,'Alternatyva 5'!Q$55,'Alternatyva 5'!Q$66,'Alternatyva 5'!Q$77,'Alternatyva 5'!Q$88)</f>
        <v>0</v>
      </c>
      <c r="R60" s="69">
        <f>SUM('Alternatyva 5'!R$21,'Alternatyva 5'!R$32,'Alternatyva 5'!R$43,'Alternatyva 5'!R$55,'Alternatyva 5'!R$66,'Alternatyva 5'!R$77,'Alternatyva 5'!R$88)</f>
        <v>0</v>
      </c>
      <c r="S60" s="69">
        <f>SUM('Alternatyva 5'!S$21,'Alternatyva 5'!S$32,'Alternatyva 5'!S$43,'Alternatyva 5'!S$55,'Alternatyva 5'!S$66,'Alternatyva 5'!S$77,'Alternatyva 5'!S$88)</f>
        <v>0</v>
      </c>
      <c r="T60" s="69">
        <f>SUM('Alternatyva 5'!T$21,'Alternatyva 5'!T$32,'Alternatyva 5'!T$43,'Alternatyva 5'!T$55,'Alternatyva 5'!T$66,'Alternatyva 5'!T$77,'Alternatyva 5'!T$88)</f>
        <v>0</v>
      </c>
      <c r="U60" s="69">
        <f>SUM('Alternatyva 5'!U$21,'Alternatyva 5'!U$32,'Alternatyva 5'!U$43,'Alternatyva 5'!U$55,'Alternatyva 5'!U$66,'Alternatyva 5'!U$77,'Alternatyva 5'!U$88)</f>
        <v>0</v>
      </c>
      <c r="V60" s="69">
        <f>SUM('Alternatyva 5'!V$21,'Alternatyva 5'!V$32,'Alternatyva 5'!V$43,'Alternatyva 5'!V$55,'Alternatyva 5'!V$66,'Alternatyva 5'!V$77,'Alternatyva 5'!V$88)</f>
        <v>0</v>
      </c>
      <c r="W60" s="69">
        <f>SUM('Alternatyva 5'!W$21,'Alternatyva 5'!W$32,'Alternatyva 5'!W$43,'Alternatyva 5'!W$55,'Alternatyva 5'!W$66,'Alternatyva 5'!W$77,'Alternatyva 5'!W$88)</f>
        <v>0</v>
      </c>
      <c r="X60" s="69">
        <f>SUM('Alternatyva 5'!X$21,'Alternatyva 5'!X$32,'Alternatyva 5'!X$43,'Alternatyva 5'!X$55,'Alternatyva 5'!X$66,'Alternatyva 5'!X$77,'Alternatyva 5'!X$88)</f>
        <v>0</v>
      </c>
      <c r="Y60" s="69">
        <f>SUM('Alternatyva 5'!Y$21,'Alternatyva 5'!Y$32,'Alternatyva 5'!Y$43,'Alternatyva 5'!Y$55,'Alternatyva 5'!Y$66,'Alternatyva 5'!Y$77,'Alternatyva 5'!Y$88)</f>
        <v>0</v>
      </c>
      <c r="Z60" s="69">
        <f>SUM('Alternatyva 5'!Z$21,'Alternatyva 5'!Z$32,'Alternatyva 5'!Z$43,'Alternatyva 5'!Z$55,'Alternatyva 5'!Z$66,'Alternatyva 5'!Z$77,'Alternatyva 5'!Z$88)</f>
        <v>0</v>
      </c>
      <c r="AA60" s="69">
        <f>SUM('Alternatyva 5'!AA$21,'Alternatyva 5'!AA$32,'Alternatyva 5'!AA$43,'Alternatyva 5'!AA$55,'Alternatyva 5'!AA$66,'Alternatyva 5'!AA$77,'Alternatyva 5'!AA$88)</f>
        <v>0</v>
      </c>
      <c r="AB60" s="69">
        <f>SUM('Alternatyva 5'!AB$21,'Alternatyva 5'!AB$32,'Alternatyva 5'!AB$43,'Alternatyva 5'!AB$55,'Alternatyva 5'!AB$66,'Alternatyva 5'!AB$77,'Alternatyva 5'!AB$88)</f>
        <v>0</v>
      </c>
      <c r="AC60" s="69">
        <f>SUM('Alternatyva 5'!AC$21,'Alternatyva 5'!AC$32,'Alternatyva 5'!AC$43,'Alternatyva 5'!AC$55,'Alternatyva 5'!AC$66,'Alternatyva 5'!AC$77,'Alternatyva 5'!AC$88)</f>
        <v>0</v>
      </c>
      <c r="AD60" s="69">
        <f>SUM('Alternatyva 5'!AD$21,'Alternatyva 5'!AD$32,'Alternatyva 5'!AD$43,'Alternatyva 5'!AD$55,'Alternatyva 5'!AD$66,'Alternatyva 5'!AD$77,'Alternatyva 5'!AD$88)</f>
        <v>0</v>
      </c>
      <c r="AE60" s="69">
        <f>SUM('Alternatyva 5'!AE$21,'Alternatyva 5'!AE$32,'Alternatyva 5'!AE$43,'Alternatyva 5'!AE$55,'Alternatyva 5'!AE$66,'Alternatyva 5'!AE$77,'Alternatyva 5'!AE$88)</f>
        <v>0</v>
      </c>
      <c r="AF60" s="69">
        <f>SUM('Alternatyva 5'!AF$21,'Alternatyva 5'!AF$32,'Alternatyva 5'!AF$43,'Alternatyva 5'!AF$55,'Alternatyva 5'!AF$66,'Alternatyva 5'!AF$77,'Alternatyva 5'!AF$88)</f>
        <v>0</v>
      </c>
      <c r="AG60" s="69">
        <f>SUM('Alternatyva 5'!AG$21,'Alternatyva 5'!AG$32,'Alternatyva 5'!AG$43,'Alternatyva 5'!AG$55,'Alternatyva 5'!AG$66,'Alternatyva 5'!AG$77,'Alternatyva 5'!AG$88)</f>
        <v>0</v>
      </c>
      <c r="AH60" s="69">
        <f>SUM('Alternatyva 5'!AH$21,'Alternatyva 5'!AH$32,'Alternatyva 5'!AH$43,'Alternatyva 5'!AH$55,'Alternatyva 5'!AH$66,'Alternatyva 5'!AH$77,'Alternatyva 5'!AH$88)</f>
        <v>0</v>
      </c>
      <c r="AI60" s="69">
        <f>SUM('Alternatyva 5'!AI$21,'Alternatyva 5'!AI$32,'Alternatyva 5'!AI$43,'Alternatyva 5'!AI$55,'Alternatyva 5'!AI$66,'Alternatyva 5'!AI$77,'Alternatyva 5'!AI$88)</f>
        <v>0</v>
      </c>
      <c r="AJ60" s="69">
        <f>SUM('Alternatyva 5'!AJ$21,'Alternatyva 5'!AJ$32,'Alternatyva 5'!AJ$43,'Alternatyva 5'!AJ$55,'Alternatyva 5'!AJ$66,'Alternatyva 5'!AJ$77,'Alternatyva 5'!AJ$88)</f>
        <v>0</v>
      </c>
      <c r="AK60" s="69">
        <f>SUM('Alternatyva 5'!AK$21,'Alternatyva 5'!AK$32,'Alternatyva 5'!AK$43,'Alternatyva 5'!AK$55,'Alternatyva 5'!AK$66,'Alternatyva 5'!AK$77,'Alternatyva 5'!AK$88)</f>
        <v>0</v>
      </c>
      <c r="AL60" s="69">
        <f>SUM('Alternatyva 5'!AL$21,'Alternatyva 5'!AL$32,'Alternatyva 5'!AL$43,'Alternatyva 5'!AL$55,'Alternatyva 5'!AL$66,'Alternatyva 5'!AL$77,'Alternatyva 5'!AL$88)</f>
        <v>0</v>
      </c>
      <c r="AM60" s="69">
        <f>SUM('Alternatyva 5'!AM$21,'Alternatyva 5'!AM$32,'Alternatyva 5'!AM$43,'Alternatyva 5'!AM$55,'Alternatyva 5'!AM$66,'Alternatyva 5'!AM$77,'Alternatyva 5'!AM$88)</f>
        <v>0</v>
      </c>
      <c r="AN60" s="69">
        <f>SUM('Alternatyva 5'!AN$21,'Alternatyva 5'!AN$32,'Alternatyva 5'!AN$43,'Alternatyva 5'!AN$55,'Alternatyva 5'!AN$66,'Alternatyva 5'!AN$77,'Alternatyva 5'!AN$88)</f>
        <v>0</v>
      </c>
      <c r="AO60" s="69">
        <f>SUM('Alternatyva 5'!AO$21,'Alternatyva 5'!AO$32,'Alternatyva 5'!AO$43,'Alternatyva 5'!AO$55,'Alternatyva 5'!AO$66,'Alternatyva 5'!AO$77,'Alternatyva 5'!AO$88)</f>
        <v>0</v>
      </c>
      <c r="AP60" s="69">
        <f>SUM('Alternatyva 5'!AP$21,'Alternatyva 5'!AP$32,'Alternatyva 5'!AP$43,'Alternatyva 5'!AP$55,'Alternatyva 5'!AP$66,'Alternatyva 5'!AP$77,'Alternatyva 5'!AP$88)</f>
        <v>0</v>
      </c>
      <c r="AQ60" s="69">
        <f>SUM('Alternatyva 5'!AQ$21,'Alternatyva 5'!AQ$32,'Alternatyva 5'!AQ$43,'Alternatyva 5'!AQ$55,'Alternatyva 5'!AQ$66,'Alternatyva 5'!AQ$77,'Alternatyva 5'!AQ$88)</f>
        <v>0</v>
      </c>
      <c r="AR60" s="69">
        <f>SUM('Alternatyva 5'!AR$21,'Alternatyva 5'!AR$32,'Alternatyva 5'!AR$43,'Alternatyva 5'!AR$55,'Alternatyva 5'!AR$66,'Alternatyva 5'!AR$77,'Alternatyva 5'!AR$88)</f>
        <v>0</v>
      </c>
      <c r="AS60" s="69">
        <f>SUM('Alternatyva 5'!AS$21,'Alternatyva 5'!AS$32,'Alternatyva 5'!AS$43,'Alternatyva 5'!AS$55,'Alternatyva 5'!AS$66,'Alternatyva 5'!AS$77,'Alternatyva 5'!AS$88)</f>
        <v>0</v>
      </c>
      <c r="AT60" s="69">
        <f>SUM('Alternatyva 5'!AT$21,'Alternatyva 5'!AT$32,'Alternatyva 5'!AT$43,'Alternatyva 5'!AT$55,'Alternatyva 5'!AT$66,'Alternatyva 5'!AT$77,'Alternatyva 5'!AT$88)</f>
        <v>0</v>
      </c>
      <c r="AU60" s="69">
        <f>SUM('Alternatyva 5'!AU$21,'Alternatyva 5'!AU$32,'Alternatyva 5'!AU$43,'Alternatyva 5'!AU$55,'Alternatyva 5'!AU$66,'Alternatyva 5'!AU$77,'Alternatyva 5'!AU$88)</f>
        <v>0</v>
      </c>
      <c r="AV60" s="69">
        <f>SUM('Alternatyva 5'!AV$21,'Alternatyva 5'!AV$32,'Alternatyva 5'!AV$43,'Alternatyva 5'!AV$55,'Alternatyva 5'!AV$66,'Alternatyva 5'!AV$77,'Alternatyva 5'!AV$88)</f>
        <v>0</v>
      </c>
      <c r="AW60" s="69">
        <f>SUM('Alternatyva 5'!AW$21,'Alternatyva 5'!AW$32,'Alternatyva 5'!AW$43,'Alternatyva 5'!AW$55,'Alternatyva 5'!AW$66,'Alternatyva 5'!AW$77,'Alternatyva 5'!AW$88)</f>
        <v>0</v>
      </c>
      <c r="AX60" s="69">
        <f>SUM('Alternatyva 5'!AX$21,'Alternatyva 5'!AX$32,'Alternatyva 5'!AX$43,'Alternatyva 5'!AX$55,'Alternatyva 5'!AX$66,'Alternatyva 5'!AX$77,'Alternatyva 5'!AX$88)</f>
        <v>0</v>
      </c>
      <c r="AY60" s="69">
        <f>SUM('Alternatyva 5'!AY$21,'Alternatyva 5'!AY$32,'Alternatyva 5'!AY$43,'Alternatyva 5'!AY$55,'Alternatyva 5'!AY$66,'Alternatyva 5'!AY$77,'Alternatyva 5'!AY$88)</f>
        <v>0</v>
      </c>
      <c r="AZ60" s="69">
        <f>SUM('Alternatyva 5'!AZ$21,'Alternatyva 5'!AZ$32,'Alternatyva 5'!AZ$43,'Alternatyva 5'!AZ$55,'Alternatyva 5'!AZ$66,'Alternatyva 5'!AZ$77,'Alternatyva 5'!AZ$88)</f>
        <v>0</v>
      </c>
      <c r="BA60" s="69">
        <f>SUM('Alternatyva 5'!BA$21,'Alternatyva 5'!BA$32,'Alternatyva 5'!BA$43,'Alternatyva 5'!BA$55,'Alternatyva 5'!BA$66,'Alternatyva 5'!BA$77,'Alternatyva 5'!BA$88)</f>
        <v>0</v>
      </c>
      <c r="BB60" s="69">
        <f>SUM('Alternatyva 5'!BB$21,'Alternatyva 5'!BB$32,'Alternatyva 5'!BB$43,'Alternatyva 5'!BB$55,'Alternatyva 5'!BB$66,'Alternatyva 5'!BB$77,'Alternatyva 5'!BB$88)</f>
        <v>0</v>
      </c>
      <c r="BC60" s="69">
        <f>SUM('Alternatyva 5'!BC$21,'Alternatyva 5'!BC$32,'Alternatyva 5'!BC$43,'Alternatyva 5'!BC$55,'Alternatyva 5'!BC$66,'Alternatyva 5'!BC$77,'Alternatyva 5'!BC$88)</f>
        <v>0</v>
      </c>
      <c r="BD60" s="69">
        <f>SUM('Alternatyva 5'!BD$21,'Alternatyva 5'!BD$32,'Alternatyva 5'!BD$43,'Alternatyva 5'!BD$55,'Alternatyva 5'!BD$66,'Alternatyva 5'!BD$77,'Alternatyva 5'!BD$88)</f>
        <v>0</v>
      </c>
      <c r="BE60" s="69">
        <f>SUM('Alternatyva 5'!BE$21,'Alternatyva 5'!BE$32,'Alternatyva 5'!BE$43,'Alternatyva 5'!BE$55,'Alternatyva 5'!BE$66,'Alternatyva 5'!BE$77,'Alternatyva 5'!BE$88)</f>
        <v>0</v>
      </c>
      <c r="BF60" s="69">
        <f>SUM('Alternatyva 5'!BF$21,'Alternatyva 5'!BF$32,'Alternatyva 5'!BF$43,'Alternatyva 5'!BF$55,'Alternatyva 5'!BF$66,'Alternatyva 5'!BF$77,'Alternatyva 5'!BF$88)</f>
        <v>0</v>
      </c>
      <c r="BG60" s="69">
        <f>SUM('Alternatyva 5'!BG$21,'Alternatyva 5'!BG$32,'Alternatyva 5'!BG$43,'Alternatyva 5'!BG$55,'Alternatyva 5'!BG$66,'Alternatyva 5'!BG$77,'Alternatyva 5'!BG$88)</f>
        <v>0</v>
      </c>
      <c r="BH60" s="69">
        <f>SUM('Alternatyva 5'!BH$21,'Alternatyva 5'!BH$32,'Alternatyva 5'!BH$43,'Alternatyva 5'!BH$55,'Alternatyva 5'!BH$66,'Alternatyva 5'!BH$77,'Alternatyva 5'!BH$88)</f>
        <v>0</v>
      </c>
      <c r="BI60" s="69">
        <f>SUM('Alternatyva 5'!BI$21,'Alternatyva 5'!BI$32,'Alternatyva 5'!BI$43,'Alternatyva 5'!BI$55,'Alternatyva 5'!BI$66,'Alternatyva 5'!BI$77,'Alternatyva 5'!BI$88)</f>
        <v>0</v>
      </c>
      <c r="BJ60" s="69">
        <f>SUM('Alternatyva 5'!BJ$21,'Alternatyva 5'!BJ$32,'Alternatyva 5'!BJ$43,'Alternatyva 5'!BJ$55,'Alternatyva 5'!BJ$66,'Alternatyva 5'!BJ$77,'Alternatyva 5'!BJ$88)</f>
        <v>0</v>
      </c>
      <c r="BK60" s="69">
        <f>SUM('Alternatyva 5'!BK$21,'Alternatyva 5'!BK$32,'Alternatyva 5'!BK$43,'Alternatyva 5'!BK$55,'Alternatyva 5'!BK$66,'Alternatyva 5'!BK$77,'Alternatyva 5'!BK$88)</f>
        <v>0</v>
      </c>
      <c r="BL60" s="69">
        <f>SUM('Alternatyva 5'!BL$21,'Alternatyva 5'!BL$32,'Alternatyva 5'!BL$43,'Alternatyva 5'!BL$55,'Alternatyva 5'!BL$66,'Alternatyva 5'!BL$77,'Alternatyva 5'!BL$88)</f>
        <v>0</v>
      </c>
      <c r="BM60" s="69">
        <f>SUM('Alternatyva 5'!BM$21,'Alternatyva 5'!BM$32,'Alternatyva 5'!BM$43,'Alternatyva 5'!BM$55,'Alternatyva 5'!BM$66,'Alternatyva 5'!BM$77,'Alternatyva 5'!BM$88)</f>
        <v>0</v>
      </c>
      <c r="BN60" s="69">
        <f>SUM('Alternatyva 5'!BN$21,'Alternatyva 5'!BN$32,'Alternatyva 5'!BN$43,'Alternatyva 5'!BN$55,'Alternatyva 5'!BN$66,'Alternatyva 5'!BN$77,'Alternatyva 5'!BN$88)</f>
        <v>0</v>
      </c>
      <c r="BO60" s="69">
        <f>SUM('Alternatyva 5'!BO$21,'Alternatyva 5'!BO$32,'Alternatyva 5'!BO$43,'Alternatyva 5'!BO$55,'Alternatyva 5'!BO$66,'Alternatyva 5'!BO$77,'Alternatyva 5'!BO$88)</f>
        <v>0</v>
      </c>
      <c r="BP60" s="69">
        <f>SUM('Alternatyva 5'!BP$21,'Alternatyva 5'!BP$32,'Alternatyva 5'!BP$43,'Alternatyva 5'!BP$55,'Alternatyva 5'!BP$66,'Alternatyva 5'!BP$77,'Alternatyva 5'!BP$88)</f>
        <v>0</v>
      </c>
      <c r="BQ60" s="69">
        <f>SUM('Alternatyva 5'!BQ$21,'Alternatyva 5'!BQ$32,'Alternatyva 5'!BQ$43,'Alternatyva 5'!BQ$55,'Alternatyva 5'!BQ$66,'Alternatyva 5'!BQ$77,'Alternatyva 5'!BQ$88)</f>
        <v>0</v>
      </c>
      <c r="BR60" s="69">
        <f>SUM('Alternatyva 5'!BR$21,'Alternatyva 5'!BR$32,'Alternatyva 5'!BR$43,'Alternatyva 5'!BR$55,'Alternatyva 5'!BR$66,'Alternatyva 5'!BR$77,'Alternatyva 5'!BR$88)</f>
        <v>0</v>
      </c>
      <c r="BS60" s="69">
        <f>SUM('Alternatyva 5'!BS$21,'Alternatyva 5'!BS$32,'Alternatyva 5'!BS$43,'Alternatyva 5'!BS$55,'Alternatyva 5'!BS$66,'Alternatyva 5'!BS$77,'Alternatyva 5'!BS$88)</f>
        <v>0</v>
      </c>
      <c r="BT60" s="69">
        <f>SUM('Alternatyva 5'!BT$21,'Alternatyva 5'!BT$32,'Alternatyva 5'!BT$43,'Alternatyva 5'!BT$55,'Alternatyva 5'!BT$66,'Alternatyva 5'!BT$77,'Alternatyva 5'!BT$88)</f>
        <v>0</v>
      </c>
      <c r="BU60" s="69">
        <f>SUM('Alternatyva 5'!BU$21,'Alternatyva 5'!BU$32,'Alternatyva 5'!BU$43,'Alternatyva 5'!BU$55,'Alternatyva 5'!BU$66,'Alternatyva 5'!BU$77,'Alternatyva 5'!BU$88)</f>
        <v>0</v>
      </c>
      <c r="BV60" s="69">
        <f>SUM('Alternatyva 5'!BV$21,'Alternatyva 5'!BV$32,'Alternatyva 5'!BV$43,'Alternatyva 5'!BV$55,'Alternatyva 5'!BV$66,'Alternatyva 5'!BV$77,'Alternatyva 5'!BV$88)</f>
        <v>0</v>
      </c>
      <c r="BW60" s="69">
        <f>SUM('Alternatyva 5'!BW$21,'Alternatyva 5'!BW$32,'Alternatyva 5'!BW$43,'Alternatyva 5'!BW$55,'Alternatyva 5'!BW$66,'Alternatyva 5'!BW$77,'Alternatyva 5'!BW$88)</f>
        <v>0</v>
      </c>
      <c r="BX60" s="69">
        <f>SUM('Alternatyva 5'!BX$21,'Alternatyva 5'!BX$32,'Alternatyva 5'!BX$43,'Alternatyva 5'!BX$55,'Alternatyva 5'!BX$66,'Alternatyva 5'!BX$77,'Alternatyva 5'!BX$88)</f>
        <v>0</v>
      </c>
      <c r="BY60" s="69">
        <f>SUM('Alternatyva 5'!BY$21,'Alternatyva 5'!BY$32,'Alternatyva 5'!BY$43,'Alternatyva 5'!BY$55,'Alternatyva 5'!BY$66,'Alternatyva 5'!BY$77,'Alternatyva 5'!BY$88)</f>
        <v>0</v>
      </c>
      <c r="BZ60" s="69">
        <f>SUM('Alternatyva 5'!BZ$21,'Alternatyva 5'!BZ$32,'Alternatyva 5'!BZ$43,'Alternatyva 5'!BZ$55,'Alternatyva 5'!BZ$66,'Alternatyva 5'!BZ$77,'Alternatyva 5'!BZ$88)</f>
        <v>0</v>
      </c>
      <c r="CA60" s="69">
        <f>SUM('Alternatyva 5'!CA$21,'Alternatyva 5'!CA$32,'Alternatyva 5'!CA$43,'Alternatyva 5'!CA$55,'Alternatyva 5'!CA$66,'Alternatyva 5'!CA$77,'Alternatyva 5'!CA$88)</f>
        <v>0</v>
      </c>
      <c r="CB60" s="69">
        <f>SUM('Alternatyva 5'!CB$21,'Alternatyva 5'!CB$32,'Alternatyva 5'!CB$43,'Alternatyva 5'!CB$55,'Alternatyva 5'!CB$66,'Alternatyva 5'!CB$77,'Alternatyva 5'!CB$88)</f>
        <v>0</v>
      </c>
      <c r="CC60" s="69">
        <f>SUM('Alternatyva 5'!CC$21,'Alternatyva 5'!CC$32,'Alternatyva 5'!CC$43,'Alternatyva 5'!CC$55,'Alternatyva 5'!CC$66,'Alternatyva 5'!CC$77,'Alternatyva 5'!CC$88)</f>
        <v>0</v>
      </c>
      <c r="CD60" s="69">
        <f>SUM('Alternatyva 5'!CD$21,'Alternatyva 5'!CD$32,'Alternatyva 5'!CD$43,'Alternatyva 5'!CD$55,'Alternatyva 5'!CD$66,'Alternatyva 5'!CD$77,'Alternatyva 5'!CD$88)</f>
        <v>0</v>
      </c>
      <c r="CE60" s="69">
        <f>SUM('Alternatyva 5'!CE$21,'Alternatyva 5'!CE$32,'Alternatyva 5'!CE$43,'Alternatyva 5'!CE$55,'Alternatyva 5'!CE$66,'Alternatyva 5'!CE$77,'Alternatyva 5'!CE$88)</f>
        <v>0</v>
      </c>
      <c r="CF60" s="69">
        <f>SUM('Alternatyva 5'!CF$21,'Alternatyva 5'!CF$32,'Alternatyva 5'!CF$43,'Alternatyva 5'!CF$55,'Alternatyva 5'!CF$66,'Alternatyva 5'!CF$77,'Alternatyva 5'!CF$88)</f>
        <v>0</v>
      </c>
      <c r="CG60" s="69">
        <f>SUM('Alternatyva 5'!CG$21,'Alternatyva 5'!CG$32,'Alternatyva 5'!CG$43,'Alternatyva 5'!CG$55,'Alternatyva 5'!CG$66,'Alternatyva 5'!CG$77,'Alternatyva 5'!CG$88)</f>
        <v>0</v>
      </c>
      <c r="CH60" s="69">
        <f>SUM('Alternatyva 5'!CH$21,'Alternatyva 5'!CH$32,'Alternatyva 5'!CH$43,'Alternatyva 5'!CH$55,'Alternatyva 5'!CH$66,'Alternatyva 5'!CH$77,'Alternatyva 5'!CH$88)</f>
        <v>0</v>
      </c>
      <c r="CI60" s="69">
        <f>SUM('Alternatyva 5'!CI$21,'Alternatyva 5'!CI$32,'Alternatyva 5'!CI$43,'Alternatyva 5'!CI$55,'Alternatyva 5'!CI$66,'Alternatyva 5'!CI$77,'Alternatyva 5'!CI$88)</f>
        <v>0</v>
      </c>
      <c r="CJ60" s="69">
        <f>SUM('Alternatyva 5'!CJ$21,'Alternatyva 5'!CJ$32,'Alternatyva 5'!CJ$43,'Alternatyva 5'!CJ$55,'Alternatyva 5'!CJ$66,'Alternatyva 5'!CJ$77,'Alternatyva 5'!CJ$88)</f>
        <v>0</v>
      </c>
      <c r="CK60" s="69">
        <f>SUM('Alternatyva 5'!CK$21,'Alternatyva 5'!CK$32,'Alternatyva 5'!CK$43,'Alternatyva 5'!CK$55,'Alternatyva 5'!CK$66,'Alternatyva 5'!CK$77,'Alternatyva 5'!CK$88)</f>
        <v>0</v>
      </c>
      <c r="CL60" s="69">
        <f>SUM('Alternatyva 5'!CL$21,'Alternatyva 5'!CL$32,'Alternatyva 5'!CL$43,'Alternatyva 5'!CL$55,'Alternatyva 5'!CL$66,'Alternatyva 5'!CL$77,'Alternatyva 5'!CL$88)</f>
        <v>0</v>
      </c>
      <c r="CM60" s="69">
        <f>SUM('Alternatyva 5'!CM$21,'Alternatyva 5'!CM$32,'Alternatyva 5'!CM$43,'Alternatyva 5'!CM$55,'Alternatyva 5'!CM$66,'Alternatyva 5'!CM$77,'Alternatyva 5'!CM$88)</f>
        <v>0</v>
      </c>
      <c r="CN60" s="69">
        <f>SUM('Alternatyva 5'!CN$21,'Alternatyva 5'!CN$32,'Alternatyva 5'!CN$43,'Alternatyva 5'!CN$55,'Alternatyva 5'!CN$66,'Alternatyva 5'!CN$77,'Alternatyva 5'!CN$88)</f>
        <v>0</v>
      </c>
      <c r="CO60" s="69">
        <f>SUM('Alternatyva 5'!CO$21,'Alternatyva 5'!CO$32,'Alternatyva 5'!CO$43,'Alternatyva 5'!CO$55,'Alternatyva 5'!CO$66,'Alternatyva 5'!CO$77,'Alternatyva 5'!CO$88)</f>
        <v>0</v>
      </c>
      <c r="CP60" s="69">
        <f>SUM('Alternatyva 5'!CP$21,'Alternatyva 5'!CP$32,'Alternatyva 5'!CP$43,'Alternatyva 5'!CP$55,'Alternatyva 5'!CP$66,'Alternatyva 5'!CP$77,'Alternatyva 5'!CP$88)</f>
        <v>0</v>
      </c>
      <c r="CQ60" s="69">
        <f>SUM('Alternatyva 5'!CQ$21,'Alternatyva 5'!CQ$32,'Alternatyva 5'!CQ$43,'Alternatyva 5'!CQ$55,'Alternatyva 5'!CQ$66,'Alternatyva 5'!CQ$77,'Alternatyva 5'!CQ$88)</f>
        <v>0</v>
      </c>
      <c r="CR60" s="69">
        <f>SUM('Alternatyva 5'!CR$21,'Alternatyva 5'!CR$32,'Alternatyva 5'!CR$43,'Alternatyva 5'!CR$55,'Alternatyva 5'!CR$66,'Alternatyva 5'!CR$77,'Alternatyva 5'!CR$88)</f>
        <v>0</v>
      </c>
      <c r="CS60" s="69">
        <f>SUM('Alternatyva 5'!CS$21,'Alternatyva 5'!CS$32,'Alternatyva 5'!CS$43,'Alternatyva 5'!CS$55,'Alternatyva 5'!CS$66,'Alternatyva 5'!CS$77,'Alternatyva 5'!CS$88)</f>
        <v>0</v>
      </c>
      <c r="CT60" s="69">
        <f>SUM('Alternatyva 5'!CT$21,'Alternatyva 5'!CT$32,'Alternatyva 5'!CT$43,'Alternatyva 5'!CT$55,'Alternatyva 5'!CT$66,'Alternatyva 5'!CT$77,'Alternatyva 5'!CT$88)</f>
        <v>0</v>
      </c>
      <c r="CU60" s="69">
        <f>SUM('Alternatyva 5'!CU$21,'Alternatyva 5'!CU$32,'Alternatyva 5'!CU$43,'Alternatyva 5'!CU$55,'Alternatyva 5'!CU$66,'Alternatyva 5'!CU$77,'Alternatyva 5'!CU$88)</f>
        <v>0</v>
      </c>
      <c r="CV60" s="69">
        <f>SUM('Alternatyva 5'!CV$21,'Alternatyva 5'!CV$32,'Alternatyva 5'!CV$43,'Alternatyva 5'!CV$55,'Alternatyva 5'!CV$66,'Alternatyva 5'!CV$77,'Alternatyva 5'!CV$88)</f>
        <v>0</v>
      </c>
      <c r="CW60" s="69">
        <f>SUM('Alternatyva 5'!CW$21,'Alternatyva 5'!CW$32,'Alternatyva 5'!CW$43,'Alternatyva 5'!CW$55,'Alternatyva 5'!CW$66,'Alternatyva 5'!CW$77,'Alternatyva 5'!CW$88)</f>
        <v>0</v>
      </c>
      <c r="CX60" s="69">
        <f>SUM('Alternatyva 5'!CX$21,'Alternatyva 5'!CX$32,'Alternatyva 5'!CX$43,'Alternatyva 5'!CX$55,'Alternatyva 5'!CX$66,'Alternatyva 5'!CX$77,'Alternatyva 5'!CX$88)</f>
        <v>0</v>
      </c>
      <c r="CY60" s="69">
        <f>SUM('Alternatyva 5'!CY$21,'Alternatyva 5'!CY$32,'Alternatyva 5'!CY$43,'Alternatyva 5'!CY$55,'Alternatyva 5'!CY$66,'Alternatyva 5'!CY$77,'Alternatyva 5'!CY$88)</f>
        <v>0</v>
      </c>
      <c r="CZ60" s="69">
        <f>SUM('Alternatyva 5'!CZ$21,'Alternatyva 5'!CZ$32,'Alternatyva 5'!CZ$43,'Alternatyva 5'!CZ$55,'Alternatyva 5'!CZ$66,'Alternatyva 5'!CZ$77,'Alternatyva 5'!CZ$88)</f>
        <v>0</v>
      </c>
      <c r="DA60" s="69">
        <f>SUM('Alternatyva 5'!DA$21,'Alternatyva 5'!DA$32,'Alternatyva 5'!DA$43,'Alternatyva 5'!DA$55,'Alternatyva 5'!DA$66,'Alternatyva 5'!DA$77,'Alternatyva 5'!DA$88)</f>
        <v>0</v>
      </c>
      <c r="DB60" s="69">
        <f>SUM('Alternatyva 5'!DB$21,'Alternatyva 5'!DB$32,'Alternatyva 5'!DB$43,'Alternatyva 5'!DB$55,'Alternatyva 5'!DB$66,'Alternatyva 5'!DB$77,'Alternatyva 5'!DB$88)</f>
        <v>0</v>
      </c>
      <c r="DC60" s="69">
        <f>SUM('Alternatyva 5'!DC$21,'Alternatyva 5'!DC$32,'Alternatyva 5'!DC$43,'Alternatyva 5'!DC$55,'Alternatyva 5'!DC$66,'Alternatyva 5'!DC$77,'Alternatyva 5'!DC$88)</f>
        <v>0</v>
      </c>
    </row>
    <row r="61" spans="2:107" ht="14.25" hidden="1" customHeight="1">
      <c r="B61" s="808" t="s">
        <v>201</v>
      </c>
      <c r="C61" s="808"/>
      <c r="D61" s="808"/>
      <c r="E61" s="808"/>
      <c r="F61" s="67"/>
      <c r="G61" s="59">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806" t="s">
        <v>272</v>
      </c>
      <c r="C62" s="806"/>
      <c r="D62" s="806"/>
      <c r="E62" s="806"/>
      <c r="F62" s="43">
        <f>H61+NPV(FD,I61:INDEX(I61:DC61,PAL))</f>
        <v>0</v>
      </c>
      <c r="G62" s="53"/>
    </row>
    <row r="63" spans="2:107" hidden="1">
      <c r="B63" s="806" t="s">
        <v>273</v>
      </c>
      <c r="C63" s="806"/>
      <c r="D63" s="806"/>
      <c r="E63" s="806"/>
      <c r="F63" s="173" t="str">
        <f>IFERROR(IRR(H61:INDEX(H61:DC61,PAL+1)),"-")</f>
        <v>-</v>
      </c>
      <c r="G63" s="45"/>
    </row>
    <row r="64" spans="2:107" hidden="1">
      <c r="B64" s="806" t="s">
        <v>200</v>
      </c>
      <c r="C64" s="806"/>
      <c r="D64" s="806"/>
      <c r="E64" s="806"/>
      <c r="F64" s="68" t="str">
        <f>IFERROR(IF('Alternatyva 5'!H$89&lt;0,SUM('Alternatyva 5'!F$100,-'Alternatyva 5'!H$115,-'Alternatyva 5'!F$89)/SUM('Alternatyva 5'!F$9,'Alternatyva 5'!F$8,-F60),SUM('Alternatyva 5'!F$100,-'Alternatyva 5'!H$115)/SUM('Alternatyva 5'!F$9,'Alternatyva 5'!F$8,-F60,'Alternatyva 5'!F$89)),"")</f>
        <v/>
      </c>
      <c r="G64" s="45"/>
    </row>
  </sheetData>
  <sheetProtection algorithmName="SHA-512" hashValue="En7fwV0MivADrTat7qsQL3raqWA3xlyRlsFNq4kiyxJPxvPp1S3jHlCnrpNNtUaeoXLD/lWQQ0risMxXBgH10g==" saltValue="mGt5azZ9xDtzTp4GunMcDQ=="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7620</xdr:colOff>
                    <xdr:row>23</xdr:row>
                    <xdr:rowOff>0</xdr:rowOff>
                  </from>
                  <to>
                    <xdr:col>1</xdr:col>
                    <xdr:colOff>3223260</xdr:colOff>
                    <xdr:row>24</xdr:row>
                    <xdr:rowOff>60960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2">
    <tabColor theme="5" tint="0.59999389629810485"/>
    <pageSetUpPr fitToPage="1"/>
  </sheetPr>
  <dimension ref="B1:DC84"/>
  <sheetViews>
    <sheetView showGridLines="0" showRowColHeaders="0" topLeftCell="A32" zoomScaleNormal="100" workbookViewId="0">
      <selection activeCell="D51" sqref="D51"/>
    </sheetView>
  </sheetViews>
  <sheetFormatPr defaultColWidth="9.109375" defaultRowHeight="14.4"/>
  <cols>
    <col min="1" max="1" width="3.6640625" customWidth="1"/>
    <col min="2" max="2" width="14" customWidth="1"/>
    <col min="3" max="3" width="41.44140625" customWidth="1"/>
    <col min="4" max="4" width="35.109375" customWidth="1"/>
    <col min="5" max="5" width="42.44140625" customWidth="1"/>
    <col min="6" max="6" width="22" customWidth="1"/>
    <col min="7" max="7" width="28.88671875" customWidth="1"/>
    <col min="8" max="8" width="20.44140625" customWidth="1"/>
    <col min="9" max="28" width="14.6640625" customWidth="1"/>
    <col min="29" max="106" width="14.6640625" hidden="1" customWidth="1"/>
    <col min="107" max="107" width="9.109375" hidden="1" customWidth="1"/>
    <col min="108" max="108" width="9.109375" customWidth="1"/>
  </cols>
  <sheetData>
    <row r="1" spans="2:9" ht="9" customHeight="1">
      <c r="B1" s="814"/>
      <c r="C1" s="727"/>
      <c r="D1" s="16"/>
      <c r="E1" s="2"/>
      <c r="F1" s="2"/>
      <c r="G1" s="2"/>
    </row>
    <row r="2" spans="2:9">
      <c r="B2" s="18" t="s">
        <v>43</v>
      </c>
    </row>
    <row r="3" spans="2:9">
      <c r="B3" t="s">
        <v>632</v>
      </c>
    </row>
    <row r="4" spans="2:9">
      <c r="B4" t="s">
        <v>57</v>
      </c>
      <c r="E4" s="20"/>
      <c r="F4" s="20"/>
    </row>
    <row r="5" spans="2:9">
      <c r="E5" s="20"/>
      <c r="F5" s="20"/>
    </row>
    <row r="6" spans="2:9">
      <c r="B6" t="s">
        <v>44</v>
      </c>
    </row>
    <row r="7" spans="2:9" s="25" customFormat="1">
      <c r="B7" s="71" t="s">
        <v>47</v>
      </c>
      <c r="C7" s="71" t="s">
        <v>45</v>
      </c>
      <c r="D7" s="71" t="s">
        <v>46</v>
      </c>
      <c r="H7" s="19"/>
      <c r="I7" s="19"/>
    </row>
    <row r="8" spans="2:9" ht="33.75" customHeight="1">
      <c r="B8" s="72" t="str">
        <f>IF(OR(C8="",C8="Nurodykite"),"-",ROW(B8)-ROW($B$8)+1 &amp;".")</f>
        <v>1.</v>
      </c>
      <c r="C8" s="73" t="str">
        <f>IF(B4=Data1!G2,"Ekonominės naudos ir išlaidų santykis (ENIS)",SVA!F17)</f>
        <v>Ekonominės naudos ir išlaidų santykis (ENIS)</v>
      </c>
      <c r="D8" s="29">
        <v>0.6</v>
      </c>
      <c r="E8" s="20"/>
      <c r="F8" s="807" t="s">
        <v>142</v>
      </c>
      <c r="G8" s="807"/>
      <c r="H8" s="74" t="str">
        <f>IF(B4=Data1!G2,"Ekonominės naudos ir išlaidų santykis (ENIS)",SVA!F17)</f>
        <v>Ekonominės naudos ir išlaidų santykis (ENIS)</v>
      </c>
      <c r="I8" s="10"/>
    </row>
    <row r="9" spans="2:9" ht="33.75" customHeight="1">
      <c r="B9" s="72" t="str">
        <f t="shared" ref="B9:B16" si="0">IF(OR(C9="",C9="Nurodykite"),"-",ROW(B9)-ROW($B$8)+1 &amp;".")</f>
        <v>2.</v>
      </c>
      <c r="C9" s="32" t="s">
        <v>699</v>
      </c>
      <c r="D9" s="29">
        <v>0.09</v>
      </c>
      <c r="F9" s="809" t="str">
        <f>IF(Pradžia!$I$29=TRUE,IF(A1_pav="","",A1_pav),"")</f>
        <v xml:space="preserve">Politinės/ekonominės svarbos scenarijus
</v>
      </c>
      <c r="G9" s="809"/>
      <c r="H9" s="70">
        <f>IF(Pradžia!$I$29=TRUE,IF($B$4=Data1!$G$2,SNA!F16,SVA!F18),"")</f>
        <v>7.8967670150532188</v>
      </c>
      <c r="I9" s="10"/>
    </row>
    <row r="10" spans="2:9" ht="33.75" customHeight="1">
      <c r="B10" s="72" t="str">
        <f t="shared" si="0"/>
        <v>3.</v>
      </c>
      <c r="C10" s="32" t="s">
        <v>700</v>
      </c>
      <c r="D10" s="29">
        <v>0.09</v>
      </c>
      <c r="F10" s="809" t="str">
        <f>IF(Pradžia!$I$31=TRUE,IF(A2_pav="","",A2_pav),"")</f>
        <v>Regioninės svarbos scenarijus</v>
      </c>
      <c r="G10" s="809"/>
      <c r="H10" s="70">
        <f>IF(Pradžia!$I$31=TRUE,IF($B$4=Data1!$G$2,SNA!F34,SVA!F19),"")</f>
        <v>7.8043770093769265</v>
      </c>
      <c r="I10" s="10"/>
    </row>
    <row r="11" spans="2:9" ht="33.75" customHeight="1">
      <c r="B11" s="72" t="str">
        <f t="shared" si="0"/>
        <v>4.</v>
      </c>
      <c r="C11" s="32" t="s">
        <v>701</v>
      </c>
      <c r="D11" s="29">
        <v>0.09</v>
      </c>
      <c r="F11" s="809" t="str">
        <f>IF(Pradžia!$I$33=TRUE,IF(A3_pav="","",A3_pav),"")</f>
        <v>Konsulinės/diasporos svarbos scenarijus</v>
      </c>
      <c r="G11" s="809"/>
      <c r="H11" s="70">
        <f>IF(Pradžia!$I$33=TRUE,IF($B$4=Data1!$G$2,SNA!F52,SVA!F20),"")</f>
        <v>7.6211463637077106</v>
      </c>
      <c r="I11" s="10"/>
    </row>
    <row r="12" spans="2:9" ht="33.75" customHeight="1">
      <c r="B12" s="72" t="str">
        <f t="shared" si="0"/>
        <v>5.</v>
      </c>
      <c r="C12" s="32" t="s">
        <v>709</v>
      </c>
      <c r="D12" s="29">
        <v>0.09</v>
      </c>
      <c r="F12" s="809" t="str">
        <f>IF(Pradžia!$I$35=TRUE,IF(A4_pav="","",A4_pav),"")</f>
        <v/>
      </c>
      <c r="G12" s="809"/>
      <c r="H12" s="70" t="str">
        <f>IF(Pradžia!$I$35=TRUE,IF($B$4=Data1!$G$2,SNA!F70,SVA!F21),"")</f>
        <v/>
      </c>
      <c r="I12" s="10"/>
    </row>
    <row r="13" spans="2:9" ht="33.75" customHeight="1">
      <c r="B13" s="72" t="str">
        <f t="shared" si="0"/>
        <v>6.</v>
      </c>
      <c r="C13" s="32" t="s">
        <v>702</v>
      </c>
      <c r="D13" s="29">
        <v>0.04</v>
      </c>
      <c r="F13" s="809" t="str">
        <f>IF(Pradžia!$I$37=TRUE,IF(A5_pav="","",A5_pav),"")</f>
        <v/>
      </c>
      <c r="G13" s="809"/>
      <c r="H13" s="70" t="str">
        <f>IF(Pradžia!$I$37=TRUE,IF($B$4=Data1!$G$2,SNA!F88,SVA!F22),"")</f>
        <v/>
      </c>
    </row>
    <row r="14" spans="2:9" ht="33.75" customHeight="1">
      <c r="B14" s="72" t="str">
        <f t="shared" si="0"/>
        <v>-</v>
      </c>
      <c r="C14" s="57" t="s">
        <v>48</v>
      </c>
      <c r="D14" s="29">
        <v>0</v>
      </c>
    </row>
    <row r="15" spans="2:9" ht="33.75" customHeight="1">
      <c r="B15" s="72" t="str">
        <f t="shared" si="0"/>
        <v>-</v>
      </c>
      <c r="C15" s="57" t="s">
        <v>48</v>
      </c>
      <c r="D15" s="29">
        <v>0</v>
      </c>
    </row>
    <row r="16" spans="2:9" ht="33.75" customHeight="1">
      <c r="B16" s="72" t="str">
        <f t="shared" si="0"/>
        <v>-</v>
      </c>
      <c r="C16" s="57" t="s">
        <v>48</v>
      </c>
      <c r="D16" s="29">
        <v>0</v>
      </c>
    </row>
    <row r="17" spans="2:106">
      <c r="C17" s="75" t="s">
        <v>144</v>
      </c>
      <c r="D17" s="76">
        <f>SUM(D8:D16)</f>
        <v>0.99999999999999989</v>
      </c>
      <c r="E17" s="20"/>
      <c r="F17" s="20"/>
    </row>
    <row r="21" spans="2:106">
      <c r="B21" s="31" t="s">
        <v>6</v>
      </c>
      <c r="E21" s="812"/>
      <c r="F21" s="813"/>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row>
    <row r="22" spans="2:106" s="25" customFormat="1" ht="28.8">
      <c r="B22" s="71" t="s">
        <v>47</v>
      </c>
      <c r="C22" s="71" t="s">
        <v>45</v>
      </c>
      <c r="D22" s="74" t="s">
        <v>145</v>
      </c>
      <c r="E22" s="12" t="s">
        <v>146</v>
      </c>
      <c r="F22" s="19"/>
    </row>
    <row r="23" spans="2:106">
      <c r="B23" s="72" t="str">
        <f>IF(OR(C23="",C23="Nurodykite"),"-",ROW(B23)-ROW($B$23)+1 &amp; ".")</f>
        <v>1.</v>
      </c>
      <c r="C23" s="73" t="str">
        <f>C8</f>
        <v>Ekonominės naudos ir išlaidų santykis (ENIS)</v>
      </c>
      <c r="D23" s="78">
        <f>IF($B$4=Data1!$G$2,IFERROR(10*DA!H9/MAX(Rodikliai),"-"),IFERROR(10*MIN(Rodikliai)/DA!H9,"-"))</f>
        <v>10</v>
      </c>
      <c r="E23" s="79">
        <f>IFERROR(D23*VLOOKUP(B23,Svoris,3,0),"")</f>
        <v>6</v>
      </c>
      <c r="F23" s="25"/>
    </row>
    <row r="24" spans="2:106">
      <c r="B24" s="72" t="str">
        <f t="shared" ref="B24:B31" si="1">IF(OR(C24="",C24="Nurodykite"),"-",ROW(B24)-ROW($B$23)+1 &amp; ".")</f>
        <v>2.</v>
      </c>
      <c r="C24" s="80" t="str">
        <f>IF($C$9=0,"Nurodykite",$C$9)</f>
        <v>Politinės svarbos</v>
      </c>
      <c r="D24" s="30">
        <f>+Prielaidos!F195</f>
        <v>8</v>
      </c>
      <c r="E24" s="79">
        <f t="shared" ref="E24:E31" si="2">IF(AND(B24&lt;&gt;"-",D24&lt;&gt;"Nurodykite įvertinimą"),IFERROR(D24*VLOOKUP(B24,Svoris,3,0),""),IF(AND(B24&lt;&gt;"-",D24="Nurodykite įvertinimą"),"Įveskite kriterijaus įvertinimą žaliame langelyje",""))</f>
        <v>0.72</v>
      </c>
      <c r="F24" s="25"/>
    </row>
    <row r="25" spans="2:106">
      <c r="B25" s="72" t="str">
        <f t="shared" si="1"/>
        <v>3.</v>
      </c>
      <c r="C25" s="80" t="str">
        <f>IF($C$10=0,"Nurodykite",$C$10)</f>
        <v>Regioninės svarbos</v>
      </c>
      <c r="D25" s="30">
        <f>+Prielaidos!F196</f>
        <v>7.8</v>
      </c>
      <c r="E25" s="79">
        <f t="shared" si="2"/>
        <v>0.70199999999999996</v>
      </c>
      <c r="F25" s="25"/>
      <c r="G25" s="178"/>
    </row>
    <row r="26" spans="2:106">
      <c r="B26" s="72" t="str">
        <f t="shared" si="1"/>
        <v>4.</v>
      </c>
      <c r="C26" s="80" t="str">
        <f>IF($C$11=0,"Nurodykite",$C$11)</f>
        <v>Ekonominės svarbos</v>
      </c>
      <c r="D26" s="30">
        <f>+Prielaidos!F197</f>
        <v>8.1999999999999993</v>
      </c>
      <c r="E26" s="79">
        <f t="shared" si="2"/>
        <v>0.73799999999999988</v>
      </c>
      <c r="F26" s="25"/>
    </row>
    <row r="27" spans="2:106">
      <c r="B27" s="72" t="str">
        <f t="shared" si="1"/>
        <v>5.</v>
      </c>
      <c r="C27" s="80" t="str">
        <f>IF($C$12=0,"Nurodykite",$C$12)</f>
        <v>Konsulinės/diasporos svarbos</v>
      </c>
      <c r="D27" s="30">
        <f>+Prielaidos!F198</f>
        <v>7.6</v>
      </c>
      <c r="E27" s="79">
        <f t="shared" si="2"/>
        <v>0.68399999999999994</v>
      </c>
      <c r="F27" s="25"/>
    </row>
    <row r="28" spans="2:106">
      <c r="B28" s="72" t="str">
        <f t="shared" si="1"/>
        <v>6.</v>
      </c>
      <c r="C28" s="80" t="str">
        <f>IF($C$13=0,"Nurodykite",$C$13)</f>
        <v>Ministerijos politinio pasirinkimo</v>
      </c>
      <c r="D28" s="30">
        <f>+Prielaidos!F199</f>
        <v>8</v>
      </c>
      <c r="E28" s="79">
        <f t="shared" si="2"/>
        <v>0.32</v>
      </c>
      <c r="F28" s="25"/>
    </row>
    <row r="29" spans="2:106">
      <c r="B29" s="72" t="str">
        <f t="shared" si="1"/>
        <v>-</v>
      </c>
      <c r="C29" s="80" t="str">
        <f>IF($C$14=0,"Nurodykite",$C$14)</f>
        <v>Nurodykite</v>
      </c>
      <c r="D29" s="30" t="s">
        <v>147</v>
      </c>
      <c r="E29" s="79" t="str">
        <f t="shared" si="2"/>
        <v/>
      </c>
      <c r="F29" s="25"/>
    </row>
    <row r="30" spans="2:106">
      <c r="B30" s="72" t="str">
        <f t="shared" si="1"/>
        <v>-</v>
      </c>
      <c r="C30" s="80" t="str">
        <f>IF($C$15=0,"Nurodykite",$C$15)</f>
        <v>Nurodykite</v>
      </c>
      <c r="D30" s="30" t="s">
        <v>147</v>
      </c>
      <c r="E30" s="79" t="str">
        <f t="shared" si="2"/>
        <v/>
      </c>
      <c r="F30" s="25"/>
    </row>
    <row r="31" spans="2:106">
      <c r="B31" s="72" t="str">
        <f t="shared" si="1"/>
        <v>-</v>
      </c>
      <c r="C31" s="80" t="str">
        <f>IF($C$16=0,"Nurodykite",$C$16)</f>
        <v>Nurodykite</v>
      </c>
      <c r="D31" s="30" t="s">
        <v>147</v>
      </c>
      <c r="E31" s="79" t="str">
        <f t="shared" si="2"/>
        <v/>
      </c>
      <c r="F31" s="25"/>
      <c r="G31" s="20"/>
    </row>
    <row r="32" spans="2:106">
      <c r="B32" s="25"/>
      <c r="C32" s="811" t="s">
        <v>148</v>
      </c>
      <c r="D32" s="798"/>
      <c r="E32" s="81">
        <f>SUM(E23:E31)</f>
        <v>9.1639999999999997</v>
      </c>
      <c r="F32" s="82"/>
      <c r="G32" s="20"/>
    </row>
    <row r="33" spans="2:7">
      <c r="B33" s="25"/>
      <c r="C33" s="19"/>
      <c r="D33" s="25"/>
      <c r="E33" s="82"/>
      <c r="F33" s="82"/>
      <c r="G33" s="20"/>
    </row>
    <row r="34" spans="2:7">
      <c r="B34" s="31" t="s">
        <v>7</v>
      </c>
    </row>
    <row r="35" spans="2:7" ht="28.8">
      <c r="B35" s="71" t="s">
        <v>47</v>
      </c>
      <c r="C35" s="71" t="s">
        <v>45</v>
      </c>
      <c r="D35" s="74" t="s">
        <v>145</v>
      </c>
      <c r="E35" s="71" t="s">
        <v>146</v>
      </c>
      <c r="F35" s="19"/>
    </row>
    <row r="36" spans="2:7">
      <c r="B36" s="72" t="str">
        <f>IF(OR(C36="",C36="Nurodykite"),"-",ROW(B36)-ROW($B$36)+1 &amp; ".")</f>
        <v>1.</v>
      </c>
      <c r="C36" s="73" t="str">
        <f>C8</f>
        <v>Ekonominės naudos ir išlaidų santykis (ENIS)</v>
      </c>
      <c r="D36" s="78">
        <f>IF($B$4=Data1!$G$2,IFERROR(10*DA!H10/MAX(Rodikliai),"-"),IFERROR(10*MIN(Rodikliai)/DA!H10,"-"))</f>
        <v>9.8830027459336538</v>
      </c>
      <c r="E36" s="79">
        <f>IFERROR(D36*VLOOKUP(B36,Svoris,3,0),"")</f>
        <v>5.9298016475601925</v>
      </c>
      <c r="F36" s="25"/>
    </row>
    <row r="37" spans="2:7">
      <c r="B37" s="72" t="str">
        <f t="shared" ref="B37:B44" si="3">IF(OR(C37="",C37="Nurodykite"),"-",ROW(B37)-ROW($B$36)+1 &amp; ".")</f>
        <v>2.</v>
      </c>
      <c r="C37" s="80" t="str">
        <f>IF($C$9=0,"Nurodykite",$C$9)</f>
        <v>Politinės svarbos</v>
      </c>
      <c r="D37" s="30">
        <f>+Prielaidos!G195</f>
        <v>7.8</v>
      </c>
      <c r="E37" s="79">
        <f t="shared" ref="E37:E44" si="4">IF(AND(B37&lt;&gt;"-",D37&lt;&gt;"Nurodykite įvertinimą"),IFERROR(D37*VLOOKUP(B37,Svoris,3,0),""),IF(AND(B37&lt;&gt;"-",D37="Nurodykite įvertinimą"),"Įveskite kriterijaus įvertinimą žaliame laukelyje",""))</f>
        <v>0.70199999999999996</v>
      </c>
      <c r="F37" s="25"/>
    </row>
    <row r="38" spans="2:7">
      <c r="B38" s="72" t="str">
        <f t="shared" si="3"/>
        <v>3.</v>
      </c>
      <c r="C38" s="80" t="str">
        <f>IF($C$10=0,"Nurodykite",$C$10)</f>
        <v>Regioninės svarbos</v>
      </c>
      <c r="D38" s="30">
        <f>+Prielaidos!G196</f>
        <v>8</v>
      </c>
      <c r="E38" s="79">
        <f t="shared" si="4"/>
        <v>0.72</v>
      </c>
      <c r="F38" s="25"/>
    </row>
    <row r="39" spans="2:7">
      <c r="B39" s="72" t="str">
        <f t="shared" si="3"/>
        <v>4.</v>
      </c>
      <c r="C39" s="80" t="str">
        <f>IF($C$11=0,"Nurodykite",$C$11)</f>
        <v>Ekonominės svarbos</v>
      </c>
      <c r="D39" s="30">
        <f>+Prielaidos!G197</f>
        <v>7.4</v>
      </c>
      <c r="E39" s="79">
        <f t="shared" si="4"/>
        <v>0.66600000000000004</v>
      </c>
      <c r="F39" s="25"/>
    </row>
    <row r="40" spans="2:7">
      <c r="B40" s="72" t="str">
        <f t="shared" si="3"/>
        <v>5.</v>
      </c>
      <c r="C40" s="80" t="str">
        <f>IF($C$12=0,"Nurodykite",$C$12)</f>
        <v>Konsulinės/diasporos svarbos</v>
      </c>
      <c r="D40" s="30">
        <f>+Prielaidos!G198</f>
        <v>7.2</v>
      </c>
      <c r="E40" s="79">
        <f t="shared" si="4"/>
        <v>0.64800000000000002</v>
      </c>
      <c r="F40" s="25"/>
    </row>
    <row r="41" spans="2:7">
      <c r="B41" s="72" t="str">
        <f t="shared" si="3"/>
        <v>6.</v>
      </c>
      <c r="C41" s="80" t="str">
        <f>IF($C$13=0,"Nurodykite",$C$13)</f>
        <v>Ministerijos politinio pasirinkimo</v>
      </c>
      <c r="D41" s="30">
        <f>+Prielaidos!G199</f>
        <v>7.4</v>
      </c>
      <c r="E41" s="79">
        <f t="shared" si="4"/>
        <v>0.29600000000000004</v>
      </c>
      <c r="F41" s="25"/>
    </row>
    <row r="42" spans="2:7">
      <c r="B42" s="72" t="str">
        <f t="shared" si="3"/>
        <v>-</v>
      </c>
      <c r="C42" s="80" t="str">
        <f>IF($C$14=0,"Nurodykite",$C$14)</f>
        <v>Nurodykite</v>
      </c>
      <c r="D42" s="30" t="s">
        <v>147</v>
      </c>
      <c r="E42" s="79" t="str">
        <f t="shared" si="4"/>
        <v/>
      </c>
      <c r="F42" s="25"/>
    </row>
    <row r="43" spans="2:7">
      <c r="B43" s="72" t="str">
        <f t="shared" si="3"/>
        <v>-</v>
      </c>
      <c r="C43" s="80" t="str">
        <f>IF($C$15=0,"Nurodykite",$C$15)</f>
        <v>Nurodykite</v>
      </c>
      <c r="D43" s="30" t="s">
        <v>147</v>
      </c>
      <c r="E43" s="79" t="str">
        <f t="shared" si="4"/>
        <v/>
      </c>
      <c r="F43" s="25"/>
    </row>
    <row r="44" spans="2:7">
      <c r="B44" s="72" t="str">
        <f t="shared" si="3"/>
        <v>-</v>
      </c>
      <c r="C44" s="80" t="str">
        <f>IF($C$16=0,"Nurodykite",$C$16)</f>
        <v>Nurodykite</v>
      </c>
      <c r="D44" s="30" t="s">
        <v>147</v>
      </c>
      <c r="E44" s="79" t="str">
        <f t="shared" si="4"/>
        <v/>
      </c>
      <c r="F44" s="25"/>
    </row>
    <row r="45" spans="2:7">
      <c r="B45" s="25"/>
      <c r="C45" s="811" t="s">
        <v>148</v>
      </c>
      <c r="D45" s="798"/>
      <c r="E45" s="81">
        <f>SUM(E36:E44)</f>
        <v>8.9618016475601916</v>
      </c>
      <c r="F45" s="82"/>
    </row>
    <row r="46" spans="2:7">
      <c r="B46" s="25"/>
      <c r="C46" s="19"/>
      <c r="D46" s="25"/>
      <c r="E46" s="82"/>
      <c r="F46" s="82"/>
    </row>
    <row r="47" spans="2:7">
      <c r="B47" s="31" t="s">
        <v>8</v>
      </c>
    </row>
    <row r="48" spans="2:7" ht="28.8">
      <c r="B48" s="71" t="s">
        <v>47</v>
      </c>
      <c r="C48" s="71" t="s">
        <v>45</v>
      </c>
      <c r="D48" s="74" t="s">
        <v>145</v>
      </c>
      <c r="E48" s="71" t="s">
        <v>146</v>
      </c>
      <c r="F48" s="19"/>
    </row>
    <row r="49" spans="2:6">
      <c r="B49" s="72" t="str">
        <f>IF(OR(C49="",C49="Nurodykite"),"-",ROW(B49)-ROW($B$49)+1 &amp; ".")</f>
        <v>1.</v>
      </c>
      <c r="C49" s="73" t="str">
        <f>C8</f>
        <v>Ekonominės naudos ir išlaidų santykis (ENIS)</v>
      </c>
      <c r="D49" s="78">
        <f>IF($B$4=Data1!$G$2,IFERROR(10*DA!H11/MAX(Rodikliai),"-"),IFERROR(10*MIN(Rodikliai)/DA!H11,"-"))</f>
        <v>9.6509702631214687</v>
      </c>
      <c r="E49" s="79">
        <f>IFERROR(D49*VLOOKUP(B49,Svoris,3,0),"")</f>
        <v>5.7905821578728807</v>
      </c>
      <c r="F49" s="25"/>
    </row>
    <row r="50" spans="2:6">
      <c r="B50" s="72" t="str">
        <f t="shared" ref="B50:B57" si="5">IF(OR(C50="",C50="Nurodykite"),"-",ROW(B50)-ROW($B$49)+1 &amp; ".")</f>
        <v>2.</v>
      </c>
      <c r="C50" s="80" t="str">
        <f>IF($C$9=0,"Nurodykite",$C$9)</f>
        <v>Politinės svarbos</v>
      </c>
      <c r="D50" s="30">
        <f>+Prielaidos!H195</f>
        <v>7.4</v>
      </c>
      <c r="E50" s="79">
        <f t="shared" ref="E50:E57" si="6">IF(AND(B50&lt;&gt;"-",D50&lt;&gt;"Nurodykite įvertinimą"),IFERROR(D50*VLOOKUP(B50,Svoris,3,0),""),IF(AND(B50&lt;&gt;"-",D50="Nurodykite įvertinimą"),"Įveskite kriterijaus įvertinimą žaliame laukelyje",""))</f>
        <v>0.66600000000000004</v>
      </c>
      <c r="F50" s="25"/>
    </row>
    <row r="51" spans="2:6">
      <c r="B51" s="72" t="str">
        <f t="shared" si="5"/>
        <v>3.</v>
      </c>
      <c r="C51" s="80" t="str">
        <f>IF($C$10=0,"Nurodykite",$C$10)</f>
        <v>Regioninės svarbos</v>
      </c>
      <c r="D51" s="30">
        <f>+Prielaidos!H196</f>
        <v>7</v>
      </c>
      <c r="E51" s="79">
        <f t="shared" si="6"/>
        <v>0.63</v>
      </c>
      <c r="F51" s="25"/>
    </row>
    <row r="52" spans="2:6">
      <c r="B52" s="72" t="str">
        <f t="shared" si="5"/>
        <v>4.</v>
      </c>
      <c r="C52" s="80" t="str">
        <f>IF($C$11=0,"Nurodykite",$C$11)</f>
        <v>Ekonominės svarbos</v>
      </c>
      <c r="D52" s="30">
        <f>+Prielaidos!H197</f>
        <v>7.6</v>
      </c>
      <c r="E52" s="79">
        <f t="shared" si="6"/>
        <v>0.68399999999999994</v>
      </c>
      <c r="F52" s="25"/>
    </row>
    <row r="53" spans="2:6">
      <c r="B53" s="72" t="str">
        <f t="shared" si="5"/>
        <v>5.</v>
      </c>
      <c r="C53" s="80" t="str">
        <f>IF($C$12=0,"Nurodykite",$C$12)</f>
        <v>Konsulinės/diasporos svarbos</v>
      </c>
      <c r="D53" s="30">
        <f>+Prielaidos!H198</f>
        <v>8.1999999999999993</v>
      </c>
      <c r="E53" s="79">
        <f t="shared" si="6"/>
        <v>0.73799999999999988</v>
      </c>
      <c r="F53" s="25"/>
    </row>
    <row r="54" spans="2:6">
      <c r="B54" s="72" t="str">
        <f t="shared" si="5"/>
        <v>6.</v>
      </c>
      <c r="C54" s="80" t="str">
        <f>IF($C$13=0,"Nurodykite",$C$13)</f>
        <v>Ministerijos politinio pasirinkimo</v>
      </c>
      <c r="D54" s="30">
        <f>+Prielaidos!H199</f>
        <v>7.4</v>
      </c>
      <c r="E54" s="79">
        <f t="shared" si="6"/>
        <v>0.29600000000000004</v>
      </c>
      <c r="F54" s="25"/>
    </row>
    <row r="55" spans="2:6">
      <c r="B55" s="72" t="str">
        <f t="shared" si="5"/>
        <v>-</v>
      </c>
      <c r="C55" s="80" t="str">
        <f>IF($C$14=0,"Nurodykite",$C$14)</f>
        <v>Nurodykite</v>
      </c>
      <c r="D55" s="30" t="s">
        <v>147</v>
      </c>
      <c r="E55" s="79" t="str">
        <f t="shared" si="6"/>
        <v/>
      </c>
      <c r="F55" s="25"/>
    </row>
    <row r="56" spans="2:6">
      <c r="B56" s="72" t="str">
        <f t="shared" si="5"/>
        <v>-</v>
      </c>
      <c r="C56" s="80" t="str">
        <f>IF($C$15=0,"Nurodykite",$C$15)</f>
        <v>Nurodykite</v>
      </c>
      <c r="D56" s="30" t="s">
        <v>147</v>
      </c>
      <c r="E56" s="79" t="str">
        <f t="shared" si="6"/>
        <v/>
      </c>
      <c r="F56" s="25"/>
    </row>
    <row r="57" spans="2:6">
      <c r="B57" s="72" t="str">
        <f t="shared" si="5"/>
        <v>-</v>
      </c>
      <c r="C57" s="80" t="str">
        <f>IF($C$16=0,"Nurodykite",$C$16)</f>
        <v>Nurodykite</v>
      </c>
      <c r="D57" s="30" t="s">
        <v>147</v>
      </c>
      <c r="E57" s="79" t="str">
        <f t="shared" si="6"/>
        <v/>
      </c>
      <c r="F57" s="25"/>
    </row>
    <row r="58" spans="2:6">
      <c r="B58" s="25"/>
      <c r="C58" s="811" t="s">
        <v>148</v>
      </c>
      <c r="D58" s="798"/>
      <c r="E58" s="81">
        <f>SUM(E49:E57)</f>
        <v>8.8045821578728809</v>
      </c>
      <c r="F58" s="82"/>
    </row>
    <row r="60" spans="2:6" hidden="1">
      <c r="B60" s="31" t="s">
        <v>10</v>
      </c>
    </row>
    <row r="61" spans="2:6" ht="28.8" hidden="1">
      <c r="B61" s="71" t="s">
        <v>47</v>
      </c>
      <c r="C61" s="71" t="s">
        <v>45</v>
      </c>
      <c r="D61" s="74" t="s">
        <v>145</v>
      </c>
      <c r="E61" s="71" t="s">
        <v>146</v>
      </c>
      <c r="F61" s="19"/>
    </row>
    <row r="62" spans="2:6" hidden="1">
      <c r="B62" s="72" t="str">
        <f>IF(OR(C62="",C62="Nurodykite"),"-",ROW(B62)-ROW($B$62)+1 &amp; ".")</f>
        <v>1.</v>
      </c>
      <c r="C62" s="73" t="str">
        <f>C8</f>
        <v>Ekonominės naudos ir išlaidų santykis (ENIS)</v>
      </c>
      <c r="D62" s="78" t="str">
        <f>IF($B$4=Data1!$G$2,IFERROR(10*DA!H12/MAX(Rodikliai),"-"),IFERROR(10*MIN(Rodikliai)/DA!H12,"-"))</f>
        <v>-</v>
      </c>
      <c r="E62" s="79" t="str">
        <f>IFERROR(D62*VLOOKUP(B62,Svoris,3,0),"")</f>
        <v/>
      </c>
      <c r="F62" s="25"/>
    </row>
    <row r="63" spans="2:6" hidden="1">
      <c r="B63" s="72" t="str">
        <f t="shared" ref="B63:B70" si="7">IF(OR(C63="",C63="Nurodykite"),"-",ROW(B63)-ROW($B$49)+1 &amp; ".")</f>
        <v>15.</v>
      </c>
      <c r="C63" s="80" t="str">
        <f>IF($C$9=0,"Nurodykite",$C$9)</f>
        <v>Politinės svarbos</v>
      </c>
      <c r="D63" s="30" t="s">
        <v>147</v>
      </c>
      <c r="E63" s="79" t="str">
        <f t="shared" ref="E63:E70" si="8">IF(AND(B63&lt;&gt;"-",D63&lt;&gt;"Nurodykite įvertinimą"),IFERROR(D63*VLOOKUP(B63,Svoris,3,0),""),IF(AND(B63&lt;&gt;"-",D63="Nurodykite įvertinimą"),"Įveskite kriterijaus įvertinimą žaliame laukelyje",""))</f>
        <v>Įveskite kriterijaus įvertinimą žaliame laukelyje</v>
      </c>
      <c r="F63" s="25"/>
    </row>
    <row r="64" spans="2:6" hidden="1">
      <c r="B64" s="72" t="str">
        <f t="shared" si="7"/>
        <v>16.</v>
      </c>
      <c r="C64" s="80" t="str">
        <f>IF($C$10=0,"Nurodykite",$C$10)</f>
        <v>Regioninės svarbos</v>
      </c>
      <c r="D64" s="30" t="s">
        <v>147</v>
      </c>
      <c r="E64" s="79" t="str">
        <f t="shared" si="8"/>
        <v>Įveskite kriterijaus įvertinimą žaliame laukelyje</v>
      </c>
      <c r="F64" s="25"/>
    </row>
    <row r="65" spans="2:6" hidden="1">
      <c r="B65" s="72" t="str">
        <f t="shared" si="7"/>
        <v>17.</v>
      </c>
      <c r="C65" s="80" t="str">
        <f>IF($C$11=0,"Nurodykite",$C$11)</f>
        <v>Ekonominės svarbos</v>
      </c>
      <c r="D65" s="30" t="s">
        <v>147</v>
      </c>
      <c r="E65" s="79" t="str">
        <f t="shared" si="8"/>
        <v>Įveskite kriterijaus įvertinimą žaliame laukelyje</v>
      </c>
      <c r="F65" s="25"/>
    </row>
    <row r="66" spans="2:6" hidden="1">
      <c r="B66" s="72" t="str">
        <f t="shared" si="7"/>
        <v>18.</v>
      </c>
      <c r="C66" s="80" t="str">
        <f>IF($C$12=0,"Nurodykite",$C$12)</f>
        <v>Konsulinės/diasporos svarbos</v>
      </c>
      <c r="D66" s="30" t="s">
        <v>147</v>
      </c>
      <c r="E66" s="79" t="str">
        <f t="shared" si="8"/>
        <v>Įveskite kriterijaus įvertinimą žaliame laukelyje</v>
      </c>
      <c r="F66" s="25"/>
    </row>
    <row r="67" spans="2:6" hidden="1">
      <c r="B67" s="72" t="str">
        <f t="shared" si="7"/>
        <v>19.</v>
      </c>
      <c r="C67" s="80" t="str">
        <f>IF($C$13=0,"Nurodykite",$C$13)</f>
        <v>Ministerijos politinio pasirinkimo</v>
      </c>
      <c r="D67" s="30" t="s">
        <v>147</v>
      </c>
      <c r="E67" s="79" t="str">
        <f t="shared" si="8"/>
        <v>Įveskite kriterijaus įvertinimą žaliame laukelyje</v>
      </c>
      <c r="F67" s="25"/>
    </row>
    <row r="68" spans="2:6" hidden="1">
      <c r="B68" s="72" t="str">
        <f t="shared" si="7"/>
        <v>-</v>
      </c>
      <c r="C68" s="80" t="str">
        <f>IF($C$14=0,"Nurodykite",$C$14)</f>
        <v>Nurodykite</v>
      </c>
      <c r="D68" s="30" t="s">
        <v>147</v>
      </c>
      <c r="E68" s="79" t="str">
        <f t="shared" si="8"/>
        <v/>
      </c>
      <c r="F68" s="25"/>
    </row>
    <row r="69" spans="2:6" hidden="1">
      <c r="B69" s="72" t="str">
        <f t="shared" si="7"/>
        <v>-</v>
      </c>
      <c r="C69" s="80" t="str">
        <f>IF($C$15=0,"Nurodykite",$C$15)</f>
        <v>Nurodykite</v>
      </c>
      <c r="D69" s="30" t="s">
        <v>147</v>
      </c>
      <c r="E69" s="79" t="str">
        <f t="shared" si="8"/>
        <v/>
      </c>
      <c r="F69" s="25"/>
    </row>
    <row r="70" spans="2:6" hidden="1">
      <c r="B70" s="72" t="str">
        <f t="shared" si="7"/>
        <v>-</v>
      </c>
      <c r="C70" s="80" t="str">
        <f>IF($C$16=0,"Nurodykite",$C$16)</f>
        <v>Nurodykite</v>
      </c>
      <c r="D70" s="30" t="s">
        <v>147</v>
      </c>
      <c r="E70" s="79" t="str">
        <f t="shared" si="8"/>
        <v/>
      </c>
      <c r="F70" s="25"/>
    </row>
    <row r="71" spans="2:6" hidden="1">
      <c r="B71" s="25"/>
      <c r="C71" s="811" t="s">
        <v>148</v>
      </c>
      <c r="D71" s="798"/>
      <c r="E71" s="81">
        <f>SUM(E62:E70)</f>
        <v>0</v>
      </c>
      <c r="F71" s="82"/>
    </row>
    <row r="72" spans="2:6" hidden="1"/>
    <row r="73" spans="2:6" hidden="1">
      <c r="B73" s="31" t="s">
        <v>13</v>
      </c>
    </row>
    <row r="74" spans="2:6" ht="28.8" hidden="1">
      <c r="B74" s="71" t="s">
        <v>47</v>
      </c>
      <c r="C74" s="71" t="s">
        <v>45</v>
      </c>
      <c r="D74" s="74" t="s">
        <v>145</v>
      </c>
      <c r="E74" s="71" t="s">
        <v>146</v>
      </c>
      <c r="F74" s="19"/>
    </row>
    <row r="75" spans="2:6" hidden="1">
      <c r="B75" s="72" t="str">
        <f>IF(OR(C75="",C75="Nurodykite"),"-",ROW(B75)-ROW($B$75)+1 &amp; ".")</f>
        <v>1.</v>
      </c>
      <c r="C75" s="73" t="str">
        <f>C8</f>
        <v>Ekonominės naudos ir išlaidų santykis (ENIS)</v>
      </c>
      <c r="D75" s="78" t="str">
        <f>IF($B$4=Data1!$G$2,IFERROR(10*DA!H13/MAX(Rodikliai),"-"),IFERROR(10*MIN(Rodikliai)/DA!H13,"-"))</f>
        <v>-</v>
      </c>
      <c r="E75" s="79" t="str">
        <f>IFERROR(D75*VLOOKUP(B75,Svoris,3,0),"")</f>
        <v/>
      </c>
      <c r="F75" s="25"/>
    </row>
    <row r="76" spans="2:6" hidden="1">
      <c r="B76" s="72" t="str">
        <f t="shared" ref="B76:B83" si="9">IF(OR(C76="",C76="Nurodykite"),"-",ROW(B76)-ROW($B$75)+1 &amp; ".")</f>
        <v>2.</v>
      </c>
      <c r="C76" s="80" t="str">
        <f>IF($C$9=0,"Nurodykite",$C$9)</f>
        <v>Politinės svarbos</v>
      </c>
      <c r="D76" s="30" t="s">
        <v>147</v>
      </c>
      <c r="E76" s="79" t="str">
        <f t="shared" ref="E76:E83" si="10">IF(AND(B76&lt;&gt;"-",D76&lt;&gt;"Nurodykite įvertinimą"),IFERROR(D76*VLOOKUP(B76,Svoris,3,0),""),IF(AND(B76&lt;&gt;"-",D76="Nurodykite įvertinimą"),"Įveskite kriterijaus įvertinimą žaliame laukelyje",""))</f>
        <v>Įveskite kriterijaus įvertinimą žaliame laukelyje</v>
      </c>
      <c r="F76" s="25"/>
    </row>
    <row r="77" spans="2:6" hidden="1">
      <c r="B77" s="72" t="str">
        <f t="shared" si="9"/>
        <v>3.</v>
      </c>
      <c r="C77" s="80" t="str">
        <f>IF($C$10=0,"Nurodykite",$C$10)</f>
        <v>Regioninės svarbos</v>
      </c>
      <c r="D77" s="30" t="s">
        <v>147</v>
      </c>
      <c r="E77" s="79" t="str">
        <f t="shared" si="10"/>
        <v>Įveskite kriterijaus įvertinimą žaliame laukelyje</v>
      </c>
      <c r="F77" s="25"/>
    </row>
    <row r="78" spans="2:6" hidden="1">
      <c r="B78" s="72" t="str">
        <f t="shared" si="9"/>
        <v>4.</v>
      </c>
      <c r="C78" s="80" t="str">
        <f>IF($C$11=0,"Nurodykite",$C$11)</f>
        <v>Ekonominės svarbos</v>
      </c>
      <c r="D78" s="30" t="s">
        <v>147</v>
      </c>
      <c r="E78" s="79" t="str">
        <f t="shared" si="10"/>
        <v>Įveskite kriterijaus įvertinimą žaliame laukelyje</v>
      </c>
      <c r="F78" s="25"/>
    </row>
    <row r="79" spans="2:6" hidden="1">
      <c r="B79" s="72" t="str">
        <f t="shared" si="9"/>
        <v>5.</v>
      </c>
      <c r="C79" s="80" t="str">
        <f>IF($C$12=0,"Nurodykite",$C$12)</f>
        <v>Konsulinės/diasporos svarbos</v>
      </c>
      <c r="D79" s="30" t="s">
        <v>147</v>
      </c>
      <c r="E79" s="79" t="str">
        <f t="shared" si="10"/>
        <v>Įveskite kriterijaus įvertinimą žaliame laukelyje</v>
      </c>
      <c r="F79" s="25"/>
    </row>
    <row r="80" spans="2:6" hidden="1">
      <c r="B80" s="72" t="str">
        <f t="shared" si="9"/>
        <v>6.</v>
      </c>
      <c r="C80" s="80" t="str">
        <f>IF($C$13=0,"Nurodykite",$C$13)</f>
        <v>Ministerijos politinio pasirinkimo</v>
      </c>
      <c r="D80" s="30" t="s">
        <v>147</v>
      </c>
      <c r="E80" s="79" t="str">
        <f t="shared" si="10"/>
        <v>Įveskite kriterijaus įvertinimą žaliame laukelyje</v>
      </c>
      <c r="F80" s="25"/>
    </row>
    <row r="81" spans="2:6" hidden="1">
      <c r="B81" s="72" t="str">
        <f t="shared" si="9"/>
        <v>-</v>
      </c>
      <c r="C81" s="80" t="str">
        <f>IF($C$14=0,"Nurodykite",$C$14)</f>
        <v>Nurodykite</v>
      </c>
      <c r="D81" s="30" t="s">
        <v>147</v>
      </c>
      <c r="E81" s="79" t="str">
        <f t="shared" si="10"/>
        <v/>
      </c>
      <c r="F81" s="25"/>
    </row>
    <row r="82" spans="2:6" hidden="1">
      <c r="B82" s="72" t="str">
        <f t="shared" si="9"/>
        <v>-</v>
      </c>
      <c r="C82" s="80" t="str">
        <f>IF($C$15=0,"Nurodykite",$C$15)</f>
        <v>Nurodykite</v>
      </c>
      <c r="D82" s="30" t="s">
        <v>147</v>
      </c>
      <c r="E82" s="79" t="str">
        <f t="shared" si="10"/>
        <v/>
      </c>
      <c r="F82" s="25"/>
    </row>
    <row r="83" spans="2:6" hidden="1">
      <c r="B83" s="72" t="str">
        <f t="shared" si="9"/>
        <v>-</v>
      </c>
      <c r="C83" s="80" t="str">
        <f>IF($C$16=0,"Nurodykite",$C$16)</f>
        <v>Nurodykite</v>
      </c>
      <c r="D83" s="30" t="s">
        <v>147</v>
      </c>
      <c r="E83" s="79" t="str">
        <f t="shared" si="10"/>
        <v/>
      </c>
      <c r="F83" s="25"/>
    </row>
    <row r="84" spans="2:6" hidden="1">
      <c r="B84" s="25"/>
      <c r="C84" s="811" t="s">
        <v>148</v>
      </c>
      <c r="D84" s="798"/>
      <c r="E84" s="81">
        <f>SUM(E75:E83)</f>
        <v>0</v>
      </c>
      <c r="F84" s="82"/>
    </row>
  </sheetData>
  <sheetProtection algorithmName="SHA-512" hashValue="UMAQ5rvULGcOFi5Mk/M+Bqp8OhVvMAugrOV4cS8RgzhdZbBrR5k4/cvHjsPmci72J/WlBuFKgesgAZofHv8A1w==" saltValue="kSzITXdth/z4V4UWraeeyA==" spinCount="100000" sheet="1" objects="1" scenarios="1"/>
  <dataConsolidate link="1"/>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B00-000000000000}">
      <formula1>0.6</formula1>
      <formula2>1</formula2>
    </dataValidation>
    <dataValidation type="decimal" operator="equal" allowBlank="1" showInputMessage="1" showErrorMessage="1" promptTitle="Paaiškinimas" prompt="Visų kriterijų svorių suma turi būti lygi 100%." sqref="D17" xr:uid="{00000000-0002-0000-0B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B00-000002000000}">
      <formula1>0</formula1>
      <formula2>1</formula2>
    </dataValidation>
    <dataValidation type="decimal" allowBlank="1" showInputMessage="1" showErrorMessage="1" error="Kriterijaus įvertinimą pasirinkite iš intervalo 0-10." sqref="D76:D83 D37:D44 D50:D57 D63:D70 D24:D31" xr:uid="{00000000-0002-0000-0B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2430780</xdr:colOff>
                    <xdr:row>4</xdr:row>
                    <xdr:rowOff>182880</xdr:rowOff>
                  </from>
                  <to>
                    <xdr:col>3</xdr:col>
                    <xdr:colOff>2933700</xdr:colOff>
                    <xdr:row>5</xdr:row>
                    <xdr:rowOff>220980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1188720</xdr:colOff>
                    <xdr:row>5</xdr:row>
                    <xdr:rowOff>182880</xdr:rowOff>
                  </from>
                  <to>
                    <xdr:col>7</xdr:col>
                    <xdr:colOff>1699260</xdr:colOff>
                    <xdr:row>6</xdr:row>
                    <xdr:rowOff>220980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1">
    <tabColor theme="5" tint="0.59999389629810485"/>
    <pageSetUpPr fitToPage="1"/>
  </sheetPr>
  <dimension ref="B1:DC40"/>
  <sheetViews>
    <sheetView showGridLines="0" showRowColHeaders="0" zoomScaleNormal="100" workbookViewId="0">
      <pane xSplit="7" ySplit="5" topLeftCell="Z6" activePane="bottomRight" state="frozenSplit"/>
      <selection activeCell="C20" sqref="C20"/>
      <selection pane="topRight" activeCell="C20" sqref="C20"/>
      <selection pane="bottomLeft" activeCell="C20" sqref="C20"/>
      <selection pane="bottomRight" activeCell="H22" sqref="H22:DC22"/>
    </sheetView>
  </sheetViews>
  <sheetFormatPr defaultColWidth="9.109375" defaultRowHeight="14.4"/>
  <cols>
    <col min="1" max="1" width="3.6640625" customWidth="1"/>
    <col min="2" max="2" width="5.88671875" customWidth="1"/>
    <col min="3" max="3" width="12.44140625" customWidth="1"/>
    <col min="4" max="4" width="40.33203125" customWidth="1"/>
    <col min="5" max="5" width="8.44140625" customWidth="1"/>
    <col min="6" max="7" width="16.6640625" customWidth="1"/>
    <col min="8" max="28" width="14.6640625" customWidth="1"/>
    <col min="29" max="107" width="14.6640625" hidden="1" customWidth="1"/>
    <col min="108" max="109" width="9.109375" customWidth="1"/>
  </cols>
  <sheetData>
    <row r="1" spans="2:107" ht="9" customHeight="1"/>
    <row r="2" spans="2:107">
      <c r="B2" s="18" t="s">
        <v>14</v>
      </c>
      <c r="D2" s="18"/>
      <c r="E2" s="18"/>
      <c r="F2" s="18"/>
      <c r="G2" s="18"/>
      <c r="H2" s="18"/>
    </row>
    <row r="4" spans="2:107">
      <c r="B4" s="18"/>
    </row>
    <row r="5" spans="2:107">
      <c r="B5" s="18" t="s">
        <v>206</v>
      </c>
    </row>
    <row r="6" spans="2:107" s="25" customFormat="1">
      <c r="B6" s="127" t="s">
        <v>6</v>
      </c>
      <c r="C6" s="42"/>
      <c r="D6" s="42"/>
      <c r="E6" s="42"/>
      <c r="F6" s="786" t="s">
        <v>32</v>
      </c>
      <c r="G6" s="79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807" t="s">
        <v>15</v>
      </c>
      <c r="D7" s="807"/>
      <c r="E7" s="807"/>
      <c r="F7" s="13" t="s">
        <v>34</v>
      </c>
      <c r="G7" s="12" t="s">
        <v>33</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242</v>
      </c>
      <c r="C8" s="809" t="s">
        <v>265</v>
      </c>
      <c r="D8" s="809"/>
      <c r="E8" s="809"/>
      <c r="F8" s="43">
        <f>H8+NPV(FD,I8:INDEX(I8:DC8,PAL))</f>
        <v>133444251.35367091</v>
      </c>
      <c r="G8" s="43">
        <f>SUMIF($H$6:$DC$6,"&lt;="&amp;PAL,$H8:$DC8)</f>
        <v>198594640.95093948</v>
      </c>
      <c r="H8" s="14">
        <f>'Alternatyva 1'!H$7-'Alternatyva 1'!H$112</f>
        <v>1708000</v>
      </c>
      <c r="I8" s="14">
        <f>'Alternatyva 1'!I$7-'Alternatyva 1'!I$112</f>
        <v>4892303.081581587</v>
      </c>
      <c r="J8" s="14">
        <f>'Alternatyva 1'!J$7-'Alternatyva 1'!J$112</f>
        <v>7497111.0040018354</v>
      </c>
      <c r="K8" s="14">
        <f>'Alternatyva 1'!K$7-'Alternatyva 1'!K$112</f>
        <v>10775045.98287791</v>
      </c>
      <c r="L8" s="14">
        <f>'Alternatyva 1'!L$7-'Alternatyva 1'!L$112</f>
        <v>10182652.594448159</v>
      </c>
      <c r="M8" s="14">
        <f>'Alternatyva 1'!M$7-'Alternatyva 1'!M$112</f>
        <v>10199181.520067994</v>
      </c>
      <c r="N8" s="14">
        <f>'Alternatyva 1'!N$7-'Alternatyva 1'!N$112</f>
        <v>10183020.3630432</v>
      </c>
      <c r="O8" s="14">
        <f>'Alternatyva 1'!O$7-'Alternatyva 1'!O$112</f>
        <v>10183020.3630432</v>
      </c>
      <c r="P8" s="14">
        <f>'Alternatyva 1'!P$7-'Alternatyva 1'!P$112</f>
        <v>10183020.3630432</v>
      </c>
      <c r="Q8" s="14">
        <f>'Alternatyva 1'!Q$7-'Alternatyva 1'!Q$112</f>
        <v>10183020.3630432</v>
      </c>
      <c r="R8" s="14">
        <f>'Alternatyva 1'!R$7-'Alternatyva 1'!R$112</f>
        <v>10282193.916762209</v>
      </c>
      <c r="S8" s="14">
        <f>'Alternatyva 1'!S$7-'Alternatyva 1'!S$112</f>
        <v>10381367.470481217</v>
      </c>
      <c r="T8" s="14">
        <f>'Alternatyva 1'!T$7-'Alternatyva 1'!T$112</f>
        <v>10282193.916762209</v>
      </c>
      <c r="U8" s="14">
        <f>'Alternatyva 1'!U$7-'Alternatyva 1'!U$112</f>
        <v>10381367.470481217</v>
      </c>
      <c r="V8" s="14">
        <f>'Alternatyva 1'!V$7-'Alternatyva 1'!V$112</f>
        <v>10183020.3630432</v>
      </c>
      <c r="W8" s="14">
        <f>'Alternatyva 1'!W$7-'Alternatyva 1'!W$112</f>
        <v>10183020.3630432</v>
      </c>
      <c r="X8" s="14">
        <f>'Alternatyva 1'!X$7-'Alternatyva 1'!X$112</f>
        <v>10183020.3630432</v>
      </c>
      <c r="Y8" s="14">
        <f>'Alternatyva 1'!Y$7-'Alternatyva 1'!Y$112</f>
        <v>10183020.3630432</v>
      </c>
      <c r="Z8" s="14">
        <f>'Alternatyva 1'!Z$7-'Alternatyva 1'!Z$112</f>
        <v>10183020.3630432</v>
      </c>
      <c r="AA8" s="14">
        <f>'Alternatyva 1'!AA$7-'Alternatyva 1'!AA$112</f>
        <v>10183020.3630432</v>
      </c>
      <c r="AB8" s="14">
        <f>'Alternatyva 1'!AB$7-'Alternatyva 1'!AB$112</f>
        <v>10183020.3630432</v>
      </c>
      <c r="AC8" s="14">
        <f>'Alternatyva 1'!AC$7-'Alternatyva 1'!AC$112</f>
        <v>2329431.8160736002</v>
      </c>
      <c r="AD8" s="14">
        <f>'Alternatyva 1'!AD$7-'Alternatyva 1'!AD$112</f>
        <v>2329431.8160736002</v>
      </c>
      <c r="AE8" s="14">
        <f>'Alternatyva 1'!AE$7-'Alternatyva 1'!AE$112</f>
        <v>2329431.8160736002</v>
      </c>
      <c r="AF8" s="14">
        <f>'Alternatyva 1'!AF$7-'Alternatyva 1'!AF$112</f>
        <v>2329431.8160736002</v>
      </c>
      <c r="AG8" s="14">
        <f>'Alternatyva 1'!AG$7-'Alternatyva 1'!AG$112</f>
        <v>2329431.8160736002</v>
      </c>
      <c r="AH8" s="14">
        <f>'Alternatyva 1'!AH$7-'Alternatyva 1'!AH$112</f>
        <v>2329431.8160736002</v>
      </c>
      <c r="AI8" s="14">
        <f>'Alternatyva 1'!AI$7-'Alternatyva 1'!AI$112</f>
        <v>2329431.8160736002</v>
      </c>
      <c r="AJ8" s="14">
        <f>'Alternatyva 1'!AJ$7-'Alternatyva 1'!AJ$112</f>
        <v>2329431.8160736002</v>
      </c>
      <c r="AK8" s="14">
        <f>'Alternatyva 1'!AK$7-'Alternatyva 1'!AK$112</f>
        <v>2329431.8160736002</v>
      </c>
      <c r="AL8" s="14">
        <f>'Alternatyva 1'!AL$7-'Alternatyva 1'!AL$112</f>
        <v>2329431.8160736002</v>
      </c>
      <c r="AM8" s="14">
        <f>'Alternatyva 1'!AM$7-'Alternatyva 1'!AM$112</f>
        <v>2329431.8160736002</v>
      </c>
      <c r="AN8" s="14">
        <f>'Alternatyva 1'!AN$7-'Alternatyva 1'!AN$112</f>
        <v>2329431.8160736002</v>
      </c>
      <c r="AO8" s="14">
        <f>'Alternatyva 1'!AO$7-'Alternatyva 1'!AO$112</f>
        <v>2329431.8160736002</v>
      </c>
      <c r="AP8" s="14">
        <f>'Alternatyva 1'!AP$7-'Alternatyva 1'!AP$112</f>
        <v>2329431.8160736002</v>
      </c>
      <c r="AQ8" s="14">
        <f>'Alternatyva 1'!AQ$7-'Alternatyva 1'!AQ$112</f>
        <v>2329431.8160736002</v>
      </c>
      <c r="AR8" s="14">
        <f>'Alternatyva 1'!AR$7-'Alternatyva 1'!AR$112</f>
        <v>2329431.8160736002</v>
      </c>
      <c r="AS8" s="14">
        <f>'Alternatyva 1'!AS$7-'Alternatyva 1'!AS$112</f>
        <v>2329431.8160736002</v>
      </c>
      <c r="AT8" s="14">
        <f>'Alternatyva 1'!AT$7-'Alternatyva 1'!AT$112</f>
        <v>2329431.8160736002</v>
      </c>
      <c r="AU8" s="14">
        <f>'Alternatyva 1'!AU$7-'Alternatyva 1'!AU$112</f>
        <v>2329431.8160736002</v>
      </c>
      <c r="AV8" s="14">
        <f>'Alternatyva 1'!AV$7-'Alternatyva 1'!AV$112</f>
        <v>2329431.8160736002</v>
      </c>
      <c r="AW8" s="14">
        <f>'Alternatyva 1'!AW$7-'Alternatyva 1'!AW$112</f>
        <v>2329431.8160736002</v>
      </c>
      <c r="AX8" s="14">
        <f>'Alternatyva 1'!AX$7-'Alternatyva 1'!AX$112</f>
        <v>2329431.8160736002</v>
      </c>
      <c r="AY8" s="14">
        <f>'Alternatyva 1'!AY$7-'Alternatyva 1'!AY$112</f>
        <v>2329431.8160736002</v>
      </c>
      <c r="AZ8" s="14">
        <f>'Alternatyva 1'!AZ$7-'Alternatyva 1'!AZ$112</f>
        <v>2329431.8160736002</v>
      </c>
      <c r="BA8" s="14">
        <f>'Alternatyva 1'!BA$7-'Alternatyva 1'!BA$112</f>
        <v>2329431.8160736002</v>
      </c>
      <c r="BB8" s="14">
        <f>'Alternatyva 1'!BB$7-'Alternatyva 1'!BB$112</f>
        <v>2329431.8160736002</v>
      </c>
      <c r="BC8" s="14">
        <f>'Alternatyva 1'!BC$7-'Alternatyva 1'!BC$112</f>
        <v>2329431.8160736002</v>
      </c>
      <c r="BD8" s="14">
        <f>'Alternatyva 1'!BD$7-'Alternatyva 1'!BD$112</f>
        <v>2329431.8160736002</v>
      </c>
      <c r="BE8" s="14">
        <f>'Alternatyva 1'!BE$7-'Alternatyva 1'!BE$112</f>
        <v>2329431.8160736002</v>
      </c>
      <c r="BF8" s="14">
        <f>'Alternatyva 1'!BF$7-'Alternatyva 1'!BF$112</f>
        <v>2329431.8160736002</v>
      </c>
      <c r="BG8" s="14">
        <f>'Alternatyva 1'!BG$7-'Alternatyva 1'!BG$112</f>
        <v>2329431.8160736002</v>
      </c>
      <c r="BH8" s="14">
        <f>'Alternatyva 1'!BH$7-'Alternatyva 1'!BH$112</f>
        <v>2329431.8160736002</v>
      </c>
      <c r="BI8" s="14">
        <f>'Alternatyva 1'!BI$7-'Alternatyva 1'!BI$112</f>
        <v>2329431.8160736002</v>
      </c>
      <c r="BJ8" s="14">
        <f>'Alternatyva 1'!BJ$7-'Alternatyva 1'!BJ$112</f>
        <v>2329431.8160736002</v>
      </c>
      <c r="BK8" s="14">
        <f>'Alternatyva 1'!BK$7-'Alternatyva 1'!BK$112</f>
        <v>2329431.8160736002</v>
      </c>
      <c r="BL8" s="14">
        <f>'Alternatyva 1'!BL$7-'Alternatyva 1'!BL$112</f>
        <v>2329431.8160736002</v>
      </c>
      <c r="BM8" s="14">
        <f>'Alternatyva 1'!BM$7-'Alternatyva 1'!BM$112</f>
        <v>2329431.8160736002</v>
      </c>
      <c r="BN8" s="14">
        <f>'Alternatyva 1'!BN$7-'Alternatyva 1'!BN$112</f>
        <v>2329431.8160736002</v>
      </c>
      <c r="BO8" s="14">
        <f>'Alternatyva 1'!BO$7-'Alternatyva 1'!BO$112</f>
        <v>2329431.8160736002</v>
      </c>
      <c r="BP8" s="14">
        <f>'Alternatyva 1'!BP$7-'Alternatyva 1'!BP$112</f>
        <v>2329431.8160736002</v>
      </c>
      <c r="BQ8" s="14">
        <f>'Alternatyva 1'!BQ$7-'Alternatyva 1'!BQ$112</f>
        <v>2329431.8160736002</v>
      </c>
      <c r="BR8" s="14">
        <f>'Alternatyva 1'!BR$7-'Alternatyva 1'!BR$112</f>
        <v>2329431.8160736002</v>
      </c>
      <c r="BS8" s="14">
        <f>'Alternatyva 1'!BS$7-'Alternatyva 1'!BS$112</f>
        <v>2329431.8160736002</v>
      </c>
      <c r="BT8" s="14">
        <f>'Alternatyva 1'!BT$7-'Alternatyva 1'!BT$112</f>
        <v>2329431.8160736002</v>
      </c>
      <c r="BU8" s="14">
        <f>'Alternatyva 1'!BU$7-'Alternatyva 1'!BU$112</f>
        <v>2329431.8160736002</v>
      </c>
      <c r="BV8" s="14">
        <f>'Alternatyva 1'!BV$7-'Alternatyva 1'!BV$112</f>
        <v>2329431.8160736002</v>
      </c>
      <c r="BW8" s="14">
        <f>'Alternatyva 1'!BW$7-'Alternatyva 1'!BW$112</f>
        <v>2329431.8160736002</v>
      </c>
      <c r="BX8" s="14">
        <f>'Alternatyva 1'!BX$7-'Alternatyva 1'!BX$112</f>
        <v>2329431.8160736002</v>
      </c>
      <c r="BY8" s="14">
        <f>'Alternatyva 1'!BY$7-'Alternatyva 1'!BY$112</f>
        <v>2329431.8160736002</v>
      </c>
      <c r="BZ8" s="14">
        <f>'Alternatyva 1'!BZ$7-'Alternatyva 1'!BZ$112</f>
        <v>2329431.8160736002</v>
      </c>
      <c r="CA8" s="14">
        <f>'Alternatyva 1'!CA$7-'Alternatyva 1'!CA$112</f>
        <v>2329431.8160736002</v>
      </c>
      <c r="CB8" s="14">
        <f>'Alternatyva 1'!CB$7-'Alternatyva 1'!CB$112</f>
        <v>2329431.8160736002</v>
      </c>
      <c r="CC8" s="14">
        <f>'Alternatyva 1'!CC$7-'Alternatyva 1'!CC$112</f>
        <v>2329431.8160736002</v>
      </c>
      <c r="CD8" s="14">
        <f>'Alternatyva 1'!CD$7-'Alternatyva 1'!CD$112</f>
        <v>2329431.8160736002</v>
      </c>
      <c r="CE8" s="14">
        <f>'Alternatyva 1'!CE$7-'Alternatyva 1'!CE$112</f>
        <v>2329431.8160736002</v>
      </c>
      <c r="CF8" s="14">
        <f>'Alternatyva 1'!CF$7-'Alternatyva 1'!CF$112</f>
        <v>2329431.8160736002</v>
      </c>
      <c r="CG8" s="14">
        <f>'Alternatyva 1'!CG$7-'Alternatyva 1'!CG$112</f>
        <v>2329431.8160736002</v>
      </c>
      <c r="CH8" s="14">
        <f>'Alternatyva 1'!CH$7-'Alternatyva 1'!CH$112</f>
        <v>2329431.8160736002</v>
      </c>
      <c r="CI8" s="14">
        <f>'Alternatyva 1'!CI$7-'Alternatyva 1'!CI$112</f>
        <v>2329431.8160736002</v>
      </c>
      <c r="CJ8" s="14">
        <f>'Alternatyva 1'!CJ$7-'Alternatyva 1'!CJ$112</f>
        <v>2329431.8160736002</v>
      </c>
      <c r="CK8" s="14">
        <f>'Alternatyva 1'!CK$7-'Alternatyva 1'!CK$112</f>
        <v>2329431.8160736002</v>
      </c>
      <c r="CL8" s="14">
        <f>'Alternatyva 1'!CL$7-'Alternatyva 1'!CL$112</f>
        <v>2329431.8160736002</v>
      </c>
      <c r="CM8" s="14">
        <f>'Alternatyva 1'!CM$7-'Alternatyva 1'!CM$112</f>
        <v>2329431.8160736002</v>
      </c>
      <c r="CN8" s="14">
        <f>'Alternatyva 1'!CN$7-'Alternatyva 1'!CN$112</f>
        <v>2329431.8160736002</v>
      </c>
      <c r="CO8" s="14">
        <f>'Alternatyva 1'!CO$7-'Alternatyva 1'!CO$112</f>
        <v>2329431.8160736002</v>
      </c>
      <c r="CP8" s="14">
        <f>'Alternatyva 1'!CP$7-'Alternatyva 1'!CP$112</f>
        <v>2329431.8160736002</v>
      </c>
      <c r="CQ8" s="14">
        <f>'Alternatyva 1'!CQ$7-'Alternatyva 1'!CQ$112</f>
        <v>2329431.8160736002</v>
      </c>
      <c r="CR8" s="14">
        <f>'Alternatyva 1'!CR$7-'Alternatyva 1'!CR$112</f>
        <v>2329431.8160736002</v>
      </c>
      <c r="CS8" s="14">
        <f>'Alternatyva 1'!CS$7-'Alternatyva 1'!CS$112</f>
        <v>2329431.8160736002</v>
      </c>
      <c r="CT8" s="14">
        <f>'Alternatyva 1'!CT$7-'Alternatyva 1'!CT$112</f>
        <v>2329431.8160736002</v>
      </c>
      <c r="CU8" s="14">
        <f>'Alternatyva 1'!CU$7-'Alternatyva 1'!CU$112</f>
        <v>2329431.8160736002</v>
      </c>
      <c r="CV8" s="14">
        <f>'Alternatyva 1'!CV$7-'Alternatyva 1'!CV$112</f>
        <v>2329431.8160736002</v>
      </c>
      <c r="CW8" s="14">
        <f>'Alternatyva 1'!CW$7-'Alternatyva 1'!CW$112</f>
        <v>2329431.8160736002</v>
      </c>
      <c r="CX8" s="14">
        <f>'Alternatyva 1'!CX$7-'Alternatyva 1'!CX$112</f>
        <v>2329431.8160736002</v>
      </c>
      <c r="CY8" s="14">
        <f>'Alternatyva 1'!CY$7-'Alternatyva 1'!CY$112</f>
        <v>2329431.8160736002</v>
      </c>
      <c r="CZ8" s="14">
        <f>'Alternatyva 1'!CZ$7-'Alternatyva 1'!CZ$112</f>
        <v>2329431.8160736002</v>
      </c>
      <c r="DA8" s="14">
        <f>'Alternatyva 1'!DA$7-'Alternatyva 1'!DA$112</f>
        <v>2329431.8160736002</v>
      </c>
      <c r="DB8" s="14">
        <f>'Alternatyva 1'!DB$7-'Alternatyva 1'!DB$112</f>
        <v>2329431.8160736002</v>
      </c>
      <c r="DC8" s="14">
        <f>'Alternatyva 1'!DC$7-'Alternatyva 1'!DC$112</f>
        <v>2329431.8160736002</v>
      </c>
    </row>
    <row r="9" spans="2:107">
      <c r="B9" s="5" t="s">
        <v>243</v>
      </c>
      <c r="C9" s="815" t="s">
        <v>266</v>
      </c>
      <c r="D9" s="815"/>
      <c r="E9" s="815"/>
      <c r="F9" s="43">
        <f>H9+NPV(FD,I9:INDEX(I9:DC9,PAL))</f>
        <v>70619668.107303977</v>
      </c>
      <c r="G9" s="43">
        <f>SUMIF($H$6:$DC$6,"&lt;="&amp;PAL,$H9:$DC9)</f>
        <v>108392500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2580500</v>
      </c>
      <c r="K9" s="14">
        <f>SUMPRODUCT('Alternatyva 1'!K$95:K$99,100/('Alternatyva 1'!$DG$95:$DG$99+100))-SUMPRODUCT('Alternatyva 1'!K$106:K$110,100/('Alternatyva 1'!$DG$106:$DG$110+100))</f>
        <v>3628400</v>
      </c>
      <c r="L9" s="14">
        <f>SUMPRODUCT('Alternatyva 1'!L$95:L$99,100/('Alternatyva 1'!$DG$95:$DG$99+100))-SUMPRODUCT('Alternatyva 1'!L$106:L$110,100/('Alternatyva 1'!$DG$106:$DG$110+100))</f>
        <v>6010800</v>
      </c>
      <c r="M9" s="14">
        <f>SUMPRODUCT('Alternatyva 1'!M$95:M$99,100/('Alternatyva 1'!$DG$95:$DG$99+100))-SUMPRODUCT('Alternatyva 1'!M$106:M$110,100/('Alternatyva 1'!$DG$106:$DG$110+100))</f>
        <v>6010800</v>
      </c>
      <c r="N9" s="14">
        <f>SUMPRODUCT('Alternatyva 1'!N$95:N$99,100/('Alternatyva 1'!$DG$95:$DG$99+100))-SUMPRODUCT('Alternatyva 1'!N$106:N$110,100/('Alternatyva 1'!$DG$106:$DG$110+100))</f>
        <v>6010800</v>
      </c>
      <c r="O9" s="14">
        <f>SUMPRODUCT('Alternatyva 1'!O$95:O$99,100/('Alternatyva 1'!$DG$95:$DG$99+100))-SUMPRODUCT('Alternatyva 1'!O$106:O$110,100/('Alternatyva 1'!$DG$106:$DG$110+100))</f>
        <v>6010800</v>
      </c>
      <c r="P9" s="14">
        <f>SUMPRODUCT('Alternatyva 1'!P$95:P$99,100/('Alternatyva 1'!$DG$95:$DG$99+100))-SUMPRODUCT('Alternatyva 1'!P$106:P$110,100/('Alternatyva 1'!$DG$106:$DG$110+100))</f>
        <v>6010800</v>
      </c>
      <c r="Q9" s="14">
        <f>SUMPRODUCT('Alternatyva 1'!Q$95:Q$99,100/('Alternatyva 1'!$DG$95:$DG$99+100))-SUMPRODUCT('Alternatyva 1'!Q$106:Q$110,100/('Alternatyva 1'!$DG$106:$DG$110+100))</f>
        <v>6010800</v>
      </c>
      <c r="R9" s="14">
        <f>SUMPRODUCT('Alternatyva 1'!R$95:R$99,100/('Alternatyva 1'!$DG$95:$DG$99+100))-SUMPRODUCT('Alternatyva 1'!R$106:R$110,100/('Alternatyva 1'!$DG$106:$DG$110+100))</f>
        <v>6010800</v>
      </c>
      <c r="S9" s="14">
        <f>SUMPRODUCT('Alternatyva 1'!S$95:S$99,100/('Alternatyva 1'!$DG$95:$DG$99+100))-SUMPRODUCT('Alternatyva 1'!S$106:S$110,100/('Alternatyva 1'!$DG$106:$DG$110+100))</f>
        <v>6010800</v>
      </c>
      <c r="T9" s="14">
        <f>SUMPRODUCT('Alternatyva 1'!T$95:T$99,100/('Alternatyva 1'!$DG$95:$DG$99+100))-SUMPRODUCT('Alternatyva 1'!T$106:T$110,100/('Alternatyva 1'!$DG$106:$DG$110+100))</f>
        <v>6010800</v>
      </c>
      <c r="U9" s="14">
        <f>SUMPRODUCT('Alternatyva 1'!U$95:U$99,100/('Alternatyva 1'!$DG$95:$DG$99+100))-SUMPRODUCT('Alternatyva 1'!U$106:U$110,100/('Alternatyva 1'!$DG$106:$DG$110+100))</f>
        <v>6010800</v>
      </c>
      <c r="V9" s="14">
        <f>SUMPRODUCT('Alternatyva 1'!V$95:V$99,100/('Alternatyva 1'!$DG$95:$DG$99+100))-SUMPRODUCT('Alternatyva 1'!V$106:V$110,100/('Alternatyva 1'!$DG$106:$DG$110+100))</f>
        <v>6010800</v>
      </c>
      <c r="W9" s="14">
        <f>SUMPRODUCT('Alternatyva 1'!W$95:W$99,100/('Alternatyva 1'!$DG$95:$DG$99+100))-SUMPRODUCT('Alternatyva 1'!W$106:W$110,100/('Alternatyva 1'!$DG$106:$DG$110+100))</f>
        <v>6010800</v>
      </c>
      <c r="X9" s="14">
        <f>SUMPRODUCT('Alternatyva 1'!X$95:X$99,100/('Alternatyva 1'!$DG$95:$DG$99+100))-SUMPRODUCT('Alternatyva 1'!X$106:X$110,100/('Alternatyva 1'!$DG$106:$DG$110+100))</f>
        <v>6010800</v>
      </c>
      <c r="Y9" s="14">
        <f>SUMPRODUCT('Alternatyva 1'!Y$95:Y$99,100/('Alternatyva 1'!$DG$95:$DG$99+100))-SUMPRODUCT('Alternatyva 1'!Y$106:Y$110,100/('Alternatyva 1'!$DG$106:$DG$110+100))</f>
        <v>6010800</v>
      </c>
      <c r="Z9" s="14">
        <f>SUMPRODUCT('Alternatyva 1'!Z$95:Z$99,100/('Alternatyva 1'!$DG$95:$DG$99+100))-SUMPRODUCT('Alternatyva 1'!Z$106:Z$110,100/('Alternatyva 1'!$DG$106:$DG$110+100))</f>
        <v>6010800</v>
      </c>
      <c r="AA9" s="14">
        <f>SUMPRODUCT('Alternatyva 1'!AA$95:AA$99,100/('Alternatyva 1'!$DG$95:$DG$99+100))-SUMPRODUCT('Alternatyva 1'!AA$106:AA$110,100/('Alternatyva 1'!$DG$106:$DG$110+100))</f>
        <v>6010800</v>
      </c>
      <c r="AB9" s="14">
        <f>SUMPRODUCT('Alternatyva 1'!AB$95:AB$99,100/('Alternatyva 1'!$DG$95:$DG$99+100))-SUMPRODUCT('Alternatyva 1'!AB$106:AB$110,100/('Alternatyva 1'!$DG$106:$DG$110+100))</f>
        <v>6010800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281</v>
      </c>
      <c r="C10" s="815" t="s">
        <v>413</v>
      </c>
      <c r="D10" s="815"/>
      <c r="E10" s="815"/>
      <c r="F10" s="43">
        <f>H10+NPV(FD,I10:INDEX(I10:DC10,PAL))</f>
        <v>0</v>
      </c>
      <c r="G10" s="43">
        <f>SUMIF($H$6:$DC$6,"&lt;="&amp;PAL,$H10:$DC10)</f>
        <v>0</v>
      </c>
      <c r="H10" s="41">
        <f>SUMPRODUCT('Alternatyva 1'!H$106:H$110,100*'Alternatyva 1'!$D$106:$D$110,1/('Alternatyva 1'!$DG$106:$DG$110+100),'Alternatyva 1'!$DH$106:$DH$110)</f>
        <v>0</v>
      </c>
      <c r="I10" s="41">
        <f>SUMPRODUCT('Alternatyva 1'!I$106:I$110,'Alternatyva 1'!$D$106:$D$110,1/100*('Alternatyva 1'!$D$106:$D$110+100),'Alternatyva 1'!$DH$106:$DH$110)</f>
        <v>0</v>
      </c>
      <c r="J10" s="41">
        <f>SUMPRODUCT('Alternatyva 1'!J106:J110,'Alternatyva 1'!$D$106:$D$110,1/100*('Alternatyva 1'!$D$106:$D$110+100),'Alternatyva 1'!$DH$106:$DH$110)</f>
        <v>0</v>
      </c>
      <c r="K10" s="41">
        <f>SUMPRODUCT('Alternatyva 1'!K106:K110,'Alternatyva 1'!$D$106:$D$110,1/100*('Alternatyva 1'!$D$106:$D$110+100),'Alternatyva 1'!$DH$106:$DH$110)</f>
        <v>0</v>
      </c>
      <c r="L10" s="41">
        <f>SUMPRODUCT('Alternatyva 1'!L106:L110,'Alternatyva 1'!$D$106:$D$110,1/100*('Alternatyva 1'!$D$106:$D$110+100),'Alternatyva 1'!$DH$106:$DH$110)</f>
        <v>0</v>
      </c>
      <c r="M10" s="41">
        <f>SUMPRODUCT('Alternatyva 1'!M106:M110,'Alternatyva 1'!$D$106:$D$110,1/100*('Alternatyva 1'!$D$106:$D$110+100),'Alternatyva 1'!$DH$106:$DH$110)</f>
        <v>0</v>
      </c>
      <c r="N10" s="41">
        <f>SUMPRODUCT('Alternatyva 1'!N106:N110,'Alternatyva 1'!$D$106:$D$110,1/100*('Alternatyva 1'!$D$106:$D$110+100),'Alternatyva 1'!$DH$106:$DH$110)</f>
        <v>0</v>
      </c>
      <c r="O10" s="41">
        <f>SUMPRODUCT('Alternatyva 1'!O106:O110,'Alternatyva 1'!$D$106:$D$110,1/100*('Alternatyva 1'!$D$106:$D$110+100),'Alternatyva 1'!$DH$106:$DH$110)</f>
        <v>0</v>
      </c>
      <c r="P10" s="41">
        <f>SUMPRODUCT('Alternatyva 1'!P106:P110,'Alternatyva 1'!$D$106:$D$110,1/100*('Alternatyva 1'!$D$106:$D$110+100),'Alternatyva 1'!$DH$106:$DH$110)</f>
        <v>0</v>
      </c>
      <c r="Q10" s="41">
        <f>SUMPRODUCT('Alternatyva 1'!Q106:Q110,'Alternatyva 1'!$D$106:$D$110,1/100*('Alternatyva 1'!$D$106:$D$110+100),'Alternatyva 1'!$DH$106:$DH$110)</f>
        <v>0</v>
      </c>
      <c r="R10" s="41">
        <f>SUMPRODUCT('Alternatyva 1'!R106:R110,'Alternatyva 1'!$D$106:$D$110,1/100*('Alternatyva 1'!$D$106:$D$110+100),'Alternatyva 1'!$DH$106:$DH$110)</f>
        <v>0</v>
      </c>
      <c r="S10" s="41">
        <f>SUMPRODUCT('Alternatyva 1'!S106:S110,'Alternatyva 1'!$D$106:$D$110,1/100*('Alternatyva 1'!$D$106:$D$110+100),'Alternatyva 1'!$DH$106:$DH$110)</f>
        <v>0</v>
      </c>
      <c r="T10" s="41">
        <f>SUMPRODUCT('Alternatyva 1'!T106:T110,'Alternatyva 1'!$D$106:$D$110,1/100*('Alternatyva 1'!$D$106:$D$110+100),'Alternatyva 1'!$DH$106:$DH$110)</f>
        <v>0</v>
      </c>
      <c r="U10" s="41">
        <f>SUMPRODUCT('Alternatyva 1'!U106:U110,'Alternatyva 1'!$D$106:$D$110,1/100*('Alternatyva 1'!$D$106:$D$110+100),'Alternatyva 1'!$DH$106:$DH$110)</f>
        <v>0</v>
      </c>
      <c r="V10" s="41">
        <f>SUMPRODUCT('Alternatyva 1'!V106:V110,'Alternatyva 1'!$D$106:$D$110,1/100*('Alternatyva 1'!$D$106:$D$110+100),'Alternatyva 1'!$DH$106:$DH$110)</f>
        <v>0</v>
      </c>
      <c r="W10" s="41">
        <f>SUMPRODUCT('Alternatyva 1'!W106:W110,'Alternatyva 1'!$D$106:$D$110,1/100*('Alternatyva 1'!$D$106:$D$110+100),'Alternatyva 1'!$DH$106:$DH$110)</f>
        <v>0</v>
      </c>
      <c r="X10" s="41">
        <f>SUMPRODUCT('Alternatyva 1'!X106:X110,'Alternatyva 1'!$D$106:$D$110,1/100*('Alternatyva 1'!$D$106:$D$110+100),'Alternatyva 1'!$DH$106:$DH$110)</f>
        <v>0</v>
      </c>
      <c r="Y10" s="41">
        <f>SUMPRODUCT('Alternatyva 1'!Y106:Y110,'Alternatyva 1'!$D$106:$D$110,1/100*('Alternatyva 1'!$D$106:$D$110+100),'Alternatyva 1'!$DH$106:$DH$110)</f>
        <v>0</v>
      </c>
      <c r="Z10" s="41">
        <f>SUMPRODUCT('Alternatyva 1'!Z106:Z110,'Alternatyva 1'!$D$106:$D$110,1/100*('Alternatyva 1'!$D$106:$D$110+100),'Alternatyva 1'!$DH$106:$DH$110)</f>
        <v>0</v>
      </c>
      <c r="AA10" s="41">
        <f>SUMPRODUCT('Alternatyva 1'!AA106:AA110,'Alternatyva 1'!$D$106:$D$110,1/100*('Alternatyva 1'!$D$106:$D$110+100),'Alternatyva 1'!$DH$106:$DH$110)</f>
        <v>0</v>
      </c>
      <c r="AB10" s="41">
        <f>SUMPRODUCT('Alternatyva 1'!AB106:AB110,'Alternatyva 1'!$D$106:$D$110,1/100*('Alternatyva 1'!$D$106:$D$110+100),'Alternatyva 1'!$DH$106:$DH$110)</f>
        <v>0</v>
      </c>
      <c r="AC10" s="41">
        <f>SUMPRODUCT('Alternatyva 1'!AC106:AC110,'Alternatyva 1'!$D$106:$D$110,1/100*('Alternatyva 1'!$D$106:$D$110+100),'Alternatyva 1'!$DH$106:$DH$110)</f>
        <v>0</v>
      </c>
      <c r="AD10" s="41">
        <f>SUMPRODUCT('Alternatyva 1'!AD106:AD110,'Alternatyva 1'!$D$106:$D$110,1/100*('Alternatyva 1'!$D$106:$D$110+100),'Alternatyva 1'!$DH$106:$DH$110)</f>
        <v>0</v>
      </c>
      <c r="AE10" s="41">
        <f>SUMPRODUCT('Alternatyva 1'!AE106:AE110,'Alternatyva 1'!$D$106:$D$110,1/100*('Alternatyva 1'!$D$106:$D$110+100),'Alternatyva 1'!$DH$106:$DH$110)</f>
        <v>0</v>
      </c>
      <c r="AF10" s="41">
        <f>SUMPRODUCT('Alternatyva 1'!AF106:AF110,'Alternatyva 1'!$D$106:$D$110,1/100*('Alternatyva 1'!$D$106:$D$110+100),'Alternatyva 1'!$DH$106:$DH$110)</f>
        <v>0</v>
      </c>
      <c r="AG10" s="41">
        <f>SUMPRODUCT('Alternatyva 1'!AG106:AG110,'Alternatyva 1'!$D$106:$D$110,1/100*('Alternatyva 1'!$D$106:$D$110+100),'Alternatyva 1'!$DH$106:$DH$110)</f>
        <v>0</v>
      </c>
      <c r="AH10" s="41">
        <f>SUMPRODUCT('Alternatyva 1'!AH106:AH110,'Alternatyva 1'!$D$106:$D$110,1/100*('Alternatyva 1'!$D$106:$D$110+100),'Alternatyva 1'!$DH$106:$DH$110)</f>
        <v>0</v>
      </c>
      <c r="AI10" s="41">
        <f>SUMPRODUCT('Alternatyva 1'!AI106:AI110,'Alternatyva 1'!$D$106:$D$110,1/100*('Alternatyva 1'!$D$106:$D$110+100),'Alternatyva 1'!$DH$106:$DH$110)</f>
        <v>0</v>
      </c>
      <c r="AJ10" s="41">
        <f>SUMPRODUCT('Alternatyva 1'!AJ106:AJ110,'Alternatyva 1'!$D$106:$D$110,1/100*('Alternatyva 1'!$D$106:$D$110+100),'Alternatyva 1'!$DH$106:$DH$110)</f>
        <v>0</v>
      </c>
      <c r="AK10" s="41">
        <f>SUMPRODUCT('Alternatyva 1'!AK106:AK110,'Alternatyva 1'!$D$106:$D$110,1/100*('Alternatyva 1'!$D$106:$D$110+100),'Alternatyva 1'!$DH$106:$DH$110)</f>
        <v>0</v>
      </c>
      <c r="AL10" s="41">
        <f>SUMPRODUCT('Alternatyva 1'!AL106:AL110,'Alternatyva 1'!$D$106:$D$110,1/100*('Alternatyva 1'!$D$106:$D$110+100),'Alternatyva 1'!$DH$106:$DH$110)</f>
        <v>0</v>
      </c>
      <c r="AM10" s="41">
        <f>SUMPRODUCT('Alternatyva 1'!AM106:AM110,'Alternatyva 1'!$D$106:$D$110,1/100*('Alternatyva 1'!$D$106:$D$110+100),'Alternatyva 1'!$DH$106:$DH$110)</f>
        <v>0</v>
      </c>
      <c r="AN10" s="41">
        <f>SUMPRODUCT('Alternatyva 1'!AN106:AN110,'Alternatyva 1'!$D$106:$D$110,1/100*('Alternatyva 1'!$D$106:$D$110+100),'Alternatyva 1'!$DH$106:$DH$110)</f>
        <v>0</v>
      </c>
      <c r="AO10" s="41">
        <f>SUMPRODUCT('Alternatyva 1'!AO106:AO110,'Alternatyva 1'!$D$106:$D$110,1/100*('Alternatyva 1'!$D$106:$D$110+100),'Alternatyva 1'!$DH$106:$DH$110)</f>
        <v>0</v>
      </c>
      <c r="AP10" s="41">
        <f>SUMPRODUCT('Alternatyva 1'!AP106:AP110,'Alternatyva 1'!$D$106:$D$110,1/100*('Alternatyva 1'!$D$106:$D$110+100),'Alternatyva 1'!$DH$106:$DH$110)</f>
        <v>0</v>
      </c>
      <c r="AQ10" s="41">
        <f>SUMPRODUCT('Alternatyva 1'!AQ106:AQ110,'Alternatyva 1'!$D$106:$D$110,1/100*('Alternatyva 1'!$D$106:$D$110+100),'Alternatyva 1'!$DH$106:$DH$110)</f>
        <v>0</v>
      </c>
      <c r="AR10" s="41">
        <f>SUMPRODUCT('Alternatyva 1'!AR106:AR110,'Alternatyva 1'!$D$106:$D$110,1/100*('Alternatyva 1'!$D$106:$D$110+100),'Alternatyva 1'!$DH$106:$DH$110)</f>
        <v>0</v>
      </c>
      <c r="AS10" s="41">
        <f>SUMPRODUCT('Alternatyva 1'!AS106:AS110,'Alternatyva 1'!$D$106:$D$110,1/100*('Alternatyva 1'!$D$106:$D$110+100),'Alternatyva 1'!$DH$106:$DH$110)</f>
        <v>0</v>
      </c>
      <c r="AT10" s="41">
        <f>SUMPRODUCT('Alternatyva 1'!AT106:AT110,'Alternatyva 1'!$D$106:$D$110,1/100*('Alternatyva 1'!$D$106:$D$110+100),'Alternatyva 1'!$DH$106:$DH$110)</f>
        <v>0</v>
      </c>
      <c r="AU10" s="41">
        <f>SUMPRODUCT('Alternatyva 1'!AU106:AU110,'Alternatyva 1'!$D$106:$D$110,1/100*('Alternatyva 1'!$D$106:$D$110+100),'Alternatyva 1'!$DH$106:$DH$110)</f>
        <v>0</v>
      </c>
      <c r="AV10" s="41">
        <f>SUMPRODUCT('Alternatyva 1'!AV106:AV110,'Alternatyva 1'!$D$106:$D$110,1/100*('Alternatyva 1'!$D$106:$D$110+100),'Alternatyva 1'!$DH$106:$DH$110)</f>
        <v>0</v>
      </c>
      <c r="AW10" s="41">
        <f>SUMPRODUCT('Alternatyva 1'!AW106:AW110,'Alternatyva 1'!$D$106:$D$110,1/100*('Alternatyva 1'!$D$106:$D$110+100),'Alternatyva 1'!$DH$106:$DH$110)</f>
        <v>0</v>
      </c>
      <c r="AX10" s="41">
        <f>SUMPRODUCT('Alternatyva 1'!AX106:AX110,'Alternatyva 1'!$D$106:$D$110,1/100*('Alternatyva 1'!$D$106:$D$110+100),'Alternatyva 1'!$DH$106:$DH$110)</f>
        <v>0</v>
      </c>
      <c r="AY10" s="41">
        <f>SUMPRODUCT('Alternatyva 1'!AY106:AY110,'Alternatyva 1'!$D$106:$D$110,1/100*('Alternatyva 1'!$D$106:$D$110+100),'Alternatyva 1'!$DH$106:$DH$110)</f>
        <v>0</v>
      </c>
      <c r="AZ10" s="41">
        <f>SUMPRODUCT('Alternatyva 1'!AZ106:AZ110,'Alternatyva 1'!$D$106:$D$110,1/100*('Alternatyva 1'!$D$106:$D$110+100),'Alternatyva 1'!$DH$106:$DH$110)</f>
        <v>0</v>
      </c>
      <c r="BA10" s="41">
        <f>SUMPRODUCT('Alternatyva 1'!BA106:BA110,'Alternatyva 1'!$D$106:$D$110,1/100*('Alternatyva 1'!$D$106:$D$110+100),'Alternatyva 1'!$DH$106:$DH$110)</f>
        <v>0</v>
      </c>
      <c r="BB10" s="41">
        <f>SUMPRODUCT('Alternatyva 1'!BB106:BB110,'Alternatyva 1'!$D$106:$D$110,1/100*('Alternatyva 1'!$D$106:$D$110+100),'Alternatyva 1'!$DH$106:$DH$110)</f>
        <v>0</v>
      </c>
      <c r="BC10" s="41">
        <f>SUMPRODUCT('Alternatyva 1'!BC106:BC110,'Alternatyva 1'!$D$106:$D$110,1/100*('Alternatyva 1'!$D$106:$D$110+100),'Alternatyva 1'!$DH$106:$DH$110)</f>
        <v>0</v>
      </c>
      <c r="BD10" s="41">
        <f>SUMPRODUCT('Alternatyva 1'!BD106:BD110,'Alternatyva 1'!$D$106:$D$110,1/100*('Alternatyva 1'!$D$106:$D$110+100),'Alternatyva 1'!$DH$106:$DH$110)</f>
        <v>0</v>
      </c>
      <c r="BE10" s="41">
        <f>SUMPRODUCT('Alternatyva 1'!BE106:BE110,'Alternatyva 1'!$D$106:$D$110,1/100*('Alternatyva 1'!$D$106:$D$110+100),'Alternatyva 1'!$DH$106:$DH$110)</f>
        <v>0</v>
      </c>
      <c r="BF10" s="41">
        <f>SUMPRODUCT('Alternatyva 1'!BF106:BF110,'Alternatyva 1'!$D$106:$D$110,1/100*('Alternatyva 1'!$D$106:$D$110+100),'Alternatyva 1'!$DH$106:$DH$110)</f>
        <v>0</v>
      </c>
      <c r="BG10" s="41">
        <f>SUMPRODUCT('Alternatyva 1'!BG106:BG110,'Alternatyva 1'!$D$106:$D$110,1/100*('Alternatyva 1'!$D$106:$D$110+100),'Alternatyva 1'!$DH$106:$DH$110)</f>
        <v>0</v>
      </c>
      <c r="BH10" s="41">
        <f>SUMPRODUCT('Alternatyva 1'!BH106:BH110,'Alternatyva 1'!$D$106:$D$110,1/100*('Alternatyva 1'!$D$106:$D$110+100),'Alternatyva 1'!$DH$106:$DH$110)</f>
        <v>0</v>
      </c>
      <c r="BI10" s="41">
        <f>SUMPRODUCT('Alternatyva 1'!BI106:BI110,'Alternatyva 1'!$D$106:$D$110,1/100*('Alternatyva 1'!$D$106:$D$110+100),'Alternatyva 1'!$DH$106:$DH$110)</f>
        <v>0</v>
      </c>
      <c r="BJ10" s="41">
        <f>SUMPRODUCT('Alternatyva 1'!BJ106:BJ110,'Alternatyva 1'!$D$106:$D$110,1/100*('Alternatyva 1'!$D$106:$D$110+100),'Alternatyva 1'!$DH$106:$DH$110)</f>
        <v>0</v>
      </c>
      <c r="BK10" s="41">
        <f>SUMPRODUCT('Alternatyva 1'!BK106:BK110,'Alternatyva 1'!$D$106:$D$110,1/100*('Alternatyva 1'!$D$106:$D$110+100),'Alternatyva 1'!$DH$106:$DH$110)</f>
        <v>0</v>
      </c>
      <c r="BL10" s="41">
        <f>SUMPRODUCT('Alternatyva 1'!BL106:BL110,'Alternatyva 1'!$D$106:$D$110,1/100*('Alternatyva 1'!$D$106:$D$110+100),'Alternatyva 1'!$DH$106:$DH$110)</f>
        <v>0</v>
      </c>
      <c r="BM10" s="41">
        <f>SUMPRODUCT('Alternatyva 1'!BM106:BM110,'Alternatyva 1'!$D$106:$D$110,1/100*('Alternatyva 1'!$D$106:$D$110+100),'Alternatyva 1'!$DH$106:$DH$110)</f>
        <v>0</v>
      </c>
      <c r="BN10" s="41">
        <f>SUMPRODUCT('Alternatyva 1'!BN106:BN110,'Alternatyva 1'!$D$106:$D$110,1/100*('Alternatyva 1'!$D$106:$D$110+100),'Alternatyva 1'!$DH$106:$DH$110)</f>
        <v>0</v>
      </c>
      <c r="BO10" s="41">
        <f>SUMPRODUCT('Alternatyva 1'!BO106:BO110,'Alternatyva 1'!$D$106:$D$110,1/100*('Alternatyva 1'!$D$106:$D$110+100),'Alternatyva 1'!$DH$106:$DH$110)</f>
        <v>0</v>
      </c>
      <c r="BP10" s="41">
        <f>SUMPRODUCT('Alternatyva 1'!BP106:BP110,'Alternatyva 1'!$D$106:$D$110,1/100*('Alternatyva 1'!$D$106:$D$110+100),'Alternatyva 1'!$DH$106:$DH$110)</f>
        <v>0</v>
      </c>
      <c r="BQ10" s="41">
        <f>SUMPRODUCT('Alternatyva 1'!BQ106:BQ110,'Alternatyva 1'!$D$106:$D$110,1/100*('Alternatyva 1'!$D$106:$D$110+100),'Alternatyva 1'!$DH$106:$DH$110)</f>
        <v>0</v>
      </c>
      <c r="BR10" s="41">
        <f>SUMPRODUCT('Alternatyva 1'!BR106:BR110,'Alternatyva 1'!$D$106:$D$110,1/100*('Alternatyva 1'!$D$106:$D$110+100),'Alternatyva 1'!$DH$106:$DH$110)</f>
        <v>0</v>
      </c>
      <c r="BS10" s="41">
        <f>SUMPRODUCT('Alternatyva 1'!BS106:BS110,'Alternatyva 1'!$D$106:$D$110,1/100*('Alternatyva 1'!$D$106:$D$110+100),'Alternatyva 1'!$DH$106:$DH$110)</f>
        <v>0</v>
      </c>
      <c r="BT10" s="41">
        <f>SUMPRODUCT('Alternatyva 1'!BT106:BT110,'Alternatyva 1'!$D$106:$D$110,1/100*('Alternatyva 1'!$D$106:$D$110+100),'Alternatyva 1'!$DH$106:$DH$110)</f>
        <v>0</v>
      </c>
      <c r="BU10" s="41">
        <f>SUMPRODUCT('Alternatyva 1'!BU106:BU110,'Alternatyva 1'!$D$106:$D$110,1/100*('Alternatyva 1'!$D$106:$D$110+100),'Alternatyva 1'!$DH$106:$DH$110)</f>
        <v>0</v>
      </c>
      <c r="BV10" s="41">
        <f>SUMPRODUCT('Alternatyva 1'!BV106:BV110,'Alternatyva 1'!$D$106:$D$110,1/100*('Alternatyva 1'!$D$106:$D$110+100),'Alternatyva 1'!$DH$106:$DH$110)</f>
        <v>0</v>
      </c>
      <c r="BW10" s="41">
        <f>SUMPRODUCT('Alternatyva 1'!BW106:BW110,'Alternatyva 1'!$D$106:$D$110,1/100*('Alternatyva 1'!$D$106:$D$110+100),'Alternatyva 1'!$DH$106:$DH$110)</f>
        <v>0</v>
      </c>
      <c r="BX10" s="41">
        <f>SUMPRODUCT('Alternatyva 1'!BX106:BX110,'Alternatyva 1'!$D$106:$D$110,1/100*('Alternatyva 1'!$D$106:$D$110+100),'Alternatyva 1'!$DH$106:$DH$110)</f>
        <v>0</v>
      </c>
      <c r="BY10" s="41">
        <f>SUMPRODUCT('Alternatyva 1'!BY106:BY110,'Alternatyva 1'!$D$106:$D$110,1/100*('Alternatyva 1'!$D$106:$D$110+100),'Alternatyva 1'!$DH$106:$DH$110)</f>
        <v>0</v>
      </c>
      <c r="BZ10" s="41">
        <f>SUMPRODUCT('Alternatyva 1'!BZ106:BZ110,'Alternatyva 1'!$D$106:$D$110,1/100*('Alternatyva 1'!$D$106:$D$110+100),'Alternatyva 1'!$DH$106:$DH$110)</f>
        <v>0</v>
      </c>
      <c r="CA10" s="41">
        <f>SUMPRODUCT('Alternatyva 1'!CA106:CA110,'Alternatyva 1'!$D$106:$D$110,1/100*('Alternatyva 1'!$D$106:$D$110+100),'Alternatyva 1'!$DH$106:$DH$110)</f>
        <v>0</v>
      </c>
      <c r="CB10" s="41">
        <f>SUMPRODUCT('Alternatyva 1'!CB106:CB110,'Alternatyva 1'!$D$106:$D$110,1/100*('Alternatyva 1'!$D$106:$D$110+100),'Alternatyva 1'!$DH$106:$DH$110)</f>
        <v>0</v>
      </c>
      <c r="CC10" s="41">
        <f>SUMPRODUCT('Alternatyva 1'!CC106:CC110,'Alternatyva 1'!$D$106:$D$110,1/100*('Alternatyva 1'!$D$106:$D$110+100),'Alternatyva 1'!$DH$106:$DH$110)</f>
        <v>0</v>
      </c>
      <c r="CD10" s="41">
        <f>SUMPRODUCT('Alternatyva 1'!CD106:CD110,'Alternatyva 1'!$D$106:$D$110,1/100*('Alternatyva 1'!$D$106:$D$110+100),'Alternatyva 1'!$DH$106:$DH$110)</f>
        <v>0</v>
      </c>
      <c r="CE10" s="41">
        <f>SUMPRODUCT('Alternatyva 1'!CE106:CE110,'Alternatyva 1'!$D$106:$D$110,1/100*('Alternatyva 1'!$D$106:$D$110+100),'Alternatyva 1'!$DH$106:$DH$110)</f>
        <v>0</v>
      </c>
      <c r="CF10" s="41">
        <f>SUMPRODUCT('Alternatyva 1'!CF106:CF110,'Alternatyva 1'!$D$106:$D$110,1/100*('Alternatyva 1'!$D$106:$D$110+100),'Alternatyva 1'!$DH$106:$DH$110)</f>
        <v>0</v>
      </c>
      <c r="CG10" s="41">
        <f>SUMPRODUCT('Alternatyva 1'!CG106:CG110,'Alternatyva 1'!$D$106:$D$110,1/100*('Alternatyva 1'!$D$106:$D$110+100),'Alternatyva 1'!$DH$106:$DH$110)</f>
        <v>0</v>
      </c>
      <c r="CH10" s="41">
        <f>SUMPRODUCT('Alternatyva 1'!CH106:CH110,'Alternatyva 1'!$D$106:$D$110,1/100*('Alternatyva 1'!$D$106:$D$110+100),'Alternatyva 1'!$DH$106:$DH$110)</f>
        <v>0</v>
      </c>
      <c r="CI10" s="41">
        <f>SUMPRODUCT('Alternatyva 1'!CI106:CI110,'Alternatyva 1'!$D$106:$D$110,1/100*('Alternatyva 1'!$D$106:$D$110+100),'Alternatyva 1'!$DH$106:$DH$110)</f>
        <v>0</v>
      </c>
      <c r="CJ10" s="41">
        <f>SUMPRODUCT('Alternatyva 1'!CJ106:CJ110,'Alternatyva 1'!$D$106:$D$110,1/100*('Alternatyva 1'!$D$106:$D$110+100),'Alternatyva 1'!$DH$106:$DH$110)</f>
        <v>0</v>
      </c>
      <c r="CK10" s="41">
        <f>SUMPRODUCT('Alternatyva 1'!CK106:CK110,'Alternatyva 1'!$D$106:$D$110,1/100*('Alternatyva 1'!$D$106:$D$110+100),'Alternatyva 1'!$DH$106:$DH$110)</f>
        <v>0</v>
      </c>
      <c r="CL10" s="41">
        <f>SUMPRODUCT('Alternatyva 1'!CL106:CL110,'Alternatyva 1'!$D$106:$D$110,1/100*('Alternatyva 1'!$D$106:$D$110+100),'Alternatyva 1'!$DH$106:$DH$110)</f>
        <v>0</v>
      </c>
      <c r="CM10" s="41">
        <f>SUMPRODUCT('Alternatyva 1'!CM106:CM110,'Alternatyva 1'!$D$106:$D$110,1/100*('Alternatyva 1'!$D$106:$D$110+100),'Alternatyva 1'!$DH$106:$DH$110)</f>
        <v>0</v>
      </c>
      <c r="CN10" s="41">
        <f>SUMPRODUCT('Alternatyva 1'!CN106:CN110,'Alternatyva 1'!$D$106:$D$110,1/100*('Alternatyva 1'!$D$106:$D$110+100),'Alternatyva 1'!$DH$106:$DH$110)</f>
        <v>0</v>
      </c>
      <c r="CO10" s="41">
        <f>SUMPRODUCT('Alternatyva 1'!CO106:CO110,'Alternatyva 1'!$D$106:$D$110,1/100*('Alternatyva 1'!$D$106:$D$110+100),'Alternatyva 1'!$DH$106:$DH$110)</f>
        <v>0</v>
      </c>
      <c r="CP10" s="41">
        <f>SUMPRODUCT('Alternatyva 1'!CP106:CP110,'Alternatyva 1'!$D$106:$D$110,1/100*('Alternatyva 1'!$D$106:$D$110+100),'Alternatyva 1'!$DH$106:$DH$110)</f>
        <v>0</v>
      </c>
      <c r="CQ10" s="41">
        <f>SUMPRODUCT('Alternatyva 1'!CQ106:CQ110,'Alternatyva 1'!$D$106:$D$110,1/100*('Alternatyva 1'!$D$106:$D$110+100),'Alternatyva 1'!$DH$106:$DH$110)</f>
        <v>0</v>
      </c>
      <c r="CR10" s="41">
        <f>SUMPRODUCT('Alternatyva 1'!CR106:CR110,'Alternatyva 1'!$D$106:$D$110,1/100*('Alternatyva 1'!$D$106:$D$110+100),'Alternatyva 1'!$DH$106:$DH$110)</f>
        <v>0</v>
      </c>
      <c r="CS10" s="41">
        <f>SUMPRODUCT('Alternatyva 1'!CS106:CS110,'Alternatyva 1'!$D$106:$D$110,1/100*('Alternatyva 1'!$D$106:$D$110+100),'Alternatyva 1'!$DH$106:$DH$110)</f>
        <v>0</v>
      </c>
      <c r="CT10" s="41">
        <f>SUMPRODUCT('Alternatyva 1'!CT106:CT110,'Alternatyva 1'!$D$106:$D$110,1/100*('Alternatyva 1'!$D$106:$D$110+100),'Alternatyva 1'!$DH$106:$DH$110)</f>
        <v>0</v>
      </c>
      <c r="CU10" s="41">
        <f>SUMPRODUCT('Alternatyva 1'!CU106:CU110,'Alternatyva 1'!$D$106:$D$110,1/100*('Alternatyva 1'!$D$106:$D$110+100),'Alternatyva 1'!$DH$106:$DH$110)</f>
        <v>0</v>
      </c>
      <c r="CV10" s="41">
        <f>SUMPRODUCT('Alternatyva 1'!CV106:CV110,'Alternatyva 1'!$D$106:$D$110,1/100*('Alternatyva 1'!$D$106:$D$110+100),'Alternatyva 1'!$DH$106:$DH$110)</f>
        <v>0</v>
      </c>
      <c r="CW10" s="41">
        <f>SUMPRODUCT('Alternatyva 1'!CW106:CW110,'Alternatyva 1'!$D$106:$D$110,1/100*('Alternatyva 1'!$D$106:$D$110+100),'Alternatyva 1'!$DH$106:$DH$110)</f>
        <v>0</v>
      </c>
      <c r="CX10" s="41">
        <f>SUMPRODUCT('Alternatyva 1'!CX106:CX110,'Alternatyva 1'!$D$106:$D$110,1/100*('Alternatyva 1'!$D$106:$D$110+100),'Alternatyva 1'!$DH$106:$DH$110)</f>
        <v>0</v>
      </c>
      <c r="CY10" s="41">
        <f>SUMPRODUCT('Alternatyva 1'!CY106:CY110,'Alternatyva 1'!$D$106:$D$110,1/100*('Alternatyva 1'!$D$106:$D$110+100),'Alternatyva 1'!$DH$106:$DH$110)</f>
        <v>0</v>
      </c>
      <c r="CZ10" s="41">
        <f>SUMPRODUCT('Alternatyva 1'!CZ106:CZ110,'Alternatyva 1'!$D$106:$D$110,1/100*('Alternatyva 1'!$D$106:$D$110+100),'Alternatyva 1'!$DH$106:$DH$110)</f>
        <v>0</v>
      </c>
      <c r="DA10" s="41">
        <f>SUMPRODUCT('Alternatyva 1'!DA106:DA110,'Alternatyva 1'!$D$106:$D$110,1/100*('Alternatyva 1'!$D$106:$D$110+100),'Alternatyva 1'!$DH$106:$DH$110)</f>
        <v>0</v>
      </c>
      <c r="DB10" s="41">
        <f>SUMPRODUCT('Alternatyva 1'!DB106:DB110,'Alternatyva 1'!$D$106:$D$110,1/100*('Alternatyva 1'!$D$106:$D$110+100),'Alternatyva 1'!$DH$106:$DH$110)</f>
        <v>0</v>
      </c>
      <c r="DC10" s="41">
        <f>SUMPRODUCT('Alternatyva 1'!DC106:DC110,'Alternatyva 1'!$D$106:$D$110,1/100*('Alternatyva 1'!$D$106:$D$110+100),'Alternatyva 1'!$DH$106:$DH$110)</f>
        <v>0</v>
      </c>
    </row>
    <row r="11" spans="2:107">
      <c r="C11" s="817" t="s">
        <v>14</v>
      </c>
      <c r="D11" s="817"/>
      <c r="E11" s="817"/>
      <c r="F11" s="43">
        <f>H11+NPV(FD,I11:INDEX(I11:DC11,PAL))</f>
        <v>-62824583.246366918</v>
      </c>
      <c r="G11" s="43">
        <f>SUMIF($H$6:$DC$6,"&lt;="&amp;PAL,$H11:$DC11)</f>
        <v>-90202140.950939581</v>
      </c>
      <c r="H11" s="41">
        <f>-H8+H9+H10</f>
        <v>-1708000</v>
      </c>
      <c r="I11" s="41">
        <f t="shared" ref="I11:BT11" si="2">-I8+I9+I10</f>
        <v>-4892303.081581587</v>
      </c>
      <c r="J11" s="41">
        <f t="shared" si="2"/>
        <v>-4916611.0040018354</v>
      </c>
      <c r="K11" s="41">
        <f t="shared" si="2"/>
        <v>-7146645.9828779101</v>
      </c>
      <c r="L11" s="41">
        <f t="shared" si="2"/>
        <v>-4171852.5944481585</v>
      </c>
      <c r="M11" s="41">
        <f t="shared" si="2"/>
        <v>-4188381.5200679936</v>
      </c>
      <c r="N11" s="41">
        <f t="shared" si="2"/>
        <v>-4172220.3630432002</v>
      </c>
      <c r="O11" s="41">
        <f t="shared" si="2"/>
        <v>-4172220.3630432002</v>
      </c>
      <c r="P11" s="41">
        <f t="shared" si="2"/>
        <v>-4172220.3630432002</v>
      </c>
      <c r="Q11" s="41">
        <f t="shared" si="2"/>
        <v>-4172220.3630432002</v>
      </c>
      <c r="R11" s="41">
        <f t="shared" si="2"/>
        <v>-4271393.9167622086</v>
      </c>
      <c r="S11" s="41">
        <f t="shared" si="2"/>
        <v>-4370567.4704812169</v>
      </c>
      <c r="T11" s="41">
        <f t="shared" si="2"/>
        <v>-4271393.9167622086</v>
      </c>
      <c r="U11" s="41">
        <f t="shared" si="2"/>
        <v>-4370567.4704812169</v>
      </c>
      <c r="V11" s="41">
        <f t="shared" si="2"/>
        <v>-4172220.3630432002</v>
      </c>
      <c r="W11" s="41">
        <f t="shared" si="2"/>
        <v>-4172220.3630432002</v>
      </c>
      <c r="X11" s="41">
        <f t="shared" si="2"/>
        <v>-4172220.3630432002</v>
      </c>
      <c r="Y11" s="41">
        <f t="shared" si="2"/>
        <v>-4172220.3630432002</v>
      </c>
      <c r="Z11" s="41">
        <f t="shared" si="2"/>
        <v>-4172220.3630432002</v>
      </c>
      <c r="AA11" s="41">
        <f t="shared" si="2"/>
        <v>-4172220.3630432002</v>
      </c>
      <c r="AB11" s="41">
        <f t="shared" si="2"/>
        <v>-4172220.3630432002</v>
      </c>
      <c r="AC11" s="41">
        <f t="shared" si="2"/>
        <v>-2329431.8160736002</v>
      </c>
      <c r="AD11" s="41">
        <f t="shared" si="2"/>
        <v>-2329431.8160736002</v>
      </c>
      <c r="AE11" s="41">
        <f t="shared" si="2"/>
        <v>-2329431.8160736002</v>
      </c>
      <c r="AF11" s="41">
        <f t="shared" si="2"/>
        <v>-2329431.8160736002</v>
      </c>
      <c r="AG11" s="41">
        <f t="shared" si="2"/>
        <v>-2329431.8160736002</v>
      </c>
      <c r="AH11" s="41">
        <f t="shared" si="2"/>
        <v>-2329431.8160736002</v>
      </c>
      <c r="AI11" s="41">
        <f t="shared" si="2"/>
        <v>-2329431.8160736002</v>
      </c>
      <c r="AJ11" s="41">
        <f t="shared" si="2"/>
        <v>-2329431.8160736002</v>
      </c>
      <c r="AK11" s="41">
        <f t="shared" si="2"/>
        <v>-2329431.8160736002</v>
      </c>
      <c r="AL11" s="41">
        <f t="shared" si="2"/>
        <v>-2329431.8160736002</v>
      </c>
      <c r="AM11" s="41">
        <f t="shared" si="2"/>
        <v>-2329431.8160736002</v>
      </c>
      <c r="AN11" s="41">
        <f t="shared" si="2"/>
        <v>-2329431.8160736002</v>
      </c>
      <c r="AO11" s="41">
        <f t="shared" si="2"/>
        <v>-2329431.8160736002</v>
      </c>
      <c r="AP11" s="41">
        <f t="shared" si="2"/>
        <v>-2329431.8160736002</v>
      </c>
      <c r="AQ11" s="41">
        <f t="shared" si="2"/>
        <v>-2329431.8160736002</v>
      </c>
      <c r="AR11" s="41">
        <f t="shared" si="2"/>
        <v>-2329431.8160736002</v>
      </c>
      <c r="AS11" s="41">
        <f t="shared" si="2"/>
        <v>-2329431.8160736002</v>
      </c>
      <c r="AT11" s="41">
        <f t="shared" si="2"/>
        <v>-2329431.8160736002</v>
      </c>
      <c r="AU11" s="41">
        <f t="shared" si="2"/>
        <v>-2329431.8160736002</v>
      </c>
      <c r="AV11" s="41">
        <f t="shared" si="2"/>
        <v>-2329431.8160736002</v>
      </c>
      <c r="AW11" s="41">
        <f t="shared" si="2"/>
        <v>-2329431.8160736002</v>
      </c>
      <c r="AX11" s="41">
        <f t="shared" si="2"/>
        <v>-2329431.8160736002</v>
      </c>
      <c r="AY11" s="41">
        <f t="shared" si="2"/>
        <v>-2329431.8160736002</v>
      </c>
      <c r="AZ11" s="41">
        <f t="shared" si="2"/>
        <v>-2329431.8160736002</v>
      </c>
      <c r="BA11" s="41">
        <f t="shared" si="2"/>
        <v>-2329431.8160736002</v>
      </c>
      <c r="BB11" s="41">
        <f t="shared" si="2"/>
        <v>-2329431.8160736002</v>
      </c>
      <c r="BC11" s="41">
        <f t="shared" si="2"/>
        <v>-2329431.8160736002</v>
      </c>
      <c r="BD11" s="41">
        <f t="shared" si="2"/>
        <v>-2329431.8160736002</v>
      </c>
      <c r="BE11" s="41">
        <f t="shared" si="2"/>
        <v>-2329431.8160736002</v>
      </c>
      <c r="BF11" s="41">
        <f t="shared" si="2"/>
        <v>-2329431.8160736002</v>
      </c>
      <c r="BG11" s="41">
        <f t="shared" si="2"/>
        <v>-2329431.8160736002</v>
      </c>
      <c r="BH11" s="41">
        <f t="shared" si="2"/>
        <v>-2329431.8160736002</v>
      </c>
      <c r="BI11" s="41">
        <f t="shared" si="2"/>
        <v>-2329431.8160736002</v>
      </c>
      <c r="BJ11" s="41">
        <f t="shared" si="2"/>
        <v>-2329431.8160736002</v>
      </c>
      <c r="BK11" s="41">
        <f t="shared" si="2"/>
        <v>-2329431.8160736002</v>
      </c>
      <c r="BL11" s="41">
        <f t="shared" si="2"/>
        <v>-2329431.8160736002</v>
      </c>
      <c r="BM11" s="41">
        <f t="shared" si="2"/>
        <v>-2329431.8160736002</v>
      </c>
      <c r="BN11" s="41">
        <f t="shared" si="2"/>
        <v>-2329431.8160736002</v>
      </c>
      <c r="BO11" s="41">
        <f t="shared" si="2"/>
        <v>-2329431.8160736002</v>
      </c>
      <c r="BP11" s="41">
        <f t="shared" si="2"/>
        <v>-2329431.8160736002</v>
      </c>
      <c r="BQ11" s="41">
        <f t="shared" si="2"/>
        <v>-2329431.8160736002</v>
      </c>
      <c r="BR11" s="41">
        <f t="shared" si="2"/>
        <v>-2329431.8160736002</v>
      </c>
      <c r="BS11" s="41">
        <f t="shared" si="2"/>
        <v>-2329431.8160736002</v>
      </c>
      <c r="BT11" s="41">
        <f t="shared" si="2"/>
        <v>-2329431.8160736002</v>
      </c>
      <c r="BU11" s="41">
        <f t="shared" ref="BU11:DC11" si="3">-BU8+BU9+BU10</f>
        <v>-2329431.8160736002</v>
      </c>
      <c r="BV11" s="41">
        <f t="shared" si="3"/>
        <v>-2329431.8160736002</v>
      </c>
      <c r="BW11" s="41">
        <f t="shared" si="3"/>
        <v>-2329431.8160736002</v>
      </c>
      <c r="BX11" s="41">
        <f t="shared" si="3"/>
        <v>-2329431.8160736002</v>
      </c>
      <c r="BY11" s="41">
        <f t="shared" si="3"/>
        <v>-2329431.8160736002</v>
      </c>
      <c r="BZ11" s="41">
        <f t="shared" si="3"/>
        <v>-2329431.8160736002</v>
      </c>
      <c r="CA11" s="41">
        <f t="shared" si="3"/>
        <v>-2329431.8160736002</v>
      </c>
      <c r="CB11" s="41">
        <f t="shared" si="3"/>
        <v>-2329431.8160736002</v>
      </c>
      <c r="CC11" s="41">
        <f t="shared" si="3"/>
        <v>-2329431.8160736002</v>
      </c>
      <c r="CD11" s="41">
        <f t="shared" si="3"/>
        <v>-2329431.8160736002</v>
      </c>
      <c r="CE11" s="41">
        <f t="shared" si="3"/>
        <v>-2329431.8160736002</v>
      </c>
      <c r="CF11" s="41">
        <f t="shared" si="3"/>
        <v>-2329431.8160736002</v>
      </c>
      <c r="CG11" s="41">
        <f t="shared" si="3"/>
        <v>-2329431.8160736002</v>
      </c>
      <c r="CH11" s="41">
        <f t="shared" si="3"/>
        <v>-2329431.8160736002</v>
      </c>
      <c r="CI11" s="41">
        <f t="shared" si="3"/>
        <v>-2329431.8160736002</v>
      </c>
      <c r="CJ11" s="41">
        <f t="shared" si="3"/>
        <v>-2329431.8160736002</v>
      </c>
      <c r="CK11" s="41">
        <f t="shared" si="3"/>
        <v>-2329431.8160736002</v>
      </c>
      <c r="CL11" s="41">
        <f t="shared" si="3"/>
        <v>-2329431.8160736002</v>
      </c>
      <c r="CM11" s="41">
        <f t="shared" si="3"/>
        <v>-2329431.8160736002</v>
      </c>
      <c r="CN11" s="41">
        <f t="shared" si="3"/>
        <v>-2329431.8160736002</v>
      </c>
      <c r="CO11" s="41">
        <f t="shared" si="3"/>
        <v>-2329431.8160736002</v>
      </c>
      <c r="CP11" s="41">
        <f t="shared" si="3"/>
        <v>-2329431.8160736002</v>
      </c>
      <c r="CQ11" s="41">
        <f t="shared" si="3"/>
        <v>-2329431.8160736002</v>
      </c>
      <c r="CR11" s="41">
        <f t="shared" si="3"/>
        <v>-2329431.8160736002</v>
      </c>
      <c r="CS11" s="41">
        <f t="shared" si="3"/>
        <v>-2329431.8160736002</v>
      </c>
      <c r="CT11" s="41">
        <f t="shared" si="3"/>
        <v>-2329431.8160736002</v>
      </c>
      <c r="CU11" s="41">
        <f t="shared" si="3"/>
        <v>-2329431.8160736002</v>
      </c>
      <c r="CV11" s="41">
        <f t="shared" si="3"/>
        <v>-2329431.8160736002</v>
      </c>
      <c r="CW11" s="41">
        <f t="shared" si="3"/>
        <v>-2329431.8160736002</v>
      </c>
      <c r="CX11" s="41">
        <f t="shared" si="3"/>
        <v>-2329431.8160736002</v>
      </c>
      <c r="CY11" s="41">
        <f t="shared" si="3"/>
        <v>-2329431.8160736002</v>
      </c>
      <c r="CZ11" s="41">
        <f t="shared" si="3"/>
        <v>-2329431.8160736002</v>
      </c>
      <c r="DA11" s="41">
        <f t="shared" si="3"/>
        <v>-2329431.8160736002</v>
      </c>
      <c r="DB11" s="41">
        <f t="shared" si="3"/>
        <v>-2329431.8160736002</v>
      </c>
      <c r="DC11" s="41">
        <f t="shared" si="3"/>
        <v>-2329431.8160736002</v>
      </c>
    </row>
    <row r="13" spans="2:107">
      <c r="B13" s="31" t="s">
        <v>7</v>
      </c>
      <c r="C13" s="42"/>
      <c r="D13" s="42"/>
      <c r="E13" s="42"/>
      <c r="F13" s="786" t="s">
        <v>32</v>
      </c>
      <c r="G13" s="798"/>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807" t="s">
        <v>15</v>
      </c>
      <c r="D14" s="807"/>
      <c r="E14" s="807"/>
      <c r="F14" s="13" t="s">
        <v>34</v>
      </c>
      <c r="G14" s="12" t="s">
        <v>33</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ca="1">$H$7+DA13</f>
        <v>2119</v>
      </c>
      <c r="DB14" s="12">
        <f ca="1">$H$7+DB13</f>
        <v>2120</v>
      </c>
      <c r="DC14" s="12">
        <f ca="1">$H$7+DC13</f>
        <v>2121</v>
      </c>
    </row>
    <row r="15" spans="2:107" ht="15" customHeight="1">
      <c r="B15" s="5" t="s">
        <v>242</v>
      </c>
      <c r="C15" s="809" t="s">
        <v>265</v>
      </c>
      <c r="D15" s="809"/>
      <c r="E15" s="809"/>
      <c r="F15" s="43">
        <f>H15+NPV(FD,I15:INDEX(I15:DC15,PAL))</f>
        <v>134613252.73109603</v>
      </c>
      <c r="G15" s="43">
        <f>SUMIF($H$6:$DC$6,"&lt;="&amp;PAL,$H15:$DC15)</f>
        <v>200308573.18234444</v>
      </c>
      <c r="H15" s="14">
        <f>'Alternatyva 2'!H$7-'Alternatyva 2'!H$112</f>
        <v>1708000</v>
      </c>
      <c r="I15" s="14">
        <f>'Alternatyva 2'!I$7-'Alternatyva 2'!I$112</f>
        <v>4900980.7675320003</v>
      </c>
      <c r="J15" s="14">
        <f>'Alternatyva 2'!J$7-'Alternatyva 2'!J$112</f>
        <v>7681558.9378861329</v>
      </c>
      <c r="K15" s="14">
        <f>'Alternatyva 2'!K$7-'Alternatyva 2'!K$112</f>
        <v>10864452.594448159</v>
      </c>
      <c r="L15" s="14">
        <f>'Alternatyva 2'!L$7-'Alternatyva 2'!L$112</f>
        <v>10266852.594448159</v>
      </c>
      <c r="M15" s="14">
        <f>'Alternatyva 2'!M$7-'Alternatyva 2'!M$112</f>
        <v>10283381.520067994</v>
      </c>
      <c r="N15" s="14">
        <f>'Alternatyva 2'!N$7-'Alternatyva 2'!N$112</f>
        <v>10267220.3630432</v>
      </c>
      <c r="O15" s="14">
        <f>'Alternatyva 2'!O$7-'Alternatyva 2'!O$112</f>
        <v>10267220.3630432</v>
      </c>
      <c r="P15" s="14">
        <f>'Alternatyva 2'!P$7-'Alternatyva 2'!P$112</f>
        <v>10267220.3630432</v>
      </c>
      <c r="Q15" s="14">
        <f>'Alternatyva 2'!Q$7-'Alternatyva 2'!Q$112</f>
        <v>10267220.3630432</v>
      </c>
      <c r="R15" s="14">
        <f>'Alternatyva 2'!R$7-'Alternatyva 2'!R$112</f>
        <v>10366393.916762209</v>
      </c>
      <c r="S15" s="14">
        <f>'Alternatyva 2'!S$7-'Alternatyva 2'!S$112</f>
        <v>10465567.470481217</v>
      </c>
      <c r="T15" s="14">
        <f>'Alternatyva 2'!T$7-'Alternatyva 2'!T$112</f>
        <v>10366393.916762209</v>
      </c>
      <c r="U15" s="14">
        <f>'Alternatyva 2'!U$7-'Alternatyva 2'!U$112</f>
        <v>10465567.470481217</v>
      </c>
      <c r="V15" s="14">
        <f>'Alternatyva 2'!V$7-'Alternatyva 2'!V$112</f>
        <v>10267220.3630432</v>
      </c>
      <c r="W15" s="14">
        <f>'Alternatyva 2'!W$7-'Alternatyva 2'!W$112</f>
        <v>10267220.3630432</v>
      </c>
      <c r="X15" s="14">
        <f>'Alternatyva 2'!X$7-'Alternatyva 2'!X$112</f>
        <v>10267220.3630432</v>
      </c>
      <c r="Y15" s="14">
        <f>'Alternatyva 2'!Y$7-'Alternatyva 2'!Y$112</f>
        <v>10267220.3630432</v>
      </c>
      <c r="Z15" s="14">
        <f>'Alternatyva 2'!Z$7-'Alternatyva 2'!Z$112</f>
        <v>10267220.3630432</v>
      </c>
      <c r="AA15" s="14">
        <f>'Alternatyva 2'!AA$7-'Alternatyva 2'!AA$112</f>
        <v>10267220.3630432</v>
      </c>
      <c r="AB15" s="14">
        <f>'Alternatyva 2'!AB$7-'Alternatyva 2'!AB$112</f>
        <v>10267220.3630432</v>
      </c>
      <c r="AC15" s="14">
        <f>'Alternatyva 2'!AC$7-'Alternatyva 2'!AC$112</f>
        <v>1974603.0655936003</v>
      </c>
      <c r="AD15" s="14">
        <f>'Alternatyva 2'!AD$7-'Alternatyva 2'!AD$112</f>
        <v>1974603.0655936003</v>
      </c>
      <c r="AE15" s="14">
        <f>'Alternatyva 2'!AE$7-'Alternatyva 2'!AE$112</f>
        <v>1974603.0655936003</v>
      </c>
      <c r="AF15" s="14">
        <f>'Alternatyva 2'!AF$7-'Alternatyva 2'!AF$112</f>
        <v>1974603.0655936003</v>
      </c>
      <c r="AG15" s="14">
        <f>'Alternatyva 2'!AG$7-'Alternatyva 2'!AG$112</f>
        <v>1974603.0655936003</v>
      </c>
      <c r="AH15" s="14">
        <f>'Alternatyva 2'!AH$7-'Alternatyva 2'!AH$112</f>
        <v>1974603.0655936003</v>
      </c>
      <c r="AI15" s="14">
        <f>'Alternatyva 2'!AI$7-'Alternatyva 2'!AI$112</f>
        <v>1974603.0655936003</v>
      </c>
      <c r="AJ15" s="14">
        <f>'Alternatyva 2'!AJ$7-'Alternatyva 2'!AJ$112</f>
        <v>1974603.0655936003</v>
      </c>
      <c r="AK15" s="14">
        <f>'Alternatyva 2'!AK$7-'Alternatyva 2'!AK$112</f>
        <v>1974603.0655936003</v>
      </c>
      <c r="AL15" s="14">
        <f>'Alternatyva 2'!AL$7-'Alternatyva 2'!AL$112</f>
        <v>1974603.0655936003</v>
      </c>
      <c r="AM15" s="14">
        <f>'Alternatyva 2'!AM$7-'Alternatyva 2'!AM$112</f>
        <v>1974603.0655936003</v>
      </c>
      <c r="AN15" s="14">
        <f>'Alternatyva 2'!AN$7-'Alternatyva 2'!AN$112</f>
        <v>1974603.0655936003</v>
      </c>
      <c r="AO15" s="14">
        <f>'Alternatyva 2'!AO$7-'Alternatyva 2'!AO$112</f>
        <v>1974603.0655936003</v>
      </c>
      <c r="AP15" s="14">
        <f>'Alternatyva 2'!AP$7-'Alternatyva 2'!AP$112</f>
        <v>1974603.0655936003</v>
      </c>
      <c r="AQ15" s="14">
        <f>'Alternatyva 2'!AQ$7-'Alternatyva 2'!AQ$112</f>
        <v>1974603.0655936003</v>
      </c>
      <c r="AR15" s="14">
        <f>'Alternatyva 2'!AR$7-'Alternatyva 2'!AR$112</f>
        <v>1974603.0655936003</v>
      </c>
      <c r="AS15" s="14">
        <f>'Alternatyva 2'!AS$7-'Alternatyva 2'!AS$112</f>
        <v>1974603.0655936003</v>
      </c>
      <c r="AT15" s="14">
        <f>'Alternatyva 2'!AT$7-'Alternatyva 2'!AT$112</f>
        <v>1974603.0655936003</v>
      </c>
      <c r="AU15" s="14">
        <f>'Alternatyva 2'!AU$7-'Alternatyva 2'!AU$112</f>
        <v>1974603.0655936003</v>
      </c>
      <c r="AV15" s="14">
        <f>'Alternatyva 2'!AV$7-'Alternatyva 2'!AV$112</f>
        <v>1974603.0655936003</v>
      </c>
      <c r="AW15" s="14">
        <f>'Alternatyva 2'!AW$7-'Alternatyva 2'!AW$112</f>
        <v>1974603.0655936003</v>
      </c>
      <c r="AX15" s="14">
        <f>'Alternatyva 2'!AX$7-'Alternatyva 2'!AX$112</f>
        <v>1974603.0655936003</v>
      </c>
      <c r="AY15" s="14">
        <f>'Alternatyva 2'!AY$7-'Alternatyva 2'!AY$112</f>
        <v>1974603.0655936003</v>
      </c>
      <c r="AZ15" s="14">
        <f>'Alternatyva 2'!AZ$7-'Alternatyva 2'!AZ$112</f>
        <v>1974603.0655936003</v>
      </c>
      <c r="BA15" s="14">
        <f>'Alternatyva 2'!BA$7-'Alternatyva 2'!BA$112</f>
        <v>1974603.0655936003</v>
      </c>
      <c r="BB15" s="14">
        <f>'Alternatyva 2'!BB$7-'Alternatyva 2'!BB$112</f>
        <v>1974603.0655936003</v>
      </c>
      <c r="BC15" s="14">
        <f>'Alternatyva 2'!BC$7-'Alternatyva 2'!BC$112</f>
        <v>1974603.0655936003</v>
      </c>
      <c r="BD15" s="14">
        <f>'Alternatyva 2'!BD$7-'Alternatyva 2'!BD$112</f>
        <v>1974603.0655936003</v>
      </c>
      <c r="BE15" s="14">
        <f>'Alternatyva 2'!BE$7-'Alternatyva 2'!BE$112</f>
        <v>1974603.0655936003</v>
      </c>
      <c r="BF15" s="14">
        <f>'Alternatyva 2'!BF$7-'Alternatyva 2'!BF$112</f>
        <v>1974603.0655936003</v>
      </c>
      <c r="BG15" s="14">
        <f>'Alternatyva 2'!BG$7-'Alternatyva 2'!BG$112</f>
        <v>1974603.0655936003</v>
      </c>
      <c r="BH15" s="14">
        <f>'Alternatyva 2'!BH$7-'Alternatyva 2'!BH$112</f>
        <v>1974603.0655936003</v>
      </c>
      <c r="BI15" s="14">
        <f>'Alternatyva 2'!BI$7-'Alternatyva 2'!BI$112</f>
        <v>1974603.0655936003</v>
      </c>
      <c r="BJ15" s="14">
        <f>'Alternatyva 2'!BJ$7-'Alternatyva 2'!BJ$112</f>
        <v>1974603.0655936003</v>
      </c>
      <c r="BK15" s="14">
        <f>'Alternatyva 2'!BK$7-'Alternatyva 2'!BK$112</f>
        <v>1974603.0655936003</v>
      </c>
      <c r="BL15" s="14">
        <f>'Alternatyva 2'!BL$7-'Alternatyva 2'!BL$112</f>
        <v>1974603.0655936003</v>
      </c>
      <c r="BM15" s="14">
        <f>'Alternatyva 2'!BM$7-'Alternatyva 2'!BM$112</f>
        <v>1974603.0655936003</v>
      </c>
      <c r="BN15" s="14">
        <f>'Alternatyva 2'!BN$7-'Alternatyva 2'!BN$112</f>
        <v>1974603.0655936003</v>
      </c>
      <c r="BO15" s="14">
        <f>'Alternatyva 2'!BO$7-'Alternatyva 2'!BO$112</f>
        <v>1974603.0655936003</v>
      </c>
      <c r="BP15" s="14">
        <f>'Alternatyva 2'!BP$7-'Alternatyva 2'!BP$112</f>
        <v>1974603.0655936003</v>
      </c>
      <c r="BQ15" s="14">
        <f>'Alternatyva 2'!BQ$7-'Alternatyva 2'!BQ$112</f>
        <v>1974603.0655936003</v>
      </c>
      <c r="BR15" s="14">
        <f>'Alternatyva 2'!BR$7-'Alternatyva 2'!BR$112</f>
        <v>1974603.0655936003</v>
      </c>
      <c r="BS15" s="14">
        <f>'Alternatyva 2'!BS$7-'Alternatyva 2'!BS$112</f>
        <v>1974603.0655936003</v>
      </c>
      <c r="BT15" s="14">
        <f>'Alternatyva 2'!BT$7-'Alternatyva 2'!BT$112</f>
        <v>1974603.0655936003</v>
      </c>
      <c r="BU15" s="14">
        <f>'Alternatyva 2'!BU$7-'Alternatyva 2'!BU$112</f>
        <v>1974603.0655936003</v>
      </c>
      <c r="BV15" s="14">
        <f>'Alternatyva 2'!BV$7-'Alternatyva 2'!BV$112</f>
        <v>1974603.0655936003</v>
      </c>
      <c r="BW15" s="14">
        <f>'Alternatyva 2'!BW$7-'Alternatyva 2'!BW$112</f>
        <v>1974603.0655936003</v>
      </c>
      <c r="BX15" s="14">
        <f>'Alternatyva 2'!BX$7-'Alternatyva 2'!BX$112</f>
        <v>1974603.0655936003</v>
      </c>
      <c r="BY15" s="14">
        <f>'Alternatyva 2'!BY$7-'Alternatyva 2'!BY$112</f>
        <v>1974603.0655936003</v>
      </c>
      <c r="BZ15" s="14">
        <f>'Alternatyva 2'!BZ$7-'Alternatyva 2'!BZ$112</f>
        <v>1974603.0655936003</v>
      </c>
      <c r="CA15" s="14">
        <f>'Alternatyva 2'!CA$7-'Alternatyva 2'!CA$112</f>
        <v>1974603.0655936003</v>
      </c>
      <c r="CB15" s="14">
        <f>'Alternatyva 2'!CB$7-'Alternatyva 2'!CB$112</f>
        <v>1974603.0655936003</v>
      </c>
      <c r="CC15" s="14">
        <f>'Alternatyva 2'!CC$7-'Alternatyva 2'!CC$112</f>
        <v>1974603.0655936003</v>
      </c>
      <c r="CD15" s="14">
        <f>'Alternatyva 2'!CD$7-'Alternatyva 2'!CD$112</f>
        <v>1974603.0655936003</v>
      </c>
      <c r="CE15" s="14">
        <f>'Alternatyva 2'!CE$7-'Alternatyva 2'!CE$112</f>
        <v>1974603.0655936003</v>
      </c>
      <c r="CF15" s="14">
        <f>'Alternatyva 2'!CF$7-'Alternatyva 2'!CF$112</f>
        <v>1974603.0655936003</v>
      </c>
      <c r="CG15" s="14">
        <f>'Alternatyva 2'!CG$7-'Alternatyva 2'!CG$112</f>
        <v>1974603.0655936003</v>
      </c>
      <c r="CH15" s="14">
        <f>'Alternatyva 2'!CH$7-'Alternatyva 2'!CH$112</f>
        <v>1974603.0655936003</v>
      </c>
      <c r="CI15" s="14">
        <f>'Alternatyva 2'!CI$7-'Alternatyva 2'!CI$112</f>
        <v>1974603.0655936003</v>
      </c>
      <c r="CJ15" s="14">
        <f>'Alternatyva 2'!CJ$7-'Alternatyva 2'!CJ$112</f>
        <v>1974603.0655936003</v>
      </c>
      <c r="CK15" s="14">
        <f>'Alternatyva 2'!CK$7-'Alternatyva 2'!CK$112</f>
        <v>1974603.0655936003</v>
      </c>
      <c r="CL15" s="14">
        <f>'Alternatyva 2'!CL$7-'Alternatyva 2'!CL$112</f>
        <v>1974603.0655936003</v>
      </c>
      <c r="CM15" s="14">
        <f>'Alternatyva 2'!CM$7-'Alternatyva 2'!CM$112</f>
        <v>1974603.0655936003</v>
      </c>
      <c r="CN15" s="14">
        <f>'Alternatyva 2'!CN$7-'Alternatyva 2'!CN$112</f>
        <v>1974603.0655936003</v>
      </c>
      <c r="CO15" s="14">
        <f>'Alternatyva 2'!CO$7-'Alternatyva 2'!CO$112</f>
        <v>1974603.0655936003</v>
      </c>
      <c r="CP15" s="14">
        <f>'Alternatyva 2'!CP$7-'Alternatyva 2'!CP$112</f>
        <v>1974603.0655936003</v>
      </c>
      <c r="CQ15" s="14">
        <f>'Alternatyva 2'!CQ$7-'Alternatyva 2'!CQ$112</f>
        <v>1974603.0655936003</v>
      </c>
      <c r="CR15" s="14">
        <f>'Alternatyva 2'!CR$7-'Alternatyva 2'!CR$112</f>
        <v>1974603.0655936003</v>
      </c>
      <c r="CS15" s="14">
        <f>'Alternatyva 2'!CS$7-'Alternatyva 2'!CS$112</f>
        <v>1974603.0655936003</v>
      </c>
      <c r="CT15" s="14">
        <f>'Alternatyva 2'!CT$7-'Alternatyva 2'!CT$112</f>
        <v>1974603.0655936003</v>
      </c>
      <c r="CU15" s="14">
        <f>'Alternatyva 2'!CU$7-'Alternatyva 2'!CU$112</f>
        <v>1974603.0655936003</v>
      </c>
      <c r="CV15" s="14">
        <f>'Alternatyva 2'!CV$7-'Alternatyva 2'!CV$112</f>
        <v>1974603.0655936003</v>
      </c>
      <c r="CW15" s="14">
        <f>'Alternatyva 2'!CW$7-'Alternatyva 2'!CW$112</f>
        <v>1974603.0655936003</v>
      </c>
      <c r="CX15" s="14">
        <f>'Alternatyva 2'!CX$7-'Alternatyva 2'!CX$112</f>
        <v>1974603.0655936003</v>
      </c>
      <c r="CY15" s="14">
        <f>'Alternatyva 2'!CY$7-'Alternatyva 2'!CY$112</f>
        <v>1974603.0655936003</v>
      </c>
      <c r="CZ15" s="14">
        <f>'Alternatyva 2'!CZ$7-'Alternatyva 2'!CZ$112</f>
        <v>1974603.0655936003</v>
      </c>
      <c r="DA15" s="14">
        <f>'Alternatyva 2'!DA$7-'Alternatyva 2'!DA$112</f>
        <v>1974603.0655936003</v>
      </c>
      <c r="DB15" s="14">
        <f>'Alternatyva 2'!DB$7-'Alternatyva 2'!DB$112</f>
        <v>1974603.0655936003</v>
      </c>
      <c r="DC15" s="14">
        <f>'Alternatyva 2'!DC$7-'Alternatyva 2'!DC$112</f>
        <v>1974603.0655936003</v>
      </c>
    </row>
    <row r="16" spans="2:107">
      <c r="B16" s="5" t="s">
        <v>243</v>
      </c>
      <c r="C16" s="815" t="s">
        <v>266</v>
      </c>
      <c r="D16" s="815"/>
      <c r="E16" s="815"/>
      <c r="F16" s="43">
        <f>H16+NPV(FD,I16:INDEX(I16:DC16,PAL))</f>
        <v>70668825.880319715</v>
      </c>
      <c r="G16" s="43">
        <f>SUMIF($H$6:$DC$6,"&lt;="&amp;PAL,$H16:$DC16)</f>
        <v>108468100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2580500</v>
      </c>
      <c r="K16" s="14">
        <f>SUMPRODUCT('Alternatyva 2'!K$95:K$99,100/('Alternatyva 2'!$DG$95:$DG$99+100))-SUMPRODUCT('Alternatyva 2'!K$106:K$110,100/('Alternatyva 2'!$DG$106:$DG$110+100))</f>
        <v>3632600</v>
      </c>
      <c r="L16" s="14">
        <f>SUMPRODUCT('Alternatyva 2'!L$95:L$99,100/('Alternatyva 2'!$DG$95:$DG$99+100))-SUMPRODUCT('Alternatyva 2'!L$106:L$110,100/('Alternatyva 2'!$DG$106:$DG$110+100))</f>
        <v>6015000</v>
      </c>
      <c r="M16" s="14">
        <f>SUMPRODUCT('Alternatyva 2'!M$95:M$99,100/('Alternatyva 2'!$DG$95:$DG$99+100))-SUMPRODUCT('Alternatyva 2'!M$106:M$110,100/('Alternatyva 2'!$DG$106:$DG$110+100))</f>
        <v>6015000</v>
      </c>
      <c r="N16" s="14">
        <f>SUMPRODUCT('Alternatyva 2'!N$95:N$99,100/('Alternatyva 2'!$DG$95:$DG$99+100))-SUMPRODUCT('Alternatyva 2'!N$106:N$110,100/('Alternatyva 2'!$DG$106:$DG$110+100))</f>
        <v>6015000</v>
      </c>
      <c r="O16" s="14">
        <f>SUMPRODUCT('Alternatyva 2'!O$95:O$99,100/('Alternatyva 2'!$DG$95:$DG$99+100))-SUMPRODUCT('Alternatyva 2'!O$106:O$110,100/('Alternatyva 2'!$DG$106:$DG$110+100))</f>
        <v>6015000</v>
      </c>
      <c r="P16" s="14">
        <f>SUMPRODUCT('Alternatyva 2'!P$95:P$99,100/('Alternatyva 2'!$DG$95:$DG$99+100))-SUMPRODUCT('Alternatyva 2'!P$106:P$110,100/('Alternatyva 2'!$DG$106:$DG$110+100))</f>
        <v>6015000</v>
      </c>
      <c r="Q16" s="14">
        <f>SUMPRODUCT('Alternatyva 2'!Q$95:Q$99,100/('Alternatyva 2'!$DG$95:$DG$99+100))-SUMPRODUCT('Alternatyva 2'!Q$106:Q$110,100/('Alternatyva 2'!$DG$106:$DG$110+100))</f>
        <v>6015000</v>
      </c>
      <c r="R16" s="14">
        <f>SUMPRODUCT('Alternatyva 2'!R$95:R$99,100/('Alternatyva 2'!$DG$95:$DG$99+100))-SUMPRODUCT('Alternatyva 2'!R$106:R$110,100/('Alternatyva 2'!$DG$106:$DG$110+100))</f>
        <v>6015000</v>
      </c>
      <c r="S16" s="14">
        <f>SUMPRODUCT('Alternatyva 2'!S$95:S$99,100/('Alternatyva 2'!$DG$95:$DG$99+100))-SUMPRODUCT('Alternatyva 2'!S$106:S$110,100/('Alternatyva 2'!$DG$106:$DG$110+100))</f>
        <v>6015000</v>
      </c>
      <c r="T16" s="14">
        <f>SUMPRODUCT('Alternatyva 2'!T$95:T$99,100/('Alternatyva 2'!$DG$95:$DG$99+100))-SUMPRODUCT('Alternatyva 2'!T$106:T$110,100/('Alternatyva 2'!$DG$106:$DG$110+100))</f>
        <v>6015000</v>
      </c>
      <c r="U16" s="14">
        <f>SUMPRODUCT('Alternatyva 2'!U$95:U$99,100/('Alternatyva 2'!$DG$95:$DG$99+100))-SUMPRODUCT('Alternatyva 2'!U$106:U$110,100/('Alternatyva 2'!$DG$106:$DG$110+100))</f>
        <v>6015000</v>
      </c>
      <c r="V16" s="14">
        <f>SUMPRODUCT('Alternatyva 2'!V$95:V$99,100/('Alternatyva 2'!$DG$95:$DG$99+100))-SUMPRODUCT('Alternatyva 2'!V$106:V$110,100/('Alternatyva 2'!$DG$106:$DG$110+100))</f>
        <v>6015000</v>
      </c>
      <c r="W16" s="14">
        <f>SUMPRODUCT('Alternatyva 2'!W$95:W$99,100/('Alternatyva 2'!$DG$95:$DG$99+100))-SUMPRODUCT('Alternatyva 2'!W$106:W$110,100/('Alternatyva 2'!$DG$106:$DG$110+100))</f>
        <v>6015000</v>
      </c>
      <c r="X16" s="14">
        <f>SUMPRODUCT('Alternatyva 2'!X$95:X$99,100/('Alternatyva 2'!$DG$95:$DG$99+100))-SUMPRODUCT('Alternatyva 2'!X$106:X$110,100/('Alternatyva 2'!$DG$106:$DG$110+100))</f>
        <v>6015000</v>
      </c>
      <c r="Y16" s="14">
        <f>SUMPRODUCT('Alternatyva 2'!Y$95:Y$99,100/('Alternatyva 2'!$DG$95:$DG$99+100))-SUMPRODUCT('Alternatyva 2'!Y$106:Y$110,100/('Alternatyva 2'!$DG$106:$DG$110+100))</f>
        <v>6015000</v>
      </c>
      <c r="Z16" s="14">
        <f>SUMPRODUCT('Alternatyva 2'!Z$95:Z$99,100/('Alternatyva 2'!$DG$95:$DG$99+100))-SUMPRODUCT('Alternatyva 2'!Z$106:Z$110,100/('Alternatyva 2'!$DG$106:$DG$110+100))</f>
        <v>6015000</v>
      </c>
      <c r="AA16" s="14">
        <f>SUMPRODUCT('Alternatyva 2'!AA$95:AA$99,100/('Alternatyva 2'!$DG$95:$DG$99+100))-SUMPRODUCT('Alternatyva 2'!AA$106:AA$110,100/('Alternatyva 2'!$DG$106:$DG$110+100))</f>
        <v>6015000</v>
      </c>
      <c r="AB16" s="14">
        <f>SUMPRODUCT('Alternatyva 2'!AB$95:AB$99,100/('Alternatyva 2'!$DG$95:$DG$99+100))-SUMPRODUCT('Alternatyva 2'!AB$106:AB$110,100/('Alternatyva 2'!$DG$106:$DG$110+100))</f>
        <v>6015000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281</v>
      </c>
      <c r="C17" s="815" t="s">
        <v>413</v>
      </c>
      <c r="D17" s="815"/>
      <c r="E17" s="815"/>
      <c r="F17" s="43">
        <f>H17+NPV(FD,I17:INDEX(I17:DC17,PAL))</f>
        <v>0</v>
      </c>
      <c r="G17" s="43">
        <f>SUMIF($H$6:$DC$6,"&lt;="&amp;PAL,$H17:$DC17)</f>
        <v>0</v>
      </c>
      <c r="H17" s="41">
        <f>SUMPRODUCT('Alternatyva 2'!H$106:H$110,100*'Alternatyva 2'!$D$106:$D$110,1/('Alternatyva 2'!$DG$106:$DG$110+100),'Alternatyva 2'!$DH$106:$DH$110)</f>
        <v>0</v>
      </c>
      <c r="I17" s="41">
        <f>SUMPRODUCT('Alternatyva 2'!I$106:I$110,100*'Alternatyva 2'!$D$106:$D$110,1/('Alternatyva 2'!$DG$106:$DG$110+100),'Alternatyva 2'!$DH$106:$DH$110)</f>
        <v>0</v>
      </c>
      <c r="J17" s="41">
        <f>SUMPRODUCT('Alternatyva 2'!J$106:J$110,100*'Alternatyva 2'!$D$106:$D$110,1/('Alternatyva 2'!$DG$106:$DG$110+100),'Alternatyva 2'!$DH$106:$DH$110)</f>
        <v>0</v>
      </c>
      <c r="K17" s="41">
        <f>SUMPRODUCT('Alternatyva 2'!K$106:K$110,100*'Alternatyva 2'!$D$106:$D$110,1/('Alternatyva 2'!$DG$106:$DG$110+100),'Alternatyva 2'!$DH$106:$DH$110)</f>
        <v>0</v>
      </c>
      <c r="L17" s="41">
        <f>SUMPRODUCT('Alternatyva 2'!L$106:L$110,100*'Alternatyva 2'!$D$106:$D$110,1/('Alternatyva 2'!$DG$106:$DG$110+100),'Alternatyva 2'!$DH$106:$DH$110)</f>
        <v>0</v>
      </c>
      <c r="M17" s="41">
        <f>SUMPRODUCT('Alternatyva 2'!M$106:M$110,100*'Alternatyva 2'!$D$106:$D$110,1/('Alternatyva 2'!$DG$106:$DG$110+100),'Alternatyva 2'!$DH$106:$DH$110)</f>
        <v>0</v>
      </c>
      <c r="N17" s="41">
        <f>SUMPRODUCT('Alternatyva 2'!N$106:N$110,100*'Alternatyva 2'!$D$106:$D$110,1/('Alternatyva 2'!$DG$106:$DG$110+100),'Alternatyva 2'!$DH$106:$DH$110)</f>
        <v>0</v>
      </c>
      <c r="O17" s="41">
        <f>SUMPRODUCT('Alternatyva 2'!O$106:O$110,100*'Alternatyva 2'!$D$106:$D$110,1/('Alternatyva 2'!$DG$106:$DG$110+100),'Alternatyva 2'!$DH$106:$DH$110)</f>
        <v>0</v>
      </c>
      <c r="P17" s="41">
        <f>SUMPRODUCT('Alternatyva 2'!P$106:P$110,100*'Alternatyva 2'!$D$106:$D$110,1/('Alternatyva 2'!$DG$106:$DG$110+100),'Alternatyva 2'!$DH$106:$DH$110)</f>
        <v>0</v>
      </c>
      <c r="Q17" s="41">
        <f>SUMPRODUCT('Alternatyva 2'!Q$106:Q$110,100*'Alternatyva 2'!$D$106:$D$110,1/('Alternatyva 2'!$DG$106:$DG$110+100),'Alternatyva 2'!$DH$106:$DH$110)</f>
        <v>0</v>
      </c>
      <c r="R17" s="41">
        <f>SUMPRODUCT('Alternatyva 2'!R$106:R$110,100*'Alternatyva 2'!$D$106:$D$110,1/('Alternatyva 2'!$DG$106:$DG$110+100),'Alternatyva 2'!$DH$106:$DH$110)</f>
        <v>0</v>
      </c>
      <c r="S17" s="41">
        <f>SUMPRODUCT('Alternatyva 2'!S$106:S$110,100*'Alternatyva 2'!$D$106:$D$110,1/('Alternatyva 2'!$DG$106:$DG$110+100),'Alternatyva 2'!$DH$106:$DH$110)</f>
        <v>0</v>
      </c>
      <c r="T17" s="41">
        <f>SUMPRODUCT('Alternatyva 2'!T$106:T$110,100*'Alternatyva 2'!$D$106:$D$110,1/('Alternatyva 2'!$DG$106:$DG$110+100),'Alternatyva 2'!$DH$106:$DH$110)</f>
        <v>0</v>
      </c>
      <c r="U17" s="41">
        <f>SUMPRODUCT('Alternatyva 2'!U$106:U$110,100*'Alternatyva 2'!$D$106:$D$110,1/('Alternatyva 2'!$DG$106:$DG$110+100),'Alternatyva 2'!$DH$106:$DH$110)</f>
        <v>0</v>
      </c>
      <c r="V17" s="41">
        <f>SUMPRODUCT('Alternatyva 2'!V$106:V$110,100*'Alternatyva 2'!$D$106:$D$110,1/('Alternatyva 2'!$DG$106:$DG$110+100),'Alternatyva 2'!$DH$106:$DH$110)</f>
        <v>0</v>
      </c>
      <c r="W17" s="41">
        <f>SUMPRODUCT('Alternatyva 2'!W$106:W$110,100*'Alternatyva 2'!$D$106:$D$110,1/('Alternatyva 2'!$DG$106:$DG$110+100),'Alternatyva 2'!$DH$106:$DH$110)</f>
        <v>0</v>
      </c>
      <c r="X17" s="41">
        <f>SUMPRODUCT('Alternatyva 2'!X$106:X$110,100*'Alternatyva 2'!$D$106:$D$110,1/('Alternatyva 2'!$DG$106:$DG$110+100),'Alternatyva 2'!$DH$106:$DH$110)</f>
        <v>0</v>
      </c>
      <c r="Y17" s="41">
        <f>SUMPRODUCT('Alternatyva 2'!Y$106:Y$110,100*'Alternatyva 2'!$D$106:$D$110,1/('Alternatyva 2'!$DG$106:$DG$110+100),'Alternatyva 2'!$DH$106:$DH$110)</f>
        <v>0</v>
      </c>
      <c r="Z17" s="41">
        <f>SUMPRODUCT('Alternatyva 2'!Z$106:Z$110,100*'Alternatyva 2'!$D$106:$D$110,1/('Alternatyva 2'!$DG$106:$DG$110+100),'Alternatyva 2'!$DH$106:$DH$110)</f>
        <v>0</v>
      </c>
      <c r="AA17" s="41">
        <f>SUMPRODUCT('Alternatyva 2'!AA$106:AA$110,100*'Alternatyva 2'!$D$106:$D$110,1/('Alternatyva 2'!$DG$106:$DG$110+100),'Alternatyva 2'!$DH$106:$DH$110)</f>
        <v>0</v>
      </c>
      <c r="AB17" s="41">
        <f>SUMPRODUCT('Alternatyva 2'!AB$106:AB$110,100*'Alternatyva 2'!$D$106:$D$110,1/('Alternatyva 2'!$DG$106:$DG$110+100),'Alternatyva 2'!$DH$106:$DH$110)</f>
        <v>0</v>
      </c>
      <c r="AC17" s="41">
        <f>SUMPRODUCT('Alternatyva 2'!AC$106:AC$110,100*'Alternatyva 2'!$D$106:$D$110,1/('Alternatyva 2'!$DG$106:$DG$110+100),'Alternatyva 2'!$DH$106:$DH$110)</f>
        <v>0</v>
      </c>
      <c r="AD17" s="41">
        <f>SUMPRODUCT('Alternatyva 2'!AD$106:AD$110,100*'Alternatyva 2'!$D$106:$D$110,1/('Alternatyva 2'!$DG$106:$DG$110+100),'Alternatyva 2'!$DH$106:$DH$110)</f>
        <v>0</v>
      </c>
      <c r="AE17" s="41">
        <f>SUMPRODUCT('Alternatyva 2'!AE$106:AE$110,100*'Alternatyva 2'!$D$106:$D$110,1/('Alternatyva 2'!$DG$106:$DG$110+100),'Alternatyva 2'!$DH$106:$DH$110)</f>
        <v>0</v>
      </c>
      <c r="AF17" s="41">
        <f>SUMPRODUCT('Alternatyva 2'!AF$106:AF$110,100*'Alternatyva 2'!$D$106:$D$110,1/('Alternatyva 2'!$DG$106:$DG$110+100),'Alternatyva 2'!$DH$106:$DH$110)</f>
        <v>0</v>
      </c>
      <c r="AG17" s="41">
        <f>SUMPRODUCT('Alternatyva 2'!AG$106:AG$110,100*'Alternatyva 2'!$D$106:$D$110,1/('Alternatyva 2'!$DG$106:$DG$110+100),'Alternatyva 2'!$DH$106:$DH$110)</f>
        <v>0</v>
      </c>
      <c r="AH17" s="41">
        <f>SUMPRODUCT('Alternatyva 2'!AH$106:AH$110,100*'Alternatyva 2'!$D$106:$D$110,1/('Alternatyva 2'!$DG$106:$DG$110+100),'Alternatyva 2'!$DH$106:$DH$110)</f>
        <v>0</v>
      </c>
      <c r="AI17" s="41">
        <f>SUMPRODUCT('Alternatyva 2'!AI$106:AI$110,100*'Alternatyva 2'!$D$106:$D$110,1/('Alternatyva 2'!$DG$106:$DG$110+100),'Alternatyva 2'!$DH$106:$DH$110)</f>
        <v>0</v>
      </c>
      <c r="AJ17" s="41">
        <f>SUMPRODUCT('Alternatyva 2'!AJ$106:AJ$110,100*'Alternatyva 2'!$D$106:$D$110,1/('Alternatyva 2'!$DG$106:$DG$110+100),'Alternatyva 2'!$DH$106:$DH$110)</f>
        <v>0</v>
      </c>
      <c r="AK17" s="41">
        <f>SUMPRODUCT('Alternatyva 2'!AK$106:AK$110,100*'Alternatyva 2'!$D$106:$D$110,1/('Alternatyva 2'!$DG$106:$DG$110+100),'Alternatyva 2'!$DH$106:$DH$110)</f>
        <v>0</v>
      </c>
      <c r="AL17" s="41">
        <f>SUMPRODUCT('Alternatyva 2'!AL$106:AL$110,100*'Alternatyva 2'!$D$106:$D$110,1/('Alternatyva 2'!$DG$106:$DG$110+100),'Alternatyva 2'!$DH$106:$DH$110)</f>
        <v>0</v>
      </c>
      <c r="AM17" s="41">
        <f>SUMPRODUCT('Alternatyva 2'!AM$106:AM$110,100*'Alternatyva 2'!$D$106:$D$110,1/('Alternatyva 2'!$DG$106:$DG$110+100),'Alternatyva 2'!$DH$106:$DH$110)</f>
        <v>0</v>
      </c>
      <c r="AN17" s="41">
        <f>SUMPRODUCT('Alternatyva 2'!AN$106:AN$110,100*'Alternatyva 2'!$D$106:$D$110,1/('Alternatyva 2'!$DG$106:$DG$110+100),'Alternatyva 2'!$DH$106:$DH$110)</f>
        <v>0</v>
      </c>
      <c r="AO17" s="41">
        <f>SUMPRODUCT('Alternatyva 2'!AO$106:AO$110,100*'Alternatyva 2'!$D$106:$D$110,1/('Alternatyva 2'!$DG$106:$DG$110+100),'Alternatyva 2'!$DH$106:$DH$110)</f>
        <v>0</v>
      </c>
      <c r="AP17" s="41">
        <f>SUMPRODUCT('Alternatyva 2'!AP$106:AP$110,100*'Alternatyva 2'!$D$106:$D$110,1/('Alternatyva 2'!$DG$106:$DG$110+100),'Alternatyva 2'!$DH$106:$DH$110)</f>
        <v>0</v>
      </c>
      <c r="AQ17" s="41">
        <f>SUMPRODUCT('Alternatyva 2'!AQ$106:AQ$110,100*'Alternatyva 2'!$D$106:$D$110,1/('Alternatyva 2'!$DG$106:$DG$110+100),'Alternatyva 2'!$DH$106:$DH$110)</f>
        <v>0</v>
      </c>
      <c r="AR17" s="41">
        <f>SUMPRODUCT('Alternatyva 2'!AR$106:AR$110,100*'Alternatyva 2'!$D$106:$D$110,1/('Alternatyva 2'!$DG$106:$DG$110+100),'Alternatyva 2'!$DH$106:$DH$110)</f>
        <v>0</v>
      </c>
      <c r="AS17" s="41">
        <f>SUMPRODUCT('Alternatyva 2'!AS$106:AS$110,100*'Alternatyva 2'!$D$106:$D$110,1/('Alternatyva 2'!$DG$106:$DG$110+100),'Alternatyva 2'!$DH$106:$DH$110)</f>
        <v>0</v>
      </c>
      <c r="AT17" s="41">
        <f>SUMPRODUCT('Alternatyva 2'!AT$106:AT$110,100*'Alternatyva 2'!$D$106:$D$110,1/('Alternatyva 2'!$DG$106:$DG$110+100),'Alternatyva 2'!$DH$106:$DH$110)</f>
        <v>0</v>
      </c>
      <c r="AU17" s="41">
        <f>SUMPRODUCT('Alternatyva 2'!AU$106:AU$110,100*'Alternatyva 2'!$D$106:$D$110,1/('Alternatyva 2'!$DG$106:$DG$110+100),'Alternatyva 2'!$DH$106:$DH$110)</f>
        <v>0</v>
      </c>
      <c r="AV17" s="41">
        <f>SUMPRODUCT('Alternatyva 2'!AV$106:AV$110,100*'Alternatyva 2'!$D$106:$D$110,1/('Alternatyva 2'!$DG$106:$DG$110+100),'Alternatyva 2'!$DH$106:$DH$110)</f>
        <v>0</v>
      </c>
      <c r="AW17" s="41">
        <f>SUMPRODUCT('Alternatyva 2'!AW$106:AW$110,100*'Alternatyva 2'!$D$106:$D$110,1/('Alternatyva 2'!$DG$106:$DG$110+100),'Alternatyva 2'!$DH$106:$DH$110)</f>
        <v>0</v>
      </c>
      <c r="AX17" s="41">
        <f>SUMPRODUCT('Alternatyva 2'!AX$106:AX$110,100*'Alternatyva 2'!$D$106:$D$110,1/('Alternatyva 2'!$DG$106:$DG$110+100),'Alternatyva 2'!$DH$106:$DH$110)</f>
        <v>0</v>
      </c>
      <c r="AY17" s="41">
        <f>SUMPRODUCT('Alternatyva 2'!AY$106:AY$110,100*'Alternatyva 2'!$D$106:$D$110,1/('Alternatyva 2'!$DG$106:$DG$110+100),'Alternatyva 2'!$DH$106:$DH$110)</f>
        <v>0</v>
      </c>
      <c r="AZ17" s="41">
        <f>SUMPRODUCT('Alternatyva 2'!AZ$106:AZ$110,100*'Alternatyva 2'!$D$106:$D$110,1/('Alternatyva 2'!$DG$106:$DG$110+100),'Alternatyva 2'!$DH$106:$DH$110)</f>
        <v>0</v>
      </c>
      <c r="BA17" s="41">
        <f>SUMPRODUCT('Alternatyva 2'!BA$106:BA$110,100*'Alternatyva 2'!$D$106:$D$110,1/('Alternatyva 2'!$DG$106:$DG$110+100),'Alternatyva 2'!$DH$106:$DH$110)</f>
        <v>0</v>
      </c>
      <c r="BB17" s="41">
        <f>SUMPRODUCT('Alternatyva 2'!BB$106:BB$110,100*'Alternatyva 2'!$D$106:$D$110,1/('Alternatyva 2'!$DG$106:$DG$110+100),'Alternatyva 2'!$DH$106:$DH$110)</f>
        <v>0</v>
      </c>
      <c r="BC17" s="41">
        <f>SUMPRODUCT('Alternatyva 2'!BC$106:BC$110,100*'Alternatyva 2'!$D$106:$D$110,1/('Alternatyva 2'!$DG$106:$DG$110+100),'Alternatyva 2'!$DH$106:$DH$110)</f>
        <v>0</v>
      </c>
      <c r="BD17" s="41">
        <f>SUMPRODUCT('Alternatyva 2'!BD$106:BD$110,100*'Alternatyva 2'!$D$106:$D$110,1/('Alternatyva 2'!$DG$106:$DG$110+100),'Alternatyva 2'!$DH$106:$DH$110)</f>
        <v>0</v>
      </c>
      <c r="BE17" s="41">
        <f>SUMPRODUCT('Alternatyva 2'!BE$106:BE$110,100*'Alternatyva 2'!$D$106:$D$110,1/('Alternatyva 2'!$DG$106:$DG$110+100),'Alternatyva 2'!$DH$106:$DH$110)</f>
        <v>0</v>
      </c>
      <c r="BF17" s="41">
        <f>SUMPRODUCT('Alternatyva 2'!BF$106:BF$110,100*'Alternatyva 2'!$D$106:$D$110,1/('Alternatyva 2'!$DG$106:$DG$110+100),'Alternatyva 2'!$DH$106:$DH$110)</f>
        <v>0</v>
      </c>
      <c r="BG17" s="41">
        <f>SUMPRODUCT('Alternatyva 2'!BG$106:BG$110,100*'Alternatyva 2'!$D$106:$D$110,1/('Alternatyva 2'!$DG$106:$DG$110+100),'Alternatyva 2'!$DH$106:$DH$110)</f>
        <v>0</v>
      </c>
      <c r="BH17" s="41">
        <f>SUMPRODUCT('Alternatyva 2'!BH$106:BH$110,100*'Alternatyva 2'!$D$106:$D$110,1/('Alternatyva 2'!$DG$106:$DG$110+100),'Alternatyva 2'!$DH$106:$DH$110)</f>
        <v>0</v>
      </c>
      <c r="BI17" s="41">
        <f>SUMPRODUCT('Alternatyva 2'!BI$106:BI$110,100*'Alternatyva 2'!$D$106:$D$110,1/('Alternatyva 2'!$DG$106:$DG$110+100),'Alternatyva 2'!$DH$106:$DH$110)</f>
        <v>0</v>
      </c>
      <c r="BJ17" s="41">
        <f>SUMPRODUCT('Alternatyva 2'!BJ$106:BJ$110,100*'Alternatyva 2'!$D$106:$D$110,1/('Alternatyva 2'!$DG$106:$DG$110+100),'Alternatyva 2'!$DH$106:$DH$110)</f>
        <v>0</v>
      </c>
      <c r="BK17" s="41">
        <f>SUMPRODUCT('Alternatyva 2'!BK$106:BK$110,100*'Alternatyva 2'!$D$106:$D$110,1/('Alternatyva 2'!$DG$106:$DG$110+100),'Alternatyva 2'!$DH$106:$DH$110)</f>
        <v>0</v>
      </c>
      <c r="BL17" s="41">
        <f>SUMPRODUCT('Alternatyva 2'!BL$106:BL$110,100*'Alternatyva 2'!$D$106:$D$110,1/('Alternatyva 2'!$DG$106:$DG$110+100),'Alternatyva 2'!$DH$106:$DH$110)</f>
        <v>0</v>
      </c>
      <c r="BM17" s="41">
        <f>SUMPRODUCT('Alternatyva 2'!BM$106:BM$110,100*'Alternatyva 2'!$D$106:$D$110,1/('Alternatyva 2'!$DG$106:$DG$110+100),'Alternatyva 2'!$DH$106:$DH$110)</f>
        <v>0</v>
      </c>
      <c r="BN17" s="41">
        <f>SUMPRODUCT('Alternatyva 2'!BN$106:BN$110,100*'Alternatyva 2'!$D$106:$D$110,1/('Alternatyva 2'!$DG$106:$DG$110+100),'Alternatyva 2'!$DH$106:$DH$110)</f>
        <v>0</v>
      </c>
      <c r="BO17" s="41">
        <f>SUMPRODUCT('Alternatyva 2'!BO$106:BO$110,100*'Alternatyva 2'!$D$106:$D$110,1/('Alternatyva 2'!$DG$106:$DG$110+100),'Alternatyva 2'!$DH$106:$DH$110)</f>
        <v>0</v>
      </c>
      <c r="BP17" s="41">
        <f>SUMPRODUCT('Alternatyva 2'!BP$106:BP$110,100*'Alternatyva 2'!$D$106:$D$110,1/('Alternatyva 2'!$DG$106:$DG$110+100),'Alternatyva 2'!$DH$106:$DH$110)</f>
        <v>0</v>
      </c>
      <c r="BQ17" s="41">
        <f>SUMPRODUCT('Alternatyva 2'!BQ$106:BQ$110,100*'Alternatyva 2'!$D$106:$D$110,1/('Alternatyva 2'!$DG$106:$DG$110+100),'Alternatyva 2'!$DH$106:$DH$110)</f>
        <v>0</v>
      </c>
      <c r="BR17" s="41">
        <f>SUMPRODUCT('Alternatyva 2'!BR$106:BR$110,100*'Alternatyva 2'!$D$106:$D$110,1/('Alternatyva 2'!$DG$106:$DG$110+100),'Alternatyva 2'!$DH$106:$DH$110)</f>
        <v>0</v>
      </c>
      <c r="BS17" s="41">
        <f>SUMPRODUCT('Alternatyva 2'!BS$106:BS$110,100*'Alternatyva 2'!$D$106:$D$110,1/('Alternatyva 2'!$DG$106:$DG$110+100),'Alternatyva 2'!$DH$106:$DH$110)</f>
        <v>0</v>
      </c>
      <c r="BT17" s="41">
        <f>SUMPRODUCT('Alternatyva 2'!BT$106:BT$110,100*'Alternatyva 2'!$D$106:$D$110,1/('Alternatyva 2'!$DG$106:$DG$110+100),'Alternatyva 2'!$DH$106:$DH$110)</f>
        <v>0</v>
      </c>
      <c r="BU17" s="41">
        <f>SUMPRODUCT('Alternatyva 2'!BU$106:BU$110,100*'Alternatyva 2'!$D$106:$D$110,1/('Alternatyva 2'!$DG$106:$DG$110+100),'Alternatyva 2'!$DH$106:$DH$110)</f>
        <v>0</v>
      </c>
      <c r="BV17" s="41">
        <f>SUMPRODUCT('Alternatyva 2'!BV$106:BV$110,100*'Alternatyva 2'!$D$106:$D$110,1/('Alternatyva 2'!$DG$106:$DG$110+100),'Alternatyva 2'!$DH$106:$DH$110)</f>
        <v>0</v>
      </c>
      <c r="BW17" s="41">
        <f>SUMPRODUCT('Alternatyva 2'!BW$106:BW$110,100*'Alternatyva 2'!$D$106:$D$110,1/('Alternatyva 2'!$DG$106:$DG$110+100),'Alternatyva 2'!$DH$106:$DH$110)</f>
        <v>0</v>
      </c>
      <c r="BX17" s="41">
        <f>SUMPRODUCT('Alternatyva 2'!BX$106:BX$110,100*'Alternatyva 2'!$D$106:$D$110,1/('Alternatyva 2'!$DG$106:$DG$110+100),'Alternatyva 2'!$DH$106:$DH$110)</f>
        <v>0</v>
      </c>
      <c r="BY17" s="41">
        <f>SUMPRODUCT('Alternatyva 2'!BY$106:BY$110,100*'Alternatyva 2'!$D$106:$D$110,1/('Alternatyva 2'!$DG$106:$DG$110+100),'Alternatyva 2'!$DH$106:$DH$110)</f>
        <v>0</v>
      </c>
      <c r="BZ17" s="41">
        <f>SUMPRODUCT('Alternatyva 2'!BZ$106:BZ$110,100*'Alternatyva 2'!$D$106:$D$110,1/('Alternatyva 2'!$DG$106:$DG$110+100),'Alternatyva 2'!$DH$106:$DH$110)</f>
        <v>0</v>
      </c>
      <c r="CA17" s="41">
        <f>SUMPRODUCT('Alternatyva 2'!CA$106:CA$110,100*'Alternatyva 2'!$D$106:$D$110,1/('Alternatyva 2'!$DG$106:$DG$110+100),'Alternatyva 2'!$DH$106:$DH$110)</f>
        <v>0</v>
      </c>
      <c r="CB17" s="41">
        <f>SUMPRODUCT('Alternatyva 2'!CB$106:CB$110,100*'Alternatyva 2'!$D$106:$D$110,1/('Alternatyva 2'!$DG$106:$DG$110+100),'Alternatyva 2'!$DH$106:$DH$110)</f>
        <v>0</v>
      </c>
      <c r="CC17" s="41">
        <f>SUMPRODUCT('Alternatyva 2'!CC$106:CC$110,100*'Alternatyva 2'!$D$106:$D$110,1/('Alternatyva 2'!$DG$106:$DG$110+100),'Alternatyva 2'!$DH$106:$DH$110)</f>
        <v>0</v>
      </c>
      <c r="CD17" s="41">
        <f>SUMPRODUCT('Alternatyva 2'!CD$106:CD$110,100*'Alternatyva 2'!$D$106:$D$110,1/('Alternatyva 2'!$DG$106:$DG$110+100),'Alternatyva 2'!$DH$106:$DH$110)</f>
        <v>0</v>
      </c>
      <c r="CE17" s="41">
        <f>SUMPRODUCT('Alternatyva 2'!CE$106:CE$110,100*'Alternatyva 2'!$D$106:$D$110,1/('Alternatyva 2'!$DG$106:$DG$110+100),'Alternatyva 2'!$DH$106:$DH$110)</f>
        <v>0</v>
      </c>
      <c r="CF17" s="41">
        <f>SUMPRODUCT('Alternatyva 2'!CF$106:CF$110,100*'Alternatyva 2'!$D$106:$D$110,1/('Alternatyva 2'!$DG$106:$DG$110+100),'Alternatyva 2'!$DH$106:$DH$110)</f>
        <v>0</v>
      </c>
      <c r="CG17" s="41">
        <f>SUMPRODUCT('Alternatyva 2'!CG$106:CG$110,100*'Alternatyva 2'!$D$106:$D$110,1/('Alternatyva 2'!$DG$106:$DG$110+100),'Alternatyva 2'!$DH$106:$DH$110)</f>
        <v>0</v>
      </c>
      <c r="CH17" s="41">
        <f>SUMPRODUCT('Alternatyva 2'!CH$106:CH$110,100*'Alternatyva 2'!$D$106:$D$110,1/('Alternatyva 2'!$DG$106:$DG$110+100),'Alternatyva 2'!$DH$106:$DH$110)</f>
        <v>0</v>
      </c>
      <c r="CI17" s="41">
        <f>SUMPRODUCT('Alternatyva 2'!CI$106:CI$110,100*'Alternatyva 2'!$D$106:$D$110,1/('Alternatyva 2'!$DG$106:$DG$110+100),'Alternatyva 2'!$DH$106:$DH$110)</f>
        <v>0</v>
      </c>
      <c r="CJ17" s="41">
        <f>SUMPRODUCT('Alternatyva 2'!CJ$106:CJ$110,100*'Alternatyva 2'!$D$106:$D$110,1/('Alternatyva 2'!$DG$106:$DG$110+100),'Alternatyva 2'!$DH$106:$DH$110)</f>
        <v>0</v>
      </c>
      <c r="CK17" s="41">
        <f>SUMPRODUCT('Alternatyva 2'!CK$106:CK$110,100*'Alternatyva 2'!$D$106:$D$110,1/('Alternatyva 2'!$DG$106:$DG$110+100),'Alternatyva 2'!$DH$106:$DH$110)</f>
        <v>0</v>
      </c>
      <c r="CL17" s="41">
        <f>SUMPRODUCT('Alternatyva 2'!CL$106:CL$110,100*'Alternatyva 2'!$D$106:$D$110,1/('Alternatyva 2'!$DG$106:$DG$110+100),'Alternatyva 2'!$DH$106:$DH$110)</f>
        <v>0</v>
      </c>
      <c r="CM17" s="41">
        <f>SUMPRODUCT('Alternatyva 2'!CM$106:CM$110,100*'Alternatyva 2'!$D$106:$D$110,1/('Alternatyva 2'!$DG$106:$DG$110+100),'Alternatyva 2'!$DH$106:$DH$110)</f>
        <v>0</v>
      </c>
      <c r="CN17" s="41">
        <f>SUMPRODUCT('Alternatyva 2'!CN$106:CN$110,100*'Alternatyva 2'!$D$106:$D$110,1/('Alternatyva 2'!$DG$106:$DG$110+100),'Alternatyva 2'!$DH$106:$DH$110)</f>
        <v>0</v>
      </c>
      <c r="CO17" s="41">
        <f>SUMPRODUCT('Alternatyva 2'!CO$106:CO$110,100*'Alternatyva 2'!$D$106:$D$110,1/('Alternatyva 2'!$DG$106:$DG$110+100),'Alternatyva 2'!$DH$106:$DH$110)</f>
        <v>0</v>
      </c>
      <c r="CP17" s="41">
        <f>SUMPRODUCT('Alternatyva 2'!CP$106:CP$110,100*'Alternatyva 2'!$D$106:$D$110,1/('Alternatyva 2'!$DG$106:$DG$110+100),'Alternatyva 2'!$DH$106:$DH$110)</f>
        <v>0</v>
      </c>
      <c r="CQ17" s="41">
        <f>SUMPRODUCT('Alternatyva 2'!CQ$106:CQ$110,100*'Alternatyva 2'!$D$106:$D$110,1/('Alternatyva 2'!$DG$106:$DG$110+100),'Alternatyva 2'!$DH$106:$DH$110)</f>
        <v>0</v>
      </c>
      <c r="CR17" s="41">
        <f>SUMPRODUCT('Alternatyva 2'!CR$106:CR$110,100*'Alternatyva 2'!$D$106:$D$110,1/('Alternatyva 2'!$DG$106:$DG$110+100),'Alternatyva 2'!$DH$106:$DH$110)</f>
        <v>0</v>
      </c>
      <c r="CS17" s="41">
        <f>SUMPRODUCT('Alternatyva 2'!CS$106:CS$110,100*'Alternatyva 2'!$D$106:$D$110,1/('Alternatyva 2'!$DG$106:$DG$110+100),'Alternatyva 2'!$DH$106:$DH$110)</f>
        <v>0</v>
      </c>
      <c r="CT17" s="41">
        <f>SUMPRODUCT('Alternatyva 2'!CT$106:CT$110,100*'Alternatyva 2'!$D$106:$D$110,1/('Alternatyva 2'!$DG$106:$DG$110+100),'Alternatyva 2'!$DH$106:$DH$110)</f>
        <v>0</v>
      </c>
      <c r="CU17" s="41">
        <f>SUMPRODUCT('Alternatyva 2'!CU$106:CU$110,100*'Alternatyva 2'!$D$106:$D$110,1/('Alternatyva 2'!$DG$106:$DG$110+100),'Alternatyva 2'!$DH$106:$DH$110)</f>
        <v>0</v>
      </c>
      <c r="CV17" s="41">
        <f>SUMPRODUCT('Alternatyva 2'!CV$106:CV$110,100*'Alternatyva 2'!$D$106:$D$110,1/('Alternatyva 2'!$DG$106:$DG$110+100),'Alternatyva 2'!$DH$106:$DH$110)</f>
        <v>0</v>
      </c>
      <c r="CW17" s="41">
        <f>SUMPRODUCT('Alternatyva 2'!CW$106:CW$110,100*'Alternatyva 2'!$D$106:$D$110,1/('Alternatyva 2'!$DG$106:$DG$110+100),'Alternatyva 2'!$DH$106:$DH$110)</f>
        <v>0</v>
      </c>
      <c r="CX17" s="41">
        <f>SUMPRODUCT('Alternatyva 2'!CX$106:CX$110,100*'Alternatyva 2'!$D$106:$D$110,1/('Alternatyva 2'!$DG$106:$DG$110+100),'Alternatyva 2'!$DH$106:$DH$110)</f>
        <v>0</v>
      </c>
      <c r="CY17" s="41">
        <f>SUMPRODUCT('Alternatyva 2'!CY$106:CY$110,100*'Alternatyva 2'!$D$106:$D$110,1/('Alternatyva 2'!$DG$106:$DG$110+100),'Alternatyva 2'!$DH$106:$DH$110)</f>
        <v>0</v>
      </c>
      <c r="CZ17" s="41">
        <f>SUMPRODUCT('Alternatyva 2'!CZ$106:CZ$110,100*'Alternatyva 2'!$D$106:$D$110,1/('Alternatyva 2'!$DG$106:$DG$110+100),'Alternatyva 2'!$DH$106:$DH$110)</f>
        <v>0</v>
      </c>
      <c r="DA17" s="41">
        <f>SUMPRODUCT('Alternatyva 2'!DA$106:DA$110,100*'Alternatyva 2'!$D$106:$D$110,1/('Alternatyva 2'!$DG$106:$DG$110+100),'Alternatyva 2'!$DH$106:$DH$110)</f>
        <v>0</v>
      </c>
      <c r="DB17" s="41">
        <f>SUMPRODUCT('Alternatyva 2'!DB$106:DB$110,100*'Alternatyva 2'!$D$106:$D$110,1/('Alternatyva 2'!$DG$106:$DG$110+100),'Alternatyva 2'!$DH$106:$DH$110)</f>
        <v>0</v>
      </c>
      <c r="DC17" s="41">
        <f>SUMPRODUCT('Alternatyva 2'!DC$106:DC$110,100*'Alternatyva 2'!$D$106:$D$110,1/('Alternatyva 2'!$DG$106:$DG$110+100),'Alternatyva 2'!$DH$106:$DH$110)</f>
        <v>0</v>
      </c>
    </row>
    <row r="18" spans="2:107">
      <c r="C18" s="816" t="s">
        <v>14</v>
      </c>
      <c r="D18" s="816"/>
      <c r="E18" s="816"/>
      <c r="F18" s="43">
        <f>H18+NPV(FD,I18:INDEX(I18:DC18,PAL))</f>
        <v>-63944426.850776315</v>
      </c>
      <c r="G18" s="43">
        <f>SUMIF($H$6:$DC$6,"&lt;="&amp;PAL,$H18:$DC18)</f>
        <v>-91840473.182344526</v>
      </c>
      <c r="H18" s="41">
        <f>-H15+H16+H17</f>
        <v>-1708000</v>
      </c>
      <c r="I18" s="41">
        <f t="shared" ref="I18:BT18" si="7">-I15+I16+I17</f>
        <v>-4900980.7675320003</v>
      </c>
      <c r="J18" s="41">
        <f t="shared" si="7"/>
        <v>-5101058.9378861329</v>
      </c>
      <c r="K18" s="41">
        <f t="shared" si="7"/>
        <v>-7231852.5944481585</v>
      </c>
      <c r="L18" s="41">
        <f t="shared" si="7"/>
        <v>-4251852.5944481585</v>
      </c>
      <c r="M18" s="41">
        <f t="shared" si="7"/>
        <v>-4268381.5200679936</v>
      </c>
      <c r="N18" s="41">
        <f t="shared" si="7"/>
        <v>-4252220.3630432002</v>
      </c>
      <c r="O18" s="41">
        <f t="shared" si="7"/>
        <v>-4252220.3630432002</v>
      </c>
      <c r="P18" s="41">
        <f t="shared" si="7"/>
        <v>-4252220.3630432002</v>
      </c>
      <c r="Q18" s="41">
        <f t="shared" si="7"/>
        <v>-4252220.3630432002</v>
      </c>
      <c r="R18" s="41">
        <f t="shared" si="7"/>
        <v>-4351393.9167622086</v>
      </c>
      <c r="S18" s="41">
        <f t="shared" si="7"/>
        <v>-4450567.4704812169</v>
      </c>
      <c r="T18" s="41">
        <f t="shared" si="7"/>
        <v>-4351393.9167622086</v>
      </c>
      <c r="U18" s="41">
        <f t="shared" si="7"/>
        <v>-4450567.4704812169</v>
      </c>
      <c r="V18" s="41">
        <f t="shared" si="7"/>
        <v>-4252220.3630432002</v>
      </c>
      <c r="W18" s="41">
        <f t="shared" si="7"/>
        <v>-4252220.3630432002</v>
      </c>
      <c r="X18" s="41">
        <f t="shared" si="7"/>
        <v>-4252220.3630432002</v>
      </c>
      <c r="Y18" s="41">
        <f t="shared" si="7"/>
        <v>-4252220.3630432002</v>
      </c>
      <c r="Z18" s="41">
        <f t="shared" si="7"/>
        <v>-4252220.3630432002</v>
      </c>
      <c r="AA18" s="41">
        <f t="shared" si="7"/>
        <v>-4252220.3630432002</v>
      </c>
      <c r="AB18" s="41">
        <f t="shared" si="7"/>
        <v>-4252220.3630432002</v>
      </c>
      <c r="AC18" s="41">
        <f t="shared" si="7"/>
        <v>-1974603.0655936003</v>
      </c>
      <c r="AD18" s="41">
        <f t="shared" si="7"/>
        <v>-1974603.0655936003</v>
      </c>
      <c r="AE18" s="41">
        <f t="shared" si="7"/>
        <v>-1974603.0655936003</v>
      </c>
      <c r="AF18" s="41">
        <f t="shared" si="7"/>
        <v>-1974603.0655936003</v>
      </c>
      <c r="AG18" s="41">
        <f t="shared" si="7"/>
        <v>-1974603.0655936003</v>
      </c>
      <c r="AH18" s="41">
        <f t="shared" si="7"/>
        <v>-1974603.0655936003</v>
      </c>
      <c r="AI18" s="41">
        <f t="shared" si="7"/>
        <v>-1974603.0655936003</v>
      </c>
      <c r="AJ18" s="41">
        <f t="shared" si="7"/>
        <v>-1974603.0655936003</v>
      </c>
      <c r="AK18" s="41">
        <f t="shared" si="7"/>
        <v>-1974603.0655936003</v>
      </c>
      <c r="AL18" s="41">
        <f t="shared" si="7"/>
        <v>-1974603.0655936003</v>
      </c>
      <c r="AM18" s="41">
        <f t="shared" si="7"/>
        <v>-1974603.0655936003</v>
      </c>
      <c r="AN18" s="41">
        <f t="shared" si="7"/>
        <v>-1974603.0655936003</v>
      </c>
      <c r="AO18" s="41">
        <f t="shared" si="7"/>
        <v>-1974603.0655936003</v>
      </c>
      <c r="AP18" s="41">
        <f t="shared" si="7"/>
        <v>-1974603.0655936003</v>
      </c>
      <c r="AQ18" s="41">
        <f t="shared" si="7"/>
        <v>-1974603.0655936003</v>
      </c>
      <c r="AR18" s="41">
        <f t="shared" si="7"/>
        <v>-1974603.0655936003</v>
      </c>
      <c r="AS18" s="41">
        <f t="shared" si="7"/>
        <v>-1974603.0655936003</v>
      </c>
      <c r="AT18" s="41">
        <f t="shared" si="7"/>
        <v>-1974603.0655936003</v>
      </c>
      <c r="AU18" s="41">
        <f t="shared" si="7"/>
        <v>-1974603.0655936003</v>
      </c>
      <c r="AV18" s="41">
        <f t="shared" si="7"/>
        <v>-1974603.0655936003</v>
      </c>
      <c r="AW18" s="41">
        <f t="shared" si="7"/>
        <v>-1974603.0655936003</v>
      </c>
      <c r="AX18" s="41">
        <f t="shared" si="7"/>
        <v>-1974603.0655936003</v>
      </c>
      <c r="AY18" s="41">
        <f t="shared" si="7"/>
        <v>-1974603.0655936003</v>
      </c>
      <c r="AZ18" s="41">
        <f t="shared" si="7"/>
        <v>-1974603.0655936003</v>
      </c>
      <c r="BA18" s="41">
        <f t="shared" si="7"/>
        <v>-1974603.0655936003</v>
      </c>
      <c r="BB18" s="41">
        <f t="shared" si="7"/>
        <v>-1974603.0655936003</v>
      </c>
      <c r="BC18" s="41">
        <f t="shared" si="7"/>
        <v>-1974603.0655936003</v>
      </c>
      <c r="BD18" s="41">
        <f t="shared" si="7"/>
        <v>-1974603.0655936003</v>
      </c>
      <c r="BE18" s="41">
        <f t="shared" si="7"/>
        <v>-1974603.0655936003</v>
      </c>
      <c r="BF18" s="41">
        <f t="shared" si="7"/>
        <v>-1974603.0655936003</v>
      </c>
      <c r="BG18" s="41">
        <f t="shared" si="7"/>
        <v>-1974603.0655936003</v>
      </c>
      <c r="BH18" s="41">
        <f t="shared" si="7"/>
        <v>-1974603.0655936003</v>
      </c>
      <c r="BI18" s="41">
        <f t="shared" si="7"/>
        <v>-1974603.0655936003</v>
      </c>
      <c r="BJ18" s="41">
        <f t="shared" si="7"/>
        <v>-1974603.0655936003</v>
      </c>
      <c r="BK18" s="41">
        <f t="shared" si="7"/>
        <v>-1974603.0655936003</v>
      </c>
      <c r="BL18" s="41">
        <f t="shared" si="7"/>
        <v>-1974603.0655936003</v>
      </c>
      <c r="BM18" s="41">
        <f t="shared" si="7"/>
        <v>-1974603.0655936003</v>
      </c>
      <c r="BN18" s="41">
        <f t="shared" si="7"/>
        <v>-1974603.0655936003</v>
      </c>
      <c r="BO18" s="41">
        <f t="shared" si="7"/>
        <v>-1974603.0655936003</v>
      </c>
      <c r="BP18" s="41">
        <f t="shared" si="7"/>
        <v>-1974603.0655936003</v>
      </c>
      <c r="BQ18" s="41">
        <f t="shared" si="7"/>
        <v>-1974603.0655936003</v>
      </c>
      <c r="BR18" s="41">
        <f t="shared" si="7"/>
        <v>-1974603.0655936003</v>
      </c>
      <c r="BS18" s="41">
        <f t="shared" si="7"/>
        <v>-1974603.0655936003</v>
      </c>
      <c r="BT18" s="41">
        <f t="shared" si="7"/>
        <v>-1974603.0655936003</v>
      </c>
      <c r="BU18" s="41">
        <f t="shared" ref="BU18:DC18" si="8">-BU15+BU16+BU17</f>
        <v>-1974603.0655936003</v>
      </c>
      <c r="BV18" s="41">
        <f t="shared" si="8"/>
        <v>-1974603.0655936003</v>
      </c>
      <c r="BW18" s="41">
        <f t="shared" si="8"/>
        <v>-1974603.0655936003</v>
      </c>
      <c r="BX18" s="41">
        <f t="shared" si="8"/>
        <v>-1974603.0655936003</v>
      </c>
      <c r="BY18" s="41">
        <f t="shared" si="8"/>
        <v>-1974603.0655936003</v>
      </c>
      <c r="BZ18" s="41">
        <f t="shared" si="8"/>
        <v>-1974603.0655936003</v>
      </c>
      <c r="CA18" s="41">
        <f t="shared" si="8"/>
        <v>-1974603.0655936003</v>
      </c>
      <c r="CB18" s="41">
        <f t="shared" si="8"/>
        <v>-1974603.0655936003</v>
      </c>
      <c r="CC18" s="41">
        <f t="shared" si="8"/>
        <v>-1974603.0655936003</v>
      </c>
      <c r="CD18" s="41">
        <f t="shared" si="8"/>
        <v>-1974603.0655936003</v>
      </c>
      <c r="CE18" s="41">
        <f t="shared" si="8"/>
        <v>-1974603.0655936003</v>
      </c>
      <c r="CF18" s="41">
        <f t="shared" si="8"/>
        <v>-1974603.0655936003</v>
      </c>
      <c r="CG18" s="41">
        <f t="shared" si="8"/>
        <v>-1974603.0655936003</v>
      </c>
      <c r="CH18" s="41">
        <f t="shared" si="8"/>
        <v>-1974603.0655936003</v>
      </c>
      <c r="CI18" s="41">
        <f t="shared" si="8"/>
        <v>-1974603.0655936003</v>
      </c>
      <c r="CJ18" s="41">
        <f t="shared" si="8"/>
        <v>-1974603.0655936003</v>
      </c>
      <c r="CK18" s="41">
        <f t="shared" si="8"/>
        <v>-1974603.0655936003</v>
      </c>
      <c r="CL18" s="41">
        <f t="shared" si="8"/>
        <v>-1974603.0655936003</v>
      </c>
      <c r="CM18" s="41">
        <f t="shared" si="8"/>
        <v>-1974603.0655936003</v>
      </c>
      <c r="CN18" s="41">
        <f t="shared" si="8"/>
        <v>-1974603.0655936003</v>
      </c>
      <c r="CO18" s="41">
        <f t="shared" si="8"/>
        <v>-1974603.0655936003</v>
      </c>
      <c r="CP18" s="41">
        <f t="shared" si="8"/>
        <v>-1974603.0655936003</v>
      </c>
      <c r="CQ18" s="41">
        <f t="shared" si="8"/>
        <v>-1974603.0655936003</v>
      </c>
      <c r="CR18" s="41">
        <f t="shared" si="8"/>
        <v>-1974603.0655936003</v>
      </c>
      <c r="CS18" s="41">
        <f t="shared" si="8"/>
        <v>-1974603.0655936003</v>
      </c>
      <c r="CT18" s="41">
        <f t="shared" si="8"/>
        <v>-1974603.0655936003</v>
      </c>
      <c r="CU18" s="41">
        <f t="shared" si="8"/>
        <v>-1974603.0655936003</v>
      </c>
      <c r="CV18" s="41">
        <f t="shared" si="8"/>
        <v>-1974603.0655936003</v>
      </c>
      <c r="CW18" s="41">
        <f t="shared" si="8"/>
        <v>-1974603.0655936003</v>
      </c>
      <c r="CX18" s="41">
        <f t="shared" si="8"/>
        <v>-1974603.0655936003</v>
      </c>
      <c r="CY18" s="41">
        <f t="shared" si="8"/>
        <v>-1974603.0655936003</v>
      </c>
      <c r="CZ18" s="41">
        <f t="shared" si="8"/>
        <v>-1974603.0655936003</v>
      </c>
      <c r="DA18" s="41">
        <f t="shared" si="8"/>
        <v>-1974603.0655936003</v>
      </c>
      <c r="DB18" s="41">
        <f t="shared" si="8"/>
        <v>-1974603.0655936003</v>
      </c>
      <c r="DC18" s="41">
        <f t="shared" si="8"/>
        <v>-1974603.0655936003</v>
      </c>
    </row>
    <row r="20" spans="2:107">
      <c r="B20" s="31" t="s">
        <v>8</v>
      </c>
      <c r="C20" s="42"/>
      <c r="D20" s="42"/>
      <c r="E20" s="42"/>
      <c r="F20" s="786" t="s">
        <v>32</v>
      </c>
      <c r="G20" s="798"/>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customHeight="1">
      <c r="B21" s="1" t="s">
        <v>5</v>
      </c>
      <c r="C21" s="807" t="s">
        <v>15</v>
      </c>
      <c r="D21" s="807"/>
      <c r="E21" s="807"/>
      <c r="F21" s="13" t="s">
        <v>34</v>
      </c>
      <c r="G21" s="12" t="s">
        <v>33</v>
      </c>
      <c r="H21" s="12" t="str">
        <f ca="1">IF(PVP="",TEXT(TODAY(),"yyyy"),TEXT(PVP,"yyyy"))</f>
        <v>2022</v>
      </c>
      <c r="I21" s="12">
        <f t="shared" ref="I21:AN21" ca="1" si="9">$H$7+I20</f>
        <v>2023</v>
      </c>
      <c r="J21" s="12">
        <f t="shared" ca="1" si="9"/>
        <v>2024</v>
      </c>
      <c r="K21" s="12">
        <f t="shared" ca="1" si="9"/>
        <v>2025</v>
      </c>
      <c r="L21" s="12">
        <f t="shared" ca="1" si="9"/>
        <v>2026</v>
      </c>
      <c r="M21" s="12">
        <f t="shared" ca="1" si="9"/>
        <v>2027</v>
      </c>
      <c r="N21" s="12">
        <f t="shared" ca="1" si="9"/>
        <v>2028</v>
      </c>
      <c r="O21" s="12">
        <f t="shared" ca="1" si="9"/>
        <v>2029</v>
      </c>
      <c r="P21" s="12">
        <f t="shared" ca="1" si="9"/>
        <v>2030</v>
      </c>
      <c r="Q21" s="12">
        <f t="shared" ca="1" si="9"/>
        <v>2031</v>
      </c>
      <c r="R21" s="12">
        <f t="shared" ca="1" si="9"/>
        <v>2032</v>
      </c>
      <c r="S21" s="12">
        <f t="shared" ca="1" si="9"/>
        <v>2033</v>
      </c>
      <c r="T21" s="12">
        <f t="shared" ca="1" si="9"/>
        <v>2034</v>
      </c>
      <c r="U21" s="12">
        <f t="shared" ca="1" si="9"/>
        <v>2035</v>
      </c>
      <c r="V21" s="12">
        <f t="shared" ca="1" si="9"/>
        <v>2036</v>
      </c>
      <c r="W21" s="12">
        <f t="shared" ca="1" si="9"/>
        <v>2037</v>
      </c>
      <c r="X21" s="12">
        <f t="shared" ca="1" si="9"/>
        <v>2038</v>
      </c>
      <c r="Y21" s="12">
        <f t="shared" ca="1" si="9"/>
        <v>2039</v>
      </c>
      <c r="Z21" s="12">
        <f t="shared" ca="1" si="9"/>
        <v>2040</v>
      </c>
      <c r="AA21" s="12">
        <f t="shared" ca="1" si="9"/>
        <v>2041</v>
      </c>
      <c r="AB21" s="12">
        <f t="shared" ca="1" si="9"/>
        <v>2042</v>
      </c>
      <c r="AC21" s="12">
        <f t="shared" ca="1" si="9"/>
        <v>2043</v>
      </c>
      <c r="AD21" s="12">
        <f t="shared" ca="1" si="9"/>
        <v>2044</v>
      </c>
      <c r="AE21" s="12">
        <f t="shared" ca="1" si="9"/>
        <v>2045</v>
      </c>
      <c r="AF21" s="12">
        <f t="shared" ca="1" si="9"/>
        <v>2046</v>
      </c>
      <c r="AG21" s="12">
        <f t="shared" ca="1" si="9"/>
        <v>2047</v>
      </c>
      <c r="AH21" s="12">
        <f t="shared" ca="1" si="9"/>
        <v>2048</v>
      </c>
      <c r="AI21" s="12">
        <f t="shared" ca="1" si="9"/>
        <v>2049</v>
      </c>
      <c r="AJ21" s="12">
        <f t="shared" ca="1" si="9"/>
        <v>2050</v>
      </c>
      <c r="AK21" s="12">
        <f t="shared" ca="1" si="9"/>
        <v>2051</v>
      </c>
      <c r="AL21" s="12">
        <f t="shared" ca="1" si="9"/>
        <v>2052</v>
      </c>
      <c r="AM21" s="12">
        <f t="shared" ca="1" si="9"/>
        <v>2053</v>
      </c>
      <c r="AN21" s="12">
        <f t="shared" ca="1" si="9"/>
        <v>2054</v>
      </c>
      <c r="AO21" s="12">
        <f t="shared" ref="AO21:BT21" ca="1" si="10">$H$7+AO20</f>
        <v>2055</v>
      </c>
      <c r="AP21" s="12">
        <f t="shared" ca="1" si="10"/>
        <v>2056</v>
      </c>
      <c r="AQ21" s="12">
        <f t="shared" ca="1" si="10"/>
        <v>2057</v>
      </c>
      <c r="AR21" s="12">
        <f t="shared" ca="1" si="10"/>
        <v>2058</v>
      </c>
      <c r="AS21" s="12">
        <f t="shared" ca="1" si="10"/>
        <v>2059</v>
      </c>
      <c r="AT21" s="12">
        <f t="shared" ca="1" si="10"/>
        <v>2060</v>
      </c>
      <c r="AU21" s="12">
        <f t="shared" ca="1" si="10"/>
        <v>2061</v>
      </c>
      <c r="AV21" s="12">
        <f t="shared" ca="1" si="10"/>
        <v>2062</v>
      </c>
      <c r="AW21" s="12">
        <f t="shared" ca="1" si="10"/>
        <v>2063</v>
      </c>
      <c r="AX21" s="12">
        <f t="shared" ca="1" si="10"/>
        <v>2064</v>
      </c>
      <c r="AY21" s="12">
        <f t="shared" ca="1" si="10"/>
        <v>2065</v>
      </c>
      <c r="AZ21" s="12">
        <f t="shared" ca="1" si="10"/>
        <v>2066</v>
      </c>
      <c r="BA21" s="12">
        <f t="shared" ca="1" si="10"/>
        <v>2067</v>
      </c>
      <c r="BB21" s="12">
        <f t="shared" ca="1" si="10"/>
        <v>2068</v>
      </c>
      <c r="BC21" s="12">
        <f t="shared" ca="1" si="10"/>
        <v>2069</v>
      </c>
      <c r="BD21" s="12">
        <f t="shared" ca="1" si="10"/>
        <v>2070</v>
      </c>
      <c r="BE21" s="12">
        <f t="shared" ca="1" si="10"/>
        <v>2071</v>
      </c>
      <c r="BF21" s="12">
        <f t="shared" ca="1" si="10"/>
        <v>2072</v>
      </c>
      <c r="BG21" s="12">
        <f t="shared" ca="1" si="10"/>
        <v>2073</v>
      </c>
      <c r="BH21" s="12">
        <f t="shared" ca="1" si="10"/>
        <v>2074</v>
      </c>
      <c r="BI21" s="12">
        <f t="shared" ca="1" si="10"/>
        <v>2075</v>
      </c>
      <c r="BJ21" s="12">
        <f t="shared" ca="1" si="10"/>
        <v>2076</v>
      </c>
      <c r="BK21" s="12">
        <f t="shared" ca="1" si="10"/>
        <v>2077</v>
      </c>
      <c r="BL21" s="12">
        <f t="shared" ca="1" si="10"/>
        <v>2078</v>
      </c>
      <c r="BM21" s="12">
        <f t="shared" ca="1" si="10"/>
        <v>2079</v>
      </c>
      <c r="BN21" s="12">
        <f t="shared" ca="1" si="10"/>
        <v>2080</v>
      </c>
      <c r="BO21" s="12">
        <f t="shared" ca="1" si="10"/>
        <v>2081</v>
      </c>
      <c r="BP21" s="12">
        <f t="shared" ca="1" si="10"/>
        <v>2082</v>
      </c>
      <c r="BQ21" s="12">
        <f t="shared" ca="1" si="10"/>
        <v>2083</v>
      </c>
      <c r="BR21" s="12">
        <f t="shared" ca="1" si="10"/>
        <v>2084</v>
      </c>
      <c r="BS21" s="12">
        <f t="shared" ca="1" si="10"/>
        <v>2085</v>
      </c>
      <c r="BT21" s="12">
        <f t="shared" ca="1" si="10"/>
        <v>2086</v>
      </c>
      <c r="BU21" s="12">
        <f t="shared" ref="BU21:CZ21" ca="1" si="11">$H$7+BU20</f>
        <v>2087</v>
      </c>
      <c r="BV21" s="12">
        <f t="shared" ca="1" si="11"/>
        <v>2088</v>
      </c>
      <c r="BW21" s="12">
        <f t="shared" ca="1" si="11"/>
        <v>2089</v>
      </c>
      <c r="BX21" s="12">
        <f t="shared" ca="1" si="11"/>
        <v>2090</v>
      </c>
      <c r="BY21" s="12">
        <f t="shared" ca="1" si="11"/>
        <v>2091</v>
      </c>
      <c r="BZ21" s="12">
        <f t="shared" ca="1" si="11"/>
        <v>2092</v>
      </c>
      <c r="CA21" s="12">
        <f t="shared" ca="1" si="11"/>
        <v>2093</v>
      </c>
      <c r="CB21" s="12">
        <f t="shared" ca="1" si="11"/>
        <v>2094</v>
      </c>
      <c r="CC21" s="12">
        <f t="shared" ca="1" si="11"/>
        <v>2095</v>
      </c>
      <c r="CD21" s="12">
        <f t="shared" ca="1" si="11"/>
        <v>2096</v>
      </c>
      <c r="CE21" s="12">
        <f t="shared" ca="1" si="11"/>
        <v>2097</v>
      </c>
      <c r="CF21" s="12">
        <f t="shared" ca="1" si="11"/>
        <v>2098</v>
      </c>
      <c r="CG21" s="12">
        <f t="shared" ca="1" si="11"/>
        <v>2099</v>
      </c>
      <c r="CH21" s="12">
        <f t="shared" ca="1" si="11"/>
        <v>2100</v>
      </c>
      <c r="CI21" s="12">
        <f t="shared" ca="1" si="11"/>
        <v>2101</v>
      </c>
      <c r="CJ21" s="12">
        <f t="shared" ca="1" si="11"/>
        <v>2102</v>
      </c>
      <c r="CK21" s="12">
        <f t="shared" ca="1" si="11"/>
        <v>2103</v>
      </c>
      <c r="CL21" s="12">
        <f t="shared" ca="1" si="11"/>
        <v>2104</v>
      </c>
      <c r="CM21" s="12">
        <f t="shared" ca="1" si="11"/>
        <v>2105</v>
      </c>
      <c r="CN21" s="12">
        <f t="shared" ca="1" si="11"/>
        <v>2106</v>
      </c>
      <c r="CO21" s="12">
        <f t="shared" ca="1" si="11"/>
        <v>2107</v>
      </c>
      <c r="CP21" s="12">
        <f t="shared" ca="1" si="11"/>
        <v>2108</v>
      </c>
      <c r="CQ21" s="12">
        <f t="shared" ca="1" si="11"/>
        <v>2109</v>
      </c>
      <c r="CR21" s="12">
        <f t="shared" ca="1" si="11"/>
        <v>2110</v>
      </c>
      <c r="CS21" s="12">
        <f t="shared" ca="1" si="11"/>
        <v>2111</v>
      </c>
      <c r="CT21" s="12">
        <f t="shared" ca="1" si="11"/>
        <v>2112</v>
      </c>
      <c r="CU21" s="12">
        <f t="shared" ca="1" si="11"/>
        <v>2113</v>
      </c>
      <c r="CV21" s="12">
        <f t="shared" ca="1" si="11"/>
        <v>2114</v>
      </c>
      <c r="CW21" s="12">
        <f t="shared" ca="1" si="11"/>
        <v>2115</v>
      </c>
      <c r="CX21" s="12">
        <f t="shared" ca="1" si="11"/>
        <v>2116</v>
      </c>
      <c r="CY21" s="12">
        <f t="shared" ca="1" si="11"/>
        <v>2117</v>
      </c>
      <c r="CZ21" s="12">
        <f t="shared" ca="1" si="11"/>
        <v>2118</v>
      </c>
      <c r="DA21" s="12">
        <f ca="1">$H$7+DA20</f>
        <v>2119</v>
      </c>
      <c r="DB21" s="12">
        <f ca="1">$H$7+DB20</f>
        <v>2120</v>
      </c>
      <c r="DC21" s="12">
        <f ca="1">$H$7+DC20</f>
        <v>2121</v>
      </c>
    </row>
    <row r="22" spans="2:107" ht="15" customHeight="1">
      <c r="B22" s="5" t="s">
        <v>242</v>
      </c>
      <c r="C22" s="809" t="s">
        <v>265</v>
      </c>
      <c r="D22" s="809"/>
      <c r="E22" s="809"/>
      <c r="F22" s="43">
        <f>H22+NPV(FD,I22:INDEX(I22:DC22,PAL))</f>
        <v>137873073.25206566</v>
      </c>
      <c r="G22" s="43">
        <f>SUMIF($H$6:$DC$6,"&lt;="&amp;PAL,$H22:$DC22)</f>
        <v>203559287.23193121</v>
      </c>
      <c r="H22" s="14">
        <f>'Alternatyva 3'!H$7-'Alternatyva 3'!H$112</f>
        <v>1407752.0661157025</v>
      </c>
      <c r="I22" s="14">
        <f>'Alternatyva 3'!I$7-'Alternatyva 3'!I$112</f>
        <v>6931228.7014162978</v>
      </c>
      <c r="J22" s="14">
        <f>'Alternatyva 3'!J$7-'Alternatyva 3'!J$112</f>
        <v>8318020.0949109271</v>
      </c>
      <c r="K22" s="14">
        <f>'Alternatyva 3'!K$7-'Alternatyva 3'!K$112</f>
        <v>12671805.487010142</v>
      </c>
      <c r="L22" s="14">
        <f>'Alternatyva 3'!L$7-'Alternatyva 3'!L$112</f>
        <v>10212552.594448159</v>
      </c>
      <c r="M22" s="14">
        <f>'Alternatyva 3'!M$7-'Alternatyva 3'!M$112</f>
        <v>10229081.520067994</v>
      </c>
      <c r="N22" s="14">
        <f>'Alternatyva 3'!N$7-'Alternatyva 3'!N$112</f>
        <v>10212920.3630432</v>
      </c>
      <c r="O22" s="14">
        <f>'Alternatyva 3'!O$7-'Alternatyva 3'!O$112</f>
        <v>10212920.3630432</v>
      </c>
      <c r="P22" s="14">
        <f>'Alternatyva 3'!P$7-'Alternatyva 3'!P$112</f>
        <v>10212920.3630432</v>
      </c>
      <c r="Q22" s="14">
        <f>'Alternatyva 3'!Q$7-'Alternatyva 3'!Q$112</f>
        <v>10212920.3630432</v>
      </c>
      <c r="R22" s="14">
        <f>'Alternatyva 3'!R$7-'Alternatyva 3'!R$112</f>
        <v>10312093.916762209</v>
      </c>
      <c r="S22" s="14">
        <f>'Alternatyva 3'!S$7-'Alternatyva 3'!S$112</f>
        <v>10411267.470481217</v>
      </c>
      <c r="T22" s="14">
        <f>'Alternatyva 3'!T$7-'Alternatyva 3'!T$112</f>
        <v>10312093.916762209</v>
      </c>
      <c r="U22" s="14">
        <f>'Alternatyva 3'!U$7-'Alternatyva 3'!U$112</f>
        <v>10411267.470481217</v>
      </c>
      <c r="V22" s="14">
        <f>'Alternatyva 3'!V$7-'Alternatyva 3'!V$112</f>
        <v>10212920.3630432</v>
      </c>
      <c r="W22" s="14">
        <f>'Alternatyva 3'!W$7-'Alternatyva 3'!W$112</f>
        <v>10212920.3630432</v>
      </c>
      <c r="X22" s="14">
        <f>'Alternatyva 3'!X$7-'Alternatyva 3'!X$112</f>
        <v>10212920.3630432</v>
      </c>
      <c r="Y22" s="14">
        <f>'Alternatyva 3'!Y$7-'Alternatyva 3'!Y$112</f>
        <v>10212920.3630432</v>
      </c>
      <c r="Z22" s="14">
        <f>'Alternatyva 3'!Z$7-'Alternatyva 3'!Z$112</f>
        <v>10212920.3630432</v>
      </c>
      <c r="AA22" s="14">
        <f>'Alternatyva 3'!AA$7-'Alternatyva 3'!AA$112</f>
        <v>10212920.3630432</v>
      </c>
      <c r="AB22" s="14">
        <f>'Alternatyva 3'!AB$7-'Alternatyva 3'!AB$112</f>
        <v>10212920.3630432</v>
      </c>
      <c r="AC22" s="14">
        <f>'Alternatyva 3'!AC$7-'Alternatyva 3'!AC$112</f>
        <v>8501131.8160736002</v>
      </c>
      <c r="AD22" s="14">
        <f>'Alternatyva 3'!AD$7-'Alternatyva 3'!AD$112</f>
        <v>8501131.8160736002</v>
      </c>
      <c r="AE22" s="14">
        <f>'Alternatyva 3'!AE$7-'Alternatyva 3'!AE$112</f>
        <v>8501131.8160736002</v>
      </c>
      <c r="AF22" s="14">
        <f>'Alternatyva 3'!AF$7-'Alternatyva 3'!AF$112</f>
        <v>8501131.8160736002</v>
      </c>
      <c r="AG22" s="14">
        <f>'Alternatyva 3'!AG$7-'Alternatyva 3'!AG$112</f>
        <v>8501131.8160736002</v>
      </c>
      <c r="AH22" s="14">
        <f>'Alternatyva 3'!AH$7-'Alternatyva 3'!AH$112</f>
        <v>8501131.8160736002</v>
      </c>
      <c r="AI22" s="14">
        <f>'Alternatyva 3'!AI$7-'Alternatyva 3'!AI$112</f>
        <v>8501131.8160736002</v>
      </c>
      <c r="AJ22" s="14">
        <f>'Alternatyva 3'!AJ$7-'Alternatyva 3'!AJ$112</f>
        <v>8501131.8160736002</v>
      </c>
      <c r="AK22" s="14">
        <f>'Alternatyva 3'!AK$7-'Alternatyva 3'!AK$112</f>
        <v>8501131.8160736002</v>
      </c>
      <c r="AL22" s="14">
        <f>'Alternatyva 3'!AL$7-'Alternatyva 3'!AL$112</f>
        <v>8501131.8160736002</v>
      </c>
      <c r="AM22" s="14">
        <f>'Alternatyva 3'!AM$7-'Alternatyva 3'!AM$112</f>
        <v>8501131.8160736002</v>
      </c>
      <c r="AN22" s="14">
        <f>'Alternatyva 3'!AN$7-'Alternatyva 3'!AN$112</f>
        <v>8501131.8160736002</v>
      </c>
      <c r="AO22" s="14">
        <f>'Alternatyva 3'!AO$7-'Alternatyva 3'!AO$112</f>
        <v>8501131.8160736002</v>
      </c>
      <c r="AP22" s="14">
        <f>'Alternatyva 3'!AP$7-'Alternatyva 3'!AP$112</f>
        <v>8501131.8160736002</v>
      </c>
      <c r="AQ22" s="14">
        <f>'Alternatyva 3'!AQ$7-'Alternatyva 3'!AQ$112</f>
        <v>8501131.8160736002</v>
      </c>
      <c r="AR22" s="14">
        <f>'Alternatyva 3'!AR$7-'Alternatyva 3'!AR$112</f>
        <v>8501131.8160736002</v>
      </c>
      <c r="AS22" s="14">
        <f>'Alternatyva 3'!AS$7-'Alternatyva 3'!AS$112</f>
        <v>8501131.8160736002</v>
      </c>
      <c r="AT22" s="14">
        <f>'Alternatyva 3'!AT$7-'Alternatyva 3'!AT$112</f>
        <v>8501131.8160736002</v>
      </c>
      <c r="AU22" s="14">
        <f>'Alternatyva 3'!AU$7-'Alternatyva 3'!AU$112</f>
        <v>8501131.8160736002</v>
      </c>
      <c r="AV22" s="14">
        <f>'Alternatyva 3'!AV$7-'Alternatyva 3'!AV$112</f>
        <v>8501131.8160736002</v>
      </c>
      <c r="AW22" s="14">
        <f>'Alternatyva 3'!AW$7-'Alternatyva 3'!AW$112</f>
        <v>8501131.8160736002</v>
      </c>
      <c r="AX22" s="14">
        <f>'Alternatyva 3'!AX$7-'Alternatyva 3'!AX$112</f>
        <v>8501131.8160736002</v>
      </c>
      <c r="AY22" s="14">
        <f>'Alternatyva 3'!AY$7-'Alternatyva 3'!AY$112</f>
        <v>8501131.8160736002</v>
      </c>
      <c r="AZ22" s="14">
        <f>'Alternatyva 3'!AZ$7-'Alternatyva 3'!AZ$112</f>
        <v>8501131.8160736002</v>
      </c>
      <c r="BA22" s="14">
        <f>'Alternatyva 3'!BA$7-'Alternatyva 3'!BA$112</f>
        <v>8501131.8160736002</v>
      </c>
      <c r="BB22" s="14">
        <f>'Alternatyva 3'!BB$7-'Alternatyva 3'!BB$112</f>
        <v>8501131.8160736002</v>
      </c>
      <c r="BC22" s="14">
        <f>'Alternatyva 3'!BC$7-'Alternatyva 3'!BC$112</f>
        <v>8501131.8160736002</v>
      </c>
      <c r="BD22" s="14">
        <f>'Alternatyva 3'!BD$7-'Alternatyva 3'!BD$112</f>
        <v>8501131.8160736002</v>
      </c>
      <c r="BE22" s="14">
        <f>'Alternatyva 3'!BE$7-'Alternatyva 3'!BE$112</f>
        <v>8501131.8160736002</v>
      </c>
      <c r="BF22" s="14">
        <f>'Alternatyva 3'!BF$7-'Alternatyva 3'!BF$112</f>
        <v>8501131.8160736002</v>
      </c>
      <c r="BG22" s="14">
        <f>'Alternatyva 3'!BG$7-'Alternatyva 3'!BG$112</f>
        <v>8501131.8160736002</v>
      </c>
      <c r="BH22" s="14">
        <f>'Alternatyva 3'!BH$7-'Alternatyva 3'!BH$112</f>
        <v>8501131.8160736002</v>
      </c>
      <c r="BI22" s="14">
        <f>'Alternatyva 3'!BI$7-'Alternatyva 3'!BI$112</f>
        <v>8501131.8160736002</v>
      </c>
      <c r="BJ22" s="14">
        <f>'Alternatyva 3'!BJ$7-'Alternatyva 3'!BJ$112</f>
        <v>8501131.8160736002</v>
      </c>
      <c r="BK22" s="14">
        <f>'Alternatyva 3'!BK$7-'Alternatyva 3'!BK$112</f>
        <v>8501131.8160736002</v>
      </c>
      <c r="BL22" s="14">
        <f>'Alternatyva 3'!BL$7-'Alternatyva 3'!BL$112</f>
        <v>8501131.8160736002</v>
      </c>
      <c r="BM22" s="14">
        <f>'Alternatyva 3'!BM$7-'Alternatyva 3'!BM$112</f>
        <v>8501131.8160736002</v>
      </c>
      <c r="BN22" s="14">
        <f>'Alternatyva 3'!BN$7-'Alternatyva 3'!BN$112</f>
        <v>8501131.8160736002</v>
      </c>
      <c r="BO22" s="14">
        <f>'Alternatyva 3'!BO$7-'Alternatyva 3'!BO$112</f>
        <v>8501131.8160736002</v>
      </c>
      <c r="BP22" s="14">
        <f>'Alternatyva 3'!BP$7-'Alternatyva 3'!BP$112</f>
        <v>8501131.8160736002</v>
      </c>
      <c r="BQ22" s="14">
        <f>'Alternatyva 3'!BQ$7-'Alternatyva 3'!BQ$112</f>
        <v>8501131.8160736002</v>
      </c>
      <c r="BR22" s="14">
        <f>'Alternatyva 3'!BR$7-'Alternatyva 3'!BR$112</f>
        <v>8501131.8160736002</v>
      </c>
      <c r="BS22" s="14">
        <f>'Alternatyva 3'!BS$7-'Alternatyva 3'!BS$112</f>
        <v>8501131.8160736002</v>
      </c>
      <c r="BT22" s="14">
        <f>'Alternatyva 3'!BT$7-'Alternatyva 3'!BT$112</f>
        <v>8501131.8160736002</v>
      </c>
      <c r="BU22" s="14">
        <f>'Alternatyva 3'!BU$7-'Alternatyva 3'!BU$112</f>
        <v>8501131.8160736002</v>
      </c>
      <c r="BV22" s="14">
        <f>'Alternatyva 3'!BV$7-'Alternatyva 3'!BV$112</f>
        <v>8501131.8160736002</v>
      </c>
      <c r="BW22" s="14">
        <f>'Alternatyva 3'!BW$7-'Alternatyva 3'!BW$112</f>
        <v>8501131.8160736002</v>
      </c>
      <c r="BX22" s="14">
        <f>'Alternatyva 3'!BX$7-'Alternatyva 3'!BX$112</f>
        <v>8501131.8160736002</v>
      </c>
      <c r="BY22" s="14">
        <f>'Alternatyva 3'!BY$7-'Alternatyva 3'!BY$112</f>
        <v>8501131.8160736002</v>
      </c>
      <c r="BZ22" s="14">
        <f>'Alternatyva 3'!BZ$7-'Alternatyva 3'!BZ$112</f>
        <v>8501131.8160736002</v>
      </c>
      <c r="CA22" s="14">
        <f>'Alternatyva 3'!CA$7-'Alternatyva 3'!CA$112</f>
        <v>8501131.8160736002</v>
      </c>
      <c r="CB22" s="14">
        <f>'Alternatyva 3'!CB$7-'Alternatyva 3'!CB$112</f>
        <v>8501131.8160736002</v>
      </c>
      <c r="CC22" s="14">
        <f>'Alternatyva 3'!CC$7-'Alternatyva 3'!CC$112</f>
        <v>8501131.8160736002</v>
      </c>
      <c r="CD22" s="14">
        <f>'Alternatyva 3'!CD$7-'Alternatyva 3'!CD$112</f>
        <v>8501131.8160736002</v>
      </c>
      <c r="CE22" s="14">
        <f>'Alternatyva 3'!CE$7-'Alternatyva 3'!CE$112</f>
        <v>8501131.8160736002</v>
      </c>
      <c r="CF22" s="14">
        <f>'Alternatyva 3'!CF$7-'Alternatyva 3'!CF$112</f>
        <v>8501131.8160736002</v>
      </c>
      <c r="CG22" s="14">
        <f>'Alternatyva 3'!CG$7-'Alternatyva 3'!CG$112</f>
        <v>8501131.8160736002</v>
      </c>
      <c r="CH22" s="14">
        <f>'Alternatyva 3'!CH$7-'Alternatyva 3'!CH$112</f>
        <v>8501131.8160736002</v>
      </c>
      <c r="CI22" s="14">
        <f>'Alternatyva 3'!CI$7-'Alternatyva 3'!CI$112</f>
        <v>8501131.8160736002</v>
      </c>
      <c r="CJ22" s="14">
        <f>'Alternatyva 3'!CJ$7-'Alternatyva 3'!CJ$112</f>
        <v>8501131.8160736002</v>
      </c>
      <c r="CK22" s="14">
        <f>'Alternatyva 3'!CK$7-'Alternatyva 3'!CK$112</f>
        <v>8501131.8160736002</v>
      </c>
      <c r="CL22" s="14">
        <f>'Alternatyva 3'!CL$7-'Alternatyva 3'!CL$112</f>
        <v>8501131.8160736002</v>
      </c>
      <c r="CM22" s="14">
        <f>'Alternatyva 3'!CM$7-'Alternatyva 3'!CM$112</f>
        <v>8501131.8160736002</v>
      </c>
      <c r="CN22" s="14">
        <f>'Alternatyva 3'!CN$7-'Alternatyva 3'!CN$112</f>
        <v>8501131.8160736002</v>
      </c>
      <c r="CO22" s="14">
        <f>'Alternatyva 3'!CO$7-'Alternatyva 3'!CO$112</f>
        <v>8501131.8160736002</v>
      </c>
      <c r="CP22" s="14">
        <f>'Alternatyva 3'!CP$7-'Alternatyva 3'!CP$112</f>
        <v>8501131.8160736002</v>
      </c>
      <c r="CQ22" s="14">
        <f>'Alternatyva 3'!CQ$7-'Alternatyva 3'!CQ$112</f>
        <v>8501131.8160736002</v>
      </c>
      <c r="CR22" s="14">
        <f>'Alternatyva 3'!CR$7-'Alternatyva 3'!CR$112</f>
        <v>8501131.8160736002</v>
      </c>
      <c r="CS22" s="14">
        <f>'Alternatyva 3'!CS$7-'Alternatyva 3'!CS$112</f>
        <v>8501131.8160736002</v>
      </c>
      <c r="CT22" s="14">
        <f>'Alternatyva 3'!CT$7-'Alternatyva 3'!CT$112</f>
        <v>8501131.8160736002</v>
      </c>
      <c r="CU22" s="14">
        <f>'Alternatyva 3'!CU$7-'Alternatyva 3'!CU$112</f>
        <v>8501131.8160736002</v>
      </c>
      <c r="CV22" s="14">
        <f>'Alternatyva 3'!CV$7-'Alternatyva 3'!CV$112</f>
        <v>8501131.8160736002</v>
      </c>
      <c r="CW22" s="14">
        <f>'Alternatyva 3'!CW$7-'Alternatyva 3'!CW$112</f>
        <v>8501131.8160736002</v>
      </c>
      <c r="CX22" s="14">
        <f>'Alternatyva 3'!CX$7-'Alternatyva 3'!CX$112</f>
        <v>8501131.8160736002</v>
      </c>
      <c r="CY22" s="14">
        <f>'Alternatyva 3'!CY$7-'Alternatyva 3'!CY$112</f>
        <v>8501131.8160736002</v>
      </c>
      <c r="CZ22" s="14">
        <f>'Alternatyva 3'!CZ$7-'Alternatyva 3'!CZ$112</f>
        <v>8501131.8160736002</v>
      </c>
      <c r="DA22" s="14">
        <f>'Alternatyva 3'!DA$7-'Alternatyva 3'!DA$112</f>
        <v>8501131.8160736002</v>
      </c>
      <c r="DB22" s="14">
        <f>'Alternatyva 3'!DB$7-'Alternatyva 3'!DB$112</f>
        <v>8501131.8160736002</v>
      </c>
      <c r="DC22" s="14">
        <f>'Alternatyva 3'!DC$7-'Alternatyva 3'!DC$112</f>
        <v>8501131.8160736002</v>
      </c>
    </row>
    <row r="23" spans="2:107">
      <c r="B23" s="5" t="s">
        <v>243</v>
      </c>
      <c r="C23" s="815" t="s">
        <v>266</v>
      </c>
      <c r="D23" s="815"/>
      <c r="E23" s="815"/>
      <c r="F23" s="43">
        <f>H23+NPV(FD,I23:INDEX(I23:DC23,PAL))</f>
        <v>76069492.747951716</v>
      </c>
      <c r="G23" s="43">
        <f>SUMIF($H$6:$DC$6,"&lt;="&amp;PAL,$H23:$DC23)</f>
        <v>114221500</v>
      </c>
      <c r="H23" s="14">
        <f>SUMPRODUCT('Alternatyva 3'!H$95:H$99,100/('Alternatyva 3'!$DG$95:$DG$99+100))-SUMPRODUCT('Alternatyva 3'!H$106:H$110,100/('Alternatyva 3'!$DG$106:$DG$110+100))</f>
        <v>0</v>
      </c>
      <c r="I23" s="14">
        <f>SUMPRODUCT('Alternatyva 3'!I$95:I$99,100/('Alternatyva 3'!$DG$95:$DG$99+100))-SUMPRODUCT('Alternatyva 3'!I$106:I$110,100/('Alternatyva 3'!$DG$106:$DG$110+100))</f>
        <v>2580500</v>
      </c>
      <c r="J23" s="14">
        <f>SUMPRODUCT('Alternatyva 3'!J$95:J$99,100/('Alternatyva 3'!$DG$95:$DG$99+100))-SUMPRODUCT('Alternatyva 3'!J$106:J$110,100/('Alternatyva 3'!$DG$106:$DG$110+100))</f>
        <v>3628400</v>
      </c>
      <c r="K23" s="14">
        <f>SUMPRODUCT('Alternatyva 3'!K$95:K$99,100/('Alternatyva 3'!$DG$95:$DG$99+100))-SUMPRODUCT('Alternatyva 3'!K$106:K$110,100/('Alternatyva 3'!$DG$106:$DG$110+100))</f>
        <v>6000700.0000000009</v>
      </c>
      <c r="L23" s="14">
        <f>SUMPRODUCT('Alternatyva 3'!L$95:L$99,100/('Alternatyva 3'!$DG$95:$DG$99+100))-SUMPRODUCT('Alternatyva 3'!L$106:L$110,100/('Alternatyva 3'!$DG$106:$DG$110+100))</f>
        <v>6000700.0000000009</v>
      </c>
      <c r="M23" s="14">
        <f>SUMPRODUCT('Alternatyva 3'!M$95:M$99,100/('Alternatyva 3'!$DG$95:$DG$99+100))-SUMPRODUCT('Alternatyva 3'!M$106:M$110,100/('Alternatyva 3'!$DG$106:$DG$110+100))</f>
        <v>6000700.0000000009</v>
      </c>
      <c r="N23" s="14">
        <f>SUMPRODUCT('Alternatyva 3'!N$95:N$99,100/('Alternatyva 3'!$DG$95:$DG$99+100))-SUMPRODUCT('Alternatyva 3'!N$106:N$110,100/('Alternatyva 3'!$DG$106:$DG$110+100))</f>
        <v>6000700.0000000009</v>
      </c>
      <c r="O23" s="14">
        <f>SUMPRODUCT('Alternatyva 3'!O$95:O$99,100/('Alternatyva 3'!$DG$95:$DG$99+100))-SUMPRODUCT('Alternatyva 3'!O$106:O$110,100/('Alternatyva 3'!$DG$106:$DG$110+100))</f>
        <v>6000700.0000000009</v>
      </c>
      <c r="P23" s="14">
        <f>SUMPRODUCT('Alternatyva 3'!P$95:P$99,100/('Alternatyva 3'!$DG$95:$DG$99+100))-SUMPRODUCT('Alternatyva 3'!P$106:P$110,100/('Alternatyva 3'!$DG$106:$DG$110+100))</f>
        <v>6000700.0000000009</v>
      </c>
      <c r="Q23" s="14">
        <f>SUMPRODUCT('Alternatyva 3'!Q$95:Q$99,100/('Alternatyva 3'!$DG$95:$DG$99+100))-SUMPRODUCT('Alternatyva 3'!Q$106:Q$110,100/('Alternatyva 3'!$DG$106:$DG$110+100))</f>
        <v>6000700.0000000009</v>
      </c>
      <c r="R23" s="14">
        <f>SUMPRODUCT('Alternatyva 3'!R$95:R$99,100/('Alternatyva 3'!$DG$95:$DG$99+100))-SUMPRODUCT('Alternatyva 3'!R$106:R$110,100/('Alternatyva 3'!$DG$106:$DG$110+100))</f>
        <v>6000700.0000000009</v>
      </c>
      <c r="S23" s="14">
        <f>SUMPRODUCT('Alternatyva 3'!S$95:S$99,100/('Alternatyva 3'!$DG$95:$DG$99+100))-SUMPRODUCT('Alternatyva 3'!S$106:S$110,100/('Alternatyva 3'!$DG$106:$DG$110+100))</f>
        <v>6000700.0000000009</v>
      </c>
      <c r="T23" s="14">
        <f>SUMPRODUCT('Alternatyva 3'!T$95:T$99,100/('Alternatyva 3'!$DG$95:$DG$99+100))-SUMPRODUCT('Alternatyva 3'!T$106:T$110,100/('Alternatyva 3'!$DG$106:$DG$110+100))</f>
        <v>6000700.0000000009</v>
      </c>
      <c r="U23" s="14">
        <f>SUMPRODUCT('Alternatyva 3'!U$95:U$99,100/('Alternatyva 3'!$DG$95:$DG$99+100))-SUMPRODUCT('Alternatyva 3'!U$106:U$110,100/('Alternatyva 3'!$DG$106:$DG$110+100))</f>
        <v>6000700.0000000009</v>
      </c>
      <c r="V23" s="14">
        <f>SUMPRODUCT('Alternatyva 3'!V$95:V$99,100/('Alternatyva 3'!$DG$95:$DG$99+100))-SUMPRODUCT('Alternatyva 3'!V$106:V$110,100/('Alternatyva 3'!$DG$106:$DG$110+100))</f>
        <v>6000700.0000000009</v>
      </c>
      <c r="W23" s="14">
        <f>SUMPRODUCT('Alternatyva 3'!W$95:W$99,100/('Alternatyva 3'!$DG$95:$DG$99+100))-SUMPRODUCT('Alternatyva 3'!W$106:W$110,100/('Alternatyva 3'!$DG$106:$DG$110+100))</f>
        <v>6000700.0000000009</v>
      </c>
      <c r="X23" s="14">
        <f>SUMPRODUCT('Alternatyva 3'!X$95:X$99,100/('Alternatyva 3'!$DG$95:$DG$99+100))-SUMPRODUCT('Alternatyva 3'!X$106:X$110,100/('Alternatyva 3'!$DG$106:$DG$110+100))</f>
        <v>6000700.0000000009</v>
      </c>
      <c r="Y23" s="14">
        <f>SUMPRODUCT('Alternatyva 3'!Y$95:Y$99,100/('Alternatyva 3'!$DG$95:$DG$99+100))-SUMPRODUCT('Alternatyva 3'!Y$106:Y$110,100/('Alternatyva 3'!$DG$106:$DG$110+100))</f>
        <v>6000700.0000000009</v>
      </c>
      <c r="Z23" s="14">
        <f>SUMPRODUCT('Alternatyva 3'!Z$95:Z$99,100/('Alternatyva 3'!$DG$95:$DG$99+100))-SUMPRODUCT('Alternatyva 3'!Z$106:Z$110,100/('Alternatyva 3'!$DG$106:$DG$110+100))</f>
        <v>6000700.0000000009</v>
      </c>
      <c r="AA23" s="14">
        <f>SUMPRODUCT('Alternatyva 3'!AA$95:AA$99,100/('Alternatyva 3'!$DG$95:$DG$99+100))-SUMPRODUCT('Alternatyva 3'!AA$106:AA$110,100/('Alternatyva 3'!$DG$106:$DG$110+100))</f>
        <v>6000700.0000000009</v>
      </c>
      <c r="AB23" s="14">
        <f>SUMPRODUCT('Alternatyva 3'!AB$95:AB$99,100/('Alternatyva 3'!$DG$95:$DG$99+100))-SUMPRODUCT('Alternatyva 3'!AB$106:AB$110,100/('Alternatyva 3'!$DG$106:$DG$110+100))</f>
        <v>6000700.0000000009</v>
      </c>
      <c r="AC23" s="14">
        <f>SUMPRODUCT('Alternatyva 3'!AC$95:AC$99,100/('Alternatyva 3'!$DG$95:$DG$99+100))-SUMPRODUCT('Alternatyva 3'!AC$106:AC$110,100/('Alternatyva 3'!$DG$106:$DG$110+100))</f>
        <v>6000700.0000000009</v>
      </c>
      <c r="AD23" s="14">
        <f>SUMPRODUCT('Alternatyva 3'!AD$95:AD$99,100/('Alternatyva 3'!$DG$95:$DG$99+100))-SUMPRODUCT('Alternatyva 3'!AD$106:AD$110,100/('Alternatyva 3'!$DG$106:$DG$110+100))</f>
        <v>6000700.0000000009</v>
      </c>
      <c r="AE23" s="14">
        <f>SUMPRODUCT('Alternatyva 3'!AE$95:AE$99,100/('Alternatyva 3'!$DG$95:$DG$99+100))-SUMPRODUCT('Alternatyva 3'!AE$106:AE$110,100/('Alternatyva 3'!$DG$106:$DG$110+100))</f>
        <v>6000700.0000000009</v>
      </c>
      <c r="AF23" s="14">
        <f>SUMPRODUCT('Alternatyva 3'!AF$95:AF$99,100/('Alternatyva 3'!$DG$95:$DG$99+100))-SUMPRODUCT('Alternatyva 3'!AF$106:AF$110,100/('Alternatyva 3'!$DG$106:$DG$110+100))</f>
        <v>6000700.0000000009</v>
      </c>
      <c r="AG23" s="14">
        <f>SUMPRODUCT('Alternatyva 3'!AG$95:AG$99,100/('Alternatyva 3'!$DG$95:$DG$99+100))-SUMPRODUCT('Alternatyva 3'!AG$106:AG$110,100/('Alternatyva 3'!$DG$106:$DG$110+100))</f>
        <v>6000700.0000000009</v>
      </c>
      <c r="AH23" s="14">
        <f>SUMPRODUCT('Alternatyva 3'!AH$95:AH$99,100/('Alternatyva 3'!$DG$95:$DG$99+100))-SUMPRODUCT('Alternatyva 3'!AH$106:AH$110,100/('Alternatyva 3'!$DG$106:$DG$110+100))</f>
        <v>6000700.0000000009</v>
      </c>
      <c r="AI23" s="14">
        <f>SUMPRODUCT('Alternatyva 3'!AI$95:AI$99,100/('Alternatyva 3'!$DG$95:$DG$99+100))-SUMPRODUCT('Alternatyva 3'!AI$106:AI$110,100/('Alternatyva 3'!$DG$106:$DG$110+100))</f>
        <v>6000700.0000000009</v>
      </c>
      <c r="AJ23" s="14">
        <f>SUMPRODUCT('Alternatyva 3'!AJ$95:AJ$99,100/('Alternatyva 3'!$DG$95:$DG$99+100))-SUMPRODUCT('Alternatyva 3'!AJ$106:AJ$110,100/('Alternatyva 3'!$DG$106:$DG$110+100))</f>
        <v>6000700.0000000009</v>
      </c>
      <c r="AK23" s="14">
        <f>SUMPRODUCT('Alternatyva 3'!AK$95:AK$99,100/('Alternatyva 3'!$DG$95:$DG$99+100))-SUMPRODUCT('Alternatyva 3'!AK$106:AK$110,100/('Alternatyva 3'!$DG$106:$DG$110+100))</f>
        <v>6000700.0000000009</v>
      </c>
      <c r="AL23" s="14">
        <f>SUMPRODUCT('Alternatyva 3'!AL$95:AL$99,100/('Alternatyva 3'!$DG$95:$DG$99+100))-SUMPRODUCT('Alternatyva 3'!AL$106:AL$110,100/('Alternatyva 3'!$DG$106:$DG$110+100))</f>
        <v>6000700.0000000009</v>
      </c>
      <c r="AM23" s="14">
        <f>SUMPRODUCT('Alternatyva 3'!AM$95:AM$99,100/('Alternatyva 3'!$DG$95:$DG$99+100))-SUMPRODUCT('Alternatyva 3'!AM$106:AM$110,100/('Alternatyva 3'!$DG$106:$DG$110+100))</f>
        <v>6000700.0000000009</v>
      </c>
      <c r="AN23" s="14">
        <f>SUMPRODUCT('Alternatyva 3'!AN$95:AN$99,100/('Alternatyva 3'!$DG$95:$DG$99+100))-SUMPRODUCT('Alternatyva 3'!AN$106:AN$110,100/('Alternatyva 3'!$DG$106:$DG$110+100))</f>
        <v>6000700.0000000009</v>
      </c>
      <c r="AO23" s="14">
        <f>SUMPRODUCT('Alternatyva 3'!AO$95:AO$99,100/('Alternatyva 3'!$DG$95:$DG$99+100))-SUMPRODUCT('Alternatyva 3'!AO$106:AO$110,100/('Alternatyva 3'!$DG$106:$DG$110+100))</f>
        <v>6000700.0000000009</v>
      </c>
      <c r="AP23" s="14">
        <f>SUMPRODUCT('Alternatyva 3'!AP$95:AP$99,100/('Alternatyva 3'!$DG$95:$DG$99+100))-SUMPRODUCT('Alternatyva 3'!AP$106:AP$110,100/('Alternatyva 3'!$DG$106:$DG$110+100))</f>
        <v>6000700.0000000009</v>
      </c>
      <c r="AQ23" s="14">
        <f>SUMPRODUCT('Alternatyva 3'!AQ$95:AQ$99,100/('Alternatyva 3'!$DG$95:$DG$99+100))-SUMPRODUCT('Alternatyva 3'!AQ$106:AQ$110,100/('Alternatyva 3'!$DG$106:$DG$110+100))</f>
        <v>6000700.0000000009</v>
      </c>
      <c r="AR23" s="14">
        <f>SUMPRODUCT('Alternatyva 3'!AR$95:AR$99,100/('Alternatyva 3'!$DG$95:$DG$99+100))-SUMPRODUCT('Alternatyva 3'!AR$106:AR$110,100/('Alternatyva 3'!$DG$106:$DG$110+100))</f>
        <v>6000700.0000000009</v>
      </c>
      <c r="AS23" s="14">
        <f>SUMPRODUCT('Alternatyva 3'!AS$95:AS$99,100/('Alternatyva 3'!$DG$95:$DG$99+100))-SUMPRODUCT('Alternatyva 3'!AS$106:AS$110,100/('Alternatyva 3'!$DG$106:$DG$110+100))</f>
        <v>6000700.0000000009</v>
      </c>
      <c r="AT23" s="14">
        <f>SUMPRODUCT('Alternatyva 3'!AT$95:AT$99,100/('Alternatyva 3'!$DG$95:$DG$99+100))-SUMPRODUCT('Alternatyva 3'!AT$106:AT$110,100/('Alternatyva 3'!$DG$106:$DG$110+100))</f>
        <v>6000700.0000000009</v>
      </c>
      <c r="AU23" s="14">
        <f>SUMPRODUCT('Alternatyva 3'!AU$95:AU$99,100/('Alternatyva 3'!$DG$95:$DG$99+100))-SUMPRODUCT('Alternatyva 3'!AU$106:AU$110,100/('Alternatyva 3'!$DG$106:$DG$110+100))</f>
        <v>6000700.0000000009</v>
      </c>
      <c r="AV23" s="14">
        <f>SUMPRODUCT('Alternatyva 3'!AV$95:AV$99,100/('Alternatyva 3'!$DG$95:$DG$99+100))-SUMPRODUCT('Alternatyva 3'!AV$106:AV$110,100/('Alternatyva 3'!$DG$106:$DG$110+100))</f>
        <v>6000700.0000000009</v>
      </c>
      <c r="AW23" s="14">
        <f>SUMPRODUCT('Alternatyva 3'!AW$95:AW$99,100/('Alternatyva 3'!$DG$95:$DG$99+100))-SUMPRODUCT('Alternatyva 3'!AW$106:AW$110,100/('Alternatyva 3'!$DG$106:$DG$110+100))</f>
        <v>6000700.0000000009</v>
      </c>
      <c r="AX23" s="14">
        <f>SUMPRODUCT('Alternatyva 3'!AX$95:AX$99,100/('Alternatyva 3'!$DG$95:$DG$99+100))-SUMPRODUCT('Alternatyva 3'!AX$106:AX$110,100/('Alternatyva 3'!$DG$106:$DG$110+100))</f>
        <v>6000700.0000000009</v>
      </c>
      <c r="AY23" s="14">
        <f>SUMPRODUCT('Alternatyva 3'!AY$95:AY$99,100/('Alternatyva 3'!$DG$95:$DG$99+100))-SUMPRODUCT('Alternatyva 3'!AY$106:AY$110,100/('Alternatyva 3'!$DG$106:$DG$110+100))</f>
        <v>6000700.0000000009</v>
      </c>
      <c r="AZ23" s="14">
        <f>SUMPRODUCT('Alternatyva 3'!AZ$95:AZ$99,100/('Alternatyva 3'!$DG$95:$DG$99+100))-SUMPRODUCT('Alternatyva 3'!AZ$106:AZ$110,100/('Alternatyva 3'!$DG$106:$DG$110+100))</f>
        <v>6000700.0000000009</v>
      </c>
      <c r="BA23" s="14">
        <f>SUMPRODUCT('Alternatyva 3'!BA$95:BA$99,100/('Alternatyva 3'!$DG$95:$DG$99+100))-SUMPRODUCT('Alternatyva 3'!BA$106:BA$110,100/('Alternatyva 3'!$DG$106:$DG$110+100))</f>
        <v>6000700.0000000009</v>
      </c>
      <c r="BB23" s="14">
        <f>SUMPRODUCT('Alternatyva 3'!BB$95:BB$99,100/('Alternatyva 3'!$DG$95:$DG$99+100))-SUMPRODUCT('Alternatyva 3'!BB$106:BB$110,100/('Alternatyva 3'!$DG$106:$DG$110+100))</f>
        <v>6000700.0000000009</v>
      </c>
      <c r="BC23" s="14">
        <f>SUMPRODUCT('Alternatyva 3'!BC$95:BC$99,100/('Alternatyva 3'!$DG$95:$DG$99+100))-SUMPRODUCT('Alternatyva 3'!BC$106:BC$110,100/('Alternatyva 3'!$DG$106:$DG$110+100))</f>
        <v>6000700.0000000009</v>
      </c>
      <c r="BD23" s="14">
        <f>SUMPRODUCT('Alternatyva 3'!BD$95:BD$99,100/('Alternatyva 3'!$DG$95:$DG$99+100))-SUMPRODUCT('Alternatyva 3'!BD$106:BD$110,100/('Alternatyva 3'!$DG$106:$DG$110+100))</f>
        <v>6000700.0000000009</v>
      </c>
      <c r="BE23" s="14">
        <f>SUMPRODUCT('Alternatyva 3'!BE$95:BE$99,100/('Alternatyva 3'!$DG$95:$DG$99+100))-SUMPRODUCT('Alternatyva 3'!BE$106:BE$110,100/('Alternatyva 3'!$DG$106:$DG$110+100))</f>
        <v>6000700.0000000009</v>
      </c>
      <c r="BF23" s="14">
        <f>SUMPRODUCT('Alternatyva 3'!BF$95:BF$99,100/('Alternatyva 3'!$DG$95:$DG$99+100))-SUMPRODUCT('Alternatyva 3'!BF$106:BF$110,100/('Alternatyva 3'!$DG$106:$DG$110+100))</f>
        <v>6000700.0000000009</v>
      </c>
      <c r="BG23" s="14">
        <f>SUMPRODUCT('Alternatyva 3'!BG$95:BG$99,100/('Alternatyva 3'!$DG$95:$DG$99+100))-SUMPRODUCT('Alternatyva 3'!BG$106:BG$110,100/('Alternatyva 3'!$DG$106:$DG$110+100))</f>
        <v>6000700.0000000009</v>
      </c>
      <c r="BH23" s="14">
        <f>SUMPRODUCT('Alternatyva 3'!BH$95:BH$99,100/('Alternatyva 3'!$DG$95:$DG$99+100))-SUMPRODUCT('Alternatyva 3'!BH$106:BH$110,100/('Alternatyva 3'!$DG$106:$DG$110+100))</f>
        <v>6000700.0000000009</v>
      </c>
      <c r="BI23" s="14">
        <f>SUMPRODUCT('Alternatyva 3'!BI$95:BI$99,100/('Alternatyva 3'!$DG$95:$DG$99+100))-SUMPRODUCT('Alternatyva 3'!BI$106:BI$110,100/('Alternatyva 3'!$DG$106:$DG$110+100))</f>
        <v>6000700.0000000009</v>
      </c>
      <c r="BJ23" s="14">
        <f>SUMPRODUCT('Alternatyva 3'!BJ$95:BJ$99,100/('Alternatyva 3'!$DG$95:$DG$99+100))-SUMPRODUCT('Alternatyva 3'!BJ$106:BJ$110,100/('Alternatyva 3'!$DG$106:$DG$110+100))</f>
        <v>6000700.0000000009</v>
      </c>
      <c r="BK23" s="14">
        <f>SUMPRODUCT('Alternatyva 3'!BK$95:BK$99,100/('Alternatyva 3'!$DG$95:$DG$99+100))-SUMPRODUCT('Alternatyva 3'!BK$106:BK$110,100/('Alternatyva 3'!$DG$106:$DG$110+100))</f>
        <v>6000700.0000000009</v>
      </c>
      <c r="BL23" s="14">
        <f>SUMPRODUCT('Alternatyva 3'!BL$95:BL$99,100/('Alternatyva 3'!$DG$95:$DG$99+100))-SUMPRODUCT('Alternatyva 3'!BL$106:BL$110,100/('Alternatyva 3'!$DG$106:$DG$110+100))</f>
        <v>6000700.0000000009</v>
      </c>
      <c r="BM23" s="14">
        <f>SUMPRODUCT('Alternatyva 3'!BM$95:BM$99,100/('Alternatyva 3'!$DG$95:$DG$99+100))-SUMPRODUCT('Alternatyva 3'!BM$106:BM$110,100/('Alternatyva 3'!$DG$106:$DG$110+100))</f>
        <v>6000700.0000000009</v>
      </c>
      <c r="BN23" s="14">
        <f>SUMPRODUCT('Alternatyva 3'!BN$95:BN$99,100/('Alternatyva 3'!$DG$95:$DG$99+100))-SUMPRODUCT('Alternatyva 3'!BN$106:BN$110,100/('Alternatyva 3'!$DG$106:$DG$110+100))</f>
        <v>6000700.0000000009</v>
      </c>
      <c r="BO23" s="14">
        <f>SUMPRODUCT('Alternatyva 3'!BO$95:BO$99,100/('Alternatyva 3'!$DG$95:$DG$99+100))-SUMPRODUCT('Alternatyva 3'!BO$106:BO$110,100/('Alternatyva 3'!$DG$106:$DG$110+100))</f>
        <v>6000700.0000000009</v>
      </c>
      <c r="BP23" s="14">
        <f>SUMPRODUCT('Alternatyva 3'!BP$95:BP$99,100/('Alternatyva 3'!$DG$95:$DG$99+100))-SUMPRODUCT('Alternatyva 3'!BP$106:BP$110,100/('Alternatyva 3'!$DG$106:$DG$110+100))</f>
        <v>6000700.0000000009</v>
      </c>
      <c r="BQ23" s="14">
        <f>SUMPRODUCT('Alternatyva 3'!BQ$95:BQ$99,100/('Alternatyva 3'!$DG$95:$DG$99+100))-SUMPRODUCT('Alternatyva 3'!BQ$106:BQ$110,100/('Alternatyva 3'!$DG$106:$DG$110+100))</f>
        <v>6000700.0000000009</v>
      </c>
      <c r="BR23" s="14">
        <f>SUMPRODUCT('Alternatyva 3'!BR$95:BR$99,100/('Alternatyva 3'!$DG$95:$DG$99+100))-SUMPRODUCT('Alternatyva 3'!BR$106:BR$110,100/('Alternatyva 3'!$DG$106:$DG$110+100))</f>
        <v>6000700.0000000009</v>
      </c>
      <c r="BS23" s="14">
        <f>SUMPRODUCT('Alternatyva 3'!BS$95:BS$99,100/('Alternatyva 3'!$DG$95:$DG$99+100))-SUMPRODUCT('Alternatyva 3'!BS$106:BS$110,100/('Alternatyva 3'!$DG$106:$DG$110+100))</f>
        <v>6000700.0000000009</v>
      </c>
      <c r="BT23" s="14">
        <f>SUMPRODUCT('Alternatyva 3'!BT$95:BT$99,100/('Alternatyva 3'!$DG$95:$DG$99+100))-SUMPRODUCT('Alternatyva 3'!BT$106:BT$110,100/('Alternatyva 3'!$DG$106:$DG$110+100))</f>
        <v>6000700.0000000009</v>
      </c>
      <c r="BU23" s="14">
        <f>SUMPRODUCT('Alternatyva 3'!BU$95:BU$99,100/('Alternatyva 3'!$DG$95:$DG$99+100))-SUMPRODUCT('Alternatyva 3'!BU$106:BU$110,100/('Alternatyva 3'!$DG$106:$DG$110+100))</f>
        <v>6000700.0000000009</v>
      </c>
      <c r="BV23" s="14">
        <f>SUMPRODUCT('Alternatyva 3'!BV$95:BV$99,100/('Alternatyva 3'!$DG$95:$DG$99+100))-SUMPRODUCT('Alternatyva 3'!BV$106:BV$110,100/('Alternatyva 3'!$DG$106:$DG$110+100))</f>
        <v>6000700.0000000009</v>
      </c>
      <c r="BW23" s="14">
        <f>SUMPRODUCT('Alternatyva 3'!BW$95:BW$99,100/('Alternatyva 3'!$DG$95:$DG$99+100))-SUMPRODUCT('Alternatyva 3'!BW$106:BW$110,100/('Alternatyva 3'!$DG$106:$DG$110+100))</f>
        <v>6000700.0000000009</v>
      </c>
      <c r="BX23" s="14">
        <f>SUMPRODUCT('Alternatyva 3'!BX$95:BX$99,100/('Alternatyva 3'!$DG$95:$DG$99+100))-SUMPRODUCT('Alternatyva 3'!BX$106:BX$110,100/('Alternatyva 3'!$DG$106:$DG$110+100))</f>
        <v>6000700.0000000009</v>
      </c>
      <c r="BY23" s="14">
        <f>SUMPRODUCT('Alternatyva 3'!BY$95:BY$99,100/('Alternatyva 3'!$DG$95:$DG$99+100))-SUMPRODUCT('Alternatyva 3'!BY$106:BY$110,100/('Alternatyva 3'!$DG$106:$DG$110+100))</f>
        <v>6000700.0000000009</v>
      </c>
      <c r="BZ23" s="14">
        <f>SUMPRODUCT('Alternatyva 3'!BZ$95:BZ$99,100/('Alternatyva 3'!$DG$95:$DG$99+100))-SUMPRODUCT('Alternatyva 3'!BZ$106:BZ$110,100/('Alternatyva 3'!$DG$106:$DG$110+100))</f>
        <v>6000700.0000000009</v>
      </c>
      <c r="CA23" s="14">
        <f>SUMPRODUCT('Alternatyva 3'!CA$95:CA$99,100/('Alternatyva 3'!$DG$95:$DG$99+100))-SUMPRODUCT('Alternatyva 3'!CA$106:CA$110,100/('Alternatyva 3'!$DG$106:$DG$110+100))</f>
        <v>6000700.0000000009</v>
      </c>
      <c r="CB23" s="14">
        <f>SUMPRODUCT('Alternatyva 3'!CB$95:CB$99,100/('Alternatyva 3'!$DG$95:$DG$99+100))-SUMPRODUCT('Alternatyva 3'!CB$106:CB$110,100/('Alternatyva 3'!$DG$106:$DG$110+100))</f>
        <v>6000700.0000000009</v>
      </c>
      <c r="CC23" s="14">
        <f>SUMPRODUCT('Alternatyva 3'!CC$95:CC$99,100/('Alternatyva 3'!$DG$95:$DG$99+100))-SUMPRODUCT('Alternatyva 3'!CC$106:CC$110,100/('Alternatyva 3'!$DG$106:$DG$110+100))</f>
        <v>6000700.0000000009</v>
      </c>
      <c r="CD23" s="14">
        <f>SUMPRODUCT('Alternatyva 3'!CD$95:CD$99,100/('Alternatyva 3'!$DG$95:$DG$99+100))-SUMPRODUCT('Alternatyva 3'!CD$106:CD$110,100/('Alternatyva 3'!$DG$106:$DG$110+100))</f>
        <v>6000700.0000000009</v>
      </c>
      <c r="CE23" s="14">
        <f>SUMPRODUCT('Alternatyva 3'!CE$95:CE$99,100/('Alternatyva 3'!$DG$95:$DG$99+100))-SUMPRODUCT('Alternatyva 3'!CE$106:CE$110,100/('Alternatyva 3'!$DG$106:$DG$110+100))</f>
        <v>6000700.0000000009</v>
      </c>
      <c r="CF23" s="14">
        <f>SUMPRODUCT('Alternatyva 3'!CF$95:CF$99,100/('Alternatyva 3'!$DG$95:$DG$99+100))-SUMPRODUCT('Alternatyva 3'!CF$106:CF$110,100/('Alternatyva 3'!$DG$106:$DG$110+100))</f>
        <v>6000700.0000000009</v>
      </c>
      <c r="CG23" s="14">
        <f>SUMPRODUCT('Alternatyva 3'!CG$95:CG$99,100/('Alternatyva 3'!$DG$95:$DG$99+100))-SUMPRODUCT('Alternatyva 3'!CG$106:CG$110,100/('Alternatyva 3'!$DG$106:$DG$110+100))</f>
        <v>6000700.0000000009</v>
      </c>
      <c r="CH23" s="14">
        <f>SUMPRODUCT('Alternatyva 3'!CH$95:CH$99,100/('Alternatyva 3'!$DG$95:$DG$99+100))-SUMPRODUCT('Alternatyva 3'!CH$106:CH$110,100/('Alternatyva 3'!$DG$106:$DG$110+100))</f>
        <v>6000700.0000000009</v>
      </c>
      <c r="CI23" s="14">
        <f>SUMPRODUCT('Alternatyva 3'!CI$95:CI$99,100/('Alternatyva 3'!$DG$95:$DG$99+100))-SUMPRODUCT('Alternatyva 3'!CI$106:CI$110,100/('Alternatyva 3'!$DG$106:$DG$110+100))</f>
        <v>6000700.0000000009</v>
      </c>
      <c r="CJ23" s="14">
        <f>SUMPRODUCT('Alternatyva 3'!CJ$95:CJ$99,100/('Alternatyva 3'!$DG$95:$DG$99+100))-SUMPRODUCT('Alternatyva 3'!CJ$106:CJ$110,100/('Alternatyva 3'!$DG$106:$DG$110+100))</f>
        <v>6000700.0000000009</v>
      </c>
      <c r="CK23" s="14">
        <f>SUMPRODUCT('Alternatyva 3'!CK$95:CK$99,100/('Alternatyva 3'!$DG$95:$DG$99+100))-SUMPRODUCT('Alternatyva 3'!CK$106:CK$110,100/('Alternatyva 3'!$DG$106:$DG$110+100))</f>
        <v>6000700.0000000009</v>
      </c>
      <c r="CL23" s="14">
        <f>SUMPRODUCT('Alternatyva 3'!CL$95:CL$99,100/('Alternatyva 3'!$DG$95:$DG$99+100))-SUMPRODUCT('Alternatyva 3'!CL$106:CL$110,100/('Alternatyva 3'!$DG$106:$DG$110+100))</f>
        <v>6000700.0000000009</v>
      </c>
      <c r="CM23" s="14">
        <f>SUMPRODUCT('Alternatyva 3'!CM$95:CM$99,100/('Alternatyva 3'!$DG$95:$DG$99+100))-SUMPRODUCT('Alternatyva 3'!CM$106:CM$110,100/('Alternatyva 3'!$DG$106:$DG$110+100))</f>
        <v>6000700.0000000009</v>
      </c>
      <c r="CN23" s="14">
        <f>SUMPRODUCT('Alternatyva 3'!CN$95:CN$99,100/('Alternatyva 3'!$DG$95:$DG$99+100))-SUMPRODUCT('Alternatyva 3'!CN$106:CN$110,100/('Alternatyva 3'!$DG$106:$DG$110+100))</f>
        <v>6000700.0000000009</v>
      </c>
      <c r="CO23" s="14">
        <f>SUMPRODUCT('Alternatyva 3'!CO$95:CO$99,100/('Alternatyva 3'!$DG$95:$DG$99+100))-SUMPRODUCT('Alternatyva 3'!CO$106:CO$110,100/('Alternatyva 3'!$DG$106:$DG$110+100))</f>
        <v>6000700.0000000009</v>
      </c>
      <c r="CP23" s="14">
        <f>SUMPRODUCT('Alternatyva 3'!CP$95:CP$99,100/('Alternatyva 3'!$DG$95:$DG$99+100))-SUMPRODUCT('Alternatyva 3'!CP$106:CP$110,100/('Alternatyva 3'!$DG$106:$DG$110+100))</f>
        <v>6000700.0000000009</v>
      </c>
      <c r="CQ23" s="14">
        <f>SUMPRODUCT('Alternatyva 3'!CQ$95:CQ$99,100/('Alternatyva 3'!$DG$95:$DG$99+100))-SUMPRODUCT('Alternatyva 3'!CQ$106:CQ$110,100/('Alternatyva 3'!$DG$106:$DG$110+100))</f>
        <v>6000700.0000000009</v>
      </c>
      <c r="CR23" s="14">
        <f>SUMPRODUCT('Alternatyva 3'!CR$95:CR$99,100/('Alternatyva 3'!$DG$95:$DG$99+100))-SUMPRODUCT('Alternatyva 3'!CR$106:CR$110,100/('Alternatyva 3'!$DG$106:$DG$110+100))</f>
        <v>6000700.0000000009</v>
      </c>
      <c r="CS23" s="14">
        <f>SUMPRODUCT('Alternatyva 3'!CS$95:CS$99,100/('Alternatyva 3'!$DG$95:$DG$99+100))-SUMPRODUCT('Alternatyva 3'!CS$106:CS$110,100/('Alternatyva 3'!$DG$106:$DG$110+100))</f>
        <v>6000700.0000000009</v>
      </c>
      <c r="CT23" s="14">
        <f>SUMPRODUCT('Alternatyva 3'!CT$95:CT$99,100/('Alternatyva 3'!$DG$95:$DG$99+100))-SUMPRODUCT('Alternatyva 3'!CT$106:CT$110,100/('Alternatyva 3'!$DG$106:$DG$110+100))</f>
        <v>6000700.0000000009</v>
      </c>
      <c r="CU23" s="14">
        <f>SUMPRODUCT('Alternatyva 3'!CU$95:CU$99,100/('Alternatyva 3'!$DG$95:$DG$99+100))-SUMPRODUCT('Alternatyva 3'!CU$106:CU$110,100/('Alternatyva 3'!$DG$106:$DG$110+100))</f>
        <v>6000700.0000000009</v>
      </c>
      <c r="CV23" s="14">
        <f>SUMPRODUCT('Alternatyva 3'!CV$95:CV$99,100/('Alternatyva 3'!$DG$95:$DG$99+100))-SUMPRODUCT('Alternatyva 3'!CV$106:CV$110,100/('Alternatyva 3'!$DG$106:$DG$110+100))</f>
        <v>6000700.0000000009</v>
      </c>
      <c r="CW23" s="14">
        <f>SUMPRODUCT('Alternatyva 3'!CW$95:CW$99,100/('Alternatyva 3'!$DG$95:$DG$99+100))-SUMPRODUCT('Alternatyva 3'!CW$106:CW$110,100/('Alternatyva 3'!$DG$106:$DG$110+100))</f>
        <v>6000700.0000000009</v>
      </c>
      <c r="CX23" s="14">
        <f>SUMPRODUCT('Alternatyva 3'!CX$95:CX$99,100/('Alternatyva 3'!$DG$95:$DG$99+100))-SUMPRODUCT('Alternatyva 3'!CX$106:CX$110,100/('Alternatyva 3'!$DG$106:$DG$110+100))</f>
        <v>6000700.0000000009</v>
      </c>
      <c r="CY23" s="14">
        <f>SUMPRODUCT('Alternatyva 3'!CY$95:CY$99,100/('Alternatyva 3'!$DG$95:$DG$99+100))-SUMPRODUCT('Alternatyva 3'!CY$106:CY$110,100/('Alternatyva 3'!$DG$106:$DG$110+100))</f>
        <v>6000700.0000000009</v>
      </c>
      <c r="CZ23" s="14">
        <f>SUMPRODUCT('Alternatyva 3'!CZ$95:CZ$99,100/('Alternatyva 3'!$DG$95:$DG$99+100))-SUMPRODUCT('Alternatyva 3'!CZ$106:CZ$110,100/('Alternatyva 3'!$DG$106:$DG$110+100))</f>
        <v>6000700.0000000009</v>
      </c>
      <c r="DA23" s="14">
        <f>SUMPRODUCT('Alternatyva 3'!DA$95:DA$99,100/('Alternatyva 3'!$DG$95:$DG$99+100))-SUMPRODUCT('Alternatyva 3'!DA$106:DA$110,100/('Alternatyva 3'!$DG$106:$DG$110+100))</f>
        <v>6000700.0000000009</v>
      </c>
      <c r="DB23" s="14">
        <f>SUMPRODUCT('Alternatyva 3'!DB$95:DB$99,100/('Alternatyva 3'!$DG$95:$DG$99+100))-SUMPRODUCT('Alternatyva 3'!DB$106:DB$110,100/('Alternatyva 3'!$DG$106:$DG$110+100))</f>
        <v>6000700.0000000009</v>
      </c>
      <c r="DC23" s="14">
        <f>SUMPRODUCT('Alternatyva 3'!DC$95:DC$99,100/('Alternatyva 3'!$DG$95:$DG$99+100))-SUMPRODUCT('Alternatyva 3'!DC$106:DC$110,100/('Alternatyva 3'!$DG$106:$DG$110+100))</f>
        <v>6000700.0000000009</v>
      </c>
    </row>
    <row r="24" spans="2:107">
      <c r="B24" s="5" t="s">
        <v>281</v>
      </c>
      <c r="C24" s="815" t="s">
        <v>413</v>
      </c>
      <c r="D24" s="815"/>
      <c r="E24" s="815"/>
      <c r="F24" s="43">
        <f>H24+NPV(FD,I24:INDEX(I24:DC24,PAL))</f>
        <v>0</v>
      </c>
      <c r="G24" s="43">
        <f>SUMIF($H$6:$DC$6,"&lt;="&amp;PAL,$H24:$DC24)</f>
        <v>0</v>
      </c>
      <c r="H24" s="41">
        <f>SUMPRODUCT('Alternatyva 3'!H$106:H$110,100*'Alternatyva 3'!$D$106:$D$110,1/('Alternatyva 3'!$DG$106:$DG$110+100),'Alternatyva 3'!$DH$106:$DH$110)</f>
        <v>0</v>
      </c>
      <c r="I24" s="41">
        <f>SUMPRODUCT('Alternatyva 3'!I$106:I$110,100*'Alternatyva 3'!$D$106:$D$110,1/('Alternatyva 3'!$DG$106:$DG$110+100),'Alternatyva 3'!$DH$106:$DH$110)</f>
        <v>0</v>
      </c>
      <c r="J24" s="41">
        <f>SUMPRODUCT('Alternatyva 3'!J$106:J$110,100*'Alternatyva 3'!$D$106:$D$110,1/('Alternatyva 3'!$DG$106:$DG$110+100),'Alternatyva 3'!$DH$106:$DH$110)</f>
        <v>0</v>
      </c>
      <c r="K24" s="41">
        <f>SUMPRODUCT('Alternatyva 3'!K$106:K$110,100*'Alternatyva 3'!$D$106:$D$110,1/('Alternatyva 3'!$DG$106:$DG$110+100),'Alternatyva 3'!$DH$106:$DH$110)</f>
        <v>0</v>
      </c>
      <c r="L24" s="41">
        <f>SUMPRODUCT('Alternatyva 3'!L$106:L$110,100*'Alternatyva 3'!$D$106:$D$110,1/('Alternatyva 3'!$DG$106:$DG$110+100),'Alternatyva 3'!$DH$106:$DH$110)</f>
        <v>0</v>
      </c>
      <c r="M24" s="41">
        <f>SUMPRODUCT('Alternatyva 3'!M$106:M$110,100*'Alternatyva 3'!$D$106:$D$110,1/('Alternatyva 3'!$DG$106:$DG$110+100),'Alternatyva 3'!$DH$106:$DH$110)</f>
        <v>0</v>
      </c>
      <c r="N24" s="41">
        <f>SUMPRODUCT('Alternatyva 3'!N$106:N$110,100*'Alternatyva 3'!$D$106:$D$110,1/('Alternatyva 3'!$DG$106:$DG$110+100),'Alternatyva 3'!$DH$106:$DH$110)</f>
        <v>0</v>
      </c>
      <c r="O24" s="41">
        <f>SUMPRODUCT('Alternatyva 3'!O$106:O$110,100*'Alternatyva 3'!$D$106:$D$110,1/('Alternatyva 3'!$DG$106:$DG$110+100),'Alternatyva 3'!$DH$106:$DH$110)</f>
        <v>0</v>
      </c>
      <c r="P24" s="41">
        <f>SUMPRODUCT('Alternatyva 3'!P$106:P$110,100*'Alternatyva 3'!$D$106:$D$110,1/('Alternatyva 3'!$DG$106:$DG$110+100),'Alternatyva 3'!$DH$106:$DH$110)</f>
        <v>0</v>
      </c>
      <c r="Q24" s="41">
        <f>SUMPRODUCT('Alternatyva 3'!Q$106:Q$110,100*'Alternatyva 3'!$D$106:$D$110,1/('Alternatyva 3'!$DG$106:$DG$110+100),'Alternatyva 3'!$DH$106:$DH$110)</f>
        <v>0</v>
      </c>
      <c r="R24" s="41">
        <f>SUMPRODUCT('Alternatyva 3'!R$106:R$110,100*'Alternatyva 3'!$D$106:$D$110,1/('Alternatyva 3'!$DG$106:$DG$110+100),'Alternatyva 3'!$DH$106:$DH$110)</f>
        <v>0</v>
      </c>
      <c r="S24" s="41">
        <f>SUMPRODUCT('Alternatyva 3'!S$106:S$110,100*'Alternatyva 3'!$D$106:$D$110,1/('Alternatyva 3'!$DG$106:$DG$110+100),'Alternatyva 3'!$DH$106:$DH$110)</f>
        <v>0</v>
      </c>
      <c r="T24" s="41">
        <f>SUMPRODUCT('Alternatyva 3'!T$106:T$110,100*'Alternatyva 3'!$D$106:$D$110,1/('Alternatyva 3'!$DG$106:$DG$110+100),'Alternatyva 3'!$DH$106:$DH$110)</f>
        <v>0</v>
      </c>
      <c r="U24" s="41">
        <f>SUMPRODUCT('Alternatyva 3'!U$106:U$110,100*'Alternatyva 3'!$D$106:$D$110,1/('Alternatyva 3'!$DG$106:$DG$110+100),'Alternatyva 3'!$DH$106:$DH$110)</f>
        <v>0</v>
      </c>
      <c r="V24" s="41">
        <f>SUMPRODUCT('Alternatyva 3'!V$106:V$110,100*'Alternatyva 3'!$D$106:$D$110,1/('Alternatyva 3'!$DG$106:$DG$110+100),'Alternatyva 3'!$DH$106:$DH$110)</f>
        <v>0</v>
      </c>
      <c r="W24" s="41">
        <f>SUMPRODUCT('Alternatyva 3'!W$106:W$110,100*'Alternatyva 3'!$D$106:$D$110,1/('Alternatyva 3'!$DG$106:$DG$110+100),'Alternatyva 3'!$DH$106:$DH$110)</f>
        <v>0</v>
      </c>
      <c r="X24" s="41">
        <f>SUMPRODUCT('Alternatyva 3'!X$106:X$110,100*'Alternatyva 3'!$D$106:$D$110,1/('Alternatyva 3'!$DG$106:$DG$110+100),'Alternatyva 3'!$DH$106:$DH$110)</f>
        <v>0</v>
      </c>
      <c r="Y24" s="41">
        <f>SUMPRODUCT('Alternatyva 3'!Y$106:Y$110,100*'Alternatyva 3'!$D$106:$D$110,1/('Alternatyva 3'!$DG$106:$DG$110+100),'Alternatyva 3'!$DH$106:$DH$110)</f>
        <v>0</v>
      </c>
      <c r="Z24" s="41">
        <f>SUMPRODUCT('Alternatyva 3'!Z$106:Z$110,100*'Alternatyva 3'!$D$106:$D$110,1/('Alternatyva 3'!$DG$106:$DG$110+100),'Alternatyva 3'!$DH$106:$DH$110)</f>
        <v>0</v>
      </c>
      <c r="AA24" s="41">
        <f>SUMPRODUCT('Alternatyva 3'!AA$106:AA$110,100*'Alternatyva 3'!$D$106:$D$110,1/('Alternatyva 3'!$DG$106:$DG$110+100),'Alternatyva 3'!$DH$106:$DH$110)</f>
        <v>0</v>
      </c>
      <c r="AB24" s="41">
        <f>SUMPRODUCT('Alternatyva 3'!AB$106:AB$110,100*'Alternatyva 3'!$D$106:$D$110,1/('Alternatyva 3'!$DG$106:$DG$110+100),'Alternatyva 3'!$DH$106:$DH$110)</f>
        <v>0</v>
      </c>
      <c r="AC24" s="41">
        <f>SUMPRODUCT('Alternatyva 3'!AC$106:AC$110,100*'Alternatyva 3'!$D$106:$D$110,1/('Alternatyva 3'!$DG$106:$DG$110+100),'Alternatyva 3'!$DH$106:$DH$110)</f>
        <v>0</v>
      </c>
      <c r="AD24" s="41">
        <f>SUMPRODUCT('Alternatyva 3'!AD$106:AD$110,100*'Alternatyva 3'!$D$106:$D$110,1/('Alternatyva 3'!$DG$106:$DG$110+100),'Alternatyva 3'!$DH$106:$DH$110)</f>
        <v>0</v>
      </c>
      <c r="AE24" s="41">
        <f>SUMPRODUCT('Alternatyva 3'!AE$106:AE$110,100*'Alternatyva 3'!$D$106:$D$110,1/('Alternatyva 3'!$DG$106:$DG$110+100),'Alternatyva 3'!$DH$106:$DH$110)</f>
        <v>0</v>
      </c>
      <c r="AF24" s="41">
        <f>SUMPRODUCT('Alternatyva 3'!AF$106:AF$110,100*'Alternatyva 3'!$D$106:$D$110,1/('Alternatyva 3'!$DG$106:$DG$110+100),'Alternatyva 3'!$DH$106:$DH$110)</f>
        <v>0</v>
      </c>
      <c r="AG24" s="41">
        <f>SUMPRODUCT('Alternatyva 3'!AG$106:AG$110,100*'Alternatyva 3'!$D$106:$D$110,1/('Alternatyva 3'!$DG$106:$DG$110+100),'Alternatyva 3'!$DH$106:$DH$110)</f>
        <v>0</v>
      </c>
      <c r="AH24" s="41">
        <f>SUMPRODUCT('Alternatyva 3'!AH$106:AH$110,100*'Alternatyva 3'!$D$106:$D$110,1/('Alternatyva 3'!$DG$106:$DG$110+100),'Alternatyva 3'!$DH$106:$DH$110)</f>
        <v>0</v>
      </c>
      <c r="AI24" s="41">
        <f>SUMPRODUCT('Alternatyva 3'!AI$106:AI$110,100*'Alternatyva 3'!$D$106:$D$110,1/('Alternatyva 3'!$DG$106:$DG$110+100),'Alternatyva 3'!$DH$106:$DH$110)</f>
        <v>0</v>
      </c>
      <c r="AJ24" s="41">
        <f>SUMPRODUCT('Alternatyva 3'!AJ$106:AJ$110,100*'Alternatyva 3'!$D$106:$D$110,1/('Alternatyva 3'!$DG$106:$DG$110+100),'Alternatyva 3'!$DH$106:$DH$110)</f>
        <v>0</v>
      </c>
      <c r="AK24" s="41">
        <f>SUMPRODUCT('Alternatyva 3'!AK$106:AK$110,100*'Alternatyva 3'!$D$106:$D$110,1/('Alternatyva 3'!$DG$106:$DG$110+100),'Alternatyva 3'!$DH$106:$DH$110)</f>
        <v>0</v>
      </c>
      <c r="AL24" s="41">
        <f>SUMPRODUCT('Alternatyva 3'!AL$106:AL$110,100*'Alternatyva 3'!$D$106:$D$110,1/('Alternatyva 3'!$DG$106:$DG$110+100),'Alternatyva 3'!$DH$106:$DH$110)</f>
        <v>0</v>
      </c>
      <c r="AM24" s="41">
        <f>SUMPRODUCT('Alternatyva 3'!AM$106:AM$110,100*'Alternatyva 3'!$D$106:$D$110,1/('Alternatyva 3'!$DG$106:$DG$110+100),'Alternatyva 3'!$DH$106:$DH$110)</f>
        <v>0</v>
      </c>
      <c r="AN24" s="41">
        <f>SUMPRODUCT('Alternatyva 3'!AN$106:AN$110,100*'Alternatyva 3'!$D$106:$D$110,1/('Alternatyva 3'!$DG$106:$DG$110+100),'Alternatyva 3'!$DH$106:$DH$110)</f>
        <v>0</v>
      </c>
      <c r="AO24" s="41">
        <f>SUMPRODUCT('Alternatyva 3'!AO$106:AO$110,100*'Alternatyva 3'!$D$106:$D$110,1/('Alternatyva 3'!$DG$106:$DG$110+100),'Alternatyva 3'!$DH$106:$DH$110)</f>
        <v>0</v>
      </c>
      <c r="AP24" s="41">
        <f>SUMPRODUCT('Alternatyva 3'!AP$106:AP$110,100*'Alternatyva 3'!$D$106:$D$110,1/('Alternatyva 3'!$DG$106:$DG$110+100),'Alternatyva 3'!$DH$106:$DH$110)</f>
        <v>0</v>
      </c>
      <c r="AQ24" s="41">
        <f>SUMPRODUCT('Alternatyva 3'!AQ$106:AQ$110,100*'Alternatyva 3'!$D$106:$D$110,1/('Alternatyva 3'!$DG$106:$DG$110+100),'Alternatyva 3'!$DH$106:$DH$110)</f>
        <v>0</v>
      </c>
      <c r="AR24" s="41">
        <f>SUMPRODUCT('Alternatyva 3'!AR$106:AR$110,100*'Alternatyva 3'!$D$106:$D$110,1/('Alternatyva 3'!$DG$106:$DG$110+100),'Alternatyva 3'!$DH$106:$DH$110)</f>
        <v>0</v>
      </c>
      <c r="AS24" s="41">
        <f>SUMPRODUCT('Alternatyva 3'!AS$106:AS$110,100*'Alternatyva 3'!$D$106:$D$110,1/('Alternatyva 3'!$DG$106:$DG$110+100),'Alternatyva 3'!$DH$106:$DH$110)</f>
        <v>0</v>
      </c>
      <c r="AT24" s="41">
        <f>SUMPRODUCT('Alternatyva 3'!AT$106:AT$110,100*'Alternatyva 3'!$D$106:$D$110,1/('Alternatyva 3'!$DG$106:$DG$110+100),'Alternatyva 3'!$DH$106:$DH$110)</f>
        <v>0</v>
      </c>
      <c r="AU24" s="41">
        <f>SUMPRODUCT('Alternatyva 3'!AU$106:AU$110,100*'Alternatyva 3'!$D$106:$D$110,1/('Alternatyva 3'!$DG$106:$DG$110+100),'Alternatyva 3'!$DH$106:$DH$110)</f>
        <v>0</v>
      </c>
      <c r="AV24" s="41">
        <f>SUMPRODUCT('Alternatyva 3'!AV$106:AV$110,100*'Alternatyva 3'!$D$106:$D$110,1/('Alternatyva 3'!$DG$106:$DG$110+100),'Alternatyva 3'!$DH$106:$DH$110)</f>
        <v>0</v>
      </c>
      <c r="AW24" s="41">
        <f>SUMPRODUCT('Alternatyva 3'!AW$106:AW$110,100*'Alternatyva 3'!$D$106:$D$110,1/('Alternatyva 3'!$DG$106:$DG$110+100),'Alternatyva 3'!$DH$106:$DH$110)</f>
        <v>0</v>
      </c>
      <c r="AX24" s="41">
        <f>SUMPRODUCT('Alternatyva 3'!AX$106:AX$110,100*'Alternatyva 3'!$D$106:$D$110,1/('Alternatyva 3'!$DG$106:$DG$110+100),'Alternatyva 3'!$DH$106:$DH$110)</f>
        <v>0</v>
      </c>
      <c r="AY24" s="41">
        <f>SUMPRODUCT('Alternatyva 3'!AY$106:AY$110,100*'Alternatyva 3'!$D$106:$D$110,1/('Alternatyva 3'!$DG$106:$DG$110+100),'Alternatyva 3'!$DH$106:$DH$110)</f>
        <v>0</v>
      </c>
      <c r="AZ24" s="41">
        <f>SUMPRODUCT('Alternatyva 3'!AZ$106:AZ$110,100*'Alternatyva 3'!$D$106:$D$110,1/('Alternatyva 3'!$DG$106:$DG$110+100),'Alternatyva 3'!$DH$106:$DH$110)</f>
        <v>0</v>
      </c>
      <c r="BA24" s="41">
        <f>SUMPRODUCT('Alternatyva 3'!BA$106:BA$110,100*'Alternatyva 3'!$D$106:$D$110,1/('Alternatyva 3'!$DG$106:$DG$110+100),'Alternatyva 3'!$DH$106:$DH$110)</f>
        <v>0</v>
      </c>
      <c r="BB24" s="41">
        <f>SUMPRODUCT('Alternatyva 3'!BB$106:BB$110,100*'Alternatyva 3'!$D$106:$D$110,1/('Alternatyva 3'!$DG$106:$DG$110+100),'Alternatyva 3'!$DH$106:$DH$110)</f>
        <v>0</v>
      </c>
      <c r="BC24" s="41">
        <f>SUMPRODUCT('Alternatyva 3'!BC$106:BC$110,100*'Alternatyva 3'!$D$106:$D$110,1/('Alternatyva 3'!$DG$106:$DG$110+100),'Alternatyva 3'!$DH$106:$DH$110)</f>
        <v>0</v>
      </c>
      <c r="BD24" s="41">
        <f>SUMPRODUCT('Alternatyva 3'!BD$106:BD$110,100*'Alternatyva 3'!$D$106:$D$110,1/('Alternatyva 3'!$DG$106:$DG$110+100),'Alternatyva 3'!$DH$106:$DH$110)</f>
        <v>0</v>
      </c>
      <c r="BE24" s="41">
        <f>SUMPRODUCT('Alternatyva 3'!BE$106:BE$110,100*'Alternatyva 3'!$D$106:$D$110,1/('Alternatyva 3'!$DG$106:$DG$110+100),'Alternatyva 3'!$DH$106:$DH$110)</f>
        <v>0</v>
      </c>
      <c r="BF24" s="41">
        <f>SUMPRODUCT('Alternatyva 3'!BF$106:BF$110,100*'Alternatyva 3'!$D$106:$D$110,1/('Alternatyva 3'!$DG$106:$DG$110+100),'Alternatyva 3'!$DH$106:$DH$110)</f>
        <v>0</v>
      </c>
      <c r="BG24" s="41">
        <f>SUMPRODUCT('Alternatyva 3'!BG$106:BG$110,100*'Alternatyva 3'!$D$106:$D$110,1/('Alternatyva 3'!$DG$106:$DG$110+100),'Alternatyva 3'!$DH$106:$DH$110)</f>
        <v>0</v>
      </c>
      <c r="BH24" s="41">
        <f>SUMPRODUCT('Alternatyva 3'!BH$106:BH$110,100*'Alternatyva 3'!$D$106:$D$110,1/('Alternatyva 3'!$DG$106:$DG$110+100),'Alternatyva 3'!$DH$106:$DH$110)</f>
        <v>0</v>
      </c>
      <c r="BI24" s="41">
        <f>SUMPRODUCT('Alternatyva 3'!BI$106:BI$110,100*'Alternatyva 3'!$D$106:$D$110,1/('Alternatyva 3'!$DG$106:$DG$110+100),'Alternatyva 3'!$DH$106:$DH$110)</f>
        <v>0</v>
      </c>
      <c r="BJ24" s="41">
        <f>SUMPRODUCT('Alternatyva 3'!BJ$106:BJ$110,100*'Alternatyva 3'!$D$106:$D$110,1/('Alternatyva 3'!$DG$106:$DG$110+100),'Alternatyva 3'!$DH$106:$DH$110)</f>
        <v>0</v>
      </c>
      <c r="BK24" s="41">
        <f>SUMPRODUCT('Alternatyva 3'!BK$106:BK$110,100*'Alternatyva 3'!$D$106:$D$110,1/('Alternatyva 3'!$DG$106:$DG$110+100),'Alternatyva 3'!$DH$106:$DH$110)</f>
        <v>0</v>
      </c>
      <c r="BL24" s="41">
        <f>SUMPRODUCT('Alternatyva 3'!BL$106:BL$110,100*'Alternatyva 3'!$D$106:$D$110,1/('Alternatyva 3'!$DG$106:$DG$110+100),'Alternatyva 3'!$DH$106:$DH$110)</f>
        <v>0</v>
      </c>
      <c r="BM24" s="41">
        <f>SUMPRODUCT('Alternatyva 3'!BM$106:BM$110,100*'Alternatyva 3'!$D$106:$D$110,1/('Alternatyva 3'!$DG$106:$DG$110+100),'Alternatyva 3'!$DH$106:$DH$110)</f>
        <v>0</v>
      </c>
      <c r="BN24" s="41">
        <f>SUMPRODUCT('Alternatyva 3'!BN$106:BN$110,100*'Alternatyva 3'!$D$106:$D$110,1/('Alternatyva 3'!$DG$106:$DG$110+100),'Alternatyva 3'!$DH$106:$DH$110)</f>
        <v>0</v>
      </c>
      <c r="BO24" s="41">
        <f>SUMPRODUCT('Alternatyva 3'!BO$106:BO$110,100*'Alternatyva 3'!$D$106:$D$110,1/('Alternatyva 3'!$DG$106:$DG$110+100),'Alternatyva 3'!$DH$106:$DH$110)</f>
        <v>0</v>
      </c>
      <c r="BP24" s="41">
        <f>SUMPRODUCT('Alternatyva 3'!BP$106:BP$110,100*'Alternatyva 3'!$D$106:$D$110,1/('Alternatyva 3'!$DG$106:$DG$110+100),'Alternatyva 3'!$DH$106:$DH$110)</f>
        <v>0</v>
      </c>
      <c r="BQ24" s="41">
        <f>SUMPRODUCT('Alternatyva 3'!BQ$106:BQ$110,100*'Alternatyva 3'!$D$106:$D$110,1/('Alternatyva 3'!$DG$106:$DG$110+100),'Alternatyva 3'!$DH$106:$DH$110)</f>
        <v>0</v>
      </c>
      <c r="BR24" s="41">
        <f>SUMPRODUCT('Alternatyva 3'!BR$106:BR$110,100*'Alternatyva 3'!$D$106:$D$110,1/('Alternatyva 3'!$DG$106:$DG$110+100),'Alternatyva 3'!$DH$106:$DH$110)</f>
        <v>0</v>
      </c>
      <c r="BS24" s="41">
        <f>SUMPRODUCT('Alternatyva 3'!BS$106:BS$110,100*'Alternatyva 3'!$D$106:$D$110,1/('Alternatyva 3'!$DG$106:$DG$110+100),'Alternatyva 3'!$DH$106:$DH$110)</f>
        <v>0</v>
      </c>
      <c r="BT24" s="41">
        <f>SUMPRODUCT('Alternatyva 3'!BT$106:BT$110,100*'Alternatyva 3'!$D$106:$D$110,1/('Alternatyva 3'!$DG$106:$DG$110+100),'Alternatyva 3'!$DH$106:$DH$110)</f>
        <v>0</v>
      </c>
      <c r="BU24" s="41">
        <f>SUMPRODUCT('Alternatyva 3'!BU$106:BU$110,100*'Alternatyva 3'!$D$106:$D$110,1/('Alternatyva 3'!$DG$106:$DG$110+100),'Alternatyva 3'!$DH$106:$DH$110)</f>
        <v>0</v>
      </c>
      <c r="BV24" s="41">
        <f>SUMPRODUCT('Alternatyva 3'!BV$106:BV$110,100*'Alternatyva 3'!$D$106:$D$110,1/('Alternatyva 3'!$DG$106:$DG$110+100),'Alternatyva 3'!$DH$106:$DH$110)</f>
        <v>0</v>
      </c>
      <c r="BW24" s="41">
        <f>SUMPRODUCT('Alternatyva 3'!BW$106:BW$110,100*'Alternatyva 3'!$D$106:$D$110,1/('Alternatyva 3'!$DG$106:$DG$110+100),'Alternatyva 3'!$DH$106:$DH$110)</f>
        <v>0</v>
      </c>
      <c r="BX24" s="41">
        <f>SUMPRODUCT('Alternatyva 3'!BX$106:BX$110,100*'Alternatyva 3'!$D$106:$D$110,1/('Alternatyva 3'!$DG$106:$DG$110+100),'Alternatyva 3'!$DH$106:$DH$110)</f>
        <v>0</v>
      </c>
      <c r="BY24" s="41">
        <f>SUMPRODUCT('Alternatyva 3'!BY$106:BY$110,100*'Alternatyva 3'!$D$106:$D$110,1/('Alternatyva 3'!$DG$106:$DG$110+100),'Alternatyva 3'!$DH$106:$DH$110)</f>
        <v>0</v>
      </c>
      <c r="BZ24" s="41">
        <f>SUMPRODUCT('Alternatyva 3'!BZ$106:BZ$110,100*'Alternatyva 3'!$D$106:$D$110,1/('Alternatyva 3'!$DG$106:$DG$110+100),'Alternatyva 3'!$DH$106:$DH$110)</f>
        <v>0</v>
      </c>
      <c r="CA24" s="41">
        <f>SUMPRODUCT('Alternatyva 3'!CA$106:CA$110,100*'Alternatyva 3'!$D$106:$D$110,1/('Alternatyva 3'!$DG$106:$DG$110+100),'Alternatyva 3'!$DH$106:$DH$110)</f>
        <v>0</v>
      </c>
      <c r="CB24" s="41">
        <f>SUMPRODUCT('Alternatyva 3'!CB$106:CB$110,100*'Alternatyva 3'!$D$106:$D$110,1/('Alternatyva 3'!$DG$106:$DG$110+100),'Alternatyva 3'!$DH$106:$DH$110)</f>
        <v>0</v>
      </c>
      <c r="CC24" s="41">
        <f>SUMPRODUCT('Alternatyva 3'!CC$106:CC$110,100*'Alternatyva 3'!$D$106:$D$110,1/('Alternatyva 3'!$DG$106:$DG$110+100),'Alternatyva 3'!$DH$106:$DH$110)</f>
        <v>0</v>
      </c>
      <c r="CD24" s="41">
        <f>SUMPRODUCT('Alternatyva 3'!CD$106:CD$110,100*'Alternatyva 3'!$D$106:$D$110,1/('Alternatyva 3'!$DG$106:$DG$110+100),'Alternatyva 3'!$DH$106:$DH$110)</f>
        <v>0</v>
      </c>
      <c r="CE24" s="41">
        <f>SUMPRODUCT('Alternatyva 3'!CE$106:CE$110,100*'Alternatyva 3'!$D$106:$D$110,1/('Alternatyva 3'!$DG$106:$DG$110+100),'Alternatyva 3'!$DH$106:$DH$110)</f>
        <v>0</v>
      </c>
      <c r="CF24" s="41">
        <f>SUMPRODUCT('Alternatyva 3'!CF$106:CF$110,100*'Alternatyva 3'!$D$106:$D$110,1/('Alternatyva 3'!$DG$106:$DG$110+100),'Alternatyva 3'!$DH$106:$DH$110)</f>
        <v>0</v>
      </c>
      <c r="CG24" s="41">
        <f>SUMPRODUCT('Alternatyva 3'!CG$106:CG$110,100*'Alternatyva 3'!$D$106:$D$110,1/('Alternatyva 3'!$DG$106:$DG$110+100),'Alternatyva 3'!$DH$106:$DH$110)</f>
        <v>0</v>
      </c>
      <c r="CH24" s="41">
        <f>SUMPRODUCT('Alternatyva 3'!CH$106:CH$110,100*'Alternatyva 3'!$D$106:$D$110,1/('Alternatyva 3'!$DG$106:$DG$110+100),'Alternatyva 3'!$DH$106:$DH$110)</f>
        <v>0</v>
      </c>
      <c r="CI24" s="41">
        <f>SUMPRODUCT('Alternatyva 3'!CI$106:CI$110,100*'Alternatyva 3'!$D$106:$D$110,1/('Alternatyva 3'!$DG$106:$DG$110+100),'Alternatyva 3'!$DH$106:$DH$110)</f>
        <v>0</v>
      </c>
      <c r="CJ24" s="41">
        <f>SUMPRODUCT('Alternatyva 3'!CJ$106:CJ$110,100*'Alternatyva 3'!$D$106:$D$110,1/('Alternatyva 3'!$DG$106:$DG$110+100),'Alternatyva 3'!$DH$106:$DH$110)</f>
        <v>0</v>
      </c>
      <c r="CK24" s="41">
        <f>SUMPRODUCT('Alternatyva 3'!CK$106:CK$110,100*'Alternatyva 3'!$D$106:$D$110,1/('Alternatyva 3'!$DG$106:$DG$110+100),'Alternatyva 3'!$DH$106:$DH$110)</f>
        <v>0</v>
      </c>
      <c r="CL24" s="41">
        <f>SUMPRODUCT('Alternatyva 3'!CL$106:CL$110,100*'Alternatyva 3'!$D$106:$D$110,1/('Alternatyva 3'!$DG$106:$DG$110+100),'Alternatyva 3'!$DH$106:$DH$110)</f>
        <v>0</v>
      </c>
      <c r="CM24" s="41">
        <f>SUMPRODUCT('Alternatyva 3'!CM$106:CM$110,100*'Alternatyva 3'!$D$106:$D$110,1/('Alternatyva 3'!$DG$106:$DG$110+100),'Alternatyva 3'!$DH$106:$DH$110)</f>
        <v>0</v>
      </c>
      <c r="CN24" s="41">
        <f>SUMPRODUCT('Alternatyva 3'!CN$106:CN$110,100*'Alternatyva 3'!$D$106:$D$110,1/('Alternatyva 3'!$DG$106:$DG$110+100),'Alternatyva 3'!$DH$106:$DH$110)</f>
        <v>0</v>
      </c>
      <c r="CO24" s="41">
        <f>SUMPRODUCT('Alternatyva 3'!CO$106:CO$110,100*'Alternatyva 3'!$D$106:$D$110,1/('Alternatyva 3'!$DG$106:$DG$110+100),'Alternatyva 3'!$DH$106:$DH$110)</f>
        <v>0</v>
      </c>
      <c r="CP24" s="41">
        <f>SUMPRODUCT('Alternatyva 3'!CP$106:CP$110,100*'Alternatyva 3'!$D$106:$D$110,1/('Alternatyva 3'!$DG$106:$DG$110+100),'Alternatyva 3'!$DH$106:$DH$110)</f>
        <v>0</v>
      </c>
      <c r="CQ24" s="41">
        <f>SUMPRODUCT('Alternatyva 3'!CQ$106:CQ$110,100*'Alternatyva 3'!$D$106:$D$110,1/('Alternatyva 3'!$DG$106:$DG$110+100),'Alternatyva 3'!$DH$106:$DH$110)</f>
        <v>0</v>
      </c>
      <c r="CR24" s="41">
        <f>SUMPRODUCT('Alternatyva 3'!CR$106:CR$110,100*'Alternatyva 3'!$D$106:$D$110,1/('Alternatyva 3'!$DG$106:$DG$110+100),'Alternatyva 3'!$DH$106:$DH$110)</f>
        <v>0</v>
      </c>
      <c r="CS24" s="41">
        <f>SUMPRODUCT('Alternatyva 3'!CS$106:CS$110,100*'Alternatyva 3'!$D$106:$D$110,1/('Alternatyva 3'!$DG$106:$DG$110+100),'Alternatyva 3'!$DH$106:$DH$110)</f>
        <v>0</v>
      </c>
      <c r="CT24" s="41">
        <f>SUMPRODUCT('Alternatyva 3'!CT$106:CT$110,100*'Alternatyva 3'!$D$106:$D$110,1/('Alternatyva 3'!$DG$106:$DG$110+100),'Alternatyva 3'!$DH$106:$DH$110)</f>
        <v>0</v>
      </c>
      <c r="CU24" s="41">
        <f>SUMPRODUCT('Alternatyva 3'!CU$106:CU$110,100*'Alternatyva 3'!$D$106:$D$110,1/('Alternatyva 3'!$DG$106:$DG$110+100),'Alternatyva 3'!$DH$106:$DH$110)</f>
        <v>0</v>
      </c>
      <c r="CV24" s="41">
        <f>SUMPRODUCT('Alternatyva 3'!CV$106:CV$110,100*'Alternatyva 3'!$D$106:$D$110,1/('Alternatyva 3'!$DG$106:$DG$110+100),'Alternatyva 3'!$DH$106:$DH$110)</f>
        <v>0</v>
      </c>
      <c r="CW24" s="41">
        <f>SUMPRODUCT('Alternatyva 3'!CW$106:CW$110,100*'Alternatyva 3'!$D$106:$D$110,1/('Alternatyva 3'!$DG$106:$DG$110+100),'Alternatyva 3'!$DH$106:$DH$110)</f>
        <v>0</v>
      </c>
      <c r="CX24" s="41">
        <f>SUMPRODUCT('Alternatyva 3'!CX$106:CX$110,100*'Alternatyva 3'!$D$106:$D$110,1/('Alternatyva 3'!$DG$106:$DG$110+100),'Alternatyva 3'!$DH$106:$DH$110)</f>
        <v>0</v>
      </c>
      <c r="CY24" s="41">
        <f>SUMPRODUCT('Alternatyva 3'!CY$106:CY$110,100*'Alternatyva 3'!$D$106:$D$110,1/('Alternatyva 3'!$DG$106:$DG$110+100),'Alternatyva 3'!$DH$106:$DH$110)</f>
        <v>0</v>
      </c>
      <c r="CZ24" s="41">
        <f>SUMPRODUCT('Alternatyva 3'!CZ$106:CZ$110,100*'Alternatyva 3'!$D$106:$D$110,1/('Alternatyva 3'!$DG$106:$DG$110+100),'Alternatyva 3'!$DH$106:$DH$110)</f>
        <v>0</v>
      </c>
      <c r="DA24" s="41">
        <f>SUMPRODUCT('Alternatyva 3'!DA$106:DA$110,100*'Alternatyva 3'!$D$106:$D$110,1/('Alternatyva 3'!$DG$106:$DG$110+100),'Alternatyva 3'!$DH$106:$DH$110)</f>
        <v>0</v>
      </c>
      <c r="DB24" s="41">
        <f>SUMPRODUCT('Alternatyva 3'!DB$106:DB$110,100*'Alternatyva 3'!$D$106:$D$110,1/('Alternatyva 3'!$DG$106:$DG$110+100),'Alternatyva 3'!$DH$106:$DH$110)</f>
        <v>0</v>
      </c>
      <c r="DC24" s="41">
        <f>SUMPRODUCT('Alternatyva 3'!DC$106:DC$110,100*'Alternatyva 3'!$D$106:$D$110,1/('Alternatyva 3'!$DG$106:$DG$110+100),'Alternatyva 3'!$DH$106:$DH$110)</f>
        <v>0</v>
      </c>
    </row>
    <row r="25" spans="2:107">
      <c r="C25" s="816" t="s">
        <v>14</v>
      </c>
      <c r="D25" s="816"/>
      <c r="E25" s="816"/>
      <c r="F25" s="43">
        <f>H25+NPV(FD,I25:INDEX(I25:DC25,PAL))</f>
        <v>-61803580.504113913</v>
      </c>
      <c r="G25" s="43">
        <f>SUMIF($H$6:$DC$6,"&lt;="&amp;PAL,$H25:$DC25)</f>
        <v>-89337787.231931284</v>
      </c>
      <c r="H25" s="41">
        <f>-H22+H23+H24</f>
        <v>-1407752.0661157025</v>
      </c>
      <c r="I25" s="41">
        <f t="shared" ref="I25:BT25" si="12">-I22+I23+I24</f>
        <v>-4350728.7014162978</v>
      </c>
      <c r="J25" s="41">
        <f t="shared" si="12"/>
        <v>-4689620.0949109271</v>
      </c>
      <c r="K25" s="41">
        <f t="shared" si="12"/>
        <v>-6671105.4870101409</v>
      </c>
      <c r="L25" s="41">
        <f t="shared" si="12"/>
        <v>-4211852.5944481576</v>
      </c>
      <c r="M25" s="41">
        <f t="shared" si="12"/>
        <v>-4228381.5200679926</v>
      </c>
      <c r="N25" s="41">
        <f t="shared" si="12"/>
        <v>-4212220.3630431993</v>
      </c>
      <c r="O25" s="41">
        <f t="shared" si="12"/>
        <v>-4212220.3630431993</v>
      </c>
      <c r="P25" s="41">
        <f t="shared" si="12"/>
        <v>-4212220.3630431993</v>
      </c>
      <c r="Q25" s="41">
        <f t="shared" si="12"/>
        <v>-4212220.3630431993</v>
      </c>
      <c r="R25" s="41">
        <f t="shared" si="12"/>
        <v>-4311393.9167622076</v>
      </c>
      <c r="S25" s="41">
        <f t="shared" si="12"/>
        <v>-4410567.470481216</v>
      </c>
      <c r="T25" s="41">
        <f t="shared" si="12"/>
        <v>-4311393.9167622076</v>
      </c>
      <c r="U25" s="41">
        <f t="shared" si="12"/>
        <v>-4410567.470481216</v>
      </c>
      <c r="V25" s="41">
        <f t="shared" si="12"/>
        <v>-4212220.3630431993</v>
      </c>
      <c r="W25" s="41">
        <f t="shared" si="12"/>
        <v>-4212220.3630431993</v>
      </c>
      <c r="X25" s="41">
        <f t="shared" si="12"/>
        <v>-4212220.3630431993</v>
      </c>
      <c r="Y25" s="41">
        <f t="shared" si="12"/>
        <v>-4212220.3630431993</v>
      </c>
      <c r="Z25" s="41">
        <f t="shared" si="12"/>
        <v>-4212220.3630431993</v>
      </c>
      <c r="AA25" s="41">
        <f t="shared" si="12"/>
        <v>-4212220.3630431993</v>
      </c>
      <c r="AB25" s="41">
        <f t="shared" si="12"/>
        <v>-4212220.3630431993</v>
      </c>
      <c r="AC25" s="41">
        <f t="shared" si="12"/>
        <v>-2500431.8160735993</v>
      </c>
      <c r="AD25" s="41">
        <f t="shared" si="12"/>
        <v>-2500431.8160735993</v>
      </c>
      <c r="AE25" s="41">
        <f t="shared" si="12"/>
        <v>-2500431.8160735993</v>
      </c>
      <c r="AF25" s="41">
        <f t="shared" si="12"/>
        <v>-2500431.8160735993</v>
      </c>
      <c r="AG25" s="41">
        <f t="shared" si="12"/>
        <v>-2500431.8160735993</v>
      </c>
      <c r="AH25" s="41">
        <f t="shared" si="12"/>
        <v>-2500431.8160735993</v>
      </c>
      <c r="AI25" s="41">
        <f t="shared" si="12"/>
        <v>-2500431.8160735993</v>
      </c>
      <c r="AJ25" s="41">
        <f t="shared" si="12"/>
        <v>-2500431.8160735993</v>
      </c>
      <c r="AK25" s="41">
        <f t="shared" si="12"/>
        <v>-2500431.8160735993</v>
      </c>
      <c r="AL25" s="41">
        <f t="shared" si="12"/>
        <v>-2500431.8160735993</v>
      </c>
      <c r="AM25" s="41">
        <f t="shared" si="12"/>
        <v>-2500431.8160735993</v>
      </c>
      <c r="AN25" s="41">
        <f t="shared" si="12"/>
        <v>-2500431.8160735993</v>
      </c>
      <c r="AO25" s="41">
        <f t="shared" si="12"/>
        <v>-2500431.8160735993</v>
      </c>
      <c r="AP25" s="41">
        <f t="shared" si="12"/>
        <v>-2500431.8160735993</v>
      </c>
      <c r="AQ25" s="41">
        <f t="shared" si="12"/>
        <v>-2500431.8160735993</v>
      </c>
      <c r="AR25" s="41">
        <f t="shared" si="12"/>
        <v>-2500431.8160735993</v>
      </c>
      <c r="AS25" s="41">
        <f t="shared" si="12"/>
        <v>-2500431.8160735993</v>
      </c>
      <c r="AT25" s="41">
        <f t="shared" si="12"/>
        <v>-2500431.8160735993</v>
      </c>
      <c r="AU25" s="41">
        <f t="shared" si="12"/>
        <v>-2500431.8160735993</v>
      </c>
      <c r="AV25" s="41">
        <f t="shared" si="12"/>
        <v>-2500431.8160735993</v>
      </c>
      <c r="AW25" s="41">
        <f t="shared" si="12"/>
        <v>-2500431.8160735993</v>
      </c>
      <c r="AX25" s="41">
        <f t="shared" si="12"/>
        <v>-2500431.8160735993</v>
      </c>
      <c r="AY25" s="41">
        <f t="shared" si="12"/>
        <v>-2500431.8160735993</v>
      </c>
      <c r="AZ25" s="41">
        <f t="shared" si="12"/>
        <v>-2500431.8160735993</v>
      </c>
      <c r="BA25" s="41">
        <f t="shared" si="12"/>
        <v>-2500431.8160735993</v>
      </c>
      <c r="BB25" s="41">
        <f t="shared" si="12"/>
        <v>-2500431.8160735993</v>
      </c>
      <c r="BC25" s="41">
        <f t="shared" si="12"/>
        <v>-2500431.8160735993</v>
      </c>
      <c r="BD25" s="41">
        <f t="shared" si="12"/>
        <v>-2500431.8160735993</v>
      </c>
      <c r="BE25" s="41">
        <f t="shared" si="12"/>
        <v>-2500431.8160735993</v>
      </c>
      <c r="BF25" s="41">
        <f t="shared" si="12"/>
        <v>-2500431.8160735993</v>
      </c>
      <c r="BG25" s="41">
        <f t="shared" si="12"/>
        <v>-2500431.8160735993</v>
      </c>
      <c r="BH25" s="41">
        <f t="shared" si="12"/>
        <v>-2500431.8160735993</v>
      </c>
      <c r="BI25" s="41">
        <f t="shared" si="12"/>
        <v>-2500431.8160735993</v>
      </c>
      <c r="BJ25" s="41">
        <f t="shared" si="12"/>
        <v>-2500431.8160735993</v>
      </c>
      <c r="BK25" s="41">
        <f t="shared" si="12"/>
        <v>-2500431.8160735993</v>
      </c>
      <c r="BL25" s="41">
        <f t="shared" si="12"/>
        <v>-2500431.8160735993</v>
      </c>
      <c r="BM25" s="41">
        <f t="shared" si="12"/>
        <v>-2500431.8160735993</v>
      </c>
      <c r="BN25" s="41">
        <f t="shared" si="12"/>
        <v>-2500431.8160735993</v>
      </c>
      <c r="BO25" s="41">
        <f t="shared" si="12"/>
        <v>-2500431.8160735993</v>
      </c>
      <c r="BP25" s="41">
        <f t="shared" si="12"/>
        <v>-2500431.8160735993</v>
      </c>
      <c r="BQ25" s="41">
        <f t="shared" si="12"/>
        <v>-2500431.8160735993</v>
      </c>
      <c r="BR25" s="41">
        <f t="shared" si="12"/>
        <v>-2500431.8160735993</v>
      </c>
      <c r="BS25" s="41">
        <f t="shared" si="12"/>
        <v>-2500431.8160735993</v>
      </c>
      <c r="BT25" s="41">
        <f t="shared" si="12"/>
        <v>-2500431.8160735993</v>
      </c>
      <c r="BU25" s="41">
        <f t="shared" ref="BU25:DC25" si="13">-BU22+BU23+BU24</f>
        <v>-2500431.8160735993</v>
      </c>
      <c r="BV25" s="41">
        <f t="shared" si="13"/>
        <v>-2500431.8160735993</v>
      </c>
      <c r="BW25" s="41">
        <f t="shared" si="13"/>
        <v>-2500431.8160735993</v>
      </c>
      <c r="BX25" s="41">
        <f t="shared" si="13"/>
        <v>-2500431.8160735993</v>
      </c>
      <c r="BY25" s="41">
        <f t="shared" si="13"/>
        <v>-2500431.8160735993</v>
      </c>
      <c r="BZ25" s="41">
        <f t="shared" si="13"/>
        <v>-2500431.8160735993</v>
      </c>
      <c r="CA25" s="41">
        <f t="shared" si="13"/>
        <v>-2500431.8160735993</v>
      </c>
      <c r="CB25" s="41">
        <f t="shared" si="13"/>
        <v>-2500431.8160735993</v>
      </c>
      <c r="CC25" s="41">
        <f t="shared" si="13"/>
        <v>-2500431.8160735993</v>
      </c>
      <c r="CD25" s="41">
        <f t="shared" si="13"/>
        <v>-2500431.8160735993</v>
      </c>
      <c r="CE25" s="41">
        <f t="shared" si="13"/>
        <v>-2500431.8160735993</v>
      </c>
      <c r="CF25" s="41">
        <f t="shared" si="13"/>
        <v>-2500431.8160735993</v>
      </c>
      <c r="CG25" s="41">
        <f t="shared" si="13"/>
        <v>-2500431.8160735993</v>
      </c>
      <c r="CH25" s="41">
        <f t="shared" si="13"/>
        <v>-2500431.8160735993</v>
      </c>
      <c r="CI25" s="41">
        <f t="shared" si="13"/>
        <v>-2500431.8160735993</v>
      </c>
      <c r="CJ25" s="41">
        <f t="shared" si="13"/>
        <v>-2500431.8160735993</v>
      </c>
      <c r="CK25" s="41">
        <f t="shared" si="13"/>
        <v>-2500431.8160735993</v>
      </c>
      <c r="CL25" s="41">
        <f t="shared" si="13"/>
        <v>-2500431.8160735993</v>
      </c>
      <c r="CM25" s="41">
        <f t="shared" si="13"/>
        <v>-2500431.8160735993</v>
      </c>
      <c r="CN25" s="41">
        <f t="shared" si="13"/>
        <v>-2500431.8160735993</v>
      </c>
      <c r="CO25" s="41">
        <f t="shared" si="13"/>
        <v>-2500431.8160735993</v>
      </c>
      <c r="CP25" s="41">
        <f t="shared" si="13"/>
        <v>-2500431.8160735993</v>
      </c>
      <c r="CQ25" s="41">
        <f t="shared" si="13"/>
        <v>-2500431.8160735993</v>
      </c>
      <c r="CR25" s="41">
        <f t="shared" si="13"/>
        <v>-2500431.8160735993</v>
      </c>
      <c r="CS25" s="41">
        <f t="shared" si="13"/>
        <v>-2500431.8160735993</v>
      </c>
      <c r="CT25" s="41">
        <f t="shared" si="13"/>
        <v>-2500431.8160735993</v>
      </c>
      <c r="CU25" s="41">
        <f t="shared" si="13"/>
        <v>-2500431.8160735993</v>
      </c>
      <c r="CV25" s="41">
        <f t="shared" si="13"/>
        <v>-2500431.8160735993</v>
      </c>
      <c r="CW25" s="41">
        <f t="shared" si="13"/>
        <v>-2500431.8160735993</v>
      </c>
      <c r="CX25" s="41">
        <f t="shared" si="13"/>
        <v>-2500431.8160735993</v>
      </c>
      <c r="CY25" s="41">
        <f t="shared" si="13"/>
        <v>-2500431.8160735993</v>
      </c>
      <c r="CZ25" s="41">
        <f t="shared" si="13"/>
        <v>-2500431.8160735993</v>
      </c>
      <c r="DA25" s="41">
        <f t="shared" si="13"/>
        <v>-2500431.8160735993</v>
      </c>
      <c r="DB25" s="41">
        <f t="shared" si="13"/>
        <v>-2500431.8160735993</v>
      </c>
      <c r="DC25" s="41">
        <f t="shared" si="13"/>
        <v>-2500431.8160735993</v>
      </c>
    </row>
    <row r="26" spans="2:107" hidden="1"/>
    <row r="27" spans="2:107" hidden="1">
      <c r="B27" s="31" t="s">
        <v>10</v>
      </c>
      <c r="C27" s="42"/>
      <c r="D27" s="42"/>
      <c r="E27" s="42"/>
      <c r="F27" s="786" t="s">
        <v>32</v>
      </c>
      <c r="G27" s="798"/>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28.8" hidden="1">
      <c r="B28" s="1" t="s">
        <v>5</v>
      </c>
      <c r="C28" s="807" t="s">
        <v>15</v>
      </c>
      <c r="D28" s="807"/>
      <c r="E28" s="807"/>
      <c r="F28" s="13" t="s">
        <v>34</v>
      </c>
      <c r="G28" s="12" t="s">
        <v>33</v>
      </c>
      <c r="H28" s="12" t="str">
        <f ca="1">IF(PVP="",TEXT(TODAY(),"yyyy"),TEXT(PVP,"yyyy"))</f>
        <v>2022</v>
      </c>
      <c r="I28" s="12">
        <f t="shared" ref="I28:AN28" ca="1" si="14">$H$7+I27</f>
        <v>2023</v>
      </c>
      <c r="J28" s="12">
        <f t="shared" ca="1" si="14"/>
        <v>2024</v>
      </c>
      <c r="K28" s="12">
        <f t="shared" ca="1" si="14"/>
        <v>2025</v>
      </c>
      <c r="L28" s="12">
        <f t="shared" ca="1" si="14"/>
        <v>2026</v>
      </c>
      <c r="M28" s="12">
        <f t="shared" ca="1" si="14"/>
        <v>2027</v>
      </c>
      <c r="N28" s="12">
        <f t="shared" ca="1" si="14"/>
        <v>2028</v>
      </c>
      <c r="O28" s="12">
        <f t="shared" ca="1" si="14"/>
        <v>2029</v>
      </c>
      <c r="P28" s="12">
        <f t="shared" ca="1" si="14"/>
        <v>2030</v>
      </c>
      <c r="Q28" s="12">
        <f t="shared" ca="1" si="14"/>
        <v>2031</v>
      </c>
      <c r="R28" s="12">
        <f t="shared" ca="1" si="14"/>
        <v>2032</v>
      </c>
      <c r="S28" s="12">
        <f t="shared" ca="1" si="14"/>
        <v>2033</v>
      </c>
      <c r="T28" s="12">
        <f t="shared" ca="1" si="14"/>
        <v>2034</v>
      </c>
      <c r="U28" s="12">
        <f t="shared" ca="1" si="14"/>
        <v>2035</v>
      </c>
      <c r="V28" s="12">
        <f t="shared" ca="1" si="14"/>
        <v>2036</v>
      </c>
      <c r="W28" s="12">
        <f t="shared" ca="1" si="14"/>
        <v>2037</v>
      </c>
      <c r="X28" s="12">
        <f t="shared" ca="1" si="14"/>
        <v>2038</v>
      </c>
      <c r="Y28" s="12">
        <f t="shared" ca="1" si="14"/>
        <v>2039</v>
      </c>
      <c r="Z28" s="12">
        <f t="shared" ca="1" si="14"/>
        <v>2040</v>
      </c>
      <c r="AA28" s="12">
        <f t="shared" ca="1" si="14"/>
        <v>2041</v>
      </c>
      <c r="AB28" s="12">
        <f t="shared" ca="1" si="14"/>
        <v>2042</v>
      </c>
      <c r="AC28" s="12">
        <f t="shared" ca="1" si="14"/>
        <v>2043</v>
      </c>
      <c r="AD28" s="12">
        <f t="shared" ca="1" si="14"/>
        <v>2044</v>
      </c>
      <c r="AE28" s="12">
        <f t="shared" ca="1" si="14"/>
        <v>2045</v>
      </c>
      <c r="AF28" s="12">
        <f t="shared" ca="1" si="14"/>
        <v>2046</v>
      </c>
      <c r="AG28" s="12">
        <f t="shared" ca="1" si="14"/>
        <v>2047</v>
      </c>
      <c r="AH28" s="12">
        <f t="shared" ca="1" si="14"/>
        <v>2048</v>
      </c>
      <c r="AI28" s="12">
        <f t="shared" ca="1" si="14"/>
        <v>2049</v>
      </c>
      <c r="AJ28" s="12">
        <f t="shared" ca="1" si="14"/>
        <v>2050</v>
      </c>
      <c r="AK28" s="12">
        <f t="shared" ca="1" si="14"/>
        <v>2051</v>
      </c>
      <c r="AL28" s="12">
        <f t="shared" ca="1" si="14"/>
        <v>2052</v>
      </c>
      <c r="AM28" s="12">
        <f t="shared" ca="1" si="14"/>
        <v>2053</v>
      </c>
      <c r="AN28" s="12">
        <f t="shared" ca="1" si="14"/>
        <v>2054</v>
      </c>
      <c r="AO28" s="12">
        <f t="shared" ref="AO28:BT28" ca="1" si="15">$H$7+AO27</f>
        <v>2055</v>
      </c>
      <c r="AP28" s="12">
        <f t="shared" ca="1" si="15"/>
        <v>2056</v>
      </c>
      <c r="AQ28" s="12">
        <f t="shared" ca="1" si="15"/>
        <v>2057</v>
      </c>
      <c r="AR28" s="12">
        <f t="shared" ca="1" si="15"/>
        <v>2058</v>
      </c>
      <c r="AS28" s="12">
        <f t="shared" ca="1" si="15"/>
        <v>2059</v>
      </c>
      <c r="AT28" s="12">
        <f t="shared" ca="1" si="15"/>
        <v>2060</v>
      </c>
      <c r="AU28" s="12">
        <f t="shared" ca="1" si="15"/>
        <v>2061</v>
      </c>
      <c r="AV28" s="12">
        <f t="shared" ca="1" si="15"/>
        <v>2062</v>
      </c>
      <c r="AW28" s="12">
        <f t="shared" ca="1" si="15"/>
        <v>2063</v>
      </c>
      <c r="AX28" s="12">
        <f t="shared" ca="1" si="15"/>
        <v>2064</v>
      </c>
      <c r="AY28" s="12">
        <f t="shared" ca="1" si="15"/>
        <v>2065</v>
      </c>
      <c r="AZ28" s="12">
        <f t="shared" ca="1" si="15"/>
        <v>2066</v>
      </c>
      <c r="BA28" s="12">
        <f t="shared" ca="1" si="15"/>
        <v>2067</v>
      </c>
      <c r="BB28" s="12">
        <f t="shared" ca="1" si="15"/>
        <v>2068</v>
      </c>
      <c r="BC28" s="12">
        <f t="shared" ca="1" si="15"/>
        <v>2069</v>
      </c>
      <c r="BD28" s="12">
        <f t="shared" ca="1" si="15"/>
        <v>2070</v>
      </c>
      <c r="BE28" s="12">
        <f t="shared" ca="1" si="15"/>
        <v>2071</v>
      </c>
      <c r="BF28" s="12">
        <f t="shared" ca="1" si="15"/>
        <v>2072</v>
      </c>
      <c r="BG28" s="12">
        <f t="shared" ca="1" si="15"/>
        <v>2073</v>
      </c>
      <c r="BH28" s="12">
        <f t="shared" ca="1" si="15"/>
        <v>2074</v>
      </c>
      <c r="BI28" s="12">
        <f t="shared" ca="1" si="15"/>
        <v>2075</v>
      </c>
      <c r="BJ28" s="12">
        <f t="shared" ca="1" si="15"/>
        <v>2076</v>
      </c>
      <c r="BK28" s="12">
        <f t="shared" ca="1" si="15"/>
        <v>2077</v>
      </c>
      <c r="BL28" s="12">
        <f t="shared" ca="1" si="15"/>
        <v>2078</v>
      </c>
      <c r="BM28" s="12">
        <f t="shared" ca="1" si="15"/>
        <v>2079</v>
      </c>
      <c r="BN28" s="12">
        <f t="shared" ca="1" si="15"/>
        <v>2080</v>
      </c>
      <c r="BO28" s="12">
        <f t="shared" ca="1" si="15"/>
        <v>2081</v>
      </c>
      <c r="BP28" s="12">
        <f t="shared" ca="1" si="15"/>
        <v>2082</v>
      </c>
      <c r="BQ28" s="12">
        <f t="shared" ca="1" si="15"/>
        <v>2083</v>
      </c>
      <c r="BR28" s="12">
        <f t="shared" ca="1" si="15"/>
        <v>2084</v>
      </c>
      <c r="BS28" s="12">
        <f t="shared" ca="1" si="15"/>
        <v>2085</v>
      </c>
      <c r="BT28" s="12">
        <f t="shared" ca="1" si="15"/>
        <v>2086</v>
      </c>
      <c r="BU28" s="12">
        <f t="shared" ref="BU28:CZ28" ca="1" si="16">$H$7+BU27</f>
        <v>2087</v>
      </c>
      <c r="BV28" s="12">
        <f t="shared" ca="1" si="16"/>
        <v>2088</v>
      </c>
      <c r="BW28" s="12">
        <f t="shared" ca="1" si="16"/>
        <v>2089</v>
      </c>
      <c r="BX28" s="12">
        <f t="shared" ca="1" si="16"/>
        <v>2090</v>
      </c>
      <c r="BY28" s="12">
        <f t="shared" ca="1" si="16"/>
        <v>2091</v>
      </c>
      <c r="BZ28" s="12">
        <f t="shared" ca="1" si="16"/>
        <v>2092</v>
      </c>
      <c r="CA28" s="12">
        <f t="shared" ca="1" si="16"/>
        <v>2093</v>
      </c>
      <c r="CB28" s="12">
        <f t="shared" ca="1" si="16"/>
        <v>2094</v>
      </c>
      <c r="CC28" s="12">
        <f t="shared" ca="1" si="16"/>
        <v>2095</v>
      </c>
      <c r="CD28" s="12">
        <f t="shared" ca="1" si="16"/>
        <v>2096</v>
      </c>
      <c r="CE28" s="12">
        <f t="shared" ca="1" si="16"/>
        <v>2097</v>
      </c>
      <c r="CF28" s="12">
        <f t="shared" ca="1" si="16"/>
        <v>2098</v>
      </c>
      <c r="CG28" s="12">
        <f t="shared" ca="1" si="16"/>
        <v>2099</v>
      </c>
      <c r="CH28" s="12">
        <f t="shared" ca="1" si="16"/>
        <v>2100</v>
      </c>
      <c r="CI28" s="12">
        <f t="shared" ca="1" si="16"/>
        <v>2101</v>
      </c>
      <c r="CJ28" s="12">
        <f t="shared" ca="1" si="16"/>
        <v>2102</v>
      </c>
      <c r="CK28" s="12">
        <f t="shared" ca="1" si="16"/>
        <v>2103</v>
      </c>
      <c r="CL28" s="12">
        <f t="shared" ca="1" si="16"/>
        <v>2104</v>
      </c>
      <c r="CM28" s="12">
        <f t="shared" ca="1" si="16"/>
        <v>2105</v>
      </c>
      <c r="CN28" s="12">
        <f t="shared" ca="1" si="16"/>
        <v>2106</v>
      </c>
      <c r="CO28" s="12">
        <f t="shared" ca="1" si="16"/>
        <v>2107</v>
      </c>
      <c r="CP28" s="12">
        <f t="shared" ca="1" si="16"/>
        <v>2108</v>
      </c>
      <c r="CQ28" s="12">
        <f t="shared" ca="1" si="16"/>
        <v>2109</v>
      </c>
      <c r="CR28" s="12">
        <f t="shared" ca="1" si="16"/>
        <v>2110</v>
      </c>
      <c r="CS28" s="12">
        <f t="shared" ca="1" si="16"/>
        <v>2111</v>
      </c>
      <c r="CT28" s="12">
        <f t="shared" ca="1" si="16"/>
        <v>2112</v>
      </c>
      <c r="CU28" s="12">
        <f t="shared" ca="1" si="16"/>
        <v>2113</v>
      </c>
      <c r="CV28" s="12">
        <f t="shared" ca="1" si="16"/>
        <v>2114</v>
      </c>
      <c r="CW28" s="12">
        <f t="shared" ca="1" si="16"/>
        <v>2115</v>
      </c>
      <c r="CX28" s="12">
        <f t="shared" ca="1" si="16"/>
        <v>2116</v>
      </c>
      <c r="CY28" s="12">
        <f t="shared" ca="1" si="16"/>
        <v>2117</v>
      </c>
      <c r="CZ28" s="12">
        <f t="shared" ca="1" si="16"/>
        <v>2118</v>
      </c>
      <c r="DA28" s="12">
        <f ca="1">$H$7+DA27</f>
        <v>2119</v>
      </c>
      <c r="DB28" s="12">
        <f ca="1">$H$7+DB27</f>
        <v>2120</v>
      </c>
      <c r="DC28" s="12">
        <f ca="1">$H$7+DC27</f>
        <v>2121</v>
      </c>
    </row>
    <row r="29" spans="2:107" ht="15" hidden="1" customHeight="1">
      <c r="B29" s="5" t="s">
        <v>242</v>
      </c>
      <c r="C29" s="809" t="s">
        <v>265</v>
      </c>
      <c r="D29" s="809"/>
      <c r="E29" s="809"/>
      <c r="F29" s="43">
        <f>H29+NPV(FD,I29:INDEX(I29:DC29,PAL))</f>
        <v>0</v>
      </c>
      <c r="G29" s="43">
        <f>SUMIF($H$6:$DC$6,"&lt;="&amp;PAL,$H29:$DC29)</f>
        <v>0</v>
      </c>
      <c r="H29" s="14">
        <f>'Alternatyva 4'!H$7-'Alternatyva 4'!H$112</f>
        <v>0</v>
      </c>
      <c r="I29" s="14">
        <f>'Alternatyva 4'!I$7-'Alternatyva 4'!I$112</f>
        <v>0</v>
      </c>
      <c r="J29" s="14">
        <f>'Alternatyva 4'!J$7-'Alternatyva 4'!J$112</f>
        <v>0</v>
      </c>
      <c r="K29" s="14">
        <f>'Alternatyva 4'!K$7-'Alternatyva 4'!K$112</f>
        <v>0</v>
      </c>
      <c r="L29" s="14">
        <f>'Alternatyva 4'!L$7-'Alternatyva 4'!L$112</f>
        <v>0</v>
      </c>
      <c r="M29" s="14">
        <f>'Alternatyva 4'!M$7-'Alternatyva 4'!M$112</f>
        <v>0</v>
      </c>
      <c r="N29" s="14">
        <f>'Alternatyva 4'!N$7-'Alternatyva 4'!N$112</f>
        <v>0</v>
      </c>
      <c r="O29" s="14">
        <f>'Alternatyva 4'!O$7-'Alternatyva 4'!O$112</f>
        <v>0</v>
      </c>
      <c r="P29" s="14">
        <f>'Alternatyva 4'!P$7-'Alternatyva 4'!P$112</f>
        <v>0</v>
      </c>
      <c r="Q29" s="14">
        <f>'Alternatyva 4'!Q$7-'Alternatyva 4'!Q$112</f>
        <v>0</v>
      </c>
      <c r="R29" s="14">
        <f>'Alternatyva 4'!R$7-'Alternatyva 4'!R$112</f>
        <v>0</v>
      </c>
      <c r="S29" s="14">
        <f>'Alternatyva 4'!S$7-'Alternatyva 4'!S$112</f>
        <v>0</v>
      </c>
      <c r="T29" s="14">
        <f>'Alternatyva 4'!T$7-'Alternatyva 4'!T$112</f>
        <v>0</v>
      </c>
      <c r="U29" s="14">
        <f>'Alternatyva 4'!U$7-'Alternatyva 4'!U$112</f>
        <v>0</v>
      </c>
      <c r="V29" s="14">
        <f>'Alternatyva 4'!V$7-'Alternatyva 4'!V$112</f>
        <v>0</v>
      </c>
      <c r="W29" s="14">
        <f>'Alternatyva 4'!W$7-'Alternatyva 4'!W$112</f>
        <v>0</v>
      </c>
      <c r="X29" s="14">
        <f>'Alternatyva 4'!X$7-'Alternatyva 4'!X$112</f>
        <v>0</v>
      </c>
      <c r="Y29" s="14">
        <f>'Alternatyva 4'!Y$7-'Alternatyva 4'!Y$112</f>
        <v>0</v>
      </c>
      <c r="Z29" s="14">
        <f>'Alternatyva 4'!Z$7-'Alternatyva 4'!Z$112</f>
        <v>0</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hidden="1">
      <c r="B30" s="5" t="s">
        <v>243</v>
      </c>
      <c r="C30" s="815" t="s">
        <v>266</v>
      </c>
      <c r="D30" s="815"/>
      <c r="E30" s="815"/>
      <c r="F30" s="43">
        <f>H30+NPV(FD,I30:INDEX(I30:DC30,PAL))</f>
        <v>0</v>
      </c>
      <c r="G30" s="43">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hidden="1">
      <c r="B31" s="5" t="s">
        <v>281</v>
      </c>
      <c r="C31" s="815" t="s">
        <v>413</v>
      </c>
      <c r="D31" s="815"/>
      <c r="E31" s="815"/>
      <c r="F31" s="43">
        <f>H31+NPV(FD,I31:INDEX(I31:DC31,PAL))</f>
        <v>0</v>
      </c>
      <c r="G31" s="43">
        <f>SUMIF($H$6:$DC$6,"&lt;="&amp;PAL,$H31:$DC31)</f>
        <v>0</v>
      </c>
      <c r="H31" s="41">
        <f>SUMPRODUCT('Alternatyva 4'!H$106:H$110,100*'Alternatyva 4'!$D$106:$D$110,1/('Alternatyva 4'!$DG$106:$DG$110+100),'Alternatyva 4'!$DH$106:$DH$110)</f>
        <v>0</v>
      </c>
      <c r="I31" s="41">
        <f>SUMPRODUCT('Alternatyva 4'!I$106:I$110,100*'Alternatyva 4'!$D$106:$D$110,1/('Alternatyva 4'!$DG$106:$DG$110+100),'Alternatyva 4'!$DH$106:$DH$110)</f>
        <v>0</v>
      </c>
      <c r="J31" s="41">
        <f>SUMPRODUCT('Alternatyva 4'!J$106:J$110,100*'Alternatyva 4'!$D$106:$D$110,1/('Alternatyva 4'!$DG$106:$DG$110+100),'Alternatyva 4'!$DH$106:$DH$110)</f>
        <v>0</v>
      </c>
      <c r="K31" s="41">
        <f>SUMPRODUCT('Alternatyva 4'!K$106:K$110,100*'Alternatyva 4'!$D$106:$D$110,1/('Alternatyva 4'!$DG$106:$DG$110+100),'Alternatyva 4'!$DH$106:$DH$110)</f>
        <v>0</v>
      </c>
      <c r="L31" s="41">
        <f>SUMPRODUCT('Alternatyva 4'!L$106:L$110,100*'Alternatyva 4'!$D$106:$D$110,1/('Alternatyva 4'!$DG$106:$DG$110+100),'Alternatyva 4'!$DH$106:$DH$110)</f>
        <v>0</v>
      </c>
      <c r="M31" s="41">
        <f>SUMPRODUCT('Alternatyva 4'!M$106:M$110,100*'Alternatyva 4'!$D$106:$D$110,1/('Alternatyva 4'!$DG$106:$DG$110+100),'Alternatyva 4'!$DH$106:$DH$110)</f>
        <v>0</v>
      </c>
      <c r="N31" s="41">
        <f>SUMPRODUCT('Alternatyva 4'!N$106:N$110,100*'Alternatyva 4'!$D$106:$D$110,1/('Alternatyva 4'!$DG$106:$DG$110+100),'Alternatyva 4'!$DH$106:$DH$110)</f>
        <v>0</v>
      </c>
      <c r="O31" s="41">
        <f>SUMPRODUCT('Alternatyva 4'!O$106:O$110,100*'Alternatyva 4'!$D$106:$D$110,1/('Alternatyva 4'!$DG$106:$DG$110+100),'Alternatyva 4'!$DH$106:$DH$110)</f>
        <v>0</v>
      </c>
      <c r="P31" s="41">
        <f>SUMPRODUCT('Alternatyva 4'!P$106:P$110,100*'Alternatyva 4'!$D$106:$D$110,1/('Alternatyva 4'!$DG$106:$DG$110+100),'Alternatyva 4'!$DH$106:$DH$110)</f>
        <v>0</v>
      </c>
      <c r="Q31" s="41">
        <f>SUMPRODUCT('Alternatyva 4'!Q$106:Q$110,100*'Alternatyva 4'!$D$106:$D$110,1/('Alternatyva 4'!$DG$106:$DG$110+100),'Alternatyva 4'!$DH$106:$DH$110)</f>
        <v>0</v>
      </c>
      <c r="R31" s="41">
        <f>SUMPRODUCT('Alternatyva 4'!R$106:R$110,100*'Alternatyva 4'!$D$106:$D$110,1/('Alternatyva 4'!$DG$106:$DG$110+100),'Alternatyva 4'!$DH$106:$DH$110)</f>
        <v>0</v>
      </c>
      <c r="S31" s="41">
        <f>SUMPRODUCT('Alternatyva 4'!S$106:S$110,100*'Alternatyva 4'!$D$106:$D$110,1/('Alternatyva 4'!$DG$106:$DG$110+100),'Alternatyva 4'!$DH$106:$DH$110)</f>
        <v>0</v>
      </c>
      <c r="T31" s="41">
        <f>SUMPRODUCT('Alternatyva 4'!T$106:T$110,100*'Alternatyva 4'!$D$106:$D$110,1/('Alternatyva 4'!$DG$106:$DG$110+100),'Alternatyva 4'!$DH$106:$DH$110)</f>
        <v>0</v>
      </c>
      <c r="U31" s="41">
        <f>SUMPRODUCT('Alternatyva 4'!U$106:U$110,100*'Alternatyva 4'!$D$106:$D$110,1/('Alternatyva 4'!$DG$106:$DG$110+100),'Alternatyva 4'!$DH$106:$DH$110)</f>
        <v>0</v>
      </c>
      <c r="V31" s="41">
        <f>SUMPRODUCT('Alternatyva 4'!V$106:V$110,100*'Alternatyva 4'!$D$106:$D$110,1/('Alternatyva 4'!$DG$106:$DG$110+100),'Alternatyva 4'!$DH$106:$DH$110)</f>
        <v>0</v>
      </c>
      <c r="W31" s="41">
        <f>SUMPRODUCT('Alternatyva 4'!W$106:W$110,100*'Alternatyva 4'!$D$106:$D$110,1/('Alternatyva 4'!$DG$106:$DG$110+100),'Alternatyva 4'!$DH$106:$DH$110)</f>
        <v>0</v>
      </c>
      <c r="X31" s="41">
        <f>SUMPRODUCT('Alternatyva 4'!X$106:X$110,100*'Alternatyva 4'!$D$106:$D$110,1/('Alternatyva 4'!$DG$106:$DG$110+100),'Alternatyva 4'!$DH$106:$DH$110)</f>
        <v>0</v>
      </c>
      <c r="Y31" s="41">
        <f>SUMPRODUCT('Alternatyva 4'!Y$106:Y$110,100*'Alternatyva 4'!$D$106:$D$110,1/('Alternatyva 4'!$DG$106:$DG$110+100),'Alternatyva 4'!$DH$106:$DH$110)</f>
        <v>0</v>
      </c>
      <c r="Z31" s="41">
        <f>SUMPRODUCT('Alternatyva 4'!Z$106:Z$110,100*'Alternatyva 4'!$D$106:$D$110,1/('Alternatyva 4'!$DG$106:$DG$110+100),'Alternatyva 4'!$DH$106:$DH$110)</f>
        <v>0</v>
      </c>
      <c r="AA31" s="41">
        <f>SUMPRODUCT('Alternatyva 4'!AA$106:AA$110,100*'Alternatyva 4'!$D$106:$D$110,1/('Alternatyva 4'!$DG$106:$DG$110+100),'Alternatyva 4'!$DH$106:$DH$110)</f>
        <v>0</v>
      </c>
      <c r="AB31" s="41">
        <f>SUMPRODUCT('Alternatyva 4'!AB$106:AB$110,100*'Alternatyva 4'!$D$106:$D$110,1/('Alternatyva 4'!$DG$106:$DG$110+100),'Alternatyva 4'!$DH$106:$DH$110)</f>
        <v>0</v>
      </c>
      <c r="AC31" s="41">
        <f>SUMPRODUCT('Alternatyva 4'!AC$106:AC$110,100*'Alternatyva 4'!$D$106:$D$110,1/('Alternatyva 4'!$DG$106:$DG$110+100),'Alternatyva 4'!$DH$106:$DH$110)</f>
        <v>0</v>
      </c>
      <c r="AD31" s="41">
        <f>SUMPRODUCT('Alternatyva 4'!AD$106:AD$110,100*'Alternatyva 4'!$D$106:$D$110,1/('Alternatyva 4'!$DG$106:$DG$110+100),'Alternatyva 4'!$DH$106:$DH$110)</f>
        <v>0</v>
      </c>
      <c r="AE31" s="41">
        <f>SUMPRODUCT('Alternatyva 4'!AE$106:AE$110,100*'Alternatyva 4'!$D$106:$D$110,1/('Alternatyva 4'!$DG$106:$DG$110+100),'Alternatyva 4'!$DH$106:$DH$110)</f>
        <v>0</v>
      </c>
      <c r="AF31" s="41">
        <f>SUMPRODUCT('Alternatyva 4'!AF$106:AF$110,100*'Alternatyva 4'!$D$106:$D$110,1/('Alternatyva 4'!$DG$106:$DG$110+100),'Alternatyva 4'!$DH$106:$DH$110)</f>
        <v>0</v>
      </c>
      <c r="AG31" s="41">
        <f>SUMPRODUCT('Alternatyva 4'!AG$106:AG$110,100*'Alternatyva 4'!$D$106:$D$110,1/('Alternatyva 4'!$DG$106:$DG$110+100),'Alternatyva 4'!$DH$106:$DH$110)</f>
        <v>0</v>
      </c>
      <c r="AH31" s="41">
        <f>SUMPRODUCT('Alternatyva 4'!AH$106:AH$110,100*'Alternatyva 4'!$D$106:$D$110,1/('Alternatyva 4'!$DG$106:$DG$110+100),'Alternatyva 4'!$DH$106:$DH$110)</f>
        <v>0</v>
      </c>
      <c r="AI31" s="41">
        <f>SUMPRODUCT('Alternatyva 4'!AI$106:AI$110,100*'Alternatyva 4'!$D$106:$D$110,1/('Alternatyva 4'!$DG$106:$DG$110+100),'Alternatyva 4'!$DH$106:$DH$110)</f>
        <v>0</v>
      </c>
      <c r="AJ31" s="41">
        <f>SUMPRODUCT('Alternatyva 4'!AJ$106:AJ$110,100*'Alternatyva 4'!$D$106:$D$110,1/('Alternatyva 4'!$DG$106:$DG$110+100),'Alternatyva 4'!$DH$106:$DH$110)</f>
        <v>0</v>
      </c>
      <c r="AK31" s="41">
        <f>SUMPRODUCT('Alternatyva 4'!AK$106:AK$110,100*'Alternatyva 4'!$D$106:$D$110,1/('Alternatyva 4'!$DG$106:$DG$110+100),'Alternatyva 4'!$DH$106:$DH$110)</f>
        <v>0</v>
      </c>
      <c r="AL31" s="41">
        <f>SUMPRODUCT('Alternatyva 4'!AL$106:AL$110,100*'Alternatyva 4'!$D$106:$D$110,1/('Alternatyva 4'!$DG$106:$DG$110+100),'Alternatyva 4'!$DH$106:$DH$110)</f>
        <v>0</v>
      </c>
      <c r="AM31" s="41">
        <f>SUMPRODUCT('Alternatyva 4'!AM$106:AM$110,100*'Alternatyva 4'!$D$106:$D$110,1/('Alternatyva 4'!$DG$106:$DG$110+100),'Alternatyva 4'!$DH$106:$DH$110)</f>
        <v>0</v>
      </c>
      <c r="AN31" s="41">
        <f>SUMPRODUCT('Alternatyva 4'!AN$106:AN$110,100*'Alternatyva 4'!$D$106:$D$110,1/('Alternatyva 4'!$DG$106:$DG$110+100),'Alternatyva 4'!$DH$106:$DH$110)</f>
        <v>0</v>
      </c>
      <c r="AO31" s="41">
        <f>SUMPRODUCT('Alternatyva 4'!AO$106:AO$110,100*'Alternatyva 4'!$D$106:$D$110,1/('Alternatyva 4'!$DG$106:$DG$110+100),'Alternatyva 4'!$DH$106:$DH$110)</f>
        <v>0</v>
      </c>
      <c r="AP31" s="41">
        <f>SUMPRODUCT('Alternatyva 4'!AP$106:AP$110,100*'Alternatyva 4'!$D$106:$D$110,1/('Alternatyva 4'!$DG$106:$DG$110+100),'Alternatyva 4'!$DH$106:$DH$110)</f>
        <v>0</v>
      </c>
      <c r="AQ31" s="41">
        <f>SUMPRODUCT('Alternatyva 4'!AQ$106:AQ$110,100*'Alternatyva 4'!$D$106:$D$110,1/('Alternatyva 4'!$DG$106:$DG$110+100),'Alternatyva 4'!$DH$106:$DH$110)</f>
        <v>0</v>
      </c>
      <c r="AR31" s="41">
        <f>SUMPRODUCT('Alternatyva 4'!AR$106:AR$110,100*'Alternatyva 4'!$D$106:$D$110,1/('Alternatyva 4'!$DG$106:$DG$110+100),'Alternatyva 4'!$DH$106:$DH$110)</f>
        <v>0</v>
      </c>
      <c r="AS31" s="41">
        <f>SUMPRODUCT('Alternatyva 4'!AS$106:AS$110,100*'Alternatyva 4'!$D$106:$D$110,1/('Alternatyva 4'!$DG$106:$DG$110+100),'Alternatyva 4'!$DH$106:$DH$110)</f>
        <v>0</v>
      </c>
      <c r="AT31" s="41">
        <f>SUMPRODUCT('Alternatyva 4'!AT$106:AT$110,100*'Alternatyva 4'!$D$106:$D$110,1/('Alternatyva 4'!$DG$106:$DG$110+100),'Alternatyva 4'!$DH$106:$DH$110)</f>
        <v>0</v>
      </c>
      <c r="AU31" s="41">
        <f>SUMPRODUCT('Alternatyva 4'!AU$106:AU$110,100*'Alternatyva 4'!$D$106:$D$110,1/('Alternatyva 4'!$DG$106:$DG$110+100),'Alternatyva 4'!$DH$106:$DH$110)</f>
        <v>0</v>
      </c>
      <c r="AV31" s="41">
        <f>SUMPRODUCT('Alternatyva 4'!AV$106:AV$110,100*'Alternatyva 4'!$D$106:$D$110,1/('Alternatyva 4'!$DG$106:$DG$110+100),'Alternatyva 4'!$DH$106:$DH$110)</f>
        <v>0</v>
      </c>
      <c r="AW31" s="41">
        <f>SUMPRODUCT('Alternatyva 4'!AW$106:AW$110,100*'Alternatyva 4'!$D$106:$D$110,1/('Alternatyva 4'!$DG$106:$DG$110+100),'Alternatyva 4'!$DH$106:$DH$110)</f>
        <v>0</v>
      </c>
      <c r="AX31" s="41">
        <f>SUMPRODUCT('Alternatyva 4'!AX$106:AX$110,100*'Alternatyva 4'!$D$106:$D$110,1/('Alternatyva 4'!$DG$106:$DG$110+100),'Alternatyva 4'!$DH$106:$DH$110)</f>
        <v>0</v>
      </c>
      <c r="AY31" s="41">
        <f>SUMPRODUCT('Alternatyva 4'!AY$106:AY$110,100*'Alternatyva 4'!$D$106:$D$110,1/('Alternatyva 4'!$DG$106:$DG$110+100),'Alternatyva 4'!$DH$106:$DH$110)</f>
        <v>0</v>
      </c>
      <c r="AZ31" s="41">
        <f>SUMPRODUCT('Alternatyva 4'!AZ$106:AZ$110,100*'Alternatyva 4'!$D$106:$D$110,1/('Alternatyva 4'!$DG$106:$DG$110+100),'Alternatyva 4'!$DH$106:$DH$110)</f>
        <v>0</v>
      </c>
      <c r="BA31" s="41">
        <f>SUMPRODUCT('Alternatyva 4'!BA$106:BA$110,100*'Alternatyva 4'!$D$106:$D$110,1/('Alternatyva 4'!$DG$106:$DG$110+100),'Alternatyva 4'!$DH$106:$DH$110)</f>
        <v>0</v>
      </c>
      <c r="BB31" s="41">
        <f>SUMPRODUCT('Alternatyva 4'!BB$106:BB$110,100*'Alternatyva 4'!$D$106:$D$110,1/('Alternatyva 4'!$DG$106:$DG$110+100),'Alternatyva 4'!$DH$106:$DH$110)</f>
        <v>0</v>
      </c>
      <c r="BC31" s="41">
        <f>SUMPRODUCT('Alternatyva 4'!BC$106:BC$110,100*'Alternatyva 4'!$D$106:$D$110,1/('Alternatyva 4'!$DG$106:$DG$110+100),'Alternatyva 4'!$DH$106:$DH$110)</f>
        <v>0</v>
      </c>
      <c r="BD31" s="41">
        <f>SUMPRODUCT('Alternatyva 4'!BD$106:BD$110,100*'Alternatyva 4'!$D$106:$D$110,1/('Alternatyva 4'!$DG$106:$DG$110+100),'Alternatyva 4'!$DH$106:$DH$110)</f>
        <v>0</v>
      </c>
      <c r="BE31" s="41">
        <f>SUMPRODUCT('Alternatyva 4'!BE$106:BE$110,100*'Alternatyva 4'!$D$106:$D$110,1/('Alternatyva 4'!$DG$106:$DG$110+100),'Alternatyva 4'!$DH$106:$DH$110)</f>
        <v>0</v>
      </c>
      <c r="BF31" s="41">
        <f>SUMPRODUCT('Alternatyva 4'!BF$106:BF$110,100*'Alternatyva 4'!$D$106:$D$110,1/('Alternatyva 4'!$DG$106:$DG$110+100),'Alternatyva 4'!$DH$106:$DH$110)</f>
        <v>0</v>
      </c>
      <c r="BG31" s="41">
        <f>SUMPRODUCT('Alternatyva 4'!BG$106:BG$110,100*'Alternatyva 4'!$D$106:$D$110,1/('Alternatyva 4'!$DG$106:$DG$110+100),'Alternatyva 4'!$DH$106:$DH$110)</f>
        <v>0</v>
      </c>
      <c r="BH31" s="41">
        <f>SUMPRODUCT('Alternatyva 4'!BH$106:BH$110,100*'Alternatyva 4'!$D$106:$D$110,1/('Alternatyva 4'!$DG$106:$DG$110+100),'Alternatyva 4'!$DH$106:$DH$110)</f>
        <v>0</v>
      </c>
      <c r="BI31" s="41">
        <f>SUMPRODUCT('Alternatyva 4'!BI$106:BI$110,100*'Alternatyva 4'!$D$106:$D$110,1/('Alternatyva 4'!$DG$106:$DG$110+100),'Alternatyva 4'!$DH$106:$DH$110)</f>
        <v>0</v>
      </c>
      <c r="BJ31" s="41">
        <f>SUMPRODUCT('Alternatyva 4'!BJ$106:BJ$110,100*'Alternatyva 4'!$D$106:$D$110,1/('Alternatyva 4'!$DG$106:$DG$110+100),'Alternatyva 4'!$DH$106:$DH$110)</f>
        <v>0</v>
      </c>
      <c r="BK31" s="41">
        <f>SUMPRODUCT('Alternatyva 4'!BK$106:BK$110,100*'Alternatyva 4'!$D$106:$D$110,1/('Alternatyva 4'!$DG$106:$DG$110+100),'Alternatyva 4'!$DH$106:$DH$110)</f>
        <v>0</v>
      </c>
      <c r="BL31" s="41">
        <f>SUMPRODUCT('Alternatyva 4'!BL$106:BL$110,100*'Alternatyva 4'!$D$106:$D$110,1/('Alternatyva 4'!$DG$106:$DG$110+100),'Alternatyva 4'!$DH$106:$DH$110)</f>
        <v>0</v>
      </c>
      <c r="BM31" s="41">
        <f>SUMPRODUCT('Alternatyva 4'!BM$106:BM$110,100*'Alternatyva 4'!$D$106:$D$110,1/('Alternatyva 4'!$DG$106:$DG$110+100),'Alternatyva 4'!$DH$106:$DH$110)</f>
        <v>0</v>
      </c>
      <c r="BN31" s="41">
        <f>SUMPRODUCT('Alternatyva 4'!BN$106:BN$110,100*'Alternatyva 4'!$D$106:$D$110,1/('Alternatyva 4'!$DG$106:$DG$110+100),'Alternatyva 4'!$DH$106:$DH$110)</f>
        <v>0</v>
      </c>
      <c r="BO31" s="41">
        <f>SUMPRODUCT('Alternatyva 4'!BO$106:BO$110,100*'Alternatyva 4'!$D$106:$D$110,1/('Alternatyva 4'!$DG$106:$DG$110+100),'Alternatyva 4'!$DH$106:$DH$110)</f>
        <v>0</v>
      </c>
      <c r="BP31" s="41">
        <f>SUMPRODUCT('Alternatyva 4'!BP$106:BP$110,100*'Alternatyva 4'!$D$106:$D$110,1/('Alternatyva 4'!$DG$106:$DG$110+100),'Alternatyva 4'!$DH$106:$DH$110)</f>
        <v>0</v>
      </c>
      <c r="BQ31" s="41">
        <f>SUMPRODUCT('Alternatyva 4'!BQ$106:BQ$110,100*'Alternatyva 4'!$D$106:$D$110,1/('Alternatyva 4'!$DG$106:$DG$110+100),'Alternatyva 4'!$DH$106:$DH$110)</f>
        <v>0</v>
      </c>
      <c r="BR31" s="41">
        <f>SUMPRODUCT('Alternatyva 4'!BR$106:BR$110,100*'Alternatyva 4'!$D$106:$D$110,1/('Alternatyva 4'!$DG$106:$DG$110+100),'Alternatyva 4'!$DH$106:$DH$110)</f>
        <v>0</v>
      </c>
      <c r="BS31" s="41">
        <f>SUMPRODUCT('Alternatyva 4'!BS$106:BS$110,100*'Alternatyva 4'!$D$106:$D$110,1/('Alternatyva 4'!$DG$106:$DG$110+100),'Alternatyva 4'!$DH$106:$DH$110)</f>
        <v>0</v>
      </c>
      <c r="BT31" s="41">
        <f>SUMPRODUCT('Alternatyva 4'!BT$106:BT$110,100*'Alternatyva 4'!$D$106:$D$110,1/('Alternatyva 4'!$DG$106:$DG$110+100),'Alternatyva 4'!$DH$106:$DH$110)</f>
        <v>0</v>
      </c>
      <c r="BU31" s="41">
        <f>SUMPRODUCT('Alternatyva 4'!BU$106:BU$110,100*'Alternatyva 4'!$D$106:$D$110,1/('Alternatyva 4'!$DG$106:$DG$110+100),'Alternatyva 4'!$DH$106:$DH$110)</f>
        <v>0</v>
      </c>
      <c r="BV31" s="41">
        <f>SUMPRODUCT('Alternatyva 4'!BV$106:BV$110,100*'Alternatyva 4'!$D$106:$D$110,1/('Alternatyva 4'!$DG$106:$DG$110+100),'Alternatyva 4'!$DH$106:$DH$110)</f>
        <v>0</v>
      </c>
      <c r="BW31" s="41">
        <f>SUMPRODUCT('Alternatyva 4'!BW$106:BW$110,100*'Alternatyva 4'!$D$106:$D$110,1/('Alternatyva 4'!$DG$106:$DG$110+100),'Alternatyva 4'!$DH$106:$DH$110)</f>
        <v>0</v>
      </c>
      <c r="BX31" s="41">
        <f>SUMPRODUCT('Alternatyva 4'!BX$106:BX$110,100*'Alternatyva 4'!$D$106:$D$110,1/('Alternatyva 4'!$DG$106:$DG$110+100),'Alternatyva 4'!$DH$106:$DH$110)</f>
        <v>0</v>
      </c>
      <c r="BY31" s="41">
        <f>SUMPRODUCT('Alternatyva 4'!BY$106:BY$110,100*'Alternatyva 4'!$D$106:$D$110,1/('Alternatyva 4'!$DG$106:$DG$110+100),'Alternatyva 4'!$DH$106:$DH$110)</f>
        <v>0</v>
      </c>
      <c r="BZ31" s="41">
        <f>SUMPRODUCT('Alternatyva 4'!BZ$106:BZ$110,100*'Alternatyva 4'!$D$106:$D$110,1/('Alternatyva 4'!$DG$106:$DG$110+100),'Alternatyva 4'!$DH$106:$DH$110)</f>
        <v>0</v>
      </c>
      <c r="CA31" s="41">
        <f>SUMPRODUCT('Alternatyva 4'!CA$106:CA$110,100*'Alternatyva 4'!$D$106:$D$110,1/('Alternatyva 4'!$DG$106:$DG$110+100),'Alternatyva 4'!$DH$106:$DH$110)</f>
        <v>0</v>
      </c>
      <c r="CB31" s="41">
        <f>SUMPRODUCT('Alternatyva 4'!CB$106:CB$110,100*'Alternatyva 4'!$D$106:$D$110,1/('Alternatyva 4'!$DG$106:$DG$110+100),'Alternatyva 4'!$DH$106:$DH$110)</f>
        <v>0</v>
      </c>
      <c r="CC31" s="41">
        <f>SUMPRODUCT('Alternatyva 4'!CC$106:CC$110,100*'Alternatyva 4'!$D$106:$D$110,1/('Alternatyva 4'!$DG$106:$DG$110+100),'Alternatyva 4'!$DH$106:$DH$110)</f>
        <v>0</v>
      </c>
      <c r="CD31" s="41">
        <f>SUMPRODUCT('Alternatyva 4'!CD$106:CD$110,100*'Alternatyva 4'!$D$106:$D$110,1/('Alternatyva 4'!$DG$106:$DG$110+100),'Alternatyva 4'!$DH$106:$DH$110)</f>
        <v>0</v>
      </c>
      <c r="CE31" s="41">
        <f>SUMPRODUCT('Alternatyva 4'!CE$106:CE$110,100*'Alternatyva 4'!$D$106:$D$110,1/('Alternatyva 4'!$DG$106:$DG$110+100),'Alternatyva 4'!$DH$106:$DH$110)</f>
        <v>0</v>
      </c>
      <c r="CF31" s="41">
        <f>SUMPRODUCT('Alternatyva 4'!CF$106:CF$110,100*'Alternatyva 4'!$D$106:$D$110,1/('Alternatyva 4'!$DG$106:$DG$110+100),'Alternatyva 4'!$DH$106:$DH$110)</f>
        <v>0</v>
      </c>
      <c r="CG31" s="41">
        <f>SUMPRODUCT('Alternatyva 4'!CG$106:CG$110,100*'Alternatyva 4'!$D$106:$D$110,1/('Alternatyva 4'!$DG$106:$DG$110+100),'Alternatyva 4'!$DH$106:$DH$110)</f>
        <v>0</v>
      </c>
      <c r="CH31" s="41">
        <f>SUMPRODUCT('Alternatyva 4'!CH$106:CH$110,100*'Alternatyva 4'!$D$106:$D$110,1/('Alternatyva 4'!$DG$106:$DG$110+100),'Alternatyva 4'!$DH$106:$DH$110)</f>
        <v>0</v>
      </c>
      <c r="CI31" s="41">
        <f>SUMPRODUCT('Alternatyva 4'!CI$106:CI$110,100*'Alternatyva 4'!$D$106:$D$110,1/('Alternatyva 4'!$DG$106:$DG$110+100),'Alternatyva 4'!$DH$106:$DH$110)</f>
        <v>0</v>
      </c>
      <c r="CJ31" s="41">
        <f>SUMPRODUCT('Alternatyva 4'!CJ$106:CJ$110,100*'Alternatyva 4'!$D$106:$D$110,1/('Alternatyva 4'!$DG$106:$DG$110+100),'Alternatyva 4'!$DH$106:$DH$110)</f>
        <v>0</v>
      </c>
      <c r="CK31" s="41">
        <f>SUMPRODUCT('Alternatyva 4'!CK$106:CK$110,100*'Alternatyva 4'!$D$106:$D$110,1/('Alternatyva 4'!$DG$106:$DG$110+100),'Alternatyva 4'!$DH$106:$DH$110)</f>
        <v>0</v>
      </c>
      <c r="CL31" s="41">
        <f>SUMPRODUCT('Alternatyva 4'!CL$106:CL$110,100*'Alternatyva 4'!$D$106:$D$110,1/('Alternatyva 4'!$DG$106:$DG$110+100),'Alternatyva 4'!$DH$106:$DH$110)</f>
        <v>0</v>
      </c>
      <c r="CM31" s="41">
        <f>SUMPRODUCT('Alternatyva 4'!CM$106:CM$110,100*'Alternatyva 4'!$D$106:$D$110,1/('Alternatyva 4'!$DG$106:$DG$110+100),'Alternatyva 4'!$DH$106:$DH$110)</f>
        <v>0</v>
      </c>
      <c r="CN31" s="41">
        <f>SUMPRODUCT('Alternatyva 4'!CN$106:CN$110,100*'Alternatyva 4'!$D$106:$D$110,1/('Alternatyva 4'!$DG$106:$DG$110+100),'Alternatyva 4'!$DH$106:$DH$110)</f>
        <v>0</v>
      </c>
      <c r="CO31" s="41">
        <f>SUMPRODUCT('Alternatyva 4'!CO$106:CO$110,100*'Alternatyva 4'!$D$106:$D$110,1/('Alternatyva 4'!$DG$106:$DG$110+100),'Alternatyva 4'!$DH$106:$DH$110)</f>
        <v>0</v>
      </c>
      <c r="CP31" s="41">
        <f>SUMPRODUCT('Alternatyva 4'!CP$106:CP$110,100*'Alternatyva 4'!$D$106:$D$110,1/('Alternatyva 4'!$DG$106:$DG$110+100),'Alternatyva 4'!$DH$106:$DH$110)</f>
        <v>0</v>
      </c>
      <c r="CQ31" s="41">
        <f>SUMPRODUCT('Alternatyva 4'!CQ$106:CQ$110,100*'Alternatyva 4'!$D$106:$D$110,1/('Alternatyva 4'!$DG$106:$DG$110+100),'Alternatyva 4'!$DH$106:$DH$110)</f>
        <v>0</v>
      </c>
      <c r="CR31" s="41">
        <f>SUMPRODUCT('Alternatyva 4'!CR$106:CR$110,100*'Alternatyva 4'!$D$106:$D$110,1/('Alternatyva 4'!$DG$106:$DG$110+100),'Alternatyva 4'!$DH$106:$DH$110)</f>
        <v>0</v>
      </c>
      <c r="CS31" s="41">
        <f>SUMPRODUCT('Alternatyva 4'!CS$106:CS$110,100*'Alternatyva 4'!$D$106:$D$110,1/('Alternatyva 4'!$DG$106:$DG$110+100),'Alternatyva 4'!$DH$106:$DH$110)</f>
        <v>0</v>
      </c>
      <c r="CT31" s="41">
        <f>SUMPRODUCT('Alternatyva 4'!CT$106:CT$110,100*'Alternatyva 4'!$D$106:$D$110,1/('Alternatyva 4'!$DG$106:$DG$110+100),'Alternatyva 4'!$DH$106:$DH$110)</f>
        <v>0</v>
      </c>
      <c r="CU31" s="41">
        <f>SUMPRODUCT('Alternatyva 4'!CU$106:CU$110,100*'Alternatyva 4'!$D$106:$D$110,1/('Alternatyva 4'!$DG$106:$DG$110+100),'Alternatyva 4'!$DH$106:$DH$110)</f>
        <v>0</v>
      </c>
      <c r="CV31" s="41">
        <f>SUMPRODUCT('Alternatyva 4'!CV$106:CV$110,100*'Alternatyva 4'!$D$106:$D$110,1/('Alternatyva 4'!$DG$106:$DG$110+100),'Alternatyva 4'!$DH$106:$DH$110)</f>
        <v>0</v>
      </c>
      <c r="CW31" s="41">
        <f>SUMPRODUCT('Alternatyva 4'!CW$106:CW$110,100*'Alternatyva 4'!$D$106:$D$110,1/('Alternatyva 4'!$DG$106:$DG$110+100),'Alternatyva 4'!$DH$106:$DH$110)</f>
        <v>0</v>
      </c>
      <c r="CX31" s="41">
        <f>SUMPRODUCT('Alternatyva 4'!CX$106:CX$110,100*'Alternatyva 4'!$D$106:$D$110,1/('Alternatyva 4'!$DG$106:$DG$110+100),'Alternatyva 4'!$DH$106:$DH$110)</f>
        <v>0</v>
      </c>
      <c r="CY31" s="41">
        <f>SUMPRODUCT('Alternatyva 4'!CY$106:CY$110,100*'Alternatyva 4'!$D$106:$D$110,1/('Alternatyva 4'!$DG$106:$DG$110+100),'Alternatyva 4'!$DH$106:$DH$110)</f>
        <v>0</v>
      </c>
      <c r="CZ31" s="41">
        <f>SUMPRODUCT('Alternatyva 4'!CZ$106:CZ$110,100*'Alternatyva 4'!$D$106:$D$110,1/('Alternatyva 4'!$DG$106:$DG$110+100),'Alternatyva 4'!$DH$106:$DH$110)</f>
        <v>0</v>
      </c>
      <c r="DA31" s="41">
        <f>SUMPRODUCT('Alternatyva 4'!DA$106:DA$110,100*'Alternatyva 4'!$D$106:$D$110,1/('Alternatyva 4'!$DG$106:$DG$110+100),'Alternatyva 4'!$DH$106:$DH$110)</f>
        <v>0</v>
      </c>
      <c r="DB31" s="41">
        <f>SUMPRODUCT('Alternatyva 4'!DB$106:DB$110,100*'Alternatyva 4'!$D$106:$D$110,1/('Alternatyva 4'!$DG$106:$DG$110+100),'Alternatyva 4'!$DH$106:$DH$110)</f>
        <v>0</v>
      </c>
      <c r="DC31" s="41">
        <f>SUMPRODUCT('Alternatyva 4'!DC$106:DC$110,100*'Alternatyva 4'!$D$106:$D$110,1/('Alternatyva 4'!$DG$106:$DG$110+100),'Alternatyva 4'!$DH$106:$DH$110)</f>
        <v>0</v>
      </c>
    </row>
    <row r="32" spans="2:107" hidden="1">
      <c r="C32" s="816" t="s">
        <v>14</v>
      </c>
      <c r="D32" s="816"/>
      <c r="E32" s="816"/>
      <c r="F32" s="43">
        <f>H32+NPV(FD,I32:INDEX(I32:DC32,PAL))</f>
        <v>0</v>
      </c>
      <c r="G32" s="43">
        <f>SUMIF($H$6:$DC$6,"&lt;="&amp;PAL,$H32:$DC32)</f>
        <v>0</v>
      </c>
      <c r="H32" s="41">
        <f>-H29+H30+H31</f>
        <v>0</v>
      </c>
      <c r="I32" s="41">
        <f t="shared" ref="I32:BT32" si="17">-I29+I30+I31</f>
        <v>0</v>
      </c>
      <c r="J32" s="41">
        <f t="shared" si="17"/>
        <v>0</v>
      </c>
      <c r="K32" s="41">
        <f t="shared" si="17"/>
        <v>0</v>
      </c>
      <c r="L32" s="41">
        <f t="shared" si="17"/>
        <v>0</v>
      </c>
      <c r="M32" s="41">
        <f t="shared" si="17"/>
        <v>0</v>
      </c>
      <c r="N32" s="41">
        <f t="shared" si="17"/>
        <v>0</v>
      </c>
      <c r="O32" s="41">
        <f t="shared" si="17"/>
        <v>0</v>
      </c>
      <c r="P32" s="41">
        <f t="shared" si="17"/>
        <v>0</v>
      </c>
      <c r="Q32" s="41">
        <f t="shared" si="17"/>
        <v>0</v>
      </c>
      <c r="R32" s="41">
        <f t="shared" si="17"/>
        <v>0</v>
      </c>
      <c r="S32" s="41">
        <f t="shared" si="17"/>
        <v>0</v>
      </c>
      <c r="T32" s="41">
        <f t="shared" si="17"/>
        <v>0</v>
      </c>
      <c r="U32" s="41">
        <f t="shared" si="17"/>
        <v>0</v>
      </c>
      <c r="V32" s="41">
        <f t="shared" si="17"/>
        <v>0</v>
      </c>
      <c r="W32" s="41">
        <f t="shared" si="17"/>
        <v>0</v>
      </c>
      <c r="X32" s="41">
        <f t="shared" si="17"/>
        <v>0</v>
      </c>
      <c r="Y32" s="41">
        <f t="shared" si="17"/>
        <v>0</v>
      </c>
      <c r="Z32" s="41">
        <f t="shared" si="17"/>
        <v>0</v>
      </c>
      <c r="AA32" s="41">
        <f t="shared" si="17"/>
        <v>0</v>
      </c>
      <c r="AB32" s="41">
        <f t="shared" si="17"/>
        <v>0</v>
      </c>
      <c r="AC32" s="41">
        <f t="shared" si="17"/>
        <v>0</v>
      </c>
      <c r="AD32" s="41">
        <f t="shared" si="17"/>
        <v>0</v>
      </c>
      <c r="AE32" s="41">
        <f t="shared" si="17"/>
        <v>0</v>
      </c>
      <c r="AF32" s="41">
        <f t="shared" si="17"/>
        <v>0</v>
      </c>
      <c r="AG32" s="41">
        <f t="shared" si="17"/>
        <v>0</v>
      </c>
      <c r="AH32" s="41">
        <f t="shared" si="17"/>
        <v>0</v>
      </c>
      <c r="AI32" s="41">
        <f t="shared" si="17"/>
        <v>0</v>
      </c>
      <c r="AJ32" s="41">
        <f t="shared" si="17"/>
        <v>0</v>
      </c>
      <c r="AK32" s="41">
        <f t="shared" si="17"/>
        <v>0</v>
      </c>
      <c r="AL32" s="41">
        <f t="shared" si="17"/>
        <v>0</v>
      </c>
      <c r="AM32" s="41">
        <f t="shared" si="17"/>
        <v>0</v>
      </c>
      <c r="AN32" s="41">
        <f t="shared" si="17"/>
        <v>0</v>
      </c>
      <c r="AO32" s="41">
        <f t="shared" si="17"/>
        <v>0</v>
      </c>
      <c r="AP32" s="41">
        <f t="shared" si="17"/>
        <v>0</v>
      </c>
      <c r="AQ32" s="41">
        <f t="shared" si="17"/>
        <v>0</v>
      </c>
      <c r="AR32" s="41">
        <f t="shared" si="17"/>
        <v>0</v>
      </c>
      <c r="AS32" s="41">
        <f t="shared" si="17"/>
        <v>0</v>
      </c>
      <c r="AT32" s="41">
        <f t="shared" si="17"/>
        <v>0</v>
      </c>
      <c r="AU32" s="41">
        <f t="shared" si="17"/>
        <v>0</v>
      </c>
      <c r="AV32" s="41">
        <f t="shared" si="17"/>
        <v>0</v>
      </c>
      <c r="AW32" s="41">
        <f t="shared" si="17"/>
        <v>0</v>
      </c>
      <c r="AX32" s="41">
        <f t="shared" si="17"/>
        <v>0</v>
      </c>
      <c r="AY32" s="41">
        <f t="shared" si="17"/>
        <v>0</v>
      </c>
      <c r="AZ32" s="41">
        <f t="shared" si="17"/>
        <v>0</v>
      </c>
      <c r="BA32" s="41">
        <f t="shared" si="17"/>
        <v>0</v>
      </c>
      <c r="BB32" s="41">
        <f t="shared" si="17"/>
        <v>0</v>
      </c>
      <c r="BC32" s="41">
        <f t="shared" si="17"/>
        <v>0</v>
      </c>
      <c r="BD32" s="41">
        <f t="shared" si="17"/>
        <v>0</v>
      </c>
      <c r="BE32" s="41">
        <f t="shared" si="17"/>
        <v>0</v>
      </c>
      <c r="BF32" s="41">
        <f t="shared" si="17"/>
        <v>0</v>
      </c>
      <c r="BG32" s="41">
        <f t="shared" si="17"/>
        <v>0</v>
      </c>
      <c r="BH32" s="41">
        <f t="shared" si="17"/>
        <v>0</v>
      </c>
      <c r="BI32" s="41">
        <f t="shared" si="17"/>
        <v>0</v>
      </c>
      <c r="BJ32" s="41">
        <f t="shared" si="17"/>
        <v>0</v>
      </c>
      <c r="BK32" s="41">
        <f t="shared" si="17"/>
        <v>0</v>
      </c>
      <c r="BL32" s="41">
        <f t="shared" si="17"/>
        <v>0</v>
      </c>
      <c r="BM32" s="41">
        <f t="shared" si="17"/>
        <v>0</v>
      </c>
      <c r="BN32" s="41">
        <f t="shared" si="17"/>
        <v>0</v>
      </c>
      <c r="BO32" s="41">
        <f t="shared" si="17"/>
        <v>0</v>
      </c>
      <c r="BP32" s="41">
        <f t="shared" si="17"/>
        <v>0</v>
      </c>
      <c r="BQ32" s="41">
        <f t="shared" si="17"/>
        <v>0</v>
      </c>
      <c r="BR32" s="41">
        <f t="shared" si="17"/>
        <v>0</v>
      </c>
      <c r="BS32" s="41">
        <f t="shared" si="17"/>
        <v>0</v>
      </c>
      <c r="BT32" s="41">
        <f t="shared" si="17"/>
        <v>0</v>
      </c>
      <c r="BU32" s="41">
        <f t="shared" ref="BU32:DC32" si="18">-BU29+BU30+BU31</f>
        <v>0</v>
      </c>
      <c r="BV32" s="41">
        <f t="shared" si="18"/>
        <v>0</v>
      </c>
      <c r="BW32" s="41">
        <f t="shared" si="18"/>
        <v>0</v>
      </c>
      <c r="BX32" s="41">
        <f t="shared" si="18"/>
        <v>0</v>
      </c>
      <c r="BY32" s="41">
        <f t="shared" si="18"/>
        <v>0</v>
      </c>
      <c r="BZ32" s="41">
        <f t="shared" si="18"/>
        <v>0</v>
      </c>
      <c r="CA32" s="41">
        <f t="shared" si="18"/>
        <v>0</v>
      </c>
      <c r="CB32" s="41">
        <f t="shared" si="18"/>
        <v>0</v>
      </c>
      <c r="CC32" s="41">
        <f t="shared" si="18"/>
        <v>0</v>
      </c>
      <c r="CD32" s="41">
        <f t="shared" si="18"/>
        <v>0</v>
      </c>
      <c r="CE32" s="41">
        <f t="shared" si="18"/>
        <v>0</v>
      </c>
      <c r="CF32" s="41">
        <f t="shared" si="18"/>
        <v>0</v>
      </c>
      <c r="CG32" s="41">
        <f t="shared" si="18"/>
        <v>0</v>
      </c>
      <c r="CH32" s="41">
        <f t="shared" si="18"/>
        <v>0</v>
      </c>
      <c r="CI32" s="41">
        <f t="shared" si="18"/>
        <v>0</v>
      </c>
      <c r="CJ32" s="41">
        <f t="shared" si="18"/>
        <v>0</v>
      </c>
      <c r="CK32" s="41">
        <f t="shared" si="18"/>
        <v>0</v>
      </c>
      <c r="CL32" s="41">
        <f t="shared" si="18"/>
        <v>0</v>
      </c>
      <c r="CM32" s="41">
        <f t="shared" si="18"/>
        <v>0</v>
      </c>
      <c r="CN32" s="41">
        <f t="shared" si="18"/>
        <v>0</v>
      </c>
      <c r="CO32" s="41">
        <f t="shared" si="18"/>
        <v>0</v>
      </c>
      <c r="CP32" s="41">
        <f t="shared" si="18"/>
        <v>0</v>
      </c>
      <c r="CQ32" s="41">
        <f t="shared" si="18"/>
        <v>0</v>
      </c>
      <c r="CR32" s="41">
        <f t="shared" si="18"/>
        <v>0</v>
      </c>
      <c r="CS32" s="41">
        <f t="shared" si="18"/>
        <v>0</v>
      </c>
      <c r="CT32" s="41">
        <f t="shared" si="18"/>
        <v>0</v>
      </c>
      <c r="CU32" s="41">
        <f t="shared" si="18"/>
        <v>0</v>
      </c>
      <c r="CV32" s="41">
        <f t="shared" si="18"/>
        <v>0</v>
      </c>
      <c r="CW32" s="41">
        <f t="shared" si="18"/>
        <v>0</v>
      </c>
      <c r="CX32" s="41">
        <f t="shared" si="18"/>
        <v>0</v>
      </c>
      <c r="CY32" s="41">
        <f t="shared" si="18"/>
        <v>0</v>
      </c>
      <c r="CZ32" s="41">
        <f t="shared" si="18"/>
        <v>0</v>
      </c>
      <c r="DA32" s="41">
        <f t="shared" si="18"/>
        <v>0</v>
      </c>
      <c r="DB32" s="41">
        <f t="shared" si="18"/>
        <v>0</v>
      </c>
      <c r="DC32" s="41">
        <f t="shared" si="18"/>
        <v>0</v>
      </c>
    </row>
    <row r="33" spans="2:107" hidden="1"/>
    <row r="34" spans="2:107" hidden="1">
      <c r="B34" s="31" t="s">
        <v>13</v>
      </c>
      <c r="C34" s="42"/>
      <c r="D34" s="42"/>
      <c r="E34" s="42"/>
      <c r="F34" s="786" t="s">
        <v>32</v>
      </c>
      <c r="G34" s="798"/>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28.8" hidden="1">
      <c r="B35" s="1" t="s">
        <v>5</v>
      </c>
      <c r="C35" s="807" t="s">
        <v>15</v>
      </c>
      <c r="D35" s="807"/>
      <c r="E35" s="807"/>
      <c r="F35" s="13" t="s">
        <v>34</v>
      </c>
      <c r="G35" s="12" t="s">
        <v>33</v>
      </c>
      <c r="H35" s="12" t="str">
        <f ca="1">IF(PVP="",TEXT(TODAY(),"yyyy"),TEXT(PVP,"yyyy"))</f>
        <v>2022</v>
      </c>
      <c r="I35" s="12">
        <f t="shared" ref="I35:AN35" ca="1" si="19">$H$7+I34</f>
        <v>2023</v>
      </c>
      <c r="J35" s="12">
        <f t="shared" ca="1" si="19"/>
        <v>2024</v>
      </c>
      <c r="K35" s="12">
        <f t="shared" ca="1" si="19"/>
        <v>2025</v>
      </c>
      <c r="L35" s="12">
        <f t="shared" ca="1" si="19"/>
        <v>2026</v>
      </c>
      <c r="M35" s="12">
        <f t="shared" ca="1" si="19"/>
        <v>2027</v>
      </c>
      <c r="N35" s="12">
        <f t="shared" ca="1" si="19"/>
        <v>2028</v>
      </c>
      <c r="O35" s="12">
        <f t="shared" ca="1" si="19"/>
        <v>2029</v>
      </c>
      <c r="P35" s="12">
        <f t="shared" ca="1" si="19"/>
        <v>2030</v>
      </c>
      <c r="Q35" s="12">
        <f t="shared" ca="1" si="19"/>
        <v>2031</v>
      </c>
      <c r="R35" s="12">
        <f t="shared" ca="1" si="19"/>
        <v>2032</v>
      </c>
      <c r="S35" s="12">
        <f t="shared" ca="1" si="19"/>
        <v>2033</v>
      </c>
      <c r="T35" s="12">
        <f t="shared" ca="1" si="19"/>
        <v>2034</v>
      </c>
      <c r="U35" s="12">
        <f t="shared" ca="1" si="19"/>
        <v>2035</v>
      </c>
      <c r="V35" s="12">
        <f t="shared" ca="1" si="19"/>
        <v>2036</v>
      </c>
      <c r="W35" s="12">
        <f t="shared" ca="1" si="19"/>
        <v>2037</v>
      </c>
      <c r="X35" s="12">
        <f t="shared" ca="1" si="19"/>
        <v>2038</v>
      </c>
      <c r="Y35" s="12">
        <f t="shared" ca="1" si="19"/>
        <v>2039</v>
      </c>
      <c r="Z35" s="12">
        <f t="shared" ca="1" si="19"/>
        <v>2040</v>
      </c>
      <c r="AA35" s="12">
        <f t="shared" ca="1" si="19"/>
        <v>2041</v>
      </c>
      <c r="AB35" s="12">
        <f t="shared" ca="1" si="19"/>
        <v>2042</v>
      </c>
      <c r="AC35" s="12">
        <f t="shared" ca="1" si="19"/>
        <v>2043</v>
      </c>
      <c r="AD35" s="12">
        <f t="shared" ca="1" si="19"/>
        <v>2044</v>
      </c>
      <c r="AE35" s="12">
        <f t="shared" ca="1" si="19"/>
        <v>2045</v>
      </c>
      <c r="AF35" s="12">
        <f t="shared" ca="1" si="19"/>
        <v>2046</v>
      </c>
      <c r="AG35" s="12">
        <f t="shared" ca="1" si="19"/>
        <v>2047</v>
      </c>
      <c r="AH35" s="12">
        <f t="shared" ca="1" si="19"/>
        <v>2048</v>
      </c>
      <c r="AI35" s="12">
        <f t="shared" ca="1" si="19"/>
        <v>2049</v>
      </c>
      <c r="AJ35" s="12">
        <f t="shared" ca="1" si="19"/>
        <v>2050</v>
      </c>
      <c r="AK35" s="12">
        <f t="shared" ca="1" si="19"/>
        <v>2051</v>
      </c>
      <c r="AL35" s="12">
        <f t="shared" ca="1" si="19"/>
        <v>2052</v>
      </c>
      <c r="AM35" s="12">
        <f t="shared" ca="1" si="19"/>
        <v>2053</v>
      </c>
      <c r="AN35" s="12">
        <f t="shared" ca="1" si="19"/>
        <v>2054</v>
      </c>
      <c r="AO35" s="12">
        <f t="shared" ref="AO35:BT35" ca="1" si="20">$H$7+AO34</f>
        <v>2055</v>
      </c>
      <c r="AP35" s="12">
        <f t="shared" ca="1" si="20"/>
        <v>2056</v>
      </c>
      <c r="AQ35" s="12">
        <f t="shared" ca="1" si="20"/>
        <v>2057</v>
      </c>
      <c r="AR35" s="12">
        <f t="shared" ca="1" si="20"/>
        <v>2058</v>
      </c>
      <c r="AS35" s="12">
        <f t="shared" ca="1" si="20"/>
        <v>2059</v>
      </c>
      <c r="AT35" s="12">
        <f t="shared" ca="1" si="20"/>
        <v>2060</v>
      </c>
      <c r="AU35" s="12">
        <f t="shared" ca="1" si="20"/>
        <v>2061</v>
      </c>
      <c r="AV35" s="12">
        <f t="shared" ca="1" si="20"/>
        <v>2062</v>
      </c>
      <c r="AW35" s="12">
        <f t="shared" ca="1" si="20"/>
        <v>2063</v>
      </c>
      <c r="AX35" s="12">
        <f t="shared" ca="1" si="20"/>
        <v>2064</v>
      </c>
      <c r="AY35" s="12">
        <f t="shared" ca="1" si="20"/>
        <v>2065</v>
      </c>
      <c r="AZ35" s="12">
        <f t="shared" ca="1" si="20"/>
        <v>2066</v>
      </c>
      <c r="BA35" s="12">
        <f t="shared" ca="1" si="20"/>
        <v>2067</v>
      </c>
      <c r="BB35" s="12">
        <f t="shared" ca="1" si="20"/>
        <v>2068</v>
      </c>
      <c r="BC35" s="12">
        <f t="shared" ca="1" si="20"/>
        <v>2069</v>
      </c>
      <c r="BD35" s="12">
        <f t="shared" ca="1" si="20"/>
        <v>2070</v>
      </c>
      <c r="BE35" s="12">
        <f t="shared" ca="1" si="20"/>
        <v>2071</v>
      </c>
      <c r="BF35" s="12">
        <f t="shared" ca="1" si="20"/>
        <v>2072</v>
      </c>
      <c r="BG35" s="12">
        <f t="shared" ca="1" si="20"/>
        <v>2073</v>
      </c>
      <c r="BH35" s="12">
        <f t="shared" ca="1" si="20"/>
        <v>2074</v>
      </c>
      <c r="BI35" s="12">
        <f t="shared" ca="1" si="20"/>
        <v>2075</v>
      </c>
      <c r="BJ35" s="12">
        <f t="shared" ca="1" si="20"/>
        <v>2076</v>
      </c>
      <c r="BK35" s="12">
        <f t="shared" ca="1" si="20"/>
        <v>2077</v>
      </c>
      <c r="BL35" s="12">
        <f t="shared" ca="1" si="20"/>
        <v>2078</v>
      </c>
      <c r="BM35" s="12">
        <f t="shared" ca="1" si="20"/>
        <v>2079</v>
      </c>
      <c r="BN35" s="12">
        <f t="shared" ca="1" si="20"/>
        <v>2080</v>
      </c>
      <c r="BO35" s="12">
        <f t="shared" ca="1" si="20"/>
        <v>2081</v>
      </c>
      <c r="BP35" s="12">
        <f t="shared" ca="1" si="20"/>
        <v>2082</v>
      </c>
      <c r="BQ35" s="12">
        <f t="shared" ca="1" si="20"/>
        <v>2083</v>
      </c>
      <c r="BR35" s="12">
        <f t="shared" ca="1" si="20"/>
        <v>2084</v>
      </c>
      <c r="BS35" s="12">
        <f t="shared" ca="1" si="20"/>
        <v>2085</v>
      </c>
      <c r="BT35" s="12">
        <f t="shared" ca="1" si="20"/>
        <v>2086</v>
      </c>
      <c r="BU35" s="12">
        <f t="shared" ref="BU35:CZ35" ca="1" si="21">$H$7+BU34</f>
        <v>2087</v>
      </c>
      <c r="BV35" s="12">
        <f t="shared" ca="1" si="21"/>
        <v>2088</v>
      </c>
      <c r="BW35" s="12">
        <f t="shared" ca="1" si="21"/>
        <v>2089</v>
      </c>
      <c r="BX35" s="12">
        <f t="shared" ca="1" si="21"/>
        <v>2090</v>
      </c>
      <c r="BY35" s="12">
        <f t="shared" ca="1" si="21"/>
        <v>2091</v>
      </c>
      <c r="BZ35" s="12">
        <f t="shared" ca="1" si="21"/>
        <v>2092</v>
      </c>
      <c r="CA35" s="12">
        <f t="shared" ca="1" si="21"/>
        <v>2093</v>
      </c>
      <c r="CB35" s="12">
        <f t="shared" ca="1" si="21"/>
        <v>2094</v>
      </c>
      <c r="CC35" s="12">
        <f t="shared" ca="1" si="21"/>
        <v>2095</v>
      </c>
      <c r="CD35" s="12">
        <f t="shared" ca="1" si="21"/>
        <v>2096</v>
      </c>
      <c r="CE35" s="12">
        <f t="shared" ca="1" si="21"/>
        <v>2097</v>
      </c>
      <c r="CF35" s="12">
        <f t="shared" ca="1" si="21"/>
        <v>2098</v>
      </c>
      <c r="CG35" s="12">
        <f t="shared" ca="1" si="21"/>
        <v>2099</v>
      </c>
      <c r="CH35" s="12">
        <f t="shared" ca="1" si="21"/>
        <v>2100</v>
      </c>
      <c r="CI35" s="12">
        <f t="shared" ca="1" si="21"/>
        <v>2101</v>
      </c>
      <c r="CJ35" s="12">
        <f t="shared" ca="1" si="21"/>
        <v>2102</v>
      </c>
      <c r="CK35" s="12">
        <f t="shared" ca="1" si="21"/>
        <v>2103</v>
      </c>
      <c r="CL35" s="12">
        <f t="shared" ca="1" si="21"/>
        <v>2104</v>
      </c>
      <c r="CM35" s="12">
        <f t="shared" ca="1" si="21"/>
        <v>2105</v>
      </c>
      <c r="CN35" s="12">
        <f t="shared" ca="1" si="21"/>
        <v>2106</v>
      </c>
      <c r="CO35" s="12">
        <f t="shared" ca="1" si="21"/>
        <v>2107</v>
      </c>
      <c r="CP35" s="12">
        <f t="shared" ca="1" si="21"/>
        <v>2108</v>
      </c>
      <c r="CQ35" s="12">
        <f t="shared" ca="1" si="21"/>
        <v>2109</v>
      </c>
      <c r="CR35" s="12">
        <f t="shared" ca="1" si="21"/>
        <v>2110</v>
      </c>
      <c r="CS35" s="12">
        <f t="shared" ca="1" si="21"/>
        <v>2111</v>
      </c>
      <c r="CT35" s="12">
        <f t="shared" ca="1" si="21"/>
        <v>2112</v>
      </c>
      <c r="CU35" s="12">
        <f t="shared" ca="1" si="21"/>
        <v>2113</v>
      </c>
      <c r="CV35" s="12">
        <f t="shared" ca="1" si="21"/>
        <v>2114</v>
      </c>
      <c r="CW35" s="12">
        <f t="shared" ca="1" si="21"/>
        <v>2115</v>
      </c>
      <c r="CX35" s="12">
        <f t="shared" ca="1" si="21"/>
        <v>2116</v>
      </c>
      <c r="CY35" s="12">
        <f t="shared" ca="1" si="21"/>
        <v>2117</v>
      </c>
      <c r="CZ35" s="12">
        <f t="shared" ca="1" si="21"/>
        <v>2118</v>
      </c>
      <c r="DA35" s="12">
        <f ca="1">$H$7+DA34</f>
        <v>2119</v>
      </c>
      <c r="DB35" s="12">
        <f ca="1">$H$7+DB34</f>
        <v>2120</v>
      </c>
      <c r="DC35" s="12">
        <f ca="1">$H$7+DC34</f>
        <v>2121</v>
      </c>
    </row>
    <row r="36" spans="2:107" ht="15" hidden="1" customHeight="1">
      <c r="B36" s="5" t="s">
        <v>242</v>
      </c>
      <c r="C36" s="809" t="s">
        <v>265</v>
      </c>
      <c r="D36" s="809"/>
      <c r="E36" s="809"/>
      <c r="F36" s="43">
        <f>H36+NPV(FD,I36:INDEX(I36:DC36,PAL))</f>
        <v>0</v>
      </c>
      <c r="G36" s="43">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243</v>
      </c>
      <c r="C37" s="815" t="s">
        <v>266</v>
      </c>
      <c r="D37" s="815"/>
      <c r="E37" s="815"/>
      <c r="F37" s="43">
        <f>H37+NPV(FD,I37:INDEX(I37:DC37,PAL))</f>
        <v>0</v>
      </c>
      <c r="G37" s="43">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281</v>
      </c>
      <c r="C38" s="815" t="s">
        <v>413</v>
      </c>
      <c r="D38" s="815"/>
      <c r="E38" s="815"/>
      <c r="F38" s="43">
        <f>H38+NPV(FD,I38:INDEX(I38:DC38,PAL))</f>
        <v>0</v>
      </c>
      <c r="G38" s="43">
        <f>SUMIF($H$6:$DC$6,"&lt;="&amp;PAL,$H38:$DC38)</f>
        <v>0</v>
      </c>
      <c r="H38" s="41">
        <f>SUMPRODUCT('Alternatyva 5'!H$106:H$110,100*'Alternatyva 5'!$D$106:$D$110,1/('Alternatyva 5'!$DG$106:$DG$110+100),'Alternatyva 5'!$DH$106:$DH$110)</f>
        <v>0</v>
      </c>
      <c r="I38" s="41">
        <f>SUMPRODUCT('Alternatyva 5'!I$106:I$110,100*'Alternatyva 5'!$D$106:$D$110,1/('Alternatyva 5'!$DG$106:$DG$110+100),'Alternatyva 5'!$DH$106:$DH$110)</f>
        <v>0</v>
      </c>
      <c r="J38" s="41">
        <f>SUMPRODUCT('Alternatyva 5'!J$106:J$110,100*'Alternatyva 5'!$D$106:$D$110,1/('Alternatyva 5'!$DG$106:$DG$110+100),'Alternatyva 5'!$DH$106:$DH$110)</f>
        <v>0</v>
      </c>
      <c r="K38" s="41">
        <f>SUMPRODUCT('Alternatyva 5'!K$106:K$110,100*'Alternatyva 5'!$D$106:$D$110,1/('Alternatyva 5'!$DG$106:$DG$110+100),'Alternatyva 5'!$DH$106:$DH$110)</f>
        <v>0</v>
      </c>
      <c r="L38" s="41">
        <f>SUMPRODUCT('Alternatyva 5'!L$106:L$110,100*'Alternatyva 5'!$D$106:$D$110,1/('Alternatyva 5'!$DG$106:$DG$110+100),'Alternatyva 5'!$DH$106:$DH$110)</f>
        <v>0</v>
      </c>
      <c r="M38" s="41">
        <f>SUMPRODUCT('Alternatyva 5'!M$106:M$110,100*'Alternatyva 5'!$D$106:$D$110,1/('Alternatyva 5'!$DG$106:$DG$110+100),'Alternatyva 5'!$DH$106:$DH$110)</f>
        <v>0</v>
      </c>
      <c r="N38" s="41">
        <f>SUMPRODUCT('Alternatyva 5'!N$106:N$110,100*'Alternatyva 5'!$D$106:$D$110,1/('Alternatyva 5'!$DG$106:$DG$110+100),'Alternatyva 5'!$DH$106:$DH$110)</f>
        <v>0</v>
      </c>
      <c r="O38" s="41">
        <f>SUMPRODUCT('Alternatyva 5'!O$106:O$110,100*'Alternatyva 5'!$D$106:$D$110,1/('Alternatyva 5'!$DG$106:$DG$110+100),'Alternatyva 5'!$DH$106:$DH$110)</f>
        <v>0</v>
      </c>
      <c r="P38" s="41">
        <f>SUMPRODUCT('Alternatyva 5'!P$106:P$110,100*'Alternatyva 5'!$D$106:$D$110,1/('Alternatyva 5'!$DG$106:$DG$110+100),'Alternatyva 5'!$DH$106:$DH$110)</f>
        <v>0</v>
      </c>
      <c r="Q38" s="41">
        <f>SUMPRODUCT('Alternatyva 5'!Q$106:Q$110,100*'Alternatyva 5'!$D$106:$D$110,1/('Alternatyva 5'!$DG$106:$DG$110+100),'Alternatyva 5'!$DH$106:$DH$110)</f>
        <v>0</v>
      </c>
      <c r="R38" s="41">
        <f>SUMPRODUCT('Alternatyva 5'!R$106:R$110,100*'Alternatyva 5'!$D$106:$D$110,1/('Alternatyva 5'!$DG$106:$DG$110+100),'Alternatyva 5'!$DH$106:$DH$110)</f>
        <v>0</v>
      </c>
      <c r="S38" s="41">
        <f>SUMPRODUCT('Alternatyva 5'!S$106:S$110,100*'Alternatyva 5'!$D$106:$D$110,1/('Alternatyva 5'!$DG$106:$DG$110+100),'Alternatyva 5'!$DH$106:$DH$110)</f>
        <v>0</v>
      </c>
      <c r="T38" s="41">
        <f>SUMPRODUCT('Alternatyva 5'!T$106:T$110,100*'Alternatyva 5'!$D$106:$D$110,1/('Alternatyva 5'!$DG$106:$DG$110+100),'Alternatyva 5'!$DH$106:$DH$110)</f>
        <v>0</v>
      </c>
      <c r="U38" s="41">
        <f>SUMPRODUCT('Alternatyva 5'!U$106:U$110,100*'Alternatyva 5'!$D$106:$D$110,1/('Alternatyva 5'!$DG$106:$DG$110+100),'Alternatyva 5'!$DH$106:$DH$110)</f>
        <v>0</v>
      </c>
      <c r="V38" s="41">
        <f>SUMPRODUCT('Alternatyva 5'!V$106:V$110,100*'Alternatyva 5'!$D$106:$D$110,1/('Alternatyva 5'!$DG$106:$DG$110+100),'Alternatyva 5'!$DH$106:$DH$110)</f>
        <v>0</v>
      </c>
      <c r="W38" s="41">
        <f>SUMPRODUCT('Alternatyva 5'!W$106:W$110,100*'Alternatyva 5'!$D$106:$D$110,1/('Alternatyva 5'!$DG$106:$DG$110+100),'Alternatyva 5'!$DH$106:$DH$110)</f>
        <v>0</v>
      </c>
      <c r="X38" s="41">
        <f>SUMPRODUCT('Alternatyva 5'!X$106:X$110,100*'Alternatyva 5'!$D$106:$D$110,1/('Alternatyva 5'!$DG$106:$DG$110+100),'Alternatyva 5'!$DH$106:$DH$110)</f>
        <v>0</v>
      </c>
      <c r="Y38" s="41">
        <f>SUMPRODUCT('Alternatyva 5'!Y$106:Y$110,100*'Alternatyva 5'!$D$106:$D$110,1/('Alternatyva 5'!$DG$106:$DG$110+100),'Alternatyva 5'!$DH$106:$DH$110)</f>
        <v>0</v>
      </c>
      <c r="Z38" s="41">
        <f>SUMPRODUCT('Alternatyva 5'!Z$106:Z$110,100*'Alternatyva 5'!$D$106:$D$110,1/('Alternatyva 5'!$DG$106:$DG$110+100),'Alternatyva 5'!$DH$106:$DH$110)</f>
        <v>0</v>
      </c>
      <c r="AA38" s="41">
        <f>SUMPRODUCT('Alternatyva 5'!AA$106:AA$110,100*'Alternatyva 5'!$D$106:$D$110,1/('Alternatyva 5'!$DG$106:$DG$110+100),'Alternatyva 5'!$DH$106:$DH$110)</f>
        <v>0</v>
      </c>
      <c r="AB38" s="41">
        <f>SUMPRODUCT('Alternatyva 5'!AB$106:AB$110,100*'Alternatyva 5'!$D$106:$D$110,1/('Alternatyva 5'!$DG$106:$DG$110+100),'Alternatyva 5'!$DH$106:$DH$110)</f>
        <v>0</v>
      </c>
      <c r="AC38" s="41">
        <f>SUMPRODUCT('Alternatyva 5'!AC$106:AC$110,100*'Alternatyva 5'!$D$106:$D$110,1/('Alternatyva 5'!$DG$106:$DG$110+100),'Alternatyva 5'!$DH$106:$DH$110)</f>
        <v>0</v>
      </c>
      <c r="AD38" s="41">
        <f>SUMPRODUCT('Alternatyva 5'!AD$106:AD$110,100*'Alternatyva 5'!$D$106:$D$110,1/('Alternatyva 5'!$DG$106:$DG$110+100),'Alternatyva 5'!$DH$106:$DH$110)</f>
        <v>0</v>
      </c>
      <c r="AE38" s="41">
        <f>SUMPRODUCT('Alternatyva 5'!AE$106:AE$110,100*'Alternatyva 5'!$D$106:$D$110,1/('Alternatyva 5'!$DG$106:$DG$110+100),'Alternatyva 5'!$DH$106:$DH$110)</f>
        <v>0</v>
      </c>
      <c r="AF38" s="41">
        <f>SUMPRODUCT('Alternatyva 5'!AF$106:AF$110,100*'Alternatyva 5'!$D$106:$D$110,1/('Alternatyva 5'!$DG$106:$DG$110+100),'Alternatyva 5'!$DH$106:$DH$110)</f>
        <v>0</v>
      </c>
      <c r="AG38" s="41">
        <f>SUMPRODUCT('Alternatyva 5'!AG$106:AG$110,100*'Alternatyva 5'!$D$106:$D$110,1/('Alternatyva 5'!$DG$106:$DG$110+100),'Alternatyva 5'!$DH$106:$DH$110)</f>
        <v>0</v>
      </c>
      <c r="AH38" s="41">
        <f>SUMPRODUCT('Alternatyva 5'!AH$106:AH$110,100*'Alternatyva 5'!$D$106:$D$110,1/('Alternatyva 5'!$DG$106:$DG$110+100),'Alternatyva 5'!$DH$106:$DH$110)</f>
        <v>0</v>
      </c>
      <c r="AI38" s="41">
        <f>SUMPRODUCT('Alternatyva 5'!AI$106:AI$110,100*'Alternatyva 5'!$D$106:$D$110,1/('Alternatyva 5'!$DG$106:$DG$110+100),'Alternatyva 5'!$DH$106:$DH$110)</f>
        <v>0</v>
      </c>
      <c r="AJ38" s="41">
        <f>SUMPRODUCT('Alternatyva 5'!AJ$106:AJ$110,100*'Alternatyva 5'!$D$106:$D$110,1/('Alternatyva 5'!$DG$106:$DG$110+100),'Alternatyva 5'!$DH$106:$DH$110)</f>
        <v>0</v>
      </c>
      <c r="AK38" s="41">
        <f>SUMPRODUCT('Alternatyva 5'!AK$106:AK$110,100*'Alternatyva 5'!$D$106:$D$110,1/('Alternatyva 5'!$DG$106:$DG$110+100),'Alternatyva 5'!$DH$106:$DH$110)</f>
        <v>0</v>
      </c>
      <c r="AL38" s="41">
        <f>SUMPRODUCT('Alternatyva 5'!AL$106:AL$110,100*'Alternatyva 5'!$D$106:$D$110,1/('Alternatyva 5'!$DG$106:$DG$110+100),'Alternatyva 5'!$DH$106:$DH$110)</f>
        <v>0</v>
      </c>
      <c r="AM38" s="41">
        <f>SUMPRODUCT('Alternatyva 5'!AM$106:AM$110,100*'Alternatyva 5'!$D$106:$D$110,1/('Alternatyva 5'!$DG$106:$DG$110+100),'Alternatyva 5'!$DH$106:$DH$110)</f>
        <v>0</v>
      </c>
      <c r="AN38" s="41">
        <f>SUMPRODUCT('Alternatyva 5'!AN$106:AN$110,100*'Alternatyva 5'!$D$106:$D$110,1/('Alternatyva 5'!$DG$106:$DG$110+100),'Alternatyva 5'!$DH$106:$DH$110)</f>
        <v>0</v>
      </c>
      <c r="AO38" s="41">
        <f>SUMPRODUCT('Alternatyva 5'!AO$106:AO$110,100*'Alternatyva 5'!$D$106:$D$110,1/('Alternatyva 5'!$DG$106:$DG$110+100),'Alternatyva 5'!$DH$106:$DH$110)</f>
        <v>0</v>
      </c>
      <c r="AP38" s="41">
        <f>SUMPRODUCT('Alternatyva 5'!AP$106:AP$110,100*'Alternatyva 5'!$D$106:$D$110,1/('Alternatyva 5'!$DG$106:$DG$110+100),'Alternatyva 5'!$DH$106:$DH$110)</f>
        <v>0</v>
      </c>
      <c r="AQ38" s="41">
        <f>SUMPRODUCT('Alternatyva 5'!AQ$106:AQ$110,100*'Alternatyva 5'!$D$106:$D$110,1/('Alternatyva 5'!$DG$106:$DG$110+100),'Alternatyva 5'!$DH$106:$DH$110)</f>
        <v>0</v>
      </c>
      <c r="AR38" s="41">
        <f>SUMPRODUCT('Alternatyva 5'!AR$106:AR$110,100*'Alternatyva 5'!$D$106:$D$110,1/('Alternatyva 5'!$DG$106:$DG$110+100),'Alternatyva 5'!$DH$106:$DH$110)</f>
        <v>0</v>
      </c>
      <c r="AS38" s="41">
        <f>SUMPRODUCT('Alternatyva 5'!AS$106:AS$110,100*'Alternatyva 5'!$D$106:$D$110,1/('Alternatyva 5'!$DG$106:$DG$110+100),'Alternatyva 5'!$DH$106:$DH$110)</f>
        <v>0</v>
      </c>
      <c r="AT38" s="41">
        <f>SUMPRODUCT('Alternatyva 5'!AT$106:AT$110,100*'Alternatyva 5'!$D$106:$D$110,1/('Alternatyva 5'!$DG$106:$DG$110+100),'Alternatyva 5'!$DH$106:$DH$110)</f>
        <v>0</v>
      </c>
      <c r="AU38" s="41">
        <f>SUMPRODUCT('Alternatyva 5'!AU$106:AU$110,100*'Alternatyva 5'!$D$106:$D$110,1/('Alternatyva 5'!$DG$106:$DG$110+100),'Alternatyva 5'!$DH$106:$DH$110)</f>
        <v>0</v>
      </c>
      <c r="AV38" s="41">
        <f>SUMPRODUCT('Alternatyva 5'!AV$106:AV$110,100*'Alternatyva 5'!$D$106:$D$110,1/('Alternatyva 5'!$DG$106:$DG$110+100),'Alternatyva 5'!$DH$106:$DH$110)</f>
        <v>0</v>
      </c>
      <c r="AW38" s="41">
        <f>SUMPRODUCT('Alternatyva 5'!AW$106:AW$110,100*'Alternatyva 5'!$D$106:$D$110,1/('Alternatyva 5'!$DG$106:$DG$110+100),'Alternatyva 5'!$DH$106:$DH$110)</f>
        <v>0</v>
      </c>
      <c r="AX38" s="41">
        <f>SUMPRODUCT('Alternatyva 5'!AX$106:AX$110,100*'Alternatyva 5'!$D$106:$D$110,1/('Alternatyva 5'!$DG$106:$DG$110+100),'Alternatyva 5'!$DH$106:$DH$110)</f>
        <v>0</v>
      </c>
      <c r="AY38" s="41">
        <f>SUMPRODUCT('Alternatyva 5'!AY$106:AY$110,100*'Alternatyva 5'!$D$106:$D$110,1/('Alternatyva 5'!$DG$106:$DG$110+100),'Alternatyva 5'!$DH$106:$DH$110)</f>
        <v>0</v>
      </c>
      <c r="AZ38" s="41">
        <f>SUMPRODUCT('Alternatyva 5'!AZ$106:AZ$110,100*'Alternatyva 5'!$D$106:$D$110,1/('Alternatyva 5'!$DG$106:$DG$110+100),'Alternatyva 5'!$DH$106:$DH$110)</f>
        <v>0</v>
      </c>
      <c r="BA38" s="41">
        <f>SUMPRODUCT('Alternatyva 5'!BA$106:BA$110,100*'Alternatyva 5'!$D$106:$D$110,1/('Alternatyva 5'!$DG$106:$DG$110+100),'Alternatyva 5'!$DH$106:$DH$110)</f>
        <v>0</v>
      </c>
      <c r="BB38" s="41">
        <f>SUMPRODUCT('Alternatyva 5'!BB$106:BB$110,100*'Alternatyva 5'!$D$106:$D$110,1/('Alternatyva 5'!$DG$106:$DG$110+100),'Alternatyva 5'!$DH$106:$DH$110)</f>
        <v>0</v>
      </c>
      <c r="BC38" s="41">
        <f>SUMPRODUCT('Alternatyva 5'!BC$106:BC$110,100*'Alternatyva 5'!$D$106:$D$110,1/('Alternatyva 5'!$DG$106:$DG$110+100),'Alternatyva 5'!$DH$106:$DH$110)</f>
        <v>0</v>
      </c>
      <c r="BD38" s="41">
        <f>SUMPRODUCT('Alternatyva 5'!BD$106:BD$110,100*'Alternatyva 5'!$D$106:$D$110,1/('Alternatyva 5'!$DG$106:$DG$110+100),'Alternatyva 5'!$DH$106:$DH$110)</f>
        <v>0</v>
      </c>
      <c r="BE38" s="41">
        <f>SUMPRODUCT('Alternatyva 5'!BE$106:BE$110,100*'Alternatyva 5'!$D$106:$D$110,1/('Alternatyva 5'!$DG$106:$DG$110+100),'Alternatyva 5'!$DH$106:$DH$110)</f>
        <v>0</v>
      </c>
      <c r="BF38" s="41">
        <f>SUMPRODUCT('Alternatyva 5'!BF$106:BF$110,100*'Alternatyva 5'!$D$106:$D$110,1/('Alternatyva 5'!$DG$106:$DG$110+100),'Alternatyva 5'!$DH$106:$DH$110)</f>
        <v>0</v>
      </c>
      <c r="BG38" s="41">
        <f>SUMPRODUCT('Alternatyva 5'!BG$106:BG$110,100*'Alternatyva 5'!$D$106:$D$110,1/('Alternatyva 5'!$DG$106:$DG$110+100),'Alternatyva 5'!$DH$106:$DH$110)</f>
        <v>0</v>
      </c>
      <c r="BH38" s="41">
        <f>SUMPRODUCT('Alternatyva 5'!BH$106:BH$110,100*'Alternatyva 5'!$D$106:$D$110,1/('Alternatyva 5'!$DG$106:$DG$110+100),'Alternatyva 5'!$DH$106:$DH$110)</f>
        <v>0</v>
      </c>
      <c r="BI38" s="41">
        <f>SUMPRODUCT('Alternatyva 5'!BI$106:BI$110,100*'Alternatyva 5'!$D$106:$D$110,1/('Alternatyva 5'!$DG$106:$DG$110+100),'Alternatyva 5'!$DH$106:$DH$110)</f>
        <v>0</v>
      </c>
      <c r="BJ38" s="41">
        <f>SUMPRODUCT('Alternatyva 5'!BJ$106:BJ$110,100*'Alternatyva 5'!$D$106:$D$110,1/('Alternatyva 5'!$DG$106:$DG$110+100),'Alternatyva 5'!$DH$106:$DH$110)</f>
        <v>0</v>
      </c>
      <c r="BK38" s="41">
        <f>SUMPRODUCT('Alternatyva 5'!BK$106:BK$110,100*'Alternatyva 5'!$D$106:$D$110,1/('Alternatyva 5'!$DG$106:$DG$110+100),'Alternatyva 5'!$DH$106:$DH$110)</f>
        <v>0</v>
      </c>
      <c r="BL38" s="41">
        <f>SUMPRODUCT('Alternatyva 5'!BL$106:BL$110,100*'Alternatyva 5'!$D$106:$D$110,1/('Alternatyva 5'!$DG$106:$DG$110+100),'Alternatyva 5'!$DH$106:$DH$110)</f>
        <v>0</v>
      </c>
      <c r="BM38" s="41">
        <f>SUMPRODUCT('Alternatyva 5'!BM$106:BM$110,100*'Alternatyva 5'!$D$106:$D$110,1/('Alternatyva 5'!$DG$106:$DG$110+100),'Alternatyva 5'!$DH$106:$DH$110)</f>
        <v>0</v>
      </c>
      <c r="BN38" s="41">
        <f>SUMPRODUCT('Alternatyva 5'!BN$106:BN$110,100*'Alternatyva 5'!$D$106:$D$110,1/('Alternatyva 5'!$DG$106:$DG$110+100),'Alternatyva 5'!$DH$106:$DH$110)</f>
        <v>0</v>
      </c>
      <c r="BO38" s="41">
        <f>SUMPRODUCT('Alternatyva 5'!BO$106:BO$110,100*'Alternatyva 5'!$D$106:$D$110,1/('Alternatyva 5'!$DG$106:$DG$110+100),'Alternatyva 5'!$DH$106:$DH$110)</f>
        <v>0</v>
      </c>
      <c r="BP38" s="41">
        <f>SUMPRODUCT('Alternatyva 5'!BP$106:BP$110,100*'Alternatyva 5'!$D$106:$D$110,1/('Alternatyva 5'!$DG$106:$DG$110+100),'Alternatyva 5'!$DH$106:$DH$110)</f>
        <v>0</v>
      </c>
      <c r="BQ38" s="41">
        <f>SUMPRODUCT('Alternatyva 5'!BQ$106:BQ$110,100*'Alternatyva 5'!$D$106:$D$110,1/('Alternatyva 5'!$DG$106:$DG$110+100),'Alternatyva 5'!$DH$106:$DH$110)</f>
        <v>0</v>
      </c>
      <c r="BR38" s="41">
        <f>SUMPRODUCT('Alternatyva 5'!BR$106:BR$110,100*'Alternatyva 5'!$D$106:$D$110,1/('Alternatyva 5'!$DG$106:$DG$110+100),'Alternatyva 5'!$DH$106:$DH$110)</f>
        <v>0</v>
      </c>
      <c r="BS38" s="41">
        <f>SUMPRODUCT('Alternatyva 5'!BS$106:BS$110,100*'Alternatyva 5'!$D$106:$D$110,1/('Alternatyva 5'!$DG$106:$DG$110+100),'Alternatyva 5'!$DH$106:$DH$110)</f>
        <v>0</v>
      </c>
      <c r="BT38" s="41">
        <f>SUMPRODUCT('Alternatyva 5'!BT$106:BT$110,100*'Alternatyva 5'!$D$106:$D$110,1/('Alternatyva 5'!$DG$106:$DG$110+100),'Alternatyva 5'!$DH$106:$DH$110)</f>
        <v>0</v>
      </c>
      <c r="BU38" s="41">
        <f>SUMPRODUCT('Alternatyva 5'!BU$106:BU$110,100*'Alternatyva 5'!$D$106:$D$110,1/('Alternatyva 5'!$DG$106:$DG$110+100),'Alternatyva 5'!$DH$106:$DH$110)</f>
        <v>0</v>
      </c>
      <c r="BV38" s="41">
        <f>SUMPRODUCT('Alternatyva 5'!BV$106:BV$110,100*'Alternatyva 5'!$D$106:$D$110,1/('Alternatyva 5'!$DG$106:$DG$110+100),'Alternatyva 5'!$DH$106:$DH$110)</f>
        <v>0</v>
      </c>
      <c r="BW38" s="41">
        <f>SUMPRODUCT('Alternatyva 5'!BW$106:BW$110,100*'Alternatyva 5'!$D$106:$D$110,1/('Alternatyva 5'!$DG$106:$DG$110+100),'Alternatyva 5'!$DH$106:$DH$110)</f>
        <v>0</v>
      </c>
      <c r="BX38" s="41">
        <f>SUMPRODUCT('Alternatyva 5'!BX$106:BX$110,100*'Alternatyva 5'!$D$106:$D$110,1/('Alternatyva 5'!$DG$106:$DG$110+100),'Alternatyva 5'!$DH$106:$DH$110)</f>
        <v>0</v>
      </c>
      <c r="BY38" s="41">
        <f>SUMPRODUCT('Alternatyva 5'!BY$106:BY$110,100*'Alternatyva 5'!$D$106:$D$110,1/('Alternatyva 5'!$DG$106:$DG$110+100),'Alternatyva 5'!$DH$106:$DH$110)</f>
        <v>0</v>
      </c>
      <c r="BZ38" s="41">
        <f>SUMPRODUCT('Alternatyva 5'!BZ$106:BZ$110,100*'Alternatyva 5'!$D$106:$D$110,1/('Alternatyva 5'!$DG$106:$DG$110+100),'Alternatyva 5'!$DH$106:$DH$110)</f>
        <v>0</v>
      </c>
      <c r="CA38" s="41">
        <f>SUMPRODUCT('Alternatyva 5'!CA$106:CA$110,100*'Alternatyva 5'!$D$106:$D$110,1/('Alternatyva 5'!$DG$106:$DG$110+100),'Alternatyva 5'!$DH$106:$DH$110)</f>
        <v>0</v>
      </c>
      <c r="CB38" s="41">
        <f>SUMPRODUCT('Alternatyva 5'!CB$106:CB$110,100*'Alternatyva 5'!$D$106:$D$110,1/('Alternatyva 5'!$DG$106:$DG$110+100),'Alternatyva 5'!$DH$106:$DH$110)</f>
        <v>0</v>
      </c>
      <c r="CC38" s="41">
        <f>SUMPRODUCT('Alternatyva 5'!CC$106:CC$110,100*'Alternatyva 5'!$D$106:$D$110,1/('Alternatyva 5'!$DG$106:$DG$110+100),'Alternatyva 5'!$DH$106:$DH$110)</f>
        <v>0</v>
      </c>
      <c r="CD38" s="41">
        <f>SUMPRODUCT('Alternatyva 5'!CD$106:CD$110,100*'Alternatyva 5'!$D$106:$D$110,1/('Alternatyva 5'!$DG$106:$DG$110+100),'Alternatyva 5'!$DH$106:$DH$110)</f>
        <v>0</v>
      </c>
      <c r="CE38" s="41">
        <f>SUMPRODUCT('Alternatyva 5'!CE$106:CE$110,100*'Alternatyva 5'!$D$106:$D$110,1/('Alternatyva 5'!$DG$106:$DG$110+100),'Alternatyva 5'!$DH$106:$DH$110)</f>
        <v>0</v>
      </c>
      <c r="CF38" s="41">
        <f>SUMPRODUCT('Alternatyva 5'!CF$106:CF$110,100*'Alternatyva 5'!$D$106:$D$110,1/('Alternatyva 5'!$DG$106:$DG$110+100),'Alternatyva 5'!$DH$106:$DH$110)</f>
        <v>0</v>
      </c>
      <c r="CG38" s="41">
        <f>SUMPRODUCT('Alternatyva 5'!CG$106:CG$110,100*'Alternatyva 5'!$D$106:$D$110,1/('Alternatyva 5'!$DG$106:$DG$110+100),'Alternatyva 5'!$DH$106:$DH$110)</f>
        <v>0</v>
      </c>
      <c r="CH38" s="41">
        <f>SUMPRODUCT('Alternatyva 5'!CH$106:CH$110,100*'Alternatyva 5'!$D$106:$D$110,1/('Alternatyva 5'!$DG$106:$DG$110+100),'Alternatyva 5'!$DH$106:$DH$110)</f>
        <v>0</v>
      </c>
      <c r="CI38" s="41">
        <f>SUMPRODUCT('Alternatyva 5'!CI$106:CI$110,100*'Alternatyva 5'!$D$106:$D$110,1/('Alternatyva 5'!$DG$106:$DG$110+100),'Alternatyva 5'!$DH$106:$DH$110)</f>
        <v>0</v>
      </c>
      <c r="CJ38" s="41">
        <f>SUMPRODUCT('Alternatyva 5'!CJ$106:CJ$110,100*'Alternatyva 5'!$D$106:$D$110,1/('Alternatyva 5'!$DG$106:$DG$110+100),'Alternatyva 5'!$DH$106:$DH$110)</f>
        <v>0</v>
      </c>
      <c r="CK38" s="41">
        <f>SUMPRODUCT('Alternatyva 5'!CK$106:CK$110,100*'Alternatyva 5'!$D$106:$D$110,1/('Alternatyva 5'!$DG$106:$DG$110+100),'Alternatyva 5'!$DH$106:$DH$110)</f>
        <v>0</v>
      </c>
      <c r="CL38" s="41">
        <f>SUMPRODUCT('Alternatyva 5'!CL$106:CL$110,100*'Alternatyva 5'!$D$106:$D$110,1/('Alternatyva 5'!$DG$106:$DG$110+100),'Alternatyva 5'!$DH$106:$DH$110)</f>
        <v>0</v>
      </c>
      <c r="CM38" s="41">
        <f>SUMPRODUCT('Alternatyva 5'!CM$106:CM$110,100*'Alternatyva 5'!$D$106:$D$110,1/('Alternatyva 5'!$DG$106:$DG$110+100),'Alternatyva 5'!$DH$106:$DH$110)</f>
        <v>0</v>
      </c>
      <c r="CN38" s="41">
        <f>SUMPRODUCT('Alternatyva 5'!CN$106:CN$110,100*'Alternatyva 5'!$D$106:$D$110,1/('Alternatyva 5'!$DG$106:$DG$110+100),'Alternatyva 5'!$DH$106:$DH$110)</f>
        <v>0</v>
      </c>
      <c r="CO38" s="41">
        <f>SUMPRODUCT('Alternatyva 5'!CO$106:CO$110,100*'Alternatyva 5'!$D$106:$D$110,1/('Alternatyva 5'!$DG$106:$DG$110+100),'Alternatyva 5'!$DH$106:$DH$110)</f>
        <v>0</v>
      </c>
      <c r="CP38" s="41">
        <f>SUMPRODUCT('Alternatyva 5'!CP$106:CP$110,100*'Alternatyva 5'!$D$106:$D$110,1/('Alternatyva 5'!$DG$106:$DG$110+100),'Alternatyva 5'!$DH$106:$DH$110)</f>
        <v>0</v>
      </c>
      <c r="CQ38" s="41">
        <f>SUMPRODUCT('Alternatyva 5'!CQ$106:CQ$110,100*'Alternatyva 5'!$D$106:$D$110,1/('Alternatyva 5'!$DG$106:$DG$110+100),'Alternatyva 5'!$DH$106:$DH$110)</f>
        <v>0</v>
      </c>
      <c r="CR38" s="41">
        <f>SUMPRODUCT('Alternatyva 5'!CR$106:CR$110,100*'Alternatyva 5'!$D$106:$D$110,1/('Alternatyva 5'!$DG$106:$DG$110+100),'Alternatyva 5'!$DH$106:$DH$110)</f>
        <v>0</v>
      </c>
      <c r="CS38" s="41">
        <f>SUMPRODUCT('Alternatyva 5'!CS$106:CS$110,100*'Alternatyva 5'!$D$106:$D$110,1/('Alternatyva 5'!$DG$106:$DG$110+100),'Alternatyva 5'!$DH$106:$DH$110)</f>
        <v>0</v>
      </c>
      <c r="CT38" s="41">
        <f>SUMPRODUCT('Alternatyva 5'!CT$106:CT$110,100*'Alternatyva 5'!$D$106:$D$110,1/('Alternatyva 5'!$DG$106:$DG$110+100),'Alternatyva 5'!$DH$106:$DH$110)</f>
        <v>0</v>
      </c>
      <c r="CU38" s="41">
        <f>SUMPRODUCT('Alternatyva 5'!CU$106:CU$110,100*'Alternatyva 5'!$D$106:$D$110,1/('Alternatyva 5'!$DG$106:$DG$110+100),'Alternatyva 5'!$DH$106:$DH$110)</f>
        <v>0</v>
      </c>
      <c r="CV38" s="41">
        <f>SUMPRODUCT('Alternatyva 5'!CV$106:CV$110,100*'Alternatyva 5'!$D$106:$D$110,1/('Alternatyva 5'!$DG$106:$DG$110+100),'Alternatyva 5'!$DH$106:$DH$110)</f>
        <v>0</v>
      </c>
      <c r="CW38" s="41">
        <f>SUMPRODUCT('Alternatyva 5'!CW$106:CW$110,100*'Alternatyva 5'!$D$106:$D$110,1/('Alternatyva 5'!$DG$106:$DG$110+100),'Alternatyva 5'!$DH$106:$DH$110)</f>
        <v>0</v>
      </c>
      <c r="CX38" s="41">
        <f>SUMPRODUCT('Alternatyva 5'!CX$106:CX$110,100*'Alternatyva 5'!$D$106:$D$110,1/('Alternatyva 5'!$DG$106:$DG$110+100),'Alternatyva 5'!$DH$106:$DH$110)</f>
        <v>0</v>
      </c>
      <c r="CY38" s="41">
        <f>SUMPRODUCT('Alternatyva 5'!CY$106:CY$110,100*'Alternatyva 5'!$D$106:$D$110,1/('Alternatyva 5'!$DG$106:$DG$110+100),'Alternatyva 5'!$DH$106:$DH$110)</f>
        <v>0</v>
      </c>
      <c r="CZ38" s="41">
        <f>SUMPRODUCT('Alternatyva 5'!CZ$106:CZ$110,100*'Alternatyva 5'!$D$106:$D$110,1/('Alternatyva 5'!$DG$106:$DG$110+100),'Alternatyva 5'!$DH$106:$DH$110)</f>
        <v>0</v>
      </c>
      <c r="DA38" s="41">
        <f>SUMPRODUCT('Alternatyva 5'!DA$106:DA$110,100*'Alternatyva 5'!$D$106:$D$110,1/('Alternatyva 5'!$DG$106:$DG$110+100),'Alternatyva 5'!$DH$106:$DH$110)</f>
        <v>0</v>
      </c>
      <c r="DB38" s="41">
        <f>SUMPRODUCT('Alternatyva 5'!DB$106:DB$110,100*'Alternatyva 5'!$D$106:$D$110,1/('Alternatyva 5'!$DG$106:$DG$110+100),'Alternatyva 5'!$DH$106:$DH$110)</f>
        <v>0</v>
      </c>
      <c r="DC38" s="41">
        <f>SUMPRODUCT('Alternatyva 5'!DC$106:DC$110,100*'Alternatyva 5'!$D$106:$D$110,1/('Alternatyva 5'!$DG$106:$DG$110+100),'Alternatyva 5'!$DH$106:$DH$110)</f>
        <v>0</v>
      </c>
    </row>
    <row r="39" spans="2:107" hidden="1">
      <c r="C39" s="816" t="s">
        <v>14</v>
      </c>
      <c r="D39" s="816"/>
      <c r="E39" s="816"/>
      <c r="F39" s="43">
        <f>H39+NPV(FD,I39:INDEX(I39:DC39,PAL))</f>
        <v>0</v>
      </c>
      <c r="G39" s="43">
        <f>SUMIF($H$6:$DC$6,"&lt;="&amp;PAL,$H39:$DC39)</f>
        <v>0</v>
      </c>
      <c r="H39" s="41">
        <f>-H36+H37+H38</f>
        <v>0</v>
      </c>
      <c r="I39" s="41">
        <f t="shared" ref="I39:BT39" si="22">-I36+I37+I38</f>
        <v>0</v>
      </c>
      <c r="J39" s="41">
        <f t="shared" si="22"/>
        <v>0</v>
      </c>
      <c r="K39" s="41">
        <f t="shared" si="22"/>
        <v>0</v>
      </c>
      <c r="L39" s="41">
        <f t="shared" si="22"/>
        <v>0</v>
      </c>
      <c r="M39" s="41">
        <f t="shared" si="22"/>
        <v>0</v>
      </c>
      <c r="N39" s="41">
        <f t="shared" si="22"/>
        <v>0</v>
      </c>
      <c r="O39" s="41">
        <f t="shared" si="22"/>
        <v>0</v>
      </c>
      <c r="P39" s="41">
        <f t="shared" si="22"/>
        <v>0</v>
      </c>
      <c r="Q39" s="41">
        <f t="shared" si="22"/>
        <v>0</v>
      </c>
      <c r="R39" s="41">
        <f t="shared" si="22"/>
        <v>0</v>
      </c>
      <c r="S39" s="41">
        <f t="shared" si="22"/>
        <v>0</v>
      </c>
      <c r="T39" s="41">
        <f t="shared" si="22"/>
        <v>0</v>
      </c>
      <c r="U39" s="41">
        <f t="shared" si="22"/>
        <v>0</v>
      </c>
      <c r="V39" s="41">
        <f t="shared" si="22"/>
        <v>0</v>
      </c>
      <c r="W39" s="41">
        <f t="shared" si="22"/>
        <v>0</v>
      </c>
      <c r="X39" s="41">
        <f t="shared" si="22"/>
        <v>0</v>
      </c>
      <c r="Y39" s="41">
        <f t="shared" si="22"/>
        <v>0</v>
      </c>
      <c r="Z39" s="41">
        <f t="shared" si="22"/>
        <v>0</v>
      </c>
      <c r="AA39" s="41">
        <f t="shared" si="22"/>
        <v>0</v>
      </c>
      <c r="AB39" s="41">
        <f t="shared" si="22"/>
        <v>0</v>
      </c>
      <c r="AC39" s="41">
        <f t="shared" si="22"/>
        <v>0</v>
      </c>
      <c r="AD39" s="41">
        <f t="shared" si="22"/>
        <v>0</v>
      </c>
      <c r="AE39" s="41">
        <f t="shared" si="22"/>
        <v>0</v>
      </c>
      <c r="AF39" s="41">
        <f t="shared" si="22"/>
        <v>0</v>
      </c>
      <c r="AG39" s="41">
        <f t="shared" si="22"/>
        <v>0</v>
      </c>
      <c r="AH39" s="41">
        <f t="shared" si="22"/>
        <v>0</v>
      </c>
      <c r="AI39" s="41">
        <f t="shared" si="22"/>
        <v>0</v>
      </c>
      <c r="AJ39" s="41">
        <f t="shared" si="22"/>
        <v>0</v>
      </c>
      <c r="AK39" s="41">
        <f t="shared" si="22"/>
        <v>0</v>
      </c>
      <c r="AL39" s="41">
        <f t="shared" si="22"/>
        <v>0</v>
      </c>
      <c r="AM39" s="41">
        <f t="shared" si="22"/>
        <v>0</v>
      </c>
      <c r="AN39" s="41">
        <f t="shared" si="22"/>
        <v>0</v>
      </c>
      <c r="AO39" s="41">
        <f t="shared" si="22"/>
        <v>0</v>
      </c>
      <c r="AP39" s="41">
        <f t="shared" si="22"/>
        <v>0</v>
      </c>
      <c r="AQ39" s="41">
        <f t="shared" si="22"/>
        <v>0</v>
      </c>
      <c r="AR39" s="41">
        <f t="shared" si="22"/>
        <v>0</v>
      </c>
      <c r="AS39" s="41">
        <f t="shared" si="22"/>
        <v>0</v>
      </c>
      <c r="AT39" s="41">
        <f t="shared" si="22"/>
        <v>0</v>
      </c>
      <c r="AU39" s="41">
        <f t="shared" si="22"/>
        <v>0</v>
      </c>
      <c r="AV39" s="41">
        <f t="shared" si="22"/>
        <v>0</v>
      </c>
      <c r="AW39" s="41">
        <f t="shared" si="22"/>
        <v>0</v>
      </c>
      <c r="AX39" s="41">
        <f t="shared" si="22"/>
        <v>0</v>
      </c>
      <c r="AY39" s="41">
        <f t="shared" si="22"/>
        <v>0</v>
      </c>
      <c r="AZ39" s="41">
        <f t="shared" si="22"/>
        <v>0</v>
      </c>
      <c r="BA39" s="41">
        <f t="shared" si="22"/>
        <v>0</v>
      </c>
      <c r="BB39" s="41">
        <f t="shared" si="22"/>
        <v>0</v>
      </c>
      <c r="BC39" s="41">
        <f t="shared" si="22"/>
        <v>0</v>
      </c>
      <c r="BD39" s="41">
        <f t="shared" si="22"/>
        <v>0</v>
      </c>
      <c r="BE39" s="41">
        <f t="shared" si="22"/>
        <v>0</v>
      </c>
      <c r="BF39" s="41">
        <f t="shared" si="22"/>
        <v>0</v>
      </c>
      <c r="BG39" s="41">
        <f t="shared" si="22"/>
        <v>0</v>
      </c>
      <c r="BH39" s="41">
        <f t="shared" si="22"/>
        <v>0</v>
      </c>
      <c r="BI39" s="41">
        <f t="shared" si="22"/>
        <v>0</v>
      </c>
      <c r="BJ39" s="41">
        <f t="shared" si="22"/>
        <v>0</v>
      </c>
      <c r="BK39" s="41">
        <f t="shared" si="22"/>
        <v>0</v>
      </c>
      <c r="BL39" s="41">
        <f t="shared" si="22"/>
        <v>0</v>
      </c>
      <c r="BM39" s="41">
        <f t="shared" si="22"/>
        <v>0</v>
      </c>
      <c r="BN39" s="41">
        <f t="shared" si="22"/>
        <v>0</v>
      </c>
      <c r="BO39" s="41">
        <f t="shared" si="22"/>
        <v>0</v>
      </c>
      <c r="BP39" s="41">
        <f t="shared" si="22"/>
        <v>0</v>
      </c>
      <c r="BQ39" s="41">
        <f t="shared" si="22"/>
        <v>0</v>
      </c>
      <c r="BR39" s="41">
        <f t="shared" si="22"/>
        <v>0</v>
      </c>
      <c r="BS39" s="41">
        <f t="shared" si="22"/>
        <v>0</v>
      </c>
      <c r="BT39" s="41">
        <f t="shared" si="22"/>
        <v>0</v>
      </c>
      <c r="BU39" s="41">
        <f t="shared" ref="BU39:DB39" si="23">-BU36+BU37+BU38</f>
        <v>0</v>
      </c>
      <c r="BV39" s="41">
        <f t="shared" si="23"/>
        <v>0</v>
      </c>
      <c r="BW39" s="41">
        <f t="shared" si="23"/>
        <v>0</v>
      </c>
      <c r="BX39" s="41">
        <f t="shared" si="23"/>
        <v>0</v>
      </c>
      <c r="BY39" s="41">
        <f t="shared" si="23"/>
        <v>0</v>
      </c>
      <c r="BZ39" s="41">
        <f t="shared" si="23"/>
        <v>0</v>
      </c>
      <c r="CA39" s="41">
        <f t="shared" si="23"/>
        <v>0</v>
      </c>
      <c r="CB39" s="41">
        <f t="shared" si="23"/>
        <v>0</v>
      </c>
      <c r="CC39" s="41">
        <f t="shared" si="23"/>
        <v>0</v>
      </c>
      <c r="CD39" s="41">
        <f t="shared" si="23"/>
        <v>0</v>
      </c>
      <c r="CE39" s="41">
        <f t="shared" si="23"/>
        <v>0</v>
      </c>
      <c r="CF39" s="41">
        <f t="shared" si="23"/>
        <v>0</v>
      </c>
      <c r="CG39" s="41">
        <f t="shared" si="23"/>
        <v>0</v>
      </c>
      <c r="CH39" s="41">
        <f t="shared" si="23"/>
        <v>0</v>
      </c>
      <c r="CI39" s="41">
        <f t="shared" si="23"/>
        <v>0</v>
      </c>
      <c r="CJ39" s="41">
        <f t="shared" si="23"/>
        <v>0</v>
      </c>
      <c r="CK39" s="41">
        <f t="shared" si="23"/>
        <v>0</v>
      </c>
      <c r="CL39" s="41">
        <f t="shared" si="23"/>
        <v>0</v>
      </c>
      <c r="CM39" s="41">
        <f t="shared" si="23"/>
        <v>0</v>
      </c>
      <c r="CN39" s="41">
        <f t="shared" si="23"/>
        <v>0</v>
      </c>
      <c r="CO39" s="41">
        <f t="shared" si="23"/>
        <v>0</v>
      </c>
      <c r="CP39" s="41">
        <f t="shared" si="23"/>
        <v>0</v>
      </c>
      <c r="CQ39" s="41">
        <f t="shared" si="23"/>
        <v>0</v>
      </c>
      <c r="CR39" s="41">
        <f t="shared" si="23"/>
        <v>0</v>
      </c>
      <c r="CS39" s="41">
        <f t="shared" si="23"/>
        <v>0</v>
      </c>
      <c r="CT39" s="41">
        <f t="shared" si="23"/>
        <v>0</v>
      </c>
      <c r="CU39" s="41">
        <f t="shared" si="23"/>
        <v>0</v>
      </c>
      <c r="CV39" s="41">
        <f t="shared" si="23"/>
        <v>0</v>
      </c>
      <c r="CW39" s="41">
        <f t="shared" si="23"/>
        <v>0</v>
      </c>
      <c r="CX39" s="41">
        <f t="shared" si="23"/>
        <v>0</v>
      </c>
      <c r="CY39" s="41">
        <f t="shared" si="23"/>
        <v>0</v>
      </c>
      <c r="CZ39" s="41">
        <f t="shared" si="23"/>
        <v>0</v>
      </c>
      <c r="DA39" s="41">
        <f t="shared" si="23"/>
        <v>0</v>
      </c>
      <c r="DB39" s="41">
        <f t="shared" si="23"/>
        <v>0</v>
      </c>
      <c r="DC39" s="41">
        <f>-DC36+DC37+DC38</f>
        <v>0</v>
      </c>
    </row>
    <row r="40" spans="2:107" hidden="1"/>
  </sheetData>
  <sheetProtection algorithmName="SHA-512" hashValue="aI+W+iv4s9Ae5V3Zz8CbJ8RNzfC5PGQuxPbLP1JG6fchjzZL8079dVDVYIV+UEEh3QfyTX0uDtvlBz3UuPkKyA==" saltValue="m6Q4IpTsK75vo/W7hy2j1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DF118"/>
  <sheetViews>
    <sheetView showGridLines="0" showRowColHeaders="0" zoomScaleNormal="100" workbookViewId="0">
      <pane ySplit="8" topLeftCell="A13" activePane="bottomLeft" state="frozenSplit"/>
      <selection activeCell="C20" sqref="C20"/>
      <selection pane="bottomLeft" activeCell="C19" sqref="C19:D19"/>
    </sheetView>
  </sheetViews>
  <sheetFormatPr defaultColWidth="0" defaultRowHeight="14.4" zeroHeight="1"/>
  <cols>
    <col min="1" max="1" width="3.6640625" customWidth="1"/>
    <col min="2" max="2" width="12.6640625" bestFit="1" customWidth="1"/>
    <col min="3" max="3" width="12.6640625" customWidth="1"/>
    <col min="4" max="4" width="36.44140625" customWidth="1"/>
    <col min="5" max="5" width="16.6640625" customWidth="1"/>
    <col min="6" max="6" width="17" customWidth="1"/>
    <col min="7" max="10" width="16.6640625" customWidth="1"/>
    <col min="11" max="11" width="15.33203125" customWidth="1"/>
    <col min="12" max="14" width="16.6640625" customWidth="1"/>
    <col min="15" max="15" width="18.88671875" customWidth="1"/>
    <col min="16" max="28" width="16.6640625" customWidth="1"/>
    <col min="29" max="107" width="16.6640625" hidden="1" customWidth="1"/>
    <col min="108" max="108" width="9.109375" hidden="1" customWidth="1"/>
    <col min="109" max="110" width="9.109375" customWidth="1"/>
    <col min="111" max="16384" width="9.109375" hidden="1"/>
  </cols>
  <sheetData>
    <row r="1" spans="2:17" ht="9" customHeight="1"/>
    <row r="2" spans="2:17" ht="15" thickBot="1">
      <c r="B2" s="18" t="s">
        <v>181</v>
      </c>
      <c r="C2" s="18"/>
      <c r="E2" s="31" t="s">
        <v>234</v>
      </c>
      <c r="F2" s="31"/>
      <c r="G2" s="31"/>
    </row>
    <row r="3" spans="2:17" ht="15" thickBot="1">
      <c r="B3" t="s">
        <v>632</v>
      </c>
      <c r="F3" s="194" t="s">
        <v>142</v>
      </c>
      <c r="G3" s="818" t="s">
        <v>182</v>
      </c>
      <c r="H3" s="818"/>
      <c r="I3" s="818"/>
      <c r="J3" s="818"/>
      <c r="K3" s="819"/>
      <c r="L3" s="18"/>
      <c r="M3" s="18"/>
    </row>
    <row r="4" spans="2:17">
      <c r="B4" t="s">
        <v>57</v>
      </c>
      <c r="E4" s="838" t="s">
        <v>252</v>
      </c>
      <c r="F4" s="840" t="str">
        <f>IFERROR(Q10,"")</f>
        <v>Alternatyva 1</v>
      </c>
      <c r="G4" s="822" t="str">
        <f ca="1">IFERROR(IF(COUNTBLANK($G$11:$G$15)&lt;5,"Patikslinkite alternatyvų siekiamą rezultatą arba investicijas, kad skirtumas tarp alternatyvų būtų &lt; 1%",INDIRECT("'" &amp; $F4 &amp;"'!B3")),"")</f>
        <v xml:space="preserve">Politinės/ekonominės svarbos scenarijus
</v>
      </c>
      <c r="H4" s="822"/>
      <c r="I4" s="822"/>
      <c r="J4" s="822"/>
      <c r="K4" s="823"/>
    </row>
    <row r="5" spans="2:17">
      <c r="B5" t="s">
        <v>625</v>
      </c>
      <c r="E5" s="839"/>
      <c r="F5" s="841"/>
      <c r="G5" s="824"/>
      <c r="H5" s="824"/>
      <c r="I5" s="824"/>
      <c r="J5" s="824"/>
      <c r="K5" s="825"/>
    </row>
    <row r="6" spans="2:17" ht="15" customHeight="1">
      <c r="E6" s="839" t="s">
        <v>191</v>
      </c>
      <c r="F6" s="843" t="s">
        <v>6</v>
      </c>
      <c r="G6" s="826" t="str">
        <f ca="1">IF(Opt_alt="","",INDIRECT("'" &amp; Opt_alt &amp;"'!B3"))</f>
        <v xml:space="preserve">Politinės/ekonominės svarbos scenarijus
</v>
      </c>
      <c r="H6" s="826"/>
      <c r="I6" s="826"/>
      <c r="J6" s="826"/>
      <c r="K6" s="827"/>
    </row>
    <row r="7" spans="2:17" ht="15" thickBot="1">
      <c r="E7" s="842"/>
      <c r="F7" s="844"/>
      <c r="G7" s="828"/>
      <c r="H7" s="828"/>
      <c r="I7" s="828"/>
      <c r="J7" s="828"/>
      <c r="K7" s="829"/>
    </row>
    <row r="8" spans="2:17">
      <c r="E8" s="18"/>
      <c r="F8" s="83"/>
      <c r="G8" s="83"/>
      <c r="H8" s="84"/>
      <c r="I8" s="84"/>
      <c r="J8" s="84"/>
      <c r="K8" s="84"/>
      <c r="L8" s="84"/>
      <c r="M8" s="84"/>
    </row>
    <row r="9" spans="2:17">
      <c r="B9" s="31" t="s">
        <v>187</v>
      </c>
      <c r="C9" s="31"/>
      <c r="D9" s="31"/>
      <c r="E9" t="str">
        <f>IF(B5="",IF(B4=Data1!G2,"","eur/" &amp; Result_mat),"")</f>
        <v/>
      </c>
      <c r="F9" s="20"/>
      <c r="G9" s="20"/>
      <c r="H9" s="20"/>
      <c r="I9" s="20"/>
      <c r="J9" s="20"/>
      <c r="L9" s="92" t="s">
        <v>267</v>
      </c>
      <c r="M9" s="92" t="s">
        <v>268</v>
      </c>
      <c r="N9" s="92" t="s">
        <v>269</v>
      </c>
      <c r="O9" s="92" t="s">
        <v>271</v>
      </c>
      <c r="P9" s="92" t="s">
        <v>270</v>
      </c>
      <c r="Q9" s="92"/>
    </row>
    <row r="10" spans="2:17" ht="62.25" customHeight="1">
      <c r="B10" s="85" t="s">
        <v>142</v>
      </c>
      <c r="C10" s="845" t="s">
        <v>182</v>
      </c>
      <c r="D10" s="846"/>
      <c r="E10" s="13" t="str">
        <f>IF(B5="",IF(B4=Data1!G2,SNA!C16,SVA!F17),DA!C32)</f>
        <v>Daugiakriterinės analizės rodiklis</v>
      </c>
      <c r="F10" s="13" t="s">
        <v>190</v>
      </c>
      <c r="G10" s="820" t="s">
        <v>235</v>
      </c>
      <c r="H10" s="830"/>
      <c r="I10" s="830"/>
      <c r="J10" s="830"/>
      <c r="K10" s="821"/>
      <c r="L10" s="290">
        <f>IF(B4="Sąnaudų ir naudos analizė",COUNTIF(L11:L15,"&lt;0,1"),COUNTIF(L11:L15,"&lt;0,05"))</f>
        <v>3</v>
      </c>
      <c r="M10" s="290" t="str">
        <f>INDEX(B11:B15,MATCH(MAX(M11:M15),M11:M15,0),0)</f>
        <v>Alternatyva 1</v>
      </c>
      <c r="N10" s="290">
        <f>COUNTIF(N11:N15,"&lt;&gt;0")</f>
        <v>5</v>
      </c>
      <c r="O10" s="291"/>
      <c r="P10" s="291">
        <f>COUNTIF(P11:P15,"&gt;0,1")</f>
        <v>0</v>
      </c>
      <c r="Q10" s="291" t="str">
        <f>INDEX(B11:B15,MATCH(MAX(Q11:Q15),Q11:Q15,0),0)</f>
        <v>Alternatyva 1</v>
      </c>
    </row>
    <row r="11" spans="2:17" ht="32.25" customHeight="1">
      <c r="B11" s="5" t="s">
        <v>6</v>
      </c>
      <c r="C11" s="836" t="str">
        <f>IF(Pradžia!$I$29=TRUE,IF(A1_pav="","",A1_pav),"")</f>
        <v xml:space="preserve">Politinės/ekonominės svarbos scenarijus
</v>
      </c>
      <c r="D11" s="837"/>
      <c r="E11" s="87">
        <f>IF(Pradžia!$I$29=TRUE,IF($B$5="",IF($B$4=Data1!$G$2,ENIS1,INDEX(SVA_rodiklis,1)),DA1_rodiklis),"")</f>
        <v>9.1639999999999997</v>
      </c>
      <c r="F11" s="14" t="str">
        <f>IF(AND(Pradžia!$I$29=TRUE,$P$10&gt;0),M19,"")</f>
        <v/>
      </c>
      <c r="G11" s="833" t="str">
        <f ca="1">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834"/>
      <c r="I11" s="834"/>
      <c r="J11" s="834"/>
      <c r="K11" s="835"/>
      <c r="L11" s="186">
        <f>IFERROR(IF(OR($B$4=Data1!$G$2,$B$5="Daugiakriterinė analizė"),(MAX(Rezultatai!$E$11:$E$15)-E11)/MAX(Rezultatai!$E$11:$E$15),(E11-MIN(Rezultatai!$E$11:$E$15))/MIN(Rezultatai!$E$11:$E$15)),"")</f>
        <v>0</v>
      </c>
      <c r="M11" s="187">
        <f>IFERROR(IF(MATCH(0,$L11:$L11,0)=1,M19,"N"),"N")</f>
        <v>-62824583.246366918</v>
      </c>
      <c r="N11" s="92">
        <f>IF(IF($B$4="Sąnaudų ir naudos analizė",ABS(L11)&lt;0.1,ABS(L11)&lt;0.05),1,0)</f>
        <v>1</v>
      </c>
      <c r="O11" s="92">
        <f>IFERROR(IF(AND(N11=1,M19&gt;INDEX($M$19:$M$23,MATCH($M$10,$B$11:$B$15,0),1)),M19-INDEX($M$19:$M$23,MATCH($M$10,$B$11:$B$15,0),1),0),0)</f>
        <v>0</v>
      </c>
      <c r="P11" s="92">
        <f>IFERROR(O11/INDEX($M$19:$M$23,MATCH($M$10,$B$11:$B$15,0),1),0)</f>
        <v>0</v>
      </c>
      <c r="Q11" s="92">
        <f>IFERROR(IF(OR(ABS(P11)&gt;0.1,M11&lt;&gt;"N"),M19,"Nera"),"Nera")</f>
        <v>-62824583.246366918</v>
      </c>
    </row>
    <row r="12" spans="2:17" ht="32.25" customHeight="1">
      <c r="B12" s="5" t="s">
        <v>7</v>
      </c>
      <c r="C12" s="836" t="str">
        <f>IF(Pradžia!$I$31=TRUE,IF(A2_pav="","",A2_pav),"")</f>
        <v>Regioninės svarbos scenarijus</v>
      </c>
      <c r="D12" s="837"/>
      <c r="E12" s="87">
        <f>IF(Pradžia!$I$31=TRUE,IF($B$5="",IF($B$4=Data1!$G$2,ENIS2,INDEX(SVA_rodiklis,2)),DA2_rodiklis),"")</f>
        <v>8.9618016475601916</v>
      </c>
      <c r="F12" s="14" t="str">
        <f>IF(AND(Pradžia!$I$31=TRUE,$P$10&gt;0),M20,"")</f>
        <v/>
      </c>
      <c r="G12" s="833" t="str">
        <f ca="1">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834"/>
      <c r="I12" s="834"/>
      <c r="J12" s="834"/>
      <c r="K12" s="835"/>
      <c r="L12" s="186">
        <f>IFERROR(IF(OR($B$4=Data1!$G$2,$B$5="Daugiakriterinė analizė"),(MAX(Rezultatai!$E$11:$E$15)-E12)/MAX(Rezultatai!$E$11:$E$15),(E12-MIN(Rezultatai!$E$11:$E$15))/MIN(Rezultatai!$E$11:$E$15)),"")</f>
        <v>2.2064420824946324E-2</v>
      </c>
      <c r="M12" s="187" t="str">
        <f>IFERROR(IF(MATCH(0,$L12:$L12,0)=1,M20,"N"),"N")</f>
        <v>N</v>
      </c>
      <c r="N12" s="92">
        <f>IF(IF($B$4="Sąnaudų ir naudos analizė",ABS(L12)&lt;0.1,ABS(L12)&lt;0.05),1,0)</f>
        <v>1</v>
      </c>
      <c r="O12" s="188">
        <f>IFERROR(IF(AND(N12=1,M20&gt;INDEX($M$19:$M$23,MATCH($M$10,$B$11:$B$15,0),1)),M20-INDEX($M$19:$M$23,MATCH($M$10,$B$11:$B$15,0),1),0),0)</f>
        <v>0</v>
      </c>
      <c r="P12" s="92">
        <f>IFERROR(O12/INDEX($M$19:$M$23,MATCH($M$10,$B$11:$B$15,0),1),0)</f>
        <v>0</v>
      </c>
      <c r="Q12" s="92" t="str">
        <f>IFERROR(IF(OR(ABS(P12)&gt;0.1,M12&lt;&gt;"N"),M20,"Nera"),"Nera")</f>
        <v>Nera</v>
      </c>
    </row>
    <row r="13" spans="2:17" ht="32.25" customHeight="1">
      <c r="B13" s="5" t="s">
        <v>8</v>
      </c>
      <c r="C13" s="836" t="str">
        <f>IF(Pradžia!$I$33=TRUE,IF(A3_pav="","",A3_pav),"")</f>
        <v>Konsulinės/diasporos svarbos scenarijus</v>
      </c>
      <c r="D13" s="837"/>
      <c r="E13" s="87">
        <f>IF(Pradžia!$I$33=TRUE,IF($B$5="",IF($B$4=Data1!$G$2,ENIS3,INDEX(SVA_rodiklis,3)),DA3_rodiklis),"")</f>
        <v>8.8045821578728809</v>
      </c>
      <c r="F13" s="14" t="str">
        <f>IF(AND(Pradžia!$I$33=TRUE,$P$10&gt;0),M21,"")</f>
        <v/>
      </c>
      <c r="G13" s="833" t="str">
        <f ca="1">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834"/>
      <c r="I13" s="834"/>
      <c r="J13" s="834"/>
      <c r="K13" s="835"/>
      <c r="L13" s="186">
        <f>IFERROR(IF(OR($B$4=Data1!$G$2,$B$5="Daugiakriterinė analizė"),(MAX(Rezultatai!$E$11:$E$15)-E13)/MAX(Rezultatai!$E$11:$E$15),(E13-MIN(Rezultatai!$E$11:$E$15))/MIN(Rezultatai!$E$11:$E$15)),"")</f>
        <v>3.9220628778603099E-2</v>
      </c>
      <c r="M13" s="187" t="str">
        <f>IFERROR(IF(MATCH(0,$L13:$L13,0)=1,M21,"N"),"N")</f>
        <v>N</v>
      </c>
      <c r="N13" s="92">
        <f>IF(IF($B$4="Sąnaudų ir naudos analizė",ABS(L13)&lt;0.1,ABS(L13)&lt;0.05),1,0)</f>
        <v>1</v>
      </c>
      <c r="O13" s="188">
        <f>IFERROR(IF(AND(N13=1,M21&gt;INDEX($M$19:$M$23,MATCH($M$10,$B$11:$B$15,0),1)),M21-INDEX($M$19:$M$23,MATCH($M$10,$B$11:$B$15,0),1),0),0)</f>
        <v>1021002.7422530055</v>
      </c>
      <c r="P13" s="92">
        <f>IFERROR(O13/INDEX($M$19:$M$23,MATCH($M$10,$B$11:$B$15,0),1),0)</f>
        <v>-1.6251643695735125E-2</v>
      </c>
      <c r="Q13" s="188" t="str">
        <f>IFERROR(IF(OR(ABS(P13)&gt;0.1,M13&lt;&gt;"N"),M21,"Nera"),"Nera")</f>
        <v>Nera</v>
      </c>
    </row>
    <row r="14" spans="2:17" ht="32.25" hidden="1" customHeight="1">
      <c r="B14" s="5" t="s">
        <v>10</v>
      </c>
      <c r="C14" s="836" t="str">
        <f>IF(Pradžia!$I$35=TRUE,IF(A4_pav="","",A4_pav),"")</f>
        <v/>
      </c>
      <c r="D14" s="837"/>
      <c r="E14" s="87" t="str">
        <f>IF(Pradžia!$I$35=TRUE,IF($B$5="",IF($B$4=Data1!$G$2,ENIS4,INDEX(SVA_rodiklis,4)),DA4_rodiklis),"")</f>
        <v/>
      </c>
      <c r="F14" s="14" t="str">
        <f>IF(AND(Pradžia!$I$35=TRUE,$P$10&gt;0),M22,"")</f>
        <v/>
      </c>
      <c r="G14" s="833"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834"/>
      <c r="I14" s="834"/>
      <c r="J14" s="834"/>
      <c r="K14" s="835"/>
      <c r="L14" s="186" t="str">
        <f>IFERROR(IF(OR($B$4=Data1!$G$2,$B$5="Daugiakriterinė analizė"),(MAX(Rezultatai!$E$11:$E$15)-E14)/MAX(Rezultatai!$E$11:$E$15),(E14-MIN(Rezultatai!$E$11:$E$15))/MIN(Rezultatai!$E$11:$E$15)),"")</f>
        <v/>
      </c>
      <c r="M14" s="187" t="str">
        <f>IFERROR(IF(MATCH(0,$L14:$L14,0)=1,M22,"N"),"N")</f>
        <v>N</v>
      </c>
      <c r="N14" s="92" t="e">
        <f>IF(IF($B$4="Sąnaudų ir naudos analizė",ABS(L14)&lt;0.1,ABS(L14)&lt;0.05),1,0)</f>
        <v>#VALUE!</v>
      </c>
      <c r="O14" s="188">
        <f>IFERROR(IF(AND(N14=1,M22&gt;INDEX($M$19:$M$23,MATCH($M$10,$B$11:$B$15,0),1)),M22-INDEX($M$19:$M$23,MATCH($M$10,$B$11:$B$15,0),1),0),0)</f>
        <v>0</v>
      </c>
      <c r="P14" s="92">
        <f>IFERROR(O14/INDEX($M$19:$M$23,MATCH($M$10,$B$11:$B$15,0),1),0)</f>
        <v>0</v>
      </c>
      <c r="Q14" s="92" t="str">
        <f>IFERROR(IF(OR(ABS(P14)&gt;0.1,M14&lt;&gt;"N"),M22,"Nera"),"Nera")</f>
        <v>Nera</v>
      </c>
    </row>
    <row r="15" spans="2:17" ht="32.25" hidden="1" customHeight="1">
      <c r="B15" s="5" t="s">
        <v>13</v>
      </c>
      <c r="C15" s="836" t="str">
        <f>IF(Pradžia!$I$37=TRUE,IF(A5_pav="","",A5_pav),"")</f>
        <v/>
      </c>
      <c r="D15" s="837"/>
      <c r="E15" s="87" t="str">
        <f>IF(Pradžia!$I$37=TRUE,IF($B$5="",IF($B$4=Data1!$G$2,ENIS5,INDEX(SVA_rodiklis,5)),DA5_rodiklis),"")</f>
        <v/>
      </c>
      <c r="F15" s="14" t="str">
        <f>IF(AND(Pradžia!$I$37=TRUE,$P$10&gt;0),M23,"")</f>
        <v/>
      </c>
      <c r="G15" s="833"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834"/>
      <c r="I15" s="834"/>
      <c r="J15" s="834"/>
      <c r="K15" s="835"/>
      <c r="L15" s="186" t="str">
        <f>IFERROR(IF(OR($B$4=Data1!$G$2,$B$5="Daugiakriterinė analizė"),(MAX(Rezultatai!$E$11:$E$15)-E15)/MAX(Rezultatai!$E$11:$E$15),(E15-MIN(Rezultatai!$E$11:$E$15))/MIN(Rezultatai!$E$11:$E$15)),"")</f>
        <v/>
      </c>
      <c r="M15" s="187" t="str">
        <f>IFERROR(IF(MATCH(0,$L15:$L15,0)=1,M23,"N"),"N")</f>
        <v>N</v>
      </c>
      <c r="N15" s="92" t="e">
        <f>IF(IF($B$4="Sąnaudų ir naudos analizė",ABS(L15)&lt;0.1,ABS(L15)&lt;0.05),1,0)</f>
        <v>#VALUE!</v>
      </c>
      <c r="O15" s="188">
        <f>IFERROR(IF(AND(N15=1,M23&gt;INDEX($M$19:$M$23,MATCH($M$10,$B$11:$B$15,0),1)),M23-INDEX($M$19:$M$23,MATCH($M$10,$B$11:$B$15,0),1),0),0)</f>
        <v>0</v>
      </c>
      <c r="P15" s="92">
        <f>IFERROR(O15/INDEX($M$19:$M$23,MATCH($M$10,$B$11:$B$15,0),1),0)</f>
        <v>0</v>
      </c>
      <c r="Q15" s="92" t="str">
        <f>IFERROR(IF(OR(ABS(P15)&gt;0.1,M15&lt;&gt;"N"),M23,"Nera"),"Nera")</f>
        <v>Nera</v>
      </c>
    </row>
    <row r="16" spans="2:17">
      <c r="B16" s="18"/>
      <c r="C16" s="18"/>
      <c r="D16" s="18"/>
      <c r="K16" s="20"/>
    </row>
    <row r="17" spans="2:15" ht="29.25" customHeight="1">
      <c r="B17" s="31" t="s">
        <v>188</v>
      </c>
      <c r="C17" s="31"/>
      <c r="D17" s="31"/>
      <c r="E17" s="786" t="s">
        <v>184</v>
      </c>
      <c r="F17" s="798"/>
      <c r="G17" s="820" t="s">
        <v>155</v>
      </c>
      <c r="H17" s="821"/>
      <c r="I17" s="820" t="s">
        <v>189</v>
      </c>
      <c r="J17" s="821"/>
      <c r="K17" s="820" t="s">
        <v>183</v>
      </c>
      <c r="L17" s="821"/>
      <c r="M17" s="820" t="s">
        <v>185</v>
      </c>
      <c r="N17" s="821"/>
      <c r="O17" s="831" t="str">
        <f>IF(B4=Data1!G2,"Ekonominė grynoji dabartinė vertė (EGDV)",CONCATENATE('Alternatyva 1'!C116," (reali vertė)"))</f>
        <v>Ekonominė grynoji dabartinė vertė (EGDV)</v>
      </c>
    </row>
    <row r="18" spans="2:15" ht="93.75" customHeight="1">
      <c r="B18" s="85" t="s">
        <v>142</v>
      </c>
      <c r="C18" s="845" t="s">
        <v>182</v>
      </c>
      <c r="D18" s="846"/>
      <c r="E18" s="13" t="s">
        <v>34</v>
      </c>
      <c r="F18" s="12" t="s">
        <v>33</v>
      </c>
      <c r="G18" s="13" t="s">
        <v>34</v>
      </c>
      <c r="H18" s="12" t="s">
        <v>33</v>
      </c>
      <c r="I18" s="13" t="s">
        <v>34</v>
      </c>
      <c r="J18" s="12" t="s">
        <v>33</v>
      </c>
      <c r="K18" s="13" t="s">
        <v>34</v>
      </c>
      <c r="L18" s="12" t="s">
        <v>33</v>
      </c>
      <c r="M18" s="13" t="s">
        <v>34</v>
      </c>
      <c r="N18" s="12" t="s">
        <v>33</v>
      </c>
      <c r="O18" s="832"/>
    </row>
    <row r="19" spans="2:15" ht="29.25" customHeight="1">
      <c r="B19" s="5" t="s">
        <v>6</v>
      </c>
      <c r="C19" s="836" t="str">
        <f>IF(Pradžia!$I$29=TRUE,IF(A1_pav="","",A1_pav),"")</f>
        <v xml:space="preserve">Politinės/ekonominės svarbos scenarijus
</v>
      </c>
      <c r="D19" s="837"/>
      <c r="E19" s="14">
        <f ca="1">IF(Pradžia!$I$29=TRUE,IF(INDIRECT("'" &amp; $B19 &amp;"'!F9")="","",INDIRECT("'" &amp; $B19 &amp;"'!F9")),"")</f>
        <v>11882277.062591683</v>
      </c>
      <c r="F19" s="14">
        <f ca="1">IF(Pradžia!$I$29=TRUE,IF(INDIRECT("'" &amp; $B19 &amp;"'!G9")="","",INDIRECT("'" &amp; $B19 &amp;"'!G9")),"")</f>
        <v>12740940.4630432</v>
      </c>
      <c r="G19" s="14">
        <f ca="1">IF(Pradžia!$I$29=TRUE,IF(INDIRECT("'" &amp; $B19 &amp;"'!F8")="","",INDIRECT("'" &amp; $B19 &amp;"'!F8")),"")</f>
        <v>456056.55045621062</v>
      </c>
      <c r="H19" s="14">
        <f ca="1">IF(Pradžia!$I$29=TRUE,IF(INDIRECT("'" &amp; $B19 &amp;"'!G8")="","",INDIRECT("'" &amp; $B19 &amp;"'!G8")),"")</f>
        <v>720000</v>
      </c>
      <c r="I19" s="14">
        <f ca="1">IF(Pradžia!$I$29=TRUE,IF(INDIRECT("'" &amp; $B19 &amp;"'!F89")="","",INDIRECT("'" &amp; $B19 &amp;"'!F89")-INDIRECT("'" &amp; $B19 &amp;"'!F100")),"")</f>
        <v>121286559.35454929</v>
      </c>
      <c r="J19" s="14">
        <f ca="1">IF(Pradžia!$I$29=TRUE,IF(INDIRECT("'" &amp; $B19 &amp;"'!G89")="","",INDIRECT("'" &amp; $B19 &amp;"'!G89")-INDIRECT("'" &amp; $B19 &amp;"'!G100")),"")</f>
        <v>185368865.77715254</v>
      </c>
      <c r="K19" s="14">
        <f ca="1">IF(Pradžia!$I$29=TRUE,IF(INDIRECT("'" &amp; $B19 &amp;"'!F7")="","",INDIRECT("'" &amp; $B19 &amp;"'!F7")),"")</f>
        <v>133624892.96759719</v>
      </c>
      <c r="L19" s="14">
        <f ca="1">IF(Pradžia!$I$29=TRUE,IF(INDIRECT("'" &amp; $B19 &amp;"'!G7")="","",INDIRECT("'" &amp; $B19 &amp;"'!G7")),"")</f>
        <v>198829806.24019569</v>
      </c>
      <c r="M19" s="14">
        <f>IF(Pradžia!$I$29=TRUE,'Poveikis VF'!F11,"")</f>
        <v>-62824583.246366918</v>
      </c>
      <c r="N19" s="14">
        <f>IF(Pradžia!$I$29=TRUE,'Poveikis VF'!G11,"")</f>
        <v>-90202140.950939581</v>
      </c>
      <c r="O19" s="14">
        <f>IF(Pradžia!$I$29=TRUE,IF($B$4=Data1!$G$2,SNA!F15,SVA!G10),"")</f>
        <v>867683822.31458926</v>
      </c>
    </row>
    <row r="20" spans="2:15" ht="29.25" customHeight="1">
      <c r="B20" s="5" t="s">
        <v>7</v>
      </c>
      <c r="C20" s="836" t="str">
        <f>IF(Pradžia!$I$31=TRUE,IF(A2_pav="","",A2_pav),"")</f>
        <v>Regioninės svarbos scenarijus</v>
      </c>
      <c r="D20" s="837"/>
      <c r="E20" s="14">
        <f ca="1">IF(Pradžia!$I$31=TRUE,IF(INDIRECT("'" &amp; $B20 &amp;"'!F9")="","",INDIRECT("'" &amp; $B20 &amp;"'!F9")),"")</f>
        <v>11895405.760816537</v>
      </c>
      <c r="F20" s="14">
        <f ca="1">IF(Pradžia!$I$31=TRUE,IF(INDIRECT("'" &amp; $B20 &amp;"'!G9")="","",INDIRECT("'" &amp; $B20 &amp;"'!G9")),"")</f>
        <v>12755140.4630432</v>
      </c>
      <c r="G20" s="14">
        <f ca="1">IF(Pradžia!$I$31=TRUE,IF(INDIRECT("'" &amp; $B20 &amp;"'!F8")="","",INDIRECT("'" &amp; $B20 &amp;"'!F8")),"")</f>
        <v>456056.55045621062</v>
      </c>
      <c r="H20" s="14">
        <f ca="1">IF(Pradžia!$I$31=TRUE,IF(INDIRECT("'" &amp; $B20 &amp;"'!G8")="","",INDIRECT("'" &amp; $B20 &amp;"'!G8")),"")</f>
        <v>720000</v>
      </c>
      <c r="I20" s="14">
        <f ca="1">IF(Pradžia!$I$31=TRUE,IF(INDIRECT("'" &amp; $B20 &amp;"'!F89")="","",INDIRECT("'" &amp; $B20 &amp;"'!F89")-INDIRECT("'" &amp; $B20 &amp;"'!F100")),"")</f>
        <v>122346020.15823936</v>
      </c>
      <c r="J20" s="14">
        <f ca="1">IF(Pradžia!$I$31=TRUE,IF(INDIRECT("'" &amp; $B20 &amp;"'!G89")="","",INDIRECT("'" &amp; $B20 &amp;"'!G89")-INDIRECT("'" &amp; $B20 &amp;"'!G100")),"")</f>
        <v>186964465.77715251</v>
      </c>
      <c r="K20" s="14">
        <f ca="1">IF(Pradžia!$I$31=TRUE,IF(INDIRECT("'" &amp; $B20 &amp;"'!F7")="","",INDIRECT("'" &amp; $B20 &amp;"'!F7")),"")</f>
        <v>134697482.4695121</v>
      </c>
      <c r="L20" s="14">
        <f ca="1">IF(Pradžia!$I$31=TRUE,IF(INDIRECT("'" &amp; $B20 &amp;"'!G7")="","",INDIRECT("'" &amp; $B20 &amp;"'!G7")),"")</f>
        <v>200439606.24019569</v>
      </c>
      <c r="M20" s="14">
        <f>IF(Pradžia!$I$31=TRUE,'Poveikis VF'!F18,"")</f>
        <v>-63944426.850776315</v>
      </c>
      <c r="N20" s="14">
        <f>IF(Pradžia!$I$31=TRUE,'Poveikis VF'!G18,"")</f>
        <v>-91840473.182344526</v>
      </c>
      <c r="O20" s="14">
        <f>IF(Pradžia!$I$31=TRUE,IF($B$4=Data1!$G$2,SNA!F33,SVA!G11),"")</f>
        <v>857094692.65011179</v>
      </c>
    </row>
    <row r="21" spans="2:15" ht="29.25" customHeight="1">
      <c r="B21" s="5" t="s">
        <v>8</v>
      </c>
      <c r="C21" s="836" t="str">
        <f>IF(Pradžia!$I$33=TRUE,IF(A3_pav="","",A3_pav),"")</f>
        <v>Konsulinės/diasporos svarbos scenarijus</v>
      </c>
      <c r="D21" s="837"/>
      <c r="E21" s="14">
        <f ca="1">IF(Pradžia!$I$33=TRUE,IF(INDIRECT("'" &amp; $B21 &amp;"'!F9")="","",INDIRECT("'" &amp; $B21 &amp;"'!F9")),"")</f>
        <v>11873298.19936911</v>
      </c>
      <c r="F21" s="14">
        <f ca="1">IF(Pradžia!$I$33=TRUE,IF(INDIRECT("'" &amp; $B21 &amp;"'!G9")="","",INDIRECT("'" &amp; $B21 &amp;"'!G9")),"")</f>
        <v>12730840.4630432</v>
      </c>
      <c r="G21" s="14">
        <f ca="1">IF(Pradžia!$I$33=TRUE,IF(INDIRECT("'" &amp; $B21 &amp;"'!F8")="","",INDIRECT("'" &amp; $B21 &amp;"'!F8")),"")</f>
        <v>456056.55045621062</v>
      </c>
      <c r="H21" s="14">
        <f ca="1">IF(Pradžia!$I$33=TRUE,IF(INDIRECT("'" &amp; $B21 &amp;"'!G8")="","",INDIRECT("'" &amp; $B21 &amp;"'!G8")),"")</f>
        <v>720000</v>
      </c>
      <c r="I21" s="14">
        <f ca="1">IF(Pradžia!$I$33=TRUE,IF(INDIRECT("'" &amp; $B21 &amp;"'!F89")="","",INDIRECT("'" &amp; $B21 &amp;"'!F89")-INDIRECT("'" &amp; $B21 &amp;"'!F100")),"")</f>
        <v>127204553.26201349</v>
      </c>
      <c r="J21" s="14">
        <f ca="1">IF(Pradžia!$I$33=TRUE,IF(INDIRECT("'" &amp; $B21 &amp;"'!G89")="","",INDIRECT("'" &amp; $B21 &amp;"'!G89")-INDIRECT("'" &amp; $B21 &amp;"'!G100")),"")</f>
        <v>191917865.77715251</v>
      </c>
      <c r="K21" s="14">
        <f ca="1">IF(Pradžia!$I$33=TRUE,IF(INDIRECT("'" &amp; $B21 &amp;"'!F7")="","",INDIRECT("'" &amp; $B21 &amp;"'!F7")),"")</f>
        <v>139533908.01183882</v>
      </c>
      <c r="L21" s="14">
        <f ca="1">IF(Pradžia!$I$33=TRUE,IF(INDIRECT("'" &amp; $B21 &amp;"'!G7")="","",INDIRECT("'" &amp; $B21 &amp;"'!G7")),"")</f>
        <v>205368706.24019569</v>
      </c>
      <c r="M21" s="14">
        <f>IF(Pradžia!$I$33=TRUE,'Poveikis VF'!F25,"")</f>
        <v>-61803580.504113913</v>
      </c>
      <c r="N21" s="14">
        <f>IF(Pradžia!$I$33=TRUE,'Poveikis VF'!G25,"")</f>
        <v>-89337787.231931284</v>
      </c>
      <c r="O21" s="14">
        <f>IF(Pradžia!$I$33=TRUE,IF($B$4=Data1!$G$2,SNA!F51,SVA!G12),"")</f>
        <v>858775771.26625478</v>
      </c>
    </row>
    <row r="22" spans="2:15" ht="29.25" hidden="1" customHeight="1">
      <c r="B22" s="5" t="s">
        <v>10</v>
      </c>
      <c r="C22" s="836" t="str">
        <f>IF(Pradžia!$I$35=TRUE,IF(A4_pav="","",A4_pav),"")</f>
        <v/>
      </c>
      <c r="D22" s="837"/>
      <c r="E22" s="14" t="str">
        <f ca="1">IF(Pradžia!$I$35=TRUE,IF(INDIRECT("'" &amp; $B22 &amp;"'!F9")="","",INDIRECT("'" &amp; $B22 &amp;"'!F9")),"")</f>
        <v/>
      </c>
      <c r="F22" s="14" t="str">
        <f ca="1">IF(Pradžia!$I$35=TRUE,IF(INDIRECT("'" &amp; $B22 &amp;"'!G9")="","",INDIRECT("'" &amp; $B22 &amp;"'!G9")),"")</f>
        <v/>
      </c>
      <c r="G22" s="14" t="str">
        <f ca="1">IF(Pradžia!$I$35=TRUE,IF(INDIRECT("'" &amp; $B22 &amp;"'!F8")="","",INDIRECT("'" &amp; $B22 &amp;"'!F8")),"")</f>
        <v/>
      </c>
      <c r="H22" s="14" t="str">
        <f ca="1">IF(Pradžia!$I$35=TRUE,IF(INDIRECT("'" &amp; $B22 &amp;"'!G8")="","",INDIRECT("'" &amp; $B22 &amp;"'!G8")),"")</f>
        <v/>
      </c>
      <c r="I22" s="14" t="str">
        <f ca="1">IF(Pradžia!$I$35=TRUE,IF(INDIRECT("'" &amp; $B22 &amp;"'!F89")="","",INDIRECT("'" &amp; $B22 &amp;"'!F89")-INDIRECT("'" &amp; $B22 &amp;"'!F100")),"")</f>
        <v/>
      </c>
      <c r="J22" s="14" t="str">
        <f ca="1">IF(Pradžia!$I$35=TRUE,IF(INDIRECT("'" &amp; $B22 &amp;"'!G89")="","",INDIRECT("'" &amp; $B22 &amp;"'!G89")-INDIRECT("'" &amp; $B22 &amp;"'!G100")),"")</f>
        <v/>
      </c>
      <c r="K22" s="14" t="str">
        <f ca="1">IF(Pradžia!$I$35=TRUE,IF(INDIRECT("'" &amp; $B22 &amp;"'!F7")="","",INDIRECT("'" &amp; $B22 &amp;"'!F7")),"")</f>
        <v/>
      </c>
      <c r="L22" s="14" t="str">
        <f ca="1">IF(Pradžia!$I$35=TRUE,IF(INDIRECT("'" &amp; $B22 &amp;"'!G7")="","",INDIRECT("'" &amp; $B22 &amp;"'!G7")),"")</f>
        <v/>
      </c>
      <c r="M22" s="14" t="str">
        <f>IF(Pradžia!$I$35=TRUE,'Poveikis VF'!F32,"")</f>
        <v/>
      </c>
      <c r="N22" s="14" t="str">
        <f>IF(Pradžia!$I$35=TRUE,'Poveikis VF'!G32,"")</f>
        <v/>
      </c>
      <c r="O22" s="14" t="str">
        <f>IF(Pradžia!$I$35=TRUE,IF($B$4=Data1!$G$2,SNA!F69,SVA!G13),"")</f>
        <v/>
      </c>
    </row>
    <row r="23" spans="2:15" ht="29.25" hidden="1" customHeight="1">
      <c r="B23" s="5" t="s">
        <v>13</v>
      </c>
      <c r="C23" s="836" t="str">
        <f>IF(Pradžia!$I$37=TRUE,IF(A5_pav="","",A5_pav),"")</f>
        <v/>
      </c>
      <c r="D23" s="837"/>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197</v>
      </c>
      <c r="C25" s="31"/>
      <c r="D25" s="31"/>
      <c r="E25" s="20"/>
      <c r="F25" s="20"/>
      <c r="G25" s="20"/>
      <c r="H25" s="20"/>
      <c r="I25" s="20"/>
      <c r="J25" s="20"/>
    </row>
    <row r="26" spans="2:15" ht="62.25" customHeight="1">
      <c r="B26" s="85" t="s">
        <v>142</v>
      </c>
      <c r="C26" s="845" t="s">
        <v>182</v>
      </c>
      <c r="D26" s="846"/>
      <c r="E26" s="13" t="s">
        <v>198</v>
      </c>
      <c r="F26" s="13" t="s">
        <v>199</v>
      </c>
      <c r="G26" s="13" t="s">
        <v>200</v>
      </c>
      <c r="I26" s="88"/>
      <c r="J26" s="88"/>
      <c r="K26" s="86"/>
      <c r="L26" s="86"/>
      <c r="M26" s="86"/>
      <c r="N26" s="86"/>
    </row>
    <row r="27" spans="2:15" ht="32.25" customHeight="1">
      <c r="B27" s="5" t="s">
        <v>6</v>
      </c>
      <c r="C27" s="836" t="str">
        <f>IF(Pradžia!$I$29=TRUE,IF(A1_pav="","",A1_pav),"")</f>
        <v xml:space="preserve">Politinės/ekonominės svarbos scenarijus
</v>
      </c>
      <c r="D27" s="837"/>
      <c r="E27" s="89">
        <f>IF(Pradžia!$I$29=TRUE,SNA!$F20,"")</f>
        <v>-133624892.96759719</v>
      </c>
      <c r="F27" s="278" t="str">
        <f>IF(Pradžia!$I$29=TRUE,SNA!$F21,"")</f>
        <v>-</v>
      </c>
      <c r="G27" s="125">
        <f>IF(Pradžia!$I$29=TRUE,SNA!$F22,"")</f>
        <v>3.0335185581180743E-2</v>
      </c>
    </row>
    <row r="28" spans="2:15" ht="32.25" customHeight="1">
      <c r="B28" s="5" t="s">
        <v>7</v>
      </c>
      <c r="C28" s="836" t="str">
        <f>IF(Pradžia!$I$31=TRUE,IF(A2_pav="","",A2_pav),"")</f>
        <v>Regioninės svarbos scenarijus</v>
      </c>
      <c r="D28" s="837"/>
      <c r="E28" s="89">
        <f>IF(Pradžia!$I$31=TRUE,SNA!$F38,"")</f>
        <v>-134697482.4695121</v>
      </c>
      <c r="F28" s="278" t="str">
        <f>IF(Pradžia!$I$31=TRUE,SNA!$F39,"")</f>
        <v>-</v>
      </c>
      <c r="G28" s="125">
        <f>IF(Pradžia!$I$31=TRUE,SNA!$F40,"")</f>
        <v>2.2993409569943449E-2</v>
      </c>
    </row>
    <row r="29" spans="2:15" ht="32.25" customHeight="1">
      <c r="B29" s="5" t="s">
        <v>8</v>
      </c>
      <c r="C29" s="836" t="str">
        <f>IF(Pradžia!$I$33=TRUE,IF(A3_pav="","",A3_pav),"")</f>
        <v>Konsulinės/diasporos svarbos scenarijus</v>
      </c>
      <c r="D29" s="837"/>
      <c r="E29" s="89">
        <f>IF(Pradžia!$I$33=TRUE,SNA!$F56,"")</f>
        <v>-139533908.01183882</v>
      </c>
      <c r="F29" s="278" t="str">
        <f>IF(Pradžia!$I$33=TRUE,SNA!$F57,"")</f>
        <v>-</v>
      </c>
      <c r="G29" s="125">
        <f>IF(Pradžia!$I$33=TRUE,SNA!$F58,"")</f>
        <v>2.5914692501103474E-2</v>
      </c>
    </row>
    <row r="30" spans="2:15" ht="32.25" hidden="1" customHeight="1">
      <c r="B30" s="5" t="s">
        <v>10</v>
      </c>
      <c r="C30" s="836" t="str">
        <f>IF(Pradžia!$I$35=TRUE,IF(A4_pav="","",A4_pav),"")</f>
        <v/>
      </c>
      <c r="D30" s="837"/>
      <c r="E30" s="89" t="str">
        <f>IF(Pradžia!$I$35=TRUE,SNA!$F74,"")</f>
        <v/>
      </c>
      <c r="F30" s="278" t="str">
        <f>IF(Pradžia!$I$35=TRUE,SNA!$F75,"")</f>
        <v/>
      </c>
      <c r="G30" s="125" t="str">
        <f>IF(Pradžia!$I$35=TRUE,SNA!$F76,"")</f>
        <v/>
      </c>
    </row>
    <row r="31" spans="2:15" ht="32.25" hidden="1" customHeight="1">
      <c r="B31" s="5" t="s">
        <v>13</v>
      </c>
      <c r="C31" s="836" t="str">
        <f>IF(Pradžia!$I$37=TRUE,IF(A5_pav="","",A5_pav),"")</f>
        <v/>
      </c>
      <c r="D31" s="837"/>
      <c r="E31" s="89" t="str">
        <f>IF(Pradžia!$I$37=TRUE,SNA!$F92,"")</f>
        <v/>
      </c>
      <c r="F31" s="278" t="str">
        <f>IF(Pradžia!$I$37=TRUE,SNA!$F93,"")</f>
        <v/>
      </c>
      <c r="G31" s="125" t="str">
        <f>IF(Pradžia!$I$37=TRUE,SNA!$F94,"")</f>
        <v/>
      </c>
    </row>
    <row r="32" spans="2:15">
      <c r="B32" s="18"/>
      <c r="C32" s="18"/>
      <c r="D32" s="18"/>
    </row>
    <row r="33" spans="1:107">
      <c r="B33" s="31" t="s">
        <v>251</v>
      </c>
      <c r="C33" s="31"/>
      <c r="D33" s="31"/>
      <c r="E33" s="31"/>
      <c r="F33" s="31"/>
      <c r="G33" s="90" t="s">
        <v>32</v>
      </c>
      <c r="H33" s="71">
        <f ca="1">H40</f>
        <v>2022</v>
      </c>
      <c r="I33" s="71">
        <f t="shared" ref="I33:BT33" ca="1" si="0">I40</f>
        <v>2023</v>
      </c>
      <c r="J33" s="71">
        <f t="shared" ca="1" si="0"/>
        <v>2024</v>
      </c>
      <c r="K33" s="71">
        <f t="shared" ca="1" si="0"/>
        <v>2025</v>
      </c>
      <c r="L33" s="71">
        <f t="shared" ca="1" si="0"/>
        <v>2026</v>
      </c>
      <c r="M33" s="71">
        <f t="shared" ca="1" si="0"/>
        <v>2027</v>
      </c>
      <c r="N33" s="71">
        <f t="shared" ca="1" si="0"/>
        <v>2028</v>
      </c>
      <c r="O33" s="71">
        <f t="shared" ca="1" si="0"/>
        <v>2029</v>
      </c>
      <c r="P33" s="71">
        <f t="shared" ca="1" si="0"/>
        <v>2030</v>
      </c>
      <c r="Q33" s="71">
        <f t="shared" ca="1" si="0"/>
        <v>2031</v>
      </c>
      <c r="R33" s="71">
        <f t="shared" ca="1" si="0"/>
        <v>2032</v>
      </c>
      <c r="S33" s="71">
        <f t="shared" ca="1" si="0"/>
        <v>2033</v>
      </c>
      <c r="T33" s="71">
        <f t="shared" ca="1" si="0"/>
        <v>2034</v>
      </c>
      <c r="U33" s="71">
        <f t="shared" ca="1" si="0"/>
        <v>2035</v>
      </c>
      <c r="V33" s="71">
        <f t="shared" ca="1" si="0"/>
        <v>2036</v>
      </c>
      <c r="W33" s="71">
        <f t="shared" ca="1" si="0"/>
        <v>2037</v>
      </c>
      <c r="X33" s="71">
        <f t="shared" ca="1" si="0"/>
        <v>2038</v>
      </c>
      <c r="Y33" s="71">
        <f t="shared" ca="1" si="0"/>
        <v>2039</v>
      </c>
      <c r="Z33" s="71">
        <f t="shared" ca="1" si="0"/>
        <v>2040</v>
      </c>
      <c r="AA33" s="71">
        <f t="shared" ca="1" si="0"/>
        <v>2041</v>
      </c>
      <c r="AB33" s="71">
        <f t="shared" ca="1" si="0"/>
        <v>2042</v>
      </c>
      <c r="AC33" s="71">
        <f t="shared" ca="1" si="0"/>
        <v>2043</v>
      </c>
      <c r="AD33" s="71">
        <f t="shared" ca="1" si="0"/>
        <v>2044</v>
      </c>
      <c r="AE33" s="71">
        <f t="shared" ca="1" si="0"/>
        <v>2045</v>
      </c>
      <c r="AF33" s="71">
        <f t="shared" ca="1" si="0"/>
        <v>2046</v>
      </c>
      <c r="AG33" s="71">
        <f t="shared" ca="1" si="0"/>
        <v>2047</v>
      </c>
      <c r="AH33" s="71">
        <f t="shared" ca="1" si="0"/>
        <v>2048</v>
      </c>
      <c r="AI33" s="71">
        <f t="shared" ca="1" si="0"/>
        <v>2049</v>
      </c>
      <c r="AJ33" s="71">
        <f t="shared" ca="1" si="0"/>
        <v>2050</v>
      </c>
      <c r="AK33" s="71">
        <f t="shared" ca="1" si="0"/>
        <v>2051</v>
      </c>
      <c r="AL33" s="71">
        <f t="shared" ca="1" si="0"/>
        <v>2052</v>
      </c>
      <c r="AM33" s="71">
        <f t="shared" ca="1" si="0"/>
        <v>2053</v>
      </c>
      <c r="AN33" s="71">
        <f t="shared" ca="1" si="0"/>
        <v>2054</v>
      </c>
      <c r="AO33" s="71">
        <f t="shared" ca="1" si="0"/>
        <v>2055</v>
      </c>
      <c r="AP33" s="71">
        <f t="shared" ca="1" si="0"/>
        <v>2056</v>
      </c>
      <c r="AQ33" s="71">
        <f t="shared" ca="1" si="0"/>
        <v>2057</v>
      </c>
      <c r="AR33" s="71">
        <f t="shared" ca="1" si="0"/>
        <v>2058</v>
      </c>
      <c r="AS33" s="71">
        <f t="shared" ca="1" si="0"/>
        <v>2059</v>
      </c>
      <c r="AT33" s="71">
        <f t="shared" ca="1" si="0"/>
        <v>2060</v>
      </c>
      <c r="AU33" s="71">
        <f t="shared" ca="1" si="0"/>
        <v>2061</v>
      </c>
      <c r="AV33" s="71">
        <f t="shared" ca="1" si="0"/>
        <v>2062</v>
      </c>
      <c r="AW33" s="71">
        <f t="shared" ca="1" si="0"/>
        <v>2063</v>
      </c>
      <c r="AX33" s="71">
        <f t="shared" ca="1" si="0"/>
        <v>2064</v>
      </c>
      <c r="AY33" s="71">
        <f t="shared" ca="1" si="0"/>
        <v>2065</v>
      </c>
      <c r="AZ33" s="71">
        <f t="shared" ca="1" si="0"/>
        <v>2066</v>
      </c>
      <c r="BA33" s="71">
        <f t="shared" ca="1" si="0"/>
        <v>2067</v>
      </c>
      <c r="BB33" s="71">
        <f t="shared" ca="1" si="0"/>
        <v>2068</v>
      </c>
      <c r="BC33" s="71">
        <f t="shared" ca="1" si="0"/>
        <v>2069</v>
      </c>
      <c r="BD33" s="71">
        <f t="shared" ca="1" si="0"/>
        <v>2070</v>
      </c>
      <c r="BE33" s="71">
        <f t="shared" ca="1" si="0"/>
        <v>2071</v>
      </c>
      <c r="BF33" s="71">
        <f t="shared" ca="1" si="0"/>
        <v>2072</v>
      </c>
      <c r="BG33" s="71">
        <f t="shared" ca="1" si="0"/>
        <v>2073</v>
      </c>
      <c r="BH33" s="71">
        <f t="shared" ca="1" si="0"/>
        <v>2074</v>
      </c>
      <c r="BI33" s="71">
        <f t="shared" ca="1" si="0"/>
        <v>2075</v>
      </c>
      <c r="BJ33" s="71">
        <f t="shared" ca="1" si="0"/>
        <v>2076</v>
      </c>
      <c r="BK33" s="71">
        <f t="shared" ca="1" si="0"/>
        <v>2077</v>
      </c>
      <c r="BL33" s="71">
        <f t="shared" ca="1" si="0"/>
        <v>2078</v>
      </c>
      <c r="BM33" s="71">
        <f t="shared" ca="1" si="0"/>
        <v>2079</v>
      </c>
      <c r="BN33" s="71">
        <f t="shared" ca="1" si="0"/>
        <v>2080</v>
      </c>
      <c r="BO33" s="71">
        <f t="shared" ca="1" si="0"/>
        <v>2081</v>
      </c>
      <c r="BP33" s="71">
        <f t="shared" ca="1" si="0"/>
        <v>2082</v>
      </c>
      <c r="BQ33" s="71">
        <f t="shared" ca="1" si="0"/>
        <v>2083</v>
      </c>
      <c r="BR33" s="71">
        <f t="shared" ca="1" si="0"/>
        <v>2084</v>
      </c>
      <c r="BS33" s="71">
        <f t="shared" ca="1" si="0"/>
        <v>2085</v>
      </c>
      <c r="BT33" s="71">
        <f t="shared" ca="1" si="0"/>
        <v>2086</v>
      </c>
      <c r="BU33" s="71">
        <f t="shared" ref="BU33:DC33" ca="1" si="1">BU40</f>
        <v>2087</v>
      </c>
      <c r="BV33" s="71">
        <f t="shared" ca="1" si="1"/>
        <v>2088</v>
      </c>
      <c r="BW33" s="71">
        <f t="shared" ca="1" si="1"/>
        <v>2089</v>
      </c>
      <c r="BX33" s="71">
        <f t="shared" ca="1" si="1"/>
        <v>2090</v>
      </c>
      <c r="BY33" s="71">
        <f t="shared" ca="1" si="1"/>
        <v>2091</v>
      </c>
      <c r="BZ33" s="71">
        <f t="shared" ca="1" si="1"/>
        <v>2092</v>
      </c>
      <c r="CA33" s="71">
        <f t="shared" ca="1" si="1"/>
        <v>2093</v>
      </c>
      <c r="CB33" s="71">
        <f t="shared" ca="1" si="1"/>
        <v>2094</v>
      </c>
      <c r="CC33" s="71">
        <f t="shared" ca="1" si="1"/>
        <v>2095</v>
      </c>
      <c r="CD33" s="71">
        <f t="shared" ca="1" si="1"/>
        <v>2096</v>
      </c>
      <c r="CE33" s="71">
        <f t="shared" ca="1" si="1"/>
        <v>2097</v>
      </c>
      <c r="CF33" s="71">
        <f t="shared" ca="1" si="1"/>
        <v>2098</v>
      </c>
      <c r="CG33" s="71">
        <f t="shared" ca="1" si="1"/>
        <v>2099</v>
      </c>
      <c r="CH33" s="71">
        <f t="shared" ca="1" si="1"/>
        <v>2100</v>
      </c>
      <c r="CI33" s="71">
        <f t="shared" ca="1" si="1"/>
        <v>2101</v>
      </c>
      <c r="CJ33" s="71">
        <f t="shared" ca="1" si="1"/>
        <v>2102</v>
      </c>
      <c r="CK33" s="71">
        <f t="shared" ca="1" si="1"/>
        <v>2103</v>
      </c>
      <c r="CL33" s="71">
        <f t="shared" ca="1" si="1"/>
        <v>2104</v>
      </c>
      <c r="CM33" s="71">
        <f t="shared" ca="1" si="1"/>
        <v>2105</v>
      </c>
      <c r="CN33" s="71">
        <f t="shared" ca="1" si="1"/>
        <v>2106</v>
      </c>
      <c r="CO33" s="71">
        <f t="shared" ca="1" si="1"/>
        <v>2107</v>
      </c>
      <c r="CP33" s="71">
        <f t="shared" ca="1" si="1"/>
        <v>2108</v>
      </c>
      <c r="CQ33" s="71">
        <f t="shared" ca="1" si="1"/>
        <v>2109</v>
      </c>
      <c r="CR33" s="71">
        <f t="shared" ca="1" si="1"/>
        <v>2110</v>
      </c>
      <c r="CS33" s="71">
        <f t="shared" ca="1" si="1"/>
        <v>2111</v>
      </c>
      <c r="CT33" s="71">
        <f t="shared" ca="1" si="1"/>
        <v>2112</v>
      </c>
      <c r="CU33" s="71">
        <f t="shared" ca="1" si="1"/>
        <v>2113</v>
      </c>
      <c r="CV33" s="71">
        <f t="shared" ca="1" si="1"/>
        <v>2114</v>
      </c>
      <c r="CW33" s="71">
        <f t="shared" ca="1" si="1"/>
        <v>2115</v>
      </c>
      <c r="CX33" s="71">
        <f t="shared" ca="1" si="1"/>
        <v>2116</v>
      </c>
      <c r="CY33" s="71">
        <f t="shared" ca="1" si="1"/>
        <v>2117</v>
      </c>
      <c r="CZ33" s="71">
        <f t="shared" ca="1" si="1"/>
        <v>2118</v>
      </c>
      <c r="DA33" s="71">
        <f t="shared" ca="1" si="1"/>
        <v>2119</v>
      </c>
      <c r="DB33" s="71">
        <f t="shared" ca="1" si="1"/>
        <v>2120</v>
      </c>
      <c r="DC33" s="71">
        <f t="shared" ca="1" si="1"/>
        <v>2121</v>
      </c>
    </row>
    <row r="34" spans="1:107" ht="30" customHeight="1">
      <c r="A34" s="92">
        <v>104</v>
      </c>
      <c r="B34" s="5" t="s">
        <v>27</v>
      </c>
      <c r="C34" s="850" t="str">
        <f>CONCATENATE("SIEKIAMAS REZULTATAS: ",IF(Result=0,"",Result),", matavimo vnt. ",IF(Result_mat=0,"",Result_mat) )</f>
        <v>SIEKIAMAS REZULTATAS: Lietuvos gyventojų dalis, mananti, kad Lietuvos diplomatinė tarnyba labai gerai, gerai atstovauja Lietuvos saugumo interesams, išnaudoja dvišalio ir daugiašalio bendradarbiavimo priemones bei narystės NATO teikiamas galimybes, matavimo vnt. proc.</v>
      </c>
      <c r="D34" s="850"/>
      <c r="E34" s="850"/>
      <c r="F34" s="850"/>
      <c r="G34" s="91">
        <f ca="1">SUMIF($H$39:$DC$39,"&lt;="&amp;PAL,$H34:$DC34)</f>
        <v>47</v>
      </c>
      <c r="H34" s="185">
        <f t="shared" ref="H34:AM34" ca="1" si="2">IFERROR(OFFSET(INDIRECT("'"&amp;Opt_alt&amp;"'!H12"),$A34,H$39),"")</f>
        <v>0</v>
      </c>
      <c r="I34" s="185">
        <f t="shared" ca="1" si="2"/>
        <v>0</v>
      </c>
      <c r="J34" s="185">
        <f t="shared" ca="1" si="2"/>
        <v>0</v>
      </c>
      <c r="K34" s="185">
        <f t="shared" ca="1" si="2"/>
        <v>0</v>
      </c>
      <c r="L34" s="185">
        <f t="shared" ca="1" si="2"/>
        <v>0</v>
      </c>
      <c r="M34" s="185">
        <f t="shared" ca="1" si="2"/>
        <v>0</v>
      </c>
      <c r="N34" s="185">
        <f t="shared" ca="1" si="2"/>
        <v>0</v>
      </c>
      <c r="O34" s="185">
        <f t="shared" ca="1" si="2"/>
        <v>0</v>
      </c>
      <c r="P34" s="185">
        <f t="shared" ca="1" si="2"/>
        <v>47</v>
      </c>
      <c r="Q34" s="185">
        <f t="shared" ca="1" si="2"/>
        <v>0</v>
      </c>
      <c r="R34" s="185">
        <f t="shared" ca="1" si="2"/>
        <v>0</v>
      </c>
      <c r="S34" s="185">
        <f t="shared" ca="1" si="2"/>
        <v>0</v>
      </c>
      <c r="T34" s="185">
        <f t="shared" ca="1" si="2"/>
        <v>0</v>
      </c>
      <c r="U34" s="185">
        <f t="shared" ca="1" si="2"/>
        <v>0</v>
      </c>
      <c r="V34" s="185">
        <f t="shared" ca="1" si="2"/>
        <v>0</v>
      </c>
      <c r="W34" s="185">
        <f t="shared" ca="1" si="2"/>
        <v>0</v>
      </c>
      <c r="X34" s="185">
        <f t="shared" ca="1" si="2"/>
        <v>0</v>
      </c>
      <c r="Y34" s="185">
        <f t="shared" ca="1" si="2"/>
        <v>0</v>
      </c>
      <c r="Z34" s="185">
        <f t="shared" ca="1" si="2"/>
        <v>0</v>
      </c>
      <c r="AA34" s="185">
        <f t="shared" ca="1" si="2"/>
        <v>0</v>
      </c>
      <c r="AB34" s="185">
        <f t="shared" ca="1" si="2"/>
        <v>0</v>
      </c>
      <c r="AC34" s="185">
        <f t="shared" ca="1" si="2"/>
        <v>0</v>
      </c>
      <c r="AD34" s="185">
        <f t="shared" ca="1" si="2"/>
        <v>0</v>
      </c>
      <c r="AE34" s="185">
        <f t="shared" ca="1" si="2"/>
        <v>0</v>
      </c>
      <c r="AF34" s="185">
        <f t="shared" ca="1" si="2"/>
        <v>0</v>
      </c>
      <c r="AG34" s="185">
        <f t="shared" ca="1" si="2"/>
        <v>0</v>
      </c>
      <c r="AH34" s="185">
        <f t="shared" ca="1" si="2"/>
        <v>0</v>
      </c>
      <c r="AI34" s="185">
        <f t="shared" ca="1" si="2"/>
        <v>0</v>
      </c>
      <c r="AJ34" s="185">
        <f t="shared" ca="1" si="2"/>
        <v>0</v>
      </c>
      <c r="AK34" s="185">
        <f t="shared" ca="1" si="2"/>
        <v>0</v>
      </c>
      <c r="AL34" s="185">
        <f t="shared" ca="1" si="2"/>
        <v>0</v>
      </c>
      <c r="AM34" s="185">
        <f t="shared" ca="1" si="2"/>
        <v>0</v>
      </c>
      <c r="AN34" s="185">
        <f t="shared" ref="AN34:BS34" ca="1" si="3">IFERROR(OFFSET(INDIRECT("'"&amp;Opt_alt&amp;"'!H12"),$A34,AN$39),"")</f>
        <v>0</v>
      </c>
      <c r="AO34" s="185">
        <f t="shared" ca="1" si="3"/>
        <v>0</v>
      </c>
      <c r="AP34" s="185">
        <f t="shared" ca="1" si="3"/>
        <v>0</v>
      </c>
      <c r="AQ34" s="185">
        <f t="shared" ca="1" si="3"/>
        <v>0</v>
      </c>
      <c r="AR34" s="185">
        <f t="shared" ca="1" si="3"/>
        <v>0</v>
      </c>
      <c r="AS34" s="185">
        <f t="shared" ca="1" si="3"/>
        <v>0</v>
      </c>
      <c r="AT34" s="185">
        <f t="shared" ca="1" si="3"/>
        <v>0</v>
      </c>
      <c r="AU34" s="185">
        <f t="shared" ca="1" si="3"/>
        <v>0</v>
      </c>
      <c r="AV34" s="185">
        <f t="shared" ca="1" si="3"/>
        <v>0</v>
      </c>
      <c r="AW34" s="185">
        <f t="shared" ca="1" si="3"/>
        <v>0</v>
      </c>
      <c r="AX34" s="185">
        <f t="shared" ca="1" si="3"/>
        <v>0</v>
      </c>
      <c r="AY34" s="185">
        <f t="shared" ca="1" si="3"/>
        <v>0</v>
      </c>
      <c r="AZ34" s="185">
        <f t="shared" ca="1" si="3"/>
        <v>0</v>
      </c>
      <c r="BA34" s="185">
        <f t="shared" ca="1" si="3"/>
        <v>0</v>
      </c>
      <c r="BB34" s="185">
        <f t="shared" ca="1" si="3"/>
        <v>0</v>
      </c>
      <c r="BC34" s="185">
        <f t="shared" ca="1" si="3"/>
        <v>0</v>
      </c>
      <c r="BD34" s="185">
        <f t="shared" ca="1" si="3"/>
        <v>0</v>
      </c>
      <c r="BE34" s="185">
        <f t="shared" ca="1" si="3"/>
        <v>0</v>
      </c>
      <c r="BF34" s="185">
        <f t="shared" ca="1" si="3"/>
        <v>0</v>
      </c>
      <c r="BG34" s="185">
        <f t="shared" ca="1" si="3"/>
        <v>0</v>
      </c>
      <c r="BH34" s="185">
        <f t="shared" ca="1" si="3"/>
        <v>0</v>
      </c>
      <c r="BI34" s="185">
        <f t="shared" ca="1" si="3"/>
        <v>0</v>
      </c>
      <c r="BJ34" s="185">
        <f t="shared" ca="1" si="3"/>
        <v>0</v>
      </c>
      <c r="BK34" s="185">
        <f t="shared" ca="1" si="3"/>
        <v>0</v>
      </c>
      <c r="BL34" s="185">
        <f t="shared" ca="1" si="3"/>
        <v>0</v>
      </c>
      <c r="BM34" s="185">
        <f t="shared" ca="1" si="3"/>
        <v>0</v>
      </c>
      <c r="BN34" s="185">
        <f t="shared" ca="1" si="3"/>
        <v>0</v>
      </c>
      <c r="BO34" s="185">
        <f t="shared" ca="1" si="3"/>
        <v>0</v>
      </c>
      <c r="BP34" s="185">
        <f t="shared" ca="1" si="3"/>
        <v>0</v>
      </c>
      <c r="BQ34" s="185">
        <f t="shared" ca="1" si="3"/>
        <v>0</v>
      </c>
      <c r="BR34" s="185">
        <f t="shared" ca="1" si="3"/>
        <v>0</v>
      </c>
      <c r="BS34" s="185">
        <f t="shared" ca="1" si="3"/>
        <v>0</v>
      </c>
      <c r="BT34" s="185">
        <f t="shared" ref="BT34:DC34" ca="1" si="4">IFERROR(OFFSET(INDIRECT("'"&amp;Opt_alt&amp;"'!H12"),$A34,BT$39),"")</f>
        <v>0</v>
      </c>
      <c r="BU34" s="185">
        <f t="shared" ca="1" si="4"/>
        <v>0</v>
      </c>
      <c r="BV34" s="185">
        <f t="shared" ca="1" si="4"/>
        <v>0</v>
      </c>
      <c r="BW34" s="185">
        <f t="shared" ca="1" si="4"/>
        <v>0</v>
      </c>
      <c r="BX34" s="185">
        <f t="shared" ca="1" si="4"/>
        <v>0</v>
      </c>
      <c r="BY34" s="185">
        <f t="shared" ca="1" si="4"/>
        <v>0</v>
      </c>
      <c r="BZ34" s="185">
        <f t="shared" ca="1" si="4"/>
        <v>0</v>
      </c>
      <c r="CA34" s="185">
        <f t="shared" ca="1" si="4"/>
        <v>0</v>
      </c>
      <c r="CB34" s="185">
        <f t="shared" ca="1" si="4"/>
        <v>0</v>
      </c>
      <c r="CC34" s="185">
        <f t="shared" ca="1" si="4"/>
        <v>0</v>
      </c>
      <c r="CD34" s="185">
        <f t="shared" ca="1" si="4"/>
        <v>0</v>
      </c>
      <c r="CE34" s="185">
        <f t="shared" ca="1" si="4"/>
        <v>0</v>
      </c>
      <c r="CF34" s="185">
        <f t="shared" ca="1" si="4"/>
        <v>0</v>
      </c>
      <c r="CG34" s="185">
        <f t="shared" ca="1" si="4"/>
        <v>0</v>
      </c>
      <c r="CH34" s="185">
        <f t="shared" ca="1" si="4"/>
        <v>0</v>
      </c>
      <c r="CI34" s="185">
        <f t="shared" ca="1" si="4"/>
        <v>0</v>
      </c>
      <c r="CJ34" s="185">
        <f t="shared" ca="1" si="4"/>
        <v>0</v>
      </c>
      <c r="CK34" s="185">
        <f t="shared" ca="1" si="4"/>
        <v>0</v>
      </c>
      <c r="CL34" s="185">
        <f t="shared" ca="1" si="4"/>
        <v>0</v>
      </c>
      <c r="CM34" s="185">
        <f t="shared" ca="1" si="4"/>
        <v>0</v>
      </c>
      <c r="CN34" s="185">
        <f t="shared" ca="1" si="4"/>
        <v>0</v>
      </c>
      <c r="CO34" s="185">
        <f t="shared" ca="1" si="4"/>
        <v>0</v>
      </c>
      <c r="CP34" s="185">
        <f t="shared" ca="1" si="4"/>
        <v>0</v>
      </c>
      <c r="CQ34" s="185">
        <f t="shared" ca="1" si="4"/>
        <v>0</v>
      </c>
      <c r="CR34" s="185">
        <f t="shared" ca="1" si="4"/>
        <v>0</v>
      </c>
      <c r="CS34" s="185">
        <f t="shared" ca="1" si="4"/>
        <v>0</v>
      </c>
      <c r="CT34" s="185">
        <f t="shared" ca="1" si="4"/>
        <v>0</v>
      </c>
      <c r="CU34" s="185">
        <f t="shared" ca="1" si="4"/>
        <v>0</v>
      </c>
      <c r="CV34" s="185">
        <f t="shared" ca="1" si="4"/>
        <v>0</v>
      </c>
      <c r="CW34" s="185">
        <f t="shared" ca="1" si="4"/>
        <v>0</v>
      </c>
      <c r="CX34" s="185">
        <f t="shared" ca="1" si="4"/>
        <v>0</v>
      </c>
      <c r="CY34" s="185">
        <f t="shared" ca="1" si="4"/>
        <v>0</v>
      </c>
      <c r="CZ34" s="185">
        <f t="shared" ca="1" si="4"/>
        <v>0</v>
      </c>
      <c r="DA34" s="185">
        <f t="shared" ca="1" si="4"/>
        <v>0</v>
      </c>
      <c r="DB34" s="185">
        <f t="shared" ca="1" si="4"/>
        <v>0</v>
      </c>
      <c r="DC34" s="185">
        <f t="shared" ca="1" si="4"/>
        <v>0</v>
      </c>
    </row>
    <row r="35" spans="1:107">
      <c r="B35" s="18"/>
      <c r="C35" s="18"/>
      <c r="D35" s="18"/>
    </row>
    <row r="36" spans="1:107" hidden="1">
      <c r="B36" s="18"/>
      <c r="C36" s="18"/>
      <c r="D36" s="18"/>
    </row>
    <row r="37" spans="1:107" hidden="1">
      <c r="B37" s="18"/>
      <c r="C37" s="18"/>
      <c r="D37" s="18"/>
    </row>
    <row r="38" spans="1:107" hidden="1">
      <c r="B38" s="18" t="s">
        <v>40</v>
      </c>
      <c r="C38" s="18"/>
    </row>
    <row r="39" spans="1:107" hidden="1">
      <c r="B39" s="18" t="s">
        <v>206</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8" t="s">
        <v>3</v>
      </c>
      <c r="C40" s="308" t="s">
        <v>526</v>
      </c>
      <c r="D40" s="305" t="s">
        <v>161</v>
      </c>
      <c r="E40" s="307" t="s">
        <v>527</v>
      </c>
      <c r="F40" s="306" t="s">
        <v>528</v>
      </c>
      <c r="G40" s="299" t="s">
        <v>32</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2"/>
      <c r="B41" s="3" t="str">
        <f ca="1">IFERROR(OFFSET(INDIRECT("'"&amp;Opt_alt&amp;"'!B9"),0,0),"")</f>
        <v>C.</v>
      </c>
      <c r="C41" s="134" t="str">
        <f ca="1">IFERROR(OFFSET(INDIRECT("'"&amp;Opt_alt&amp;"'!C9"),0,0),"")</f>
        <v>PRIEMONĖS INVESTICIJOS</v>
      </c>
      <c r="D41" s="300"/>
      <c r="E41" s="300"/>
      <c r="F41" s="301"/>
      <c r="G41" s="91">
        <f ca="1">SUMIF($H$39:$DC$39,"&lt;="&amp;PAL,$H41:$DC41)</f>
        <v>13444214.598182147</v>
      </c>
      <c r="H41" s="8">
        <f ca="1">H42+H70+H98</f>
        <v>1730000</v>
      </c>
      <c r="I41" s="8">
        <f t="shared" ref="I41:BT41" ca="1" si="5">I42+I70+I98</f>
        <v>3489620.19055796</v>
      </c>
      <c r="J41" s="8">
        <f t="shared" ca="1" si="5"/>
        <v>3583434.0438187001</v>
      </c>
      <c r="K41" s="8">
        <f t="shared" ca="1" si="5"/>
        <v>4601177.7325636055</v>
      </c>
      <c r="L41" s="8">
        <f t="shared" ca="1" si="5"/>
        <v>5627.5440499999995</v>
      </c>
      <c r="M41" s="8">
        <f t="shared" ca="1" si="5"/>
        <v>28981.851857499994</v>
      </c>
      <c r="N41" s="8">
        <f t="shared" ca="1" si="5"/>
        <v>5373.2353343804998</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2"/>
      <c r="B42" s="3" t="str">
        <f ca="1">IFERROR(OFFSET(INDIRECT("'"&amp;Opt_alt&amp;"'!B10"),0,0),"")</f>
        <v>D.</v>
      </c>
      <c r="C42" s="132" t="str">
        <f ca="1">IFERROR(OFFSET(INDIRECT("'"&amp;Opt_alt&amp;"'!C10"),0,0),"")</f>
        <v>REGULIACINĖS VEIKLOS</v>
      </c>
      <c r="D42" s="294"/>
      <c r="E42" s="294"/>
      <c r="F42" s="295"/>
      <c r="G42" s="91">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2" t="str">
        <f ca="1">IFERROR(OFFSET(INDIRECT("'"&amp;Opt_alt&amp;"'!C11"),0,0),"")</f>
        <v>Norminės</v>
      </c>
      <c r="D43" s="294"/>
      <c r="E43" s="294"/>
      <c r="F43" s="295"/>
      <c r="G43" s="91">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2">
        <v>0</v>
      </c>
      <c r="B44" s="5" t="str">
        <f t="shared" ref="B44:B75" ca="1" si="11">IFERROR(OFFSET(INDIRECT("'"&amp;Opt_alt&amp;"'!B12"),$A44,H$39),"")</f>
        <v>D.1.1.</v>
      </c>
      <c r="C44" s="302" t="str">
        <f t="shared" ref="C44:C75" ca="1" si="12">IFERROR(OFFSET(INDIRECT("'"&amp;Opt_alt&amp;"'!C12"),$A44,H$39),"")</f>
        <v xml:space="preserve">Veikla (nurodykite pavadinimą; suplanuotas investicijas pagrįskite prielaidų lape)
Analitinė studija dėl diplomatinio atstovavimo tinklo plėtros </v>
      </c>
      <c r="D44" s="303"/>
      <c r="E44" s="303"/>
      <c r="F44" s="304"/>
      <c r="G44" s="91">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2">
        <v>1</v>
      </c>
      <c r="B45" s="5" t="str">
        <f t="shared" ca="1" si="11"/>
        <v>D.1.2.</v>
      </c>
      <c r="C45" s="302" t="str">
        <f t="shared" ca="1" si="12"/>
        <v>Veikla</v>
      </c>
      <c r="D45" s="303"/>
      <c r="E45" s="303"/>
      <c r="F45" s="304"/>
      <c r="G45" s="91">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2">
        <v>2</v>
      </c>
      <c r="B46" s="5" t="str">
        <f t="shared" ca="1" si="11"/>
        <v>D.1.3.</v>
      </c>
      <c r="C46" s="302" t="str">
        <f t="shared" ca="1" si="12"/>
        <v>Veikla</v>
      </c>
      <c r="D46" s="303"/>
      <c r="E46" s="303"/>
      <c r="F46" s="304"/>
      <c r="G46" s="91">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2">
        <v>3</v>
      </c>
      <c r="B47" s="5" t="str">
        <f t="shared" ca="1" si="11"/>
        <v>D.1.4.</v>
      </c>
      <c r="C47" s="302" t="str">
        <f t="shared" ca="1" si="12"/>
        <v>Veikla</v>
      </c>
      <c r="D47" s="303"/>
      <c r="E47" s="303"/>
      <c r="F47" s="304"/>
      <c r="G47" s="91">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2">
        <v>4</v>
      </c>
      <c r="B48" s="5" t="str">
        <f t="shared" ca="1" si="11"/>
        <v>D.1.5.</v>
      </c>
      <c r="C48" s="302" t="str">
        <f t="shared" ca="1" si="12"/>
        <v>Veikla</v>
      </c>
      <c r="D48" s="303"/>
      <c r="E48" s="303"/>
      <c r="F48" s="304"/>
      <c r="G48" s="91">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2">
        <v>5</v>
      </c>
      <c r="B49" s="5" t="str">
        <f t="shared" ca="1" si="11"/>
        <v>D.1.6.</v>
      </c>
      <c r="C49" s="302" t="str">
        <f t="shared" ca="1" si="12"/>
        <v>Veikla</v>
      </c>
      <c r="D49" s="303"/>
      <c r="E49" s="303"/>
      <c r="F49" s="304"/>
      <c r="G49" s="91">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2">
        <v>6</v>
      </c>
      <c r="B50" s="5" t="str">
        <f t="shared" ca="1" si="11"/>
        <v>D.1.7.</v>
      </c>
      <c r="C50" s="302" t="str">
        <f t="shared" ca="1" si="12"/>
        <v>Veikla</v>
      </c>
      <c r="D50" s="303"/>
      <c r="E50" s="303"/>
      <c r="F50" s="304"/>
      <c r="G50" s="91">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2">
        <v>7</v>
      </c>
      <c r="B51" s="5" t="str">
        <f t="shared" ca="1" si="11"/>
        <v>D.1.8.</v>
      </c>
      <c r="C51" s="302" t="str">
        <f t="shared" ca="1" si="12"/>
        <v>Veikla</v>
      </c>
      <c r="D51" s="303"/>
      <c r="E51" s="303"/>
      <c r="F51" s="304"/>
      <c r="G51" s="91">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2">
        <v>10</v>
      </c>
      <c r="B52" s="3" t="str">
        <f t="shared" ca="1" si="11"/>
        <v>D.2.</v>
      </c>
      <c r="C52" s="132" t="str">
        <f t="shared" ca="1" si="12"/>
        <v>Mokestinės</v>
      </c>
      <c r="D52" s="294"/>
      <c r="E52" s="294"/>
      <c r="F52" s="295"/>
      <c r="G52" s="91">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2">
        <v>11</v>
      </c>
      <c r="B53" s="5" t="str">
        <f t="shared" ca="1" si="11"/>
        <v>D.2.1.</v>
      </c>
      <c r="C53" s="114" t="str">
        <f t="shared" ca="1" si="12"/>
        <v>Veikla</v>
      </c>
      <c r="D53" s="195"/>
      <c r="E53" s="195"/>
      <c r="F53" s="196"/>
      <c r="G53" s="91">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2">
        <v>12</v>
      </c>
      <c r="B54" s="5" t="str">
        <f t="shared" ca="1" si="11"/>
        <v>D.2.2.</v>
      </c>
      <c r="C54" s="114" t="str">
        <f t="shared" ca="1" si="12"/>
        <v>Veikla</v>
      </c>
      <c r="D54" s="195"/>
      <c r="E54" s="195"/>
      <c r="F54" s="196"/>
      <c r="G54" s="91">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2">
        <v>13</v>
      </c>
      <c r="B55" s="5" t="str">
        <f t="shared" ca="1" si="11"/>
        <v>D.2.3.</v>
      </c>
      <c r="C55" s="114" t="str">
        <f t="shared" ca="1" si="12"/>
        <v>Veikla</v>
      </c>
      <c r="D55" s="195"/>
      <c r="E55" s="195"/>
      <c r="F55" s="196"/>
      <c r="G55" s="91">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2">
        <v>14</v>
      </c>
      <c r="B56" s="5" t="str">
        <f t="shared" ca="1" si="11"/>
        <v>D.2.4.</v>
      </c>
      <c r="C56" s="114" t="str">
        <f t="shared" ca="1" si="12"/>
        <v>Veikla</v>
      </c>
      <c r="D56" s="195"/>
      <c r="E56" s="195"/>
      <c r="F56" s="196"/>
      <c r="G56" s="91">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2">
        <v>15</v>
      </c>
      <c r="B57" s="5" t="str">
        <f t="shared" ca="1" si="11"/>
        <v>D.2.5.</v>
      </c>
      <c r="C57" s="114" t="str">
        <f t="shared" ca="1" si="12"/>
        <v>Veikla</v>
      </c>
      <c r="D57" s="195"/>
      <c r="E57" s="195"/>
      <c r="F57" s="196"/>
      <c r="G57" s="91">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2">
        <v>16</v>
      </c>
      <c r="B58" s="5" t="str">
        <f t="shared" ca="1" si="11"/>
        <v>D.2.6.</v>
      </c>
      <c r="C58" s="114" t="str">
        <f t="shared" ca="1" si="12"/>
        <v>Veikla</v>
      </c>
      <c r="D58" s="195"/>
      <c r="E58" s="195"/>
      <c r="F58" s="196"/>
      <c r="G58" s="91">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2">
        <v>17</v>
      </c>
      <c r="B59" s="5" t="str">
        <f t="shared" ca="1" si="11"/>
        <v>D.2.7.</v>
      </c>
      <c r="C59" s="114" t="str">
        <f t="shared" ca="1" si="12"/>
        <v>Veikla</v>
      </c>
      <c r="D59" s="195"/>
      <c r="E59" s="195"/>
      <c r="F59" s="196"/>
      <c r="G59" s="91">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2">
        <v>18</v>
      </c>
      <c r="B60" s="5" t="str">
        <f t="shared" ca="1" si="11"/>
        <v>D.2.8.</v>
      </c>
      <c r="C60" s="114" t="str">
        <f t="shared" ca="1" si="12"/>
        <v>Veikla</v>
      </c>
      <c r="D60" s="195"/>
      <c r="E60" s="195"/>
      <c r="F60" s="196"/>
      <c r="G60" s="91">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2">
        <v>21</v>
      </c>
      <c r="B61" s="3" t="str">
        <f t="shared" ca="1" si="11"/>
        <v>D.3.</v>
      </c>
      <c r="C61" s="132" t="str">
        <f t="shared" ca="1" si="12"/>
        <v>Finansinės paskatos ir kitos išmokos</v>
      </c>
      <c r="D61" s="294"/>
      <c r="E61" s="294"/>
      <c r="F61" s="295"/>
      <c r="G61" s="91">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2">
        <v>22</v>
      </c>
      <c r="B62" s="5" t="str">
        <f t="shared" ca="1" si="11"/>
        <v>D.3.1.</v>
      </c>
      <c r="C62" s="114" t="str">
        <f t="shared" ca="1" si="12"/>
        <v>Veikla</v>
      </c>
      <c r="D62" s="195"/>
      <c r="E62" s="195"/>
      <c r="F62" s="196"/>
      <c r="G62" s="91">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2">
        <v>23</v>
      </c>
      <c r="B63" s="5" t="str">
        <f t="shared" ca="1" si="11"/>
        <v>D.3.2.</v>
      </c>
      <c r="C63" s="114" t="str">
        <f t="shared" ca="1" si="12"/>
        <v>Veikla</v>
      </c>
      <c r="D63" s="195"/>
      <c r="E63" s="195"/>
      <c r="F63" s="196"/>
      <c r="G63" s="91">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2">
        <v>24</v>
      </c>
      <c r="B64" s="5" t="str">
        <f t="shared" ca="1" si="11"/>
        <v>D.3.3.</v>
      </c>
      <c r="C64" s="114" t="str">
        <f t="shared" ca="1" si="12"/>
        <v>Veikla</v>
      </c>
      <c r="D64" s="195"/>
      <c r="E64" s="195"/>
      <c r="F64" s="196"/>
      <c r="G64" s="91">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2">
        <v>25</v>
      </c>
      <c r="B65" s="5" t="str">
        <f t="shared" ca="1" si="11"/>
        <v>D.3.4.</v>
      </c>
      <c r="C65" s="114" t="str">
        <f t="shared" ca="1" si="12"/>
        <v>Veikla</v>
      </c>
      <c r="D65" s="195"/>
      <c r="E65" s="195"/>
      <c r="F65" s="196"/>
      <c r="G65" s="91">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2">
        <v>26</v>
      </c>
      <c r="B66" s="5" t="str">
        <f t="shared" ca="1" si="11"/>
        <v>D.3.5.</v>
      </c>
      <c r="C66" s="114" t="str">
        <f t="shared" ca="1" si="12"/>
        <v>Veikla</v>
      </c>
      <c r="D66" s="195"/>
      <c r="E66" s="195"/>
      <c r="F66" s="196"/>
      <c r="G66" s="91">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2">
        <v>27</v>
      </c>
      <c r="B67" s="5" t="str">
        <f t="shared" ca="1" si="11"/>
        <v>D.3.6.</v>
      </c>
      <c r="C67" s="114" t="str">
        <f t="shared" ca="1" si="12"/>
        <v>Veikla</v>
      </c>
      <c r="D67" s="195"/>
      <c r="E67" s="195"/>
      <c r="F67" s="196"/>
      <c r="G67" s="91">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2">
        <v>28</v>
      </c>
      <c r="B68" s="5" t="str">
        <f t="shared" ca="1" si="11"/>
        <v>D.3.7.</v>
      </c>
      <c r="C68" s="114" t="str">
        <f t="shared" ca="1" si="12"/>
        <v>Veikla</v>
      </c>
      <c r="D68" s="195"/>
      <c r="E68" s="195"/>
      <c r="F68" s="196"/>
      <c r="G68" s="91">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2">
        <v>29</v>
      </c>
      <c r="B69" s="5" t="str">
        <f t="shared" ca="1" si="11"/>
        <v>D.3.8.</v>
      </c>
      <c r="C69" s="114" t="str">
        <f t="shared" ca="1" si="12"/>
        <v>Veikla</v>
      </c>
      <c r="D69" s="195"/>
      <c r="E69" s="195"/>
      <c r="F69" s="196"/>
      <c r="G69" s="91">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2">
        <v>32</v>
      </c>
      <c r="B70" s="3" t="str">
        <f t="shared" ca="1" si="11"/>
        <v>E.</v>
      </c>
      <c r="C70" s="132" t="str">
        <f t="shared" ca="1" si="12"/>
        <v>INVESTICINĖS VEIKLOS</v>
      </c>
      <c r="D70" s="294"/>
      <c r="E70" s="294"/>
      <c r="F70" s="295"/>
      <c r="G70" s="91">
        <f ca="1">SUMIF($H$39:$DC$39,"&lt;="&amp;PAL,$H70:$DC70)</f>
        <v>13444214.598182147</v>
      </c>
      <c r="H70" s="11">
        <f ca="1">SUM(H71,H80,H89)</f>
        <v>1730000</v>
      </c>
      <c r="I70" s="11">
        <f t="shared" ref="I70:BT70" ca="1" si="47">SUM(I71,I80,I89)</f>
        <v>3489620.19055796</v>
      </c>
      <c r="J70" s="11">
        <f t="shared" ca="1" si="47"/>
        <v>3583434.0438187001</v>
      </c>
      <c r="K70" s="11">
        <f t="shared" ca="1" si="47"/>
        <v>4601177.7325636055</v>
      </c>
      <c r="L70" s="11">
        <f t="shared" ca="1" si="47"/>
        <v>5627.5440499999995</v>
      </c>
      <c r="M70" s="11">
        <f t="shared" ca="1" si="47"/>
        <v>28981.851857499994</v>
      </c>
      <c r="N70" s="11">
        <f t="shared" ca="1" si="47"/>
        <v>5373.2353343804998</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2">
        <v>33</v>
      </c>
      <c r="B71" s="3" t="str">
        <f t="shared" ca="1" si="11"/>
        <v>E.1.</v>
      </c>
      <c r="C71" s="132" t="str">
        <f t="shared" ca="1" si="12"/>
        <v>Infrastruktūros vystymas</v>
      </c>
      <c r="D71" s="294"/>
      <c r="E71" s="294"/>
      <c r="F71" s="295"/>
      <c r="G71" s="91">
        <f ca="1">SUMIF($H$39:$DC$39,"&lt;="&amp;PAL,$H71:$DC71)</f>
        <v>10161001.3048</v>
      </c>
      <c r="H71" s="11">
        <f ca="1">SUM(H72:H79)</f>
        <v>1730000</v>
      </c>
      <c r="I71" s="11">
        <f t="shared" ref="I71:BT71" ca="1" si="49">SUM(I72:I79)</f>
        <v>3265615</v>
      </c>
      <c r="J71" s="11">
        <f t="shared" ca="1" si="49"/>
        <v>1939219.1099999999</v>
      </c>
      <c r="K71" s="11">
        <f t="shared" ca="1" si="49"/>
        <v>3226167.1947999997</v>
      </c>
      <c r="L71" s="11">
        <f t="shared" ca="1" si="49"/>
        <v>0</v>
      </c>
      <c r="M71" s="11">
        <f t="shared" ca="1" si="49"/>
        <v>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2">
        <v>34</v>
      </c>
      <c r="B72" s="5" t="str">
        <f t="shared" ca="1" si="11"/>
        <v>E.1.1.</v>
      </c>
      <c r="C72" s="114" t="str">
        <f t="shared" ca="1" si="12"/>
        <v>Ambasados Singapūre įsteigimas</v>
      </c>
      <c r="D72" s="195"/>
      <c r="E72" s="195"/>
      <c r="F72" s="196"/>
      <c r="G72" s="91">
        <f ca="1">SUMIF($H$39:$DC$39,"&lt;="&amp;PAL,$H72:$DC72)</f>
        <v>1730000</v>
      </c>
      <c r="H72" s="14">
        <f t="shared" ref="H72:Q79" ca="1" si="51">IFERROR(OFFSET(INDIRECT("'"&amp;Opt_alt&amp;"'!H12"),$A72,H$39)*(1+VMI)^H$39,"")</f>
        <v>1730000</v>
      </c>
      <c r="I72" s="14">
        <f t="shared" ca="1" si="51"/>
        <v>0</v>
      </c>
      <c r="J72" s="14">
        <f t="shared" ca="1" si="51"/>
        <v>0</v>
      </c>
      <c r="K72" s="14">
        <f t="shared" ca="1" si="51"/>
        <v>0</v>
      </c>
      <c r="L72" s="14">
        <f t="shared" ca="1" si="51"/>
        <v>0</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2">
        <v>35</v>
      </c>
      <c r="B73" s="5" t="str">
        <f t="shared" ca="1" si="11"/>
        <v>E.1.2.</v>
      </c>
      <c r="C73" s="114" t="str">
        <f t="shared" ca="1" si="12"/>
        <v>Ambasadų kitose užsienio valstybėse įsteigimas (politinės/ekonominės svarbos scenarijus)</v>
      </c>
      <c r="D73" s="195"/>
      <c r="E73" s="195"/>
      <c r="F73" s="196"/>
      <c r="G73" s="91">
        <f ca="1">SUMIF($H$39:$DC$39,"&lt;="&amp;PAL,$H73:$DC73)</f>
        <v>7795051.4947999995</v>
      </c>
      <c r="H73" s="14">
        <f t="shared" ca="1" si="51"/>
        <v>0</v>
      </c>
      <c r="I73" s="14">
        <f t="shared" ca="1" si="51"/>
        <v>3214115</v>
      </c>
      <c r="J73" s="14">
        <f t="shared" ca="1" si="51"/>
        <v>1387551.1099999999</v>
      </c>
      <c r="K73" s="14">
        <f t="shared" ca="1" si="51"/>
        <v>3193385.3847999997</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2">
        <v>36</v>
      </c>
      <c r="B74" s="5" t="str">
        <f t="shared" ca="1" si="11"/>
        <v>E.1.3.</v>
      </c>
      <c r="C74" s="114" t="str">
        <f t="shared" ca="1" si="12"/>
        <v>Valstybės veiklos tarptautinėse organizacijose pozicijų derinimo, stebėsenos sistemos sukūrimas</v>
      </c>
      <c r="D74" s="195"/>
      <c r="E74" s="195"/>
      <c r="F74" s="196"/>
      <c r="G74" s="91">
        <f ca="1">SUMIF($H$39:$DC$39,"&lt;="&amp;PAL,$H74:$DC74)</f>
        <v>635949.81000000006</v>
      </c>
      <c r="H74" s="14">
        <f t="shared" ca="1" si="51"/>
        <v>0</v>
      </c>
      <c r="I74" s="14">
        <f t="shared" ca="1" si="51"/>
        <v>51500</v>
      </c>
      <c r="J74" s="14">
        <f t="shared" ca="1" si="51"/>
        <v>551668</v>
      </c>
      <c r="K74" s="14">
        <f t="shared" ca="1" si="51"/>
        <v>32781.81</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2">
        <v>37</v>
      </c>
      <c r="B75" s="5" t="str">
        <f t="shared" ca="1" si="11"/>
        <v>E.1.4.</v>
      </c>
      <c r="C75" s="114">
        <f t="shared" ca="1" si="12"/>
        <v>0</v>
      </c>
      <c r="D75" s="195"/>
      <c r="E75" s="195"/>
      <c r="F75" s="196"/>
      <c r="G75" s="91">
        <f ca="1">SUMIF($H$39:$DC$39,"&lt;="&amp;PAL,$H75:$DC75)</f>
        <v>0</v>
      </c>
      <c r="H75" s="14">
        <f t="shared" ca="1" si="51"/>
        <v>0</v>
      </c>
      <c r="I75" s="14">
        <f t="shared" ca="1" si="51"/>
        <v>0</v>
      </c>
      <c r="J75" s="14">
        <f t="shared" ca="1" si="51"/>
        <v>0</v>
      </c>
      <c r="K75" s="14">
        <f t="shared" ca="1" si="51"/>
        <v>0</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2">
        <v>38</v>
      </c>
      <c r="B76" s="5" t="str">
        <f t="shared" ref="B76:B113" ca="1" si="61">IFERROR(OFFSET(INDIRECT("'"&amp;Opt_alt&amp;"'!B12"),$A76,H$39),"")</f>
        <v>E.1.5.</v>
      </c>
      <c r="C76" s="114">
        <f t="shared" ref="C76:C105" ca="1" si="62">IFERROR(OFFSET(INDIRECT("'"&amp;Opt_alt&amp;"'!C12"),$A76,H$39),"")</f>
        <v>0</v>
      </c>
      <c r="D76" s="195"/>
      <c r="E76" s="195"/>
      <c r="F76" s="196"/>
      <c r="G76" s="91">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2">
        <v>39</v>
      </c>
      <c r="B77" s="5" t="str">
        <f t="shared" ca="1" si="61"/>
        <v>E.1.6.</v>
      </c>
      <c r="C77" s="114">
        <f t="shared" ca="1" si="62"/>
        <v>0</v>
      </c>
      <c r="D77" s="195"/>
      <c r="E77" s="195"/>
      <c r="F77" s="196"/>
      <c r="G77" s="91">
        <f ca="1">SUMIF($H$39:$DC$39,"&lt;="&amp;PAL,$H77:$DC77)</f>
        <v>0</v>
      </c>
      <c r="H77" s="14">
        <f t="shared" ca="1" si="51"/>
        <v>0</v>
      </c>
      <c r="I77" s="14">
        <f t="shared" ca="1" si="51"/>
        <v>0</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2">
        <v>40</v>
      </c>
      <c r="B78" s="5" t="str">
        <f t="shared" ca="1" si="61"/>
        <v>E.1.7.</v>
      </c>
      <c r="C78" s="114">
        <f t="shared" ca="1" si="62"/>
        <v>0</v>
      </c>
      <c r="D78" s="195"/>
      <c r="E78" s="195"/>
      <c r="F78" s="196"/>
      <c r="G78" s="91">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2">
        <v>41</v>
      </c>
      <c r="B79" s="5" t="str">
        <f t="shared" ca="1" si="61"/>
        <v>E.1.8.</v>
      </c>
      <c r="C79" s="114" t="str">
        <f t="shared" ca="1" si="62"/>
        <v>Veikla</v>
      </c>
      <c r="D79" s="195"/>
      <c r="E79" s="195"/>
      <c r="F79" s="196"/>
      <c r="G79" s="91">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2">
        <v>44</v>
      </c>
      <c r="B80" s="3" t="str">
        <f t="shared" ca="1" si="61"/>
        <v>E.2.</v>
      </c>
      <c r="C80" s="132" t="str">
        <f t="shared" ca="1" si="62"/>
        <v>Paslaugų teikimas</v>
      </c>
      <c r="D80" s="294"/>
      <c r="E80" s="294"/>
      <c r="F80" s="295"/>
      <c r="G80" s="91">
        <f ca="1">SUMIF($H$39:$DC$39,"&lt;="&amp;PAL,$H80:$DC80)</f>
        <v>40073.030907499997</v>
      </c>
      <c r="H80" s="11">
        <f ca="1">SUM(H81:H88)</f>
        <v>0</v>
      </c>
      <c r="I80" s="11">
        <f t="shared" ref="I80:BT80" ca="1" si="63">SUM(I81:I88)</f>
        <v>0</v>
      </c>
      <c r="J80" s="11">
        <f t="shared" ca="1" si="63"/>
        <v>0</v>
      </c>
      <c r="K80" s="11">
        <f t="shared" ca="1" si="63"/>
        <v>5463.6350000000002</v>
      </c>
      <c r="L80" s="11">
        <f t="shared" ca="1" si="63"/>
        <v>5627.5440499999995</v>
      </c>
      <c r="M80" s="11">
        <f t="shared" ca="1" si="63"/>
        <v>28981.851857499994</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2">
        <v>45</v>
      </c>
      <c r="B81" s="5" t="str">
        <f t="shared" ca="1" si="61"/>
        <v>E.2.1.</v>
      </c>
      <c r="C81" s="114" t="str">
        <f t="shared" ca="1" si="62"/>
        <v>Indijos–Ramiojo vandenynų regiono politikos studijų programos/-ų parengimas Lietuvos universitetuose</v>
      </c>
      <c r="D81" s="195"/>
      <c r="E81" s="195"/>
      <c r="F81" s="196"/>
      <c r="G81" s="91">
        <f ca="1">SUMIF($H$39:$DC$39,"&lt;="&amp;PAL,$H81:$DC81)</f>
        <v>40073.030907499997</v>
      </c>
      <c r="H81" s="14">
        <f t="shared" ref="H81:Q88" ca="1" si="65">IFERROR(OFFSET(INDIRECT("'"&amp;Opt_alt&amp;"'!H12"),$A81,H$39)*(1+VMI)^H$39,"")</f>
        <v>0</v>
      </c>
      <c r="I81" s="14">
        <f t="shared" ca="1" si="65"/>
        <v>0</v>
      </c>
      <c r="J81" s="14">
        <f t="shared" ca="1" si="65"/>
        <v>0</v>
      </c>
      <c r="K81" s="14">
        <f t="shared" ca="1" si="65"/>
        <v>5463.6350000000002</v>
      </c>
      <c r="L81" s="14">
        <f t="shared" ca="1" si="65"/>
        <v>5627.5440499999995</v>
      </c>
      <c r="M81" s="14">
        <f t="shared" ca="1" si="65"/>
        <v>28981.851857499994</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2">
        <v>46</v>
      </c>
      <c r="B82" s="5" t="str">
        <f t="shared" ca="1" si="61"/>
        <v>E.2.2.</v>
      </c>
      <c r="C82" s="114" t="str">
        <f t="shared" ca="1" si="62"/>
        <v>Veikla</v>
      </c>
      <c r="D82" s="195"/>
      <c r="E82" s="195"/>
      <c r="F82" s="196"/>
      <c r="G82" s="91">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2">
        <v>47</v>
      </c>
      <c r="B83" s="5" t="str">
        <f t="shared" ca="1" si="61"/>
        <v>E.2.3.</v>
      </c>
      <c r="C83" s="114" t="str">
        <f t="shared" ca="1" si="62"/>
        <v>Veikla</v>
      </c>
      <c r="D83" s="195"/>
      <c r="E83" s="195"/>
      <c r="F83" s="196"/>
      <c r="G83" s="91">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2">
        <v>48</v>
      </c>
      <c r="B84" s="5" t="str">
        <f t="shared" ca="1" si="61"/>
        <v>E.2.4.</v>
      </c>
      <c r="C84" s="114" t="str">
        <f t="shared" ca="1" si="62"/>
        <v>Veikla</v>
      </c>
      <c r="D84" s="195"/>
      <c r="E84" s="195"/>
      <c r="F84" s="196"/>
      <c r="G84" s="91">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2">
        <v>49</v>
      </c>
      <c r="B85" s="5" t="str">
        <f t="shared" ca="1" si="61"/>
        <v>E.2.5.</v>
      </c>
      <c r="C85" s="114" t="str">
        <f t="shared" ca="1" si="62"/>
        <v>Veikla</v>
      </c>
      <c r="D85" s="195"/>
      <c r="E85" s="195"/>
      <c r="F85" s="196"/>
      <c r="G85" s="91">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2">
        <v>50</v>
      </c>
      <c r="B86" s="5" t="str">
        <f t="shared" ca="1" si="61"/>
        <v>E.2.6.</v>
      </c>
      <c r="C86" s="114" t="str">
        <f t="shared" ca="1" si="62"/>
        <v>Veikla</v>
      </c>
      <c r="D86" s="195"/>
      <c r="E86" s="195"/>
      <c r="F86" s="196"/>
      <c r="G86" s="91">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2">
        <v>51</v>
      </c>
      <c r="B87" s="5" t="str">
        <f t="shared" ca="1" si="61"/>
        <v>E.2.7.</v>
      </c>
      <c r="C87" s="114" t="str">
        <f t="shared" ca="1" si="62"/>
        <v>Veikla</v>
      </c>
      <c r="D87" s="195"/>
      <c r="E87" s="195"/>
      <c r="F87" s="196"/>
      <c r="G87" s="91">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2">
        <v>52</v>
      </c>
      <c r="B88" s="5" t="str">
        <f t="shared" ca="1" si="61"/>
        <v>E.2.8.</v>
      </c>
      <c r="C88" s="114" t="str">
        <f t="shared" ca="1" si="62"/>
        <v>Veikla</v>
      </c>
      <c r="D88" s="195"/>
      <c r="E88" s="195"/>
      <c r="F88" s="196"/>
      <c r="G88" s="91">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2">
        <v>55</v>
      </c>
      <c r="B89" s="3" t="str">
        <f t="shared" ca="1" si="61"/>
        <v>E.3.</v>
      </c>
      <c r="C89" s="132" t="str">
        <f t="shared" ca="1" si="62"/>
        <v>Investicijos į žinias ir žmogiškuosius išteklius</v>
      </c>
      <c r="D89" s="294"/>
      <c r="E89" s="294"/>
      <c r="F89" s="295"/>
      <c r="G89" s="91">
        <f ca="1">SUMIF($H$39:$DC$39,"&lt;="&amp;PAL,$H89:$DC89)</f>
        <v>3243140.2624746468</v>
      </c>
      <c r="H89" s="11">
        <f ca="1">SUM(H90:H97)</f>
        <v>0</v>
      </c>
      <c r="I89" s="11">
        <f t="shared" ref="I89:BT89" ca="1" si="75">SUM(I90:I97)</f>
        <v>224005.19055796004</v>
      </c>
      <c r="J89" s="11">
        <f t="shared" ca="1" si="75"/>
        <v>1644214.9338187</v>
      </c>
      <c r="K89" s="11">
        <f t="shared" ca="1" si="75"/>
        <v>1369546.902763606</v>
      </c>
      <c r="L89" s="11">
        <f t="shared" ca="1" si="75"/>
        <v>0</v>
      </c>
      <c r="M89" s="11">
        <f t="shared" ca="1" si="75"/>
        <v>0</v>
      </c>
      <c r="N89" s="11">
        <f t="shared" ca="1" si="75"/>
        <v>5373.2353343804998</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2">
        <v>56</v>
      </c>
      <c r="B90" s="5" t="str">
        <f t="shared" ca="1" si="61"/>
        <v>E.3.1.</v>
      </c>
      <c r="C90" s="114" t="str">
        <f t="shared" ca="1" si="62"/>
        <v>Ekonominės diplomatijos funkcijų stiprinimas</v>
      </c>
      <c r="D90" s="195"/>
      <c r="E90" s="195"/>
      <c r="F90" s="196"/>
      <c r="G90" s="91">
        <f ca="1">SUMIF($H$39:$DC$39,"&lt;="&amp;PAL,$H90:$DC90)</f>
        <v>2385225.5388369714</v>
      </c>
      <c r="H90" s="14">
        <f t="shared" ref="H90:Q97" ca="1" si="77">IFERROR(OFFSET(INDIRECT("'"&amp;Opt_alt&amp;"'!H12"),$A90,H$39)*(1+VMI)^H$39,"")</f>
        <v>0</v>
      </c>
      <c r="I90" s="14">
        <f t="shared" ca="1" si="77"/>
        <v>224005.19055796004</v>
      </c>
      <c r="J90" s="14">
        <f t="shared" ca="1" si="77"/>
        <v>1262932.1304652623</v>
      </c>
      <c r="K90" s="14">
        <f t="shared" ca="1" si="77"/>
        <v>898288.21781374898</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2">
        <v>57</v>
      </c>
      <c r="B91" s="5" t="str">
        <f t="shared" ca="1" si="61"/>
        <v>E.3.2.</v>
      </c>
      <c r="C91" s="114" t="str">
        <f t="shared" ca="1" si="62"/>
        <v>Darbo su diaspora funkcijų stiprinimas</v>
      </c>
      <c r="D91" s="195"/>
      <c r="E91" s="195"/>
      <c r="F91" s="196"/>
      <c r="G91" s="91">
        <f ca="1">SUMIF($H$39:$DC$39,"&lt;="&amp;PAL,$H91:$DC91)</f>
        <v>826406.21680329461</v>
      </c>
      <c r="H91" s="14">
        <f t="shared" ca="1" si="77"/>
        <v>0</v>
      </c>
      <c r="I91" s="14">
        <f t="shared" ca="1" si="77"/>
        <v>0</v>
      </c>
      <c r="J91" s="14">
        <f t="shared" ca="1" si="77"/>
        <v>360064.80335343763</v>
      </c>
      <c r="K91" s="14">
        <f t="shared" ca="1" si="77"/>
        <v>466341.41344985703</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2">
        <v>58</v>
      </c>
      <c r="B92" s="5" t="str">
        <f t="shared" ca="1" si="61"/>
        <v>E.3.3.</v>
      </c>
      <c r="C92" s="114" t="str">
        <f t="shared" ca="1" si="62"/>
        <v xml:space="preserve">Kursai diplomatams, dirbantiems su fondas Indijos–Ramiojo vandenynų regionu </v>
      </c>
      <c r="D92" s="195"/>
      <c r="E92" s="195"/>
      <c r="F92" s="196"/>
      <c r="G92" s="91">
        <f ca="1">SUMIF($H$39:$DC$39,"&lt;="&amp;PAL,$H92:$DC92)</f>
        <v>21218</v>
      </c>
      <c r="H92" s="14">
        <f t="shared" ca="1" si="77"/>
        <v>0</v>
      </c>
      <c r="I92" s="14">
        <f t="shared" ca="1" si="77"/>
        <v>0</v>
      </c>
      <c r="J92" s="14">
        <f t="shared" ca="1" si="77"/>
        <v>21218</v>
      </c>
      <c r="K92" s="14">
        <f t="shared" ca="1" si="77"/>
        <v>0</v>
      </c>
      <c r="L92" s="14">
        <f t="shared" ca="1" si="77"/>
        <v>0</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2">
        <v>59</v>
      </c>
      <c r="B93" s="5" t="str">
        <f t="shared" ca="1" si="61"/>
        <v>E.3.4.</v>
      </c>
      <c r="C93" s="114" t="str">
        <f t="shared" ca="1" si="62"/>
        <v>Stipendijų fondas Indijos–Ramiojo vandenynų regiono studijų studentams</v>
      </c>
      <c r="D93" s="195"/>
      <c r="E93" s="195"/>
      <c r="F93" s="196"/>
      <c r="G93" s="91">
        <f ca="1">SUMIF($H$39:$DC$39,"&lt;="&amp;PAL,$H93:$DC93)</f>
        <v>10290.5068343805</v>
      </c>
      <c r="H93" s="14">
        <f t="shared" ca="1" si="77"/>
        <v>0</v>
      </c>
      <c r="I93" s="14">
        <f t="shared" ca="1" si="77"/>
        <v>0</v>
      </c>
      <c r="J93" s="14">
        <f t="shared" ca="1" si="77"/>
        <v>0</v>
      </c>
      <c r="K93" s="14">
        <f t="shared" ca="1" si="77"/>
        <v>4917.2714999999998</v>
      </c>
      <c r="L93" s="14">
        <f t="shared" ca="1" si="77"/>
        <v>0</v>
      </c>
      <c r="M93" s="14">
        <f t="shared" ca="1" si="77"/>
        <v>0</v>
      </c>
      <c r="N93" s="14">
        <f t="shared" ca="1" si="77"/>
        <v>5373.2353343804998</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2">
        <v>60</v>
      </c>
      <c r="B94" s="5" t="str">
        <f t="shared" ca="1" si="61"/>
        <v>E.3.5.</v>
      </c>
      <c r="C94" s="114">
        <f t="shared" ca="1" si="62"/>
        <v>0</v>
      </c>
      <c r="D94" s="195"/>
      <c r="E94" s="195"/>
      <c r="F94" s="196"/>
      <c r="G94" s="91">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2">
        <v>61</v>
      </c>
      <c r="B95" s="5" t="str">
        <f t="shared" ca="1" si="61"/>
        <v>E.3.6.</v>
      </c>
      <c r="C95" s="114">
        <f t="shared" ca="1" si="62"/>
        <v>0</v>
      </c>
      <c r="D95" s="195"/>
      <c r="E95" s="195"/>
      <c r="F95" s="196"/>
      <c r="G95" s="91">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2">
        <v>62</v>
      </c>
      <c r="B96" s="5" t="str">
        <f t="shared" ca="1" si="61"/>
        <v>E.3.7.</v>
      </c>
      <c r="C96" s="114">
        <f t="shared" ca="1" si="62"/>
        <v>0</v>
      </c>
      <c r="D96" s="195"/>
      <c r="E96" s="195"/>
      <c r="F96" s="196"/>
      <c r="G96" s="91">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2">
        <v>63</v>
      </c>
      <c r="B97" s="5" t="str">
        <f t="shared" ca="1" si="61"/>
        <v>E.3.8.</v>
      </c>
      <c r="C97" s="114">
        <f t="shared" ca="1" si="62"/>
        <v>0</v>
      </c>
      <c r="D97" s="195"/>
      <c r="E97" s="195"/>
      <c r="F97" s="196"/>
      <c r="G97" s="91">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2">
        <v>66</v>
      </c>
      <c r="B98" s="3" t="str">
        <f t="shared" ca="1" si="61"/>
        <v>F.</v>
      </c>
      <c r="C98" s="132" t="str">
        <f t="shared" ca="1" si="62"/>
        <v>KOMUNIKACINĖS VEIKLOS</v>
      </c>
      <c r="D98" s="294"/>
      <c r="E98" s="294"/>
      <c r="F98" s="295"/>
      <c r="G98" s="91">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2">
        <v>67</v>
      </c>
      <c r="B99" s="5" t="str">
        <f t="shared" ca="1" si="61"/>
        <v>F.1.</v>
      </c>
      <c r="C99" s="114" t="str">
        <f t="shared" ca="1" si="62"/>
        <v>Veikla</v>
      </c>
      <c r="D99" s="195"/>
      <c r="E99" s="195"/>
      <c r="F99" s="196"/>
      <c r="G99" s="91">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2">
        <v>68</v>
      </c>
      <c r="B100" s="5" t="str">
        <f t="shared" ca="1" si="61"/>
        <v>F.2.</v>
      </c>
      <c r="C100" s="114" t="str">
        <f t="shared" ca="1" si="62"/>
        <v>Veikla</v>
      </c>
      <c r="D100" s="195"/>
      <c r="E100" s="195"/>
      <c r="F100" s="196"/>
      <c r="G100" s="91">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2">
        <v>69</v>
      </c>
      <c r="B101" s="5" t="str">
        <f t="shared" ca="1" si="61"/>
        <v>F.3.</v>
      </c>
      <c r="C101" s="114" t="str">
        <f t="shared" ca="1" si="62"/>
        <v>Veikla</v>
      </c>
      <c r="D101" s="195"/>
      <c r="E101" s="195"/>
      <c r="F101" s="196"/>
      <c r="G101" s="91">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2">
        <v>70</v>
      </c>
      <c r="B102" s="5" t="str">
        <f t="shared" ca="1" si="61"/>
        <v>F.4.</v>
      </c>
      <c r="C102" s="114" t="str">
        <f t="shared" ca="1" si="62"/>
        <v>Veikla</v>
      </c>
      <c r="D102" s="195"/>
      <c r="E102" s="195"/>
      <c r="F102" s="196"/>
      <c r="G102" s="91">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2">
        <v>71</v>
      </c>
      <c r="B103" s="5" t="str">
        <f t="shared" ca="1" si="61"/>
        <v>F.5.</v>
      </c>
      <c r="C103" s="114" t="str">
        <f t="shared" ca="1" si="62"/>
        <v>Veikla</v>
      </c>
      <c r="D103" s="195"/>
      <c r="E103" s="195"/>
      <c r="F103" s="196"/>
      <c r="G103" s="91">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2">
        <v>72</v>
      </c>
      <c r="B104" s="5" t="str">
        <f t="shared" ca="1" si="61"/>
        <v>F.6.</v>
      </c>
      <c r="C104" s="114" t="str">
        <f t="shared" ca="1" si="62"/>
        <v>Veikla</v>
      </c>
      <c r="D104" s="195"/>
      <c r="E104" s="195"/>
      <c r="F104" s="196"/>
      <c r="G104" s="91">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2">
        <v>73</v>
      </c>
      <c r="B105" s="5" t="str">
        <f t="shared" ca="1" si="61"/>
        <v>F.7.</v>
      </c>
      <c r="C105" s="114" t="str">
        <f t="shared" ca="1" si="62"/>
        <v>Veikla</v>
      </c>
      <c r="D105" s="195"/>
      <c r="E105" s="195"/>
      <c r="F105" s="196"/>
      <c r="G105" s="91">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2">
        <v>74</v>
      </c>
      <c r="B106" s="314" t="str">
        <f t="shared" ca="1" si="61"/>
        <v>F.8.</v>
      </c>
      <c r="C106" s="315" t="str">
        <f t="shared" ref="C106:C113" ca="1" si="99">IFERROR(OFFSET(INDIRECT("'"&amp;Opt_alt&amp;"'!C12"),$A106,H$39),"")</f>
        <v>Veikla</v>
      </c>
      <c r="D106" s="316"/>
      <c r="E106" s="316"/>
      <c r="F106" s="317"/>
      <c r="G106" s="323">
        <f ca="1">SUMIF($H$39:$DC$39,"&lt;="&amp;PAL,$H106:$DC106)</f>
        <v>0</v>
      </c>
      <c r="H106" s="324">
        <f ca="1">IFERROR(OFFSET(INDIRECT("'"&amp;Opt_alt&amp;"'!H12"),$A106,H$39)*(1+VMI)^H$39,"")</f>
        <v>0</v>
      </c>
      <c r="I106" s="324">
        <f t="shared" ca="1" si="89"/>
        <v>0</v>
      </c>
      <c r="J106" s="324">
        <f t="shared" ca="1" si="89"/>
        <v>0</v>
      </c>
      <c r="K106" s="324">
        <f t="shared" ca="1" si="89"/>
        <v>0</v>
      </c>
      <c r="L106" s="324">
        <f t="shared" ca="1" si="89"/>
        <v>0</v>
      </c>
      <c r="M106" s="324">
        <f t="shared" ca="1" si="89"/>
        <v>0</v>
      </c>
      <c r="N106" s="324">
        <f t="shared" ca="1" si="89"/>
        <v>0</v>
      </c>
      <c r="O106" s="324">
        <f t="shared" ca="1" si="89"/>
        <v>0</v>
      </c>
      <c r="P106" s="324">
        <f t="shared" ca="1" si="89"/>
        <v>0</v>
      </c>
      <c r="Q106" s="324">
        <f t="shared" ca="1" si="89"/>
        <v>0</v>
      </c>
      <c r="R106" s="324">
        <f t="shared" ca="1" si="90"/>
        <v>0</v>
      </c>
      <c r="S106" s="324">
        <f t="shared" ca="1" si="90"/>
        <v>0</v>
      </c>
      <c r="T106" s="324">
        <f t="shared" ca="1" si="90"/>
        <v>0</v>
      </c>
      <c r="U106" s="324">
        <f t="shared" ca="1" si="90"/>
        <v>0</v>
      </c>
      <c r="V106" s="324">
        <f t="shared" ca="1" si="90"/>
        <v>0</v>
      </c>
      <c r="W106" s="324">
        <f t="shared" ca="1" si="90"/>
        <v>0</v>
      </c>
      <c r="X106" s="324">
        <f t="shared" ca="1" si="90"/>
        <v>0</v>
      </c>
      <c r="Y106" s="324">
        <f t="shared" ca="1" si="90"/>
        <v>0</v>
      </c>
      <c r="Z106" s="324">
        <f t="shared" ca="1" si="90"/>
        <v>0</v>
      </c>
      <c r="AA106" s="324">
        <f t="shared" ca="1" si="90"/>
        <v>0</v>
      </c>
      <c r="AB106" s="324">
        <f t="shared" ca="1" si="91"/>
        <v>0</v>
      </c>
      <c r="AC106" s="324">
        <f t="shared" ca="1" si="91"/>
        <v>0</v>
      </c>
      <c r="AD106" s="324">
        <f t="shared" ca="1" si="91"/>
        <v>0</v>
      </c>
      <c r="AE106" s="324">
        <f t="shared" ca="1" si="91"/>
        <v>0</v>
      </c>
      <c r="AF106" s="324">
        <f t="shared" ca="1" si="91"/>
        <v>0</v>
      </c>
      <c r="AG106" s="324">
        <f t="shared" ca="1" si="91"/>
        <v>0</v>
      </c>
      <c r="AH106" s="324">
        <f t="shared" ca="1" si="91"/>
        <v>0</v>
      </c>
      <c r="AI106" s="324">
        <f t="shared" ca="1" si="91"/>
        <v>0</v>
      </c>
      <c r="AJ106" s="324">
        <f t="shared" ca="1" si="91"/>
        <v>0</v>
      </c>
      <c r="AK106" s="324">
        <f t="shared" ca="1" si="91"/>
        <v>0</v>
      </c>
      <c r="AL106" s="324">
        <f t="shared" ca="1" si="92"/>
        <v>0</v>
      </c>
      <c r="AM106" s="324">
        <f t="shared" ca="1" si="92"/>
        <v>0</v>
      </c>
      <c r="AN106" s="324">
        <f t="shared" ca="1" si="92"/>
        <v>0</v>
      </c>
      <c r="AO106" s="324">
        <f t="shared" ca="1" si="92"/>
        <v>0</v>
      </c>
      <c r="AP106" s="324">
        <f t="shared" ca="1" si="92"/>
        <v>0</v>
      </c>
      <c r="AQ106" s="324">
        <f t="shared" ca="1" si="92"/>
        <v>0</v>
      </c>
      <c r="AR106" s="324">
        <f t="shared" ca="1" si="92"/>
        <v>0</v>
      </c>
      <c r="AS106" s="324">
        <f t="shared" ca="1" si="92"/>
        <v>0</v>
      </c>
      <c r="AT106" s="324">
        <f t="shared" ca="1" si="92"/>
        <v>0</v>
      </c>
      <c r="AU106" s="324">
        <f t="shared" ca="1" si="92"/>
        <v>0</v>
      </c>
      <c r="AV106" s="324">
        <f t="shared" ca="1" si="93"/>
        <v>0</v>
      </c>
      <c r="AW106" s="324">
        <f t="shared" ca="1" si="93"/>
        <v>0</v>
      </c>
      <c r="AX106" s="324">
        <f t="shared" ca="1" si="93"/>
        <v>0</v>
      </c>
      <c r="AY106" s="324">
        <f t="shared" ca="1" si="93"/>
        <v>0</v>
      </c>
      <c r="AZ106" s="324">
        <f t="shared" ca="1" si="93"/>
        <v>0</v>
      </c>
      <c r="BA106" s="324">
        <f t="shared" ca="1" si="93"/>
        <v>0</v>
      </c>
      <c r="BB106" s="324">
        <f t="shared" ca="1" si="93"/>
        <v>0</v>
      </c>
      <c r="BC106" s="324">
        <f t="shared" ca="1" si="93"/>
        <v>0</v>
      </c>
      <c r="BD106" s="324">
        <f t="shared" ca="1" si="93"/>
        <v>0</v>
      </c>
      <c r="BE106" s="324">
        <f t="shared" ca="1" si="93"/>
        <v>0</v>
      </c>
      <c r="BF106" s="324">
        <f t="shared" ca="1" si="94"/>
        <v>0</v>
      </c>
      <c r="BG106" s="324">
        <f t="shared" ca="1" si="94"/>
        <v>0</v>
      </c>
      <c r="BH106" s="324">
        <f t="shared" ca="1" si="94"/>
        <v>0</v>
      </c>
      <c r="BI106" s="324">
        <f t="shared" ca="1" si="94"/>
        <v>0</v>
      </c>
      <c r="BJ106" s="324">
        <f t="shared" ca="1" si="94"/>
        <v>0</v>
      </c>
      <c r="BK106" s="324">
        <f t="shared" ca="1" si="94"/>
        <v>0</v>
      </c>
      <c r="BL106" s="324">
        <f t="shared" ca="1" si="94"/>
        <v>0</v>
      </c>
      <c r="BM106" s="324">
        <f t="shared" ca="1" si="94"/>
        <v>0</v>
      </c>
      <c r="BN106" s="324">
        <f t="shared" ca="1" si="94"/>
        <v>0</v>
      </c>
      <c r="BO106" s="324">
        <f t="shared" ca="1" si="94"/>
        <v>0</v>
      </c>
      <c r="BP106" s="324">
        <f t="shared" ca="1" si="95"/>
        <v>0</v>
      </c>
      <c r="BQ106" s="324">
        <f t="shared" ca="1" si="95"/>
        <v>0</v>
      </c>
      <c r="BR106" s="324">
        <f t="shared" ca="1" si="95"/>
        <v>0</v>
      </c>
      <c r="BS106" s="324">
        <f t="shared" ca="1" si="95"/>
        <v>0</v>
      </c>
      <c r="BT106" s="324">
        <f t="shared" ca="1" si="95"/>
        <v>0</v>
      </c>
      <c r="BU106" s="324">
        <f t="shared" ca="1" si="95"/>
        <v>0</v>
      </c>
      <c r="BV106" s="324">
        <f t="shared" ca="1" si="95"/>
        <v>0</v>
      </c>
      <c r="BW106" s="324">
        <f t="shared" ca="1" si="95"/>
        <v>0</v>
      </c>
      <c r="BX106" s="324">
        <f t="shared" ca="1" si="95"/>
        <v>0</v>
      </c>
      <c r="BY106" s="324">
        <f t="shared" ca="1" si="95"/>
        <v>0</v>
      </c>
      <c r="BZ106" s="324">
        <f t="shared" ca="1" si="96"/>
        <v>0</v>
      </c>
      <c r="CA106" s="324">
        <f t="shared" ca="1" si="96"/>
        <v>0</v>
      </c>
      <c r="CB106" s="324">
        <f t="shared" ca="1" si="96"/>
        <v>0</v>
      </c>
      <c r="CC106" s="324">
        <f t="shared" ca="1" si="96"/>
        <v>0</v>
      </c>
      <c r="CD106" s="324">
        <f t="shared" ca="1" si="96"/>
        <v>0</v>
      </c>
      <c r="CE106" s="324">
        <f t="shared" ca="1" si="96"/>
        <v>0</v>
      </c>
      <c r="CF106" s="324">
        <f t="shared" ca="1" si="96"/>
        <v>0</v>
      </c>
      <c r="CG106" s="324">
        <f t="shared" ca="1" si="96"/>
        <v>0</v>
      </c>
      <c r="CH106" s="324">
        <f t="shared" ca="1" si="96"/>
        <v>0</v>
      </c>
      <c r="CI106" s="324">
        <f t="shared" ca="1" si="96"/>
        <v>0</v>
      </c>
      <c r="CJ106" s="324">
        <f t="shared" ca="1" si="97"/>
        <v>0</v>
      </c>
      <c r="CK106" s="324">
        <f t="shared" ca="1" si="97"/>
        <v>0</v>
      </c>
      <c r="CL106" s="324">
        <f t="shared" ca="1" si="97"/>
        <v>0</v>
      </c>
      <c r="CM106" s="324">
        <f t="shared" ca="1" si="97"/>
        <v>0</v>
      </c>
      <c r="CN106" s="324">
        <f t="shared" ca="1" si="97"/>
        <v>0</v>
      </c>
      <c r="CO106" s="324">
        <f t="shared" ca="1" si="97"/>
        <v>0</v>
      </c>
      <c r="CP106" s="324">
        <f t="shared" ca="1" si="97"/>
        <v>0</v>
      </c>
      <c r="CQ106" s="324">
        <f t="shared" ca="1" si="97"/>
        <v>0</v>
      </c>
      <c r="CR106" s="324">
        <f t="shared" ca="1" si="97"/>
        <v>0</v>
      </c>
      <c r="CS106" s="324">
        <f t="shared" ca="1" si="97"/>
        <v>0</v>
      </c>
      <c r="CT106" s="324">
        <f t="shared" ca="1" si="98"/>
        <v>0</v>
      </c>
      <c r="CU106" s="324">
        <f t="shared" ca="1" si="98"/>
        <v>0</v>
      </c>
      <c r="CV106" s="324">
        <f t="shared" ca="1" si="98"/>
        <v>0</v>
      </c>
      <c r="CW106" s="324">
        <f t="shared" ca="1" si="98"/>
        <v>0</v>
      </c>
      <c r="CX106" s="324">
        <f t="shared" ca="1" si="98"/>
        <v>0</v>
      </c>
      <c r="CY106" s="324">
        <f t="shared" ca="1" si="98"/>
        <v>0</v>
      </c>
      <c r="CZ106" s="324">
        <f t="shared" ca="1" si="98"/>
        <v>0</v>
      </c>
      <c r="DA106" s="324">
        <f t="shared" ca="1" si="98"/>
        <v>0</v>
      </c>
      <c r="DB106" s="324">
        <f t="shared" ca="1" si="98"/>
        <v>0</v>
      </c>
      <c r="DC106" s="324">
        <f t="shared" ca="1" si="98"/>
        <v>0</v>
      </c>
    </row>
    <row r="107" spans="1:107" hidden="1">
      <c r="A107" s="92">
        <v>107</v>
      </c>
      <c r="B107" s="39" t="str">
        <f t="shared" ca="1" si="61"/>
        <v>L.1.1.</v>
      </c>
      <c r="C107" s="320" t="str">
        <f t="shared" ca="1" si="99"/>
        <v>Ekonominės diplomatijos plėtros sukurta pridėtinė vertė</v>
      </c>
      <c r="D107" s="321"/>
      <c r="E107" s="321"/>
      <c r="F107" s="322"/>
      <c r="G107" s="318">
        <f ca="1">SUMIF($H$39:$DC$39,"&lt;="&amp;PAL,$H107:$DC107)</f>
        <v>1515715508.6061361</v>
      </c>
      <c r="H107" s="319">
        <f t="shared" ref="H107:Q113" ca="1" si="100">IFERROR(OFFSET(INDIRECT("'"&amp;Opt_alt&amp;"'!H12"),$A107,H$39),"")</f>
        <v>0</v>
      </c>
      <c r="I107" s="319">
        <f t="shared" ca="1" si="100"/>
        <v>0</v>
      </c>
      <c r="J107" s="319">
        <f t="shared" ca="1" si="100"/>
        <v>20837071.555999976</v>
      </c>
      <c r="K107" s="319">
        <f t="shared" ca="1" si="100"/>
        <v>29659896.624052979</v>
      </c>
      <c r="L107" s="319">
        <f t="shared" ca="1" si="100"/>
        <v>68548109.700628564</v>
      </c>
      <c r="M107" s="319">
        <f t="shared" ca="1" si="100"/>
        <v>70453951.40923135</v>
      </c>
      <c r="N107" s="319">
        <f t="shared" ca="1" si="100"/>
        <v>72413829.707424104</v>
      </c>
      <c r="O107" s="319">
        <f t="shared" ca="1" si="100"/>
        <v>74429287.326307654</v>
      </c>
      <c r="P107" s="319">
        <f t="shared" ca="1" si="100"/>
        <v>76501911.152452901</v>
      </c>
      <c r="Q107" s="319">
        <f t="shared" ca="1" si="100"/>
        <v>78633333.492998987</v>
      </c>
      <c r="R107" s="319">
        <f t="shared" ref="R107:AA113" ca="1" si="101">IFERROR(OFFSET(INDIRECT("'"&amp;Opt_alt&amp;"'!H12"),$A107,R$39),"")</f>
        <v>80825233.377014697</v>
      </c>
      <c r="S107" s="319">
        <f t="shared" ca="1" si="101"/>
        <v>83079337.894167215</v>
      </c>
      <c r="T107" s="319">
        <f t="shared" ca="1" si="101"/>
        <v>85397423.571763933</v>
      </c>
      <c r="U107" s="319">
        <f t="shared" ca="1" si="101"/>
        <v>87781317.791271195</v>
      </c>
      <c r="V107" s="319">
        <f t="shared" ca="1" si="101"/>
        <v>90232900.245439783</v>
      </c>
      <c r="W107" s="319">
        <f t="shared" ca="1" si="101"/>
        <v>92754104.437201709</v>
      </c>
      <c r="X107" s="319">
        <f t="shared" ca="1" si="101"/>
        <v>95346919.221538752</v>
      </c>
      <c r="Y107" s="319">
        <f t="shared" ca="1" si="101"/>
        <v>98013390.391550809</v>
      </c>
      <c r="Z107" s="319">
        <f t="shared" ca="1" si="101"/>
        <v>100755622.30999547</v>
      </c>
      <c r="AA107" s="319">
        <f t="shared" ca="1" si="101"/>
        <v>103575779.58760116</v>
      </c>
      <c r="AB107" s="319">
        <f t="shared" ref="AB107:AK113" ca="1" si="102">IFERROR(OFFSET(INDIRECT("'"&amp;Opt_alt&amp;"'!H12"),$A107,AB$39),"")</f>
        <v>106476088.80949479</v>
      </c>
      <c r="AC107" s="319" t="str">
        <f t="shared" ca="1" si="102"/>
        <v/>
      </c>
      <c r="AD107" s="319" t="str">
        <f t="shared" ca="1" si="102"/>
        <v/>
      </c>
      <c r="AE107" s="319" t="str">
        <f t="shared" ca="1" si="102"/>
        <v/>
      </c>
      <c r="AF107" s="319" t="str">
        <f t="shared" ca="1" si="102"/>
        <v/>
      </c>
      <c r="AG107" s="319" t="str">
        <f t="shared" ca="1" si="102"/>
        <v/>
      </c>
      <c r="AH107" s="319" t="str">
        <f t="shared" ca="1" si="102"/>
        <v/>
      </c>
      <c r="AI107" s="319" t="str">
        <f t="shared" ca="1" si="102"/>
        <v/>
      </c>
      <c r="AJ107" s="319" t="str">
        <f t="shared" ca="1" si="102"/>
        <v/>
      </c>
      <c r="AK107" s="319" t="str">
        <f t="shared" ca="1" si="102"/>
        <v/>
      </c>
      <c r="AL107" s="319" t="str">
        <f t="shared" ref="AL107:AU113" ca="1" si="103">IFERROR(OFFSET(INDIRECT("'"&amp;Opt_alt&amp;"'!H12"),$A107,AL$39),"")</f>
        <v/>
      </c>
      <c r="AM107" s="319" t="str">
        <f t="shared" ca="1" si="103"/>
        <v/>
      </c>
      <c r="AN107" s="319" t="str">
        <f t="shared" ca="1" si="103"/>
        <v/>
      </c>
      <c r="AO107" s="319" t="str">
        <f t="shared" ca="1" si="103"/>
        <v/>
      </c>
      <c r="AP107" s="319" t="str">
        <f t="shared" ca="1" si="103"/>
        <v/>
      </c>
      <c r="AQ107" s="319" t="str">
        <f t="shared" ca="1" si="103"/>
        <v/>
      </c>
      <c r="AR107" s="319" t="str">
        <f t="shared" ca="1" si="103"/>
        <v/>
      </c>
      <c r="AS107" s="319" t="str">
        <f t="shared" ca="1" si="103"/>
        <v/>
      </c>
      <c r="AT107" s="319" t="str">
        <f t="shared" ca="1" si="103"/>
        <v/>
      </c>
      <c r="AU107" s="319" t="str">
        <f t="shared" ca="1" si="103"/>
        <v/>
      </c>
      <c r="AV107" s="319" t="str">
        <f t="shared" ref="AV107:BE113" ca="1" si="104">IFERROR(OFFSET(INDIRECT("'"&amp;Opt_alt&amp;"'!H12"),$A107,AV$39),"")</f>
        <v/>
      </c>
      <c r="AW107" s="319" t="str">
        <f t="shared" ca="1" si="104"/>
        <v/>
      </c>
      <c r="AX107" s="319" t="str">
        <f t="shared" ca="1" si="104"/>
        <v/>
      </c>
      <c r="AY107" s="319" t="str">
        <f t="shared" ca="1" si="104"/>
        <v/>
      </c>
      <c r="AZ107" s="319" t="str">
        <f t="shared" ca="1" si="104"/>
        <v/>
      </c>
      <c r="BA107" s="319" t="str">
        <f t="shared" ca="1" si="104"/>
        <v/>
      </c>
      <c r="BB107" s="319" t="str">
        <f t="shared" ca="1" si="104"/>
        <v/>
      </c>
      <c r="BC107" s="319" t="str">
        <f t="shared" ca="1" si="104"/>
        <v/>
      </c>
      <c r="BD107" s="319" t="str">
        <f t="shared" ca="1" si="104"/>
        <v/>
      </c>
      <c r="BE107" s="319" t="str">
        <f t="shared" ca="1" si="104"/>
        <v/>
      </c>
      <c r="BF107" s="319" t="str">
        <f t="shared" ref="BF107:BO113" ca="1" si="105">IFERROR(OFFSET(INDIRECT("'"&amp;Opt_alt&amp;"'!H12"),$A107,BF$39),"")</f>
        <v/>
      </c>
      <c r="BG107" s="319" t="str">
        <f t="shared" ca="1" si="105"/>
        <v/>
      </c>
      <c r="BH107" s="319" t="str">
        <f t="shared" ca="1" si="105"/>
        <v/>
      </c>
      <c r="BI107" s="319" t="str">
        <f t="shared" ca="1" si="105"/>
        <v/>
      </c>
      <c r="BJ107" s="319" t="str">
        <f t="shared" ca="1" si="105"/>
        <v/>
      </c>
      <c r="BK107" s="319" t="str">
        <f t="shared" ca="1" si="105"/>
        <v/>
      </c>
      <c r="BL107" s="319" t="str">
        <f t="shared" ca="1" si="105"/>
        <v/>
      </c>
      <c r="BM107" s="319" t="str">
        <f t="shared" ca="1" si="105"/>
        <v/>
      </c>
      <c r="BN107" s="319" t="str">
        <f t="shared" ca="1" si="105"/>
        <v/>
      </c>
      <c r="BO107" s="319" t="str">
        <f t="shared" ca="1" si="105"/>
        <v/>
      </c>
      <c r="BP107" s="319" t="str">
        <f t="shared" ref="BP107:BY113" ca="1" si="106">IFERROR(OFFSET(INDIRECT("'"&amp;Opt_alt&amp;"'!H12"),$A107,BP$39),"")</f>
        <v/>
      </c>
      <c r="BQ107" s="319" t="str">
        <f t="shared" ca="1" si="106"/>
        <v/>
      </c>
      <c r="BR107" s="319" t="str">
        <f t="shared" ca="1" si="106"/>
        <v/>
      </c>
      <c r="BS107" s="319" t="str">
        <f t="shared" ca="1" si="106"/>
        <v/>
      </c>
      <c r="BT107" s="319" t="str">
        <f t="shared" ca="1" si="106"/>
        <v/>
      </c>
      <c r="BU107" s="319" t="str">
        <f t="shared" ca="1" si="106"/>
        <v/>
      </c>
      <c r="BV107" s="319" t="str">
        <f t="shared" ca="1" si="106"/>
        <v/>
      </c>
      <c r="BW107" s="319" t="str">
        <f t="shared" ca="1" si="106"/>
        <v/>
      </c>
      <c r="BX107" s="319" t="str">
        <f t="shared" ca="1" si="106"/>
        <v/>
      </c>
      <c r="BY107" s="319" t="str">
        <f t="shared" ca="1" si="106"/>
        <v/>
      </c>
      <c r="BZ107" s="319" t="str">
        <f t="shared" ref="BZ107:CI113" ca="1" si="107">IFERROR(OFFSET(INDIRECT("'"&amp;Opt_alt&amp;"'!H12"),$A107,BZ$39),"")</f>
        <v/>
      </c>
      <c r="CA107" s="319" t="str">
        <f t="shared" ca="1" si="107"/>
        <v/>
      </c>
      <c r="CB107" s="319" t="str">
        <f t="shared" ca="1" si="107"/>
        <v/>
      </c>
      <c r="CC107" s="319" t="str">
        <f t="shared" ca="1" si="107"/>
        <v/>
      </c>
      <c r="CD107" s="319" t="str">
        <f t="shared" ca="1" si="107"/>
        <v/>
      </c>
      <c r="CE107" s="319" t="str">
        <f t="shared" ca="1" si="107"/>
        <v/>
      </c>
      <c r="CF107" s="319" t="str">
        <f t="shared" ca="1" si="107"/>
        <v/>
      </c>
      <c r="CG107" s="319" t="str">
        <f t="shared" ca="1" si="107"/>
        <v/>
      </c>
      <c r="CH107" s="319" t="str">
        <f t="shared" ca="1" si="107"/>
        <v/>
      </c>
      <c r="CI107" s="319" t="str">
        <f t="shared" ca="1" si="107"/>
        <v/>
      </c>
      <c r="CJ107" s="319" t="str">
        <f t="shared" ref="CJ107:CS113" ca="1" si="108">IFERROR(OFFSET(INDIRECT("'"&amp;Opt_alt&amp;"'!H12"),$A107,CJ$39),"")</f>
        <v/>
      </c>
      <c r="CK107" s="319" t="str">
        <f t="shared" ca="1" si="108"/>
        <v/>
      </c>
      <c r="CL107" s="319" t="str">
        <f t="shared" ca="1" si="108"/>
        <v/>
      </c>
      <c r="CM107" s="319" t="str">
        <f t="shared" ca="1" si="108"/>
        <v/>
      </c>
      <c r="CN107" s="319" t="str">
        <f t="shared" ca="1" si="108"/>
        <v/>
      </c>
      <c r="CO107" s="319" t="str">
        <f t="shared" ca="1" si="108"/>
        <v/>
      </c>
      <c r="CP107" s="319" t="str">
        <f t="shared" ca="1" si="108"/>
        <v/>
      </c>
      <c r="CQ107" s="319" t="str">
        <f t="shared" ca="1" si="108"/>
        <v/>
      </c>
      <c r="CR107" s="319" t="str">
        <f t="shared" ca="1" si="108"/>
        <v/>
      </c>
      <c r="CS107" s="319" t="str">
        <f t="shared" ca="1" si="108"/>
        <v/>
      </c>
      <c r="CT107" s="319" t="str">
        <f t="shared" ref="CT107:DC113" ca="1" si="109">IFERROR(OFFSET(INDIRECT("'"&amp;Opt_alt&amp;"'!H12"),$A107,CT$39),"")</f>
        <v/>
      </c>
      <c r="CU107" s="319" t="str">
        <f t="shared" ca="1" si="109"/>
        <v/>
      </c>
      <c r="CV107" s="319" t="str">
        <f t="shared" ca="1" si="109"/>
        <v/>
      </c>
      <c r="CW107" s="319" t="str">
        <f t="shared" ca="1" si="109"/>
        <v/>
      </c>
      <c r="CX107" s="319" t="str">
        <f t="shared" ca="1" si="109"/>
        <v/>
      </c>
      <c r="CY107" s="319" t="str">
        <f t="shared" ca="1" si="109"/>
        <v/>
      </c>
      <c r="CZ107" s="319" t="str">
        <f t="shared" ca="1" si="109"/>
        <v/>
      </c>
      <c r="DA107" s="319" t="str">
        <f t="shared" ca="1" si="109"/>
        <v/>
      </c>
      <c r="DB107" s="319" t="str">
        <f t="shared" ca="1" si="109"/>
        <v/>
      </c>
      <c r="DC107" s="319" t="str">
        <f t="shared" ca="1" si="109"/>
        <v/>
      </c>
    </row>
    <row r="108" spans="1:107" hidden="1">
      <c r="A108" s="92">
        <v>108</v>
      </c>
      <c r="B108" s="5" t="str">
        <f t="shared" ca="1" si="61"/>
        <v>L.1.2.</v>
      </c>
      <c r="C108" s="114" t="str">
        <f t="shared" ca="1" si="99"/>
        <v>Naujų atstovybių sukurta pridėtinė vertė</v>
      </c>
      <c r="D108" s="195"/>
      <c r="E108" s="195"/>
      <c r="F108" s="196"/>
      <c r="G108" s="91">
        <f ca="1">SUMIF($H$39:$DC$39,"&lt;="&amp;PAL,$H108:$DC108)</f>
        <v>228441409.4316408</v>
      </c>
      <c r="H108" s="319">
        <f t="shared" ca="1" si="100"/>
        <v>0</v>
      </c>
      <c r="I108" s="319">
        <f t="shared" ca="1" si="100"/>
        <v>986517.07499999995</v>
      </c>
      <c r="J108" s="319">
        <f t="shared" ca="1" si="100"/>
        <v>9134639.0269500073</v>
      </c>
      <c r="K108" s="319">
        <f t="shared" ca="1" si="100"/>
        <v>10153291.638611658</v>
      </c>
      <c r="L108" s="319">
        <f t="shared" ca="1" si="100"/>
        <v>11423003.724050811</v>
      </c>
      <c r="M108" s="319">
        <f t="shared" ca="1" si="100"/>
        <v>11519861.208758241</v>
      </c>
      <c r="N108" s="319">
        <f t="shared" ca="1" si="100"/>
        <v>11617837.908158684</v>
      </c>
      <c r="O108" s="319">
        <f t="shared" ca="1" si="100"/>
        <v>11716950.760866467</v>
      </c>
      <c r="P108" s="319">
        <f t="shared" ca="1" si="100"/>
        <v>11817217.001370283</v>
      </c>
      <c r="Q108" s="319">
        <f t="shared" ca="1" si="100"/>
        <v>11918654.165499995</v>
      </c>
      <c r="R108" s="319">
        <f t="shared" ca="1" si="101"/>
        <v>12021280.095994797</v>
      </c>
      <c r="S108" s="319">
        <f t="shared" ca="1" si="101"/>
        <v>12125112.948177168</v>
      </c>
      <c r="T108" s="319">
        <f t="shared" ca="1" si="101"/>
        <v>12230171.195733035</v>
      </c>
      <c r="U108" s="319">
        <f t="shared" ca="1" si="101"/>
        <v>12336473.636601824</v>
      </c>
      <c r="V108" s="319">
        <f t="shared" ca="1" si="101"/>
        <v>12444039.398975886</v>
      </c>
      <c r="W108" s="319">
        <f t="shared" ca="1" si="101"/>
        <v>12552887.947414845</v>
      </c>
      <c r="X108" s="319">
        <f t="shared" ca="1" si="101"/>
        <v>12663039.089073319</v>
      </c>
      <c r="Y108" s="319">
        <f t="shared" ca="1" si="101"/>
        <v>12774512.980047116</v>
      </c>
      <c r="Z108" s="319">
        <f t="shared" ca="1" si="101"/>
        <v>12887330.131839219</v>
      </c>
      <c r="AA108" s="319">
        <f t="shared" ca="1" si="101"/>
        <v>13001511.417946352</v>
      </c>
      <c r="AB108" s="319">
        <f t="shared" ca="1" si="102"/>
        <v>13117078.080571093</v>
      </c>
      <c r="AC108" s="319">
        <f t="shared" ca="1" si="102"/>
        <v>0</v>
      </c>
      <c r="AD108" s="319">
        <f t="shared" ca="1" si="102"/>
        <v>0</v>
      </c>
      <c r="AE108" s="319">
        <f t="shared" ca="1" si="102"/>
        <v>0</v>
      </c>
      <c r="AF108" s="319">
        <f t="shared" ca="1" si="102"/>
        <v>0</v>
      </c>
      <c r="AG108" s="319">
        <f t="shared" ca="1" si="102"/>
        <v>0</v>
      </c>
      <c r="AH108" s="319">
        <f t="shared" ca="1" si="102"/>
        <v>0</v>
      </c>
      <c r="AI108" s="319">
        <f t="shared" ca="1" si="102"/>
        <v>0</v>
      </c>
      <c r="AJ108" s="319">
        <f t="shared" ca="1" si="102"/>
        <v>0</v>
      </c>
      <c r="AK108" s="319">
        <f t="shared" ca="1" si="102"/>
        <v>0</v>
      </c>
      <c r="AL108" s="319">
        <f t="shared" ca="1" si="103"/>
        <v>0</v>
      </c>
      <c r="AM108" s="319">
        <f t="shared" ca="1" si="103"/>
        <v>0</v>
      </c>
      <c r="AN108" s="319">
        <f t="shared" ca="1" si="103"/>
        <v>0</v>
      </c>
      <c r="AO108" s="319">
        <f t="shared" ca="1" si="103"/>
        <v>0</v>
      </c>
      <c r="AP108" s="319">
        <f t="shared" ca="1" si="103"/>
        <v>0</v>
      </c>
      <c r="AQ108" s="319">
        <f t="shared" ca="1" si="103"/>
        <v>0</v>
      </c>
      <c r="AR108" s="319">
        <f t="shared" ca="1" si="103"/>
        <v>0</v>
      </c>
      <c r="AS108" s="319">
        <f t="shared" ca="1" si="103"/>
        <v>0</v>
      </c>
      <c r="AT108" s="319">
        <f t="shared" ca="1" si="103"/>
        <v>0</v>
      </c>
      <c r="AU108" s="319">
        <f t="shared" ca="1" si="103"/>
        <v>0</v>
      </c>
      <c r="AV108" s="319">
        <f t="shared" ca="1" si="104"/>
        <v>0</v>
      </c>
      <c r="AW108" s="319">
        <f t="shared" ca="1" si="104"/>
        <v>0</v>
      </c>
      <c r="AX108" s="319">
        <f t="shared" ca="1" si="104"/>
        <v>0</v>
      </c>
      <c r="AY108" s="319">
        <f t="shared" ca="1" si="104"/>
        <v>0</v>
      </c>
      <c r="AZ108" s="319">
        <f t="shared" ca="1" si="104"/>
        <v>0</v>
      </c>
      <c r="BA108" s="319">
        <f t="shared" ca="1" si="104"/>
        <v>0</v>
      </c>
      <c r="BB108" s="319">
        <f t="shared" ca="1" si="104"/>
        <v>0</v>
      </c>
      <c r="BC108" s="319">
        <f t="shared" ca="1" si="104"/>
        <v>0</v>
      </c>
      <c r="BD108" s="319">
        <f t="shared" ca="1" si="104"/>
        <v>0</v>
      </c>
      <c r="BE108" s="319">
        <f t="shared" ca="1" si="104"/>
        <v>0</v>
      </c>
      <c r="BF108" s="319">
        <f t="shared" ca="1" si="105"/>
        <v>0</v>
      </c>
      <c r="BG108" s="319">
        <f t="shared" ca="1" si="105"/>
        <v>0</v>
      </c>
      <c r="BH108" s="319">
        <f t="shared" ca="1" si="105"/>
        <v>0</v>
      </c>
      <c r="BI108" s="319">
        <f t="shared" ca="1" si="105"/>
        <v>0</v>
      </c>
      <c r="BJ108" s="319">
        <f t="shared" ca="1" si="105"/>
        <v>0</v>
      </c>
      <c r="BK108" s="319">
        <f t="shared" ca="1" si="105"/>
        <v>0</v>
      </c>
      <c r="BL108" s="319">
        <f t="shared" ca="1" si="105"/>
        <v>0</v>
      </c>
      <c r="BM108" s="319">
        <f t="shared" ca="1" si="105"/>
        <v>0</v>
      </c>
      <c r="BN108" s="319">
        <f t="shared" ca="1" si="105"/>
        <v>0</v>
      </c>
      <c r="BO108" s="319">
        <f t="shared" ca="1" si="105"/>
        <v>0</v>
      </c>
      <c r="BP108" s="319">
        <f t="shared" ca="1" si="106"/>
        <v>0</v>
      </c>
      <c r="BQ108" s="319">
        <f t="shared" ca="1" si="106"/>
        <v>0</v>
      </c>
      <c r="BR108" s="319">
        <f t="shared" ca="1" si="106"/>
        <v>0</v>
      </c>
      <c r="BS108" s="319">
        <f t="shared" ca="1" si="106"/>
        <v>0</v>
      </c>
      <c r="BT108" s="319">
        <f t="shared" ca="1" si="106"/>
        <v>0</v>
      </c>
      <c r="BU108" s="319">
        <f t="shared" ca="1" si="106"/>
        <v>0</v>
      </c>
      <c r="BV108" s="319">
        <f t="shared" ca="1" si="106"/>
        <v>0</v>
      </c>
      <c r="BW108" s="319">
        <f t="shared" ca="1" si="106"/>
        <v>0</v>
      </c>
      <c r="BX108" s="319">
        <f t="shared" ca="1" si="106"/>
        <v>0</v>
      </c>
      <c r="BY108" s="319">
        <f t="shared" ca="1" si="106"/>
        <v>0</v>
      </c>
      <c r="BZ108" s="319">
        <f t="shared" ca="1" si="107"/>
        <v>0</v>
      </c>
      <c r="CA108" s="319">
        <f t="shared" ca="1" si="107"/>
        <v>0</v>
      </c>
      <c r="CB108" s="319">
        <f t="shared" ca="1" si="107"/>
        <v>0</v>
      </c>
      <c r="CC108" s="319">
        <f t="shared" ca="1" si="107"/>
        <v>0</v>
      </c>
      <c r="CD108" s="319">
        <f t="shared" ca="1" si="107"/>
        <v>0</v>
      </c>
      <c r="CE108" s="319">
        <f t="shared" ca="1" si="107"/>
        <v>0</v>
      </c>
      <c r="CF108" s="319">
        <f t="shared" ca="1" si="107"/>
        <v>0</v>
      </c>
      <c r="CG108" s="319">
        <f t="shared" ca="1" si="107"/>
        <v>0</v>
      </c>
      <c r="CH108" s="319">
        <f t="shared" ca="1" si="107"/>
        <v>0</v>
      </c>
      <c r="CI108" s="319">
        <f t="shared" ca="1" si="107"/>
        <v>0</v>
      </c>
      <c r="CJ108" s="319">
        <f t="shared" ca="1" si="108"/>
        <v>0</v>
      </c>
      <c r="CK108" s="319">
        <f t="shared" ca="1" si="108"/>
        <v>0</v>
      </c>
      <c r="CL108" s="319">
        <f t="shared" ca="1" si="108"/>
        <v>0</v>
      </c>
      <c r="CM108" s="319">
        <f t="shared" ca="1" si="108"/>
        <v>0</v>
      </c>
      <c r="CN108" s="319">
        <f t="shared" ca="1" si="108"/>
        <v>0</v>
      </c>
      <c r="CO108" s="319">
        <f t="shared" ca="1" si="108"/>
        <v>0</v>
      </c>
      <c r="CP108" s="319">
        <f t="shared" ca="1" si="108"/>
        <v>0</v>
      </c>
      <c r="CQ108" s="319">
        <f t="shared" ca="1" si="108"/>
        <v>0</v>
      </c>
      <c r="CR108" s="319">
        <f t="shared" ca="1" si="108"/>
        <v>0</v>
      </c>
      <c r="CS108" s="319">
        <f t="shared" ca="1" si="108"/>
        <v>0</v>
      </c>
      <c r="CT108" s="319">
        <f t="shared" ca="1" si="109"/>
        <v>0</v>
      </c>
      <c r="CU108" s="319">
        <f t="shared" ca="1" si="109"/>
        <v>0</v>
      </c>
      <c r="CV108" s="319">
        <f t="shared" ca="1" si="109"/>
        <v>0</v>
      </c>
      <c r="CW108" s="319">
        <f t="shared" ca="1" si="109"/>
        <v>0</v>
      </c>
      <c r="CX108" s="319">
        <f t="shared" ca="1" si="109"/>
        <v>0</v>
      </c>
      <c r="CY108" s="319">
        <f t="shared" ca="1" si="109"/>
        <v>0</v>
      </c>
      <c r="CZ108" s="319">
        <f t="shared" ca="1" si="109"/>
        <v>0</v>
      </c>
      <c r="DA108" s="319">
        <f t="shared" ca="1" si="109"/>
        <v>0</v>
      </c>
      <c r="DB108" s="319">
        <f t="shared" ca="1" si="109"/>
        <v>0</v>
      </c>
      <c r="DC108" s="319">
        <f t="shared" ca="1" si="109"/>
        <v>0</v>
      </c>
    </row>
    <row r="109" spans="1:107" hidden="1">
      <c r="A109" s="92">
        <v>109</v>
      </c>
      <c r="B109" s="5" t="str">
        <f t="shared" ca="1" si="61"/>
        <v>L.1.3.</v>
      </c>
      <c r="C109" s="114">
        <f t="shared" ca="1" si="99"/>
        <v>0</v>
      </c>
      <c r="D109" s="195"/>
      <c r="E109" s="195"/>
      <c r="F109" s="196"/>
      <c r="G109" s="91">
        <f ca="1">SUMIF($H$39:$DC$39,"&lt;="&amp;PAL,$H109:$DC109)</f>
        <v>0</v>
      </c>
      <c r="H109" s="319">
        <f t="shared" ca="1" si="100"/>
        <v>0</v>
      </c>
      <c r="I109" s="319">
        <f t="shared" ca="1" si="100"/>
        <v>0</v>
      </c>
      <c r="J109" s="319">
        <f t="shared" ca="1" si="100"/>
        <v>0</v>
      </c>
      <c r="K109" s="319">
        <f t="shared" ca="1" si="100"/>
        <v>0</v>
      </c>
      <c r="L109" s="319">
        <f t="shared" ca="1" si="100"/>
        <v>0</v>
      </c>
      <c r="M109" s="319">
        <f t="shared" ca="1" si="100"/>
        <v>0</v>
      </c>
      <c r="N109" s="319">
        <f t="shared" ca="1" si="100"/>
        <v>0</v>
      </c>
      <c r="O109" s="319">
        <f t="shared" ca="1" si="100"/>
        <v>0</v>
      </c>
      <c r="P109" s="319">
        <f t="shared" ca="1" si="100"/>
        <v>0</v>
      </c>
      <c r="Q109" s="319">
        <f t="shared" ca="1" si="100"/>
        <v>0</v>
      </c>
      <c r="R109" s="319">
        <f t="shared" ca="1" si="101"/>
        <v>0</v>
      </c>
      <c r="S109" s="319">
        <f t="shared" ca="1" si="101"/>
        <v>0</v>
      </c>
      <c r="T109" s="319">
        <f t="shared" ca="1" si="101"/>
        <v>0</v>
      </c>
      <c r="U109" s="319">
        <f t="shared" ca="1" si="101"/>
        <v>0</v>
      </c>
      <c r="V109" s="319">
        <f t="shared" ca="1" si="101"/>
        <v>0</v>
      </c>
      <c r="W109" s="319">
        <f t="shared" ca="1" si="101"/>
        <v>0</v>
      </c>
      <c r="X109" s="319">
        <f t="shared" ca="1" si="101"/>
        <v>0</v>
      </c>
      <c r="Y109" s="319">
        <f t="shared" ca="1" si="101"/>
        <v>0</v>
      </c>
      <c r="Z109" s="319">
        <f t="shared" ca="1" si="101"/>
        <v>0</v>
      </c>
      <c r="AA109" s="319">
        <f t="shared" ca="1" si="101"/>
        <v>0</v>
      </c>
      <c r="AB109" s="319">
        <f t="shared" ca="1" si="102"/>
        <v>0</v>
      </c>
      <c r="AC109" s="319">
        <f t="shared" ca="1" si="102"/>
        <v>0</v>
      </c>
      <c r="AD109" s="319">
        <f t="shared" ca="1" si="102"/>
        <v>0</v>
      </c>
      <c r="AE109" s="319">
        <f t="shared" ca="1" si="102"/>
        <v>0</v>
      </c>
      <c r="AF109" s="319">
        <f t="shared" ca="1" si="102"/>
        <v>0</v>
      </c>
      <c r="AG109" s="319">
        <f t="shared" ca="1" si="102"/>
        <v>0</v>
      </c>
      <c r="AH109" s="319">
        <f t="shared" ca="1" si="102"/>
        <v>0</v>
      </c>
      <c r="AI109" s="319">
        <f t="shared" ca="1" si="102"/>
        <v>0</v>
      </c>
      <c r="AJ109" s="319">
        <f t="shared" ca="1" si="102"/>
        <v>0</v>
      </c>
      <c r="AK109" s="319">
        <f t="shared" ca="1" si="102"/>
        <v>0</v>
      </c>
      <c r="AL109" s="319">
        <f t="shared" ca="1" si="103"/>
        <v>0</v>
      </c>
      <c r="AM109" s="319">
        <f t="shared" ca="1" si="103"/>
        <v>0</v>
      </c>
      <c r="AN109" s="319">
        <f t="shared" ca="1" si="103"/>
        <v>0</v>
      </c>
      <c r="AO109" s="319">
        <f t="shared" ca="1" si="103"/>
        <v>0</v>
      </c>
      <c r="AP109" s="319">
        <f t="shared" ca="1" si="103"/>
        <v>0</v>
      </c>
      <c r="AQ109" s="319">
        <f t="shared" ca="1" si="103"/>
        <v>0</v>
      </c>
      <c r="AR109" s="319">
        <f t="shared" ca="1" si="103"/>
        <v>0</v>
      </c>
      <c r="AS109" s="319">
        <f t="shared" ca="1" si="103"/>
        <v>0</v>
      </c>
      <c r="AT109" s="319">
        <f t="shared" ca="1" si="103"/>
        <v>0</v>
      </c>
      <c r="AU109" s="319">
        <f t="shared" ca="1" si="103"/>
        <v>0</v>
      </c>
      <c r="AV109" s="319">
        <f t="shared" ca="1" si="104"/>
        <v>0</v>
      </c>
      <c r="AW109" s="319">
        <f t="shared" ca="1" si="104"/>
        <v>0</v>
      </c>
      <c r="AX109" s="319">
        <f t="shared" ca="1" si="104"/>
        <v>0</v>
      </c>
      <c r="AY109" s="319">
        <f t="shared" ca="1" si="104"/>
        <v>0</v>
      </c>
      <c r="AZ109" s="319">
        <f t="shared" ca="1" si="104"/>
        <v>0</v>
      </c>
      <c r="BA109" s="319">
        <f t="shared" ca="1" si="104"/>
        <v>0</v>
      </c>
      <c r="BB109" s="319">
        <f t="shared" ca="1" si="104"/>
        <v>0</v>
      </c>
      <c r="BC109" s="319">
        <f t="shared" ca="1" si="104"/>
        <v>0</v>
      </c>
      <c r="BD109" s="319">
        <f t="shared" ca="1" si="104"/>
        <v>0</v>
      </c>
      <c r="BE109" s="319">
        <f t="shared" ca="1" si="104"/>
        <v>0</v>
      </c>
      <c r="BF109" s="319">
        <f t="shared" ca="1" si="105"/>
        <v>0</v>
      </c>
      <c r="BG109" s="319">
        <f t="shared" ca="1" si="105"/>
        <v>0</v>
      </c>
      <c r="BH109" s="319">
        <f t="shared" ca="1" si="105"/>
        <v>0</v>
      </c>
      <c r="BI109" s="319">
        <f t="shared" ca="1" si="105"/>
        <v>0</v>
      </c>
      <c r="BJ109" s="319">
        <f t="shared" ca="1" si="105"/>
        <v>0</v>
      </c>
      <c r="BK109" s="319">
        <f t="shared" ca="1" si="105"/>
        <v>0</v>
      </c>
      <c r="BL109" s="319">
        <f t="shared" ca="1" si="105"/>
        <v>0</v>
      </c>
      <c r="BM109" s="319">
        <f t="shared" ca="1" si="105"/>
        <v>0</v>
      </c>
      <c r="BN109" s="319">
        <f t="shared" ca="1" si="105"/>
        <v>0</v>
      </c>
      <c r="BO109" s="319">
        <f t="shared" ca="1" si="105"/>
        <v>0</v>
      </c>
      <c r="BP109" s="319">
        <f t="shared" ca="1" si="106"/>
        <v>0</v>
      </c>
      <c r="BQ109" s="319">
        <f t="shared" ca="1" si="106"/>
        <v>0</v>
      </c>
      <c r="BR109" s="319">
        <f t="shared" ca="1" si="106"/>
        <v>0</v>
      </c>
      <c r="BS109" s="319">
        <f t="shared" ca="1" si="106"/>
        <v>0</v>
      </c>
      <c r="BT109" s="319">
        <f t="shared" ca="1" si="106"/>
        <v>0</v>
      </c>
      <c r="BU109" s="319">
        <f t="shared" ca="1" si="106"/>
        <v>0</v>
      </c>
      <c r="BV109" s="319">
        <f t="shared" ca="1" si="106"/>
        <v>0</v>
      </c>
      <c r="BW109" s="319">
        <f t="shared" ca="1" si="106"/>
        <v>0</v>
      </c>
      <c r="BX109" s="319">
        <f t="shared" ca="1" si="106"/>
        <v>0</v>
      </c>
      <c r="BY109" s="319">
        <f t="shared" ca="1" si="106"/>
        <v>0</v>
      </c>
      <c r="BZ109" s="319">
        <f t="shared" ca="1" si="107"/>
        <v>0</v>
      </c>
      <c r="CA109" s="319">
        <f t="shared" ca="1" si="107"/>
        <v>0</v>
      </c>
      <c r="CB109" s="319">
        <f t="shared" ca="1" si="107"/>
        <v>0</v>
      </c>
      <c r="CC109" s="319">
        <f t="shared" ca="1" si="107"/>
        <v>0</v>
      </c>
      <c r="CD109" s="319">
        <f t="shared" ca="1" si="107"/>
        <v>0</v>
      </c>
      <c r="CE109" s="319">
        <f t="shared" ca="1" si="107"/>
        <v>0</v>
      </c>
      <c r="CF109" s="319">
        <f t="shared" ca="1" si="107"/>
        <v>0</v>
      </c>
      <c r="CG109" s="319">
        <f t="shared" ca="1" si="107"/>
        <v>0</v>
      </c>
      <c r="CH109" s="319">
        <f t="shared" ca="1" si="107"/>
        <v>0</v>
      </c>
      <c r="CI109" s="319">
        <f t="shared" ca="1" si="107"/>
        <v>0</v>
      </c>
      <c r="CJ109" s="319">
        <f t="shared" ca="1" si="108"/>
        <v>0</v>
      </c>
      <c r="CK109" s="319">
        <f t="shared" ca="1" si="108"/>
        <v>0</v>
      </c>
      <c r="CL109" s="319">
        <f t="shared" ca="1" si="108"/>
        <v>0</v>
      </c>
      <c r="CM109" s="319">
        <f t="shared" ca="1" si="108"/>
        <v>0</v>
      </c>
      <c r="CN109" s="319">
        <f t="shared" ca="1" si="108"/>
        <v>0</v>
      </c>
      <c r="CO109" s="319">
        <f t="shared" ca="1" si="108"/>
        <v>0</v>
      </c>
      <c r="CP109" s="319">
        <f t="shared" ca="1" si="108"/>
        <v>0</v>
      </c>
      <c r="CQ109" s="319">
        <f t="shared" ca="1" si="108"/>
        <v>0</v>
      </c>
      <c r="CR109" s="319">
        <f t="shared" ca="1" si="108"/>
        <v>0</v>
      </c>
      <c r="CS109" s="319">
        <f t="shared" ca="1" si="108"/>
        <v>0</v>
      </c>
      <c r="CT109" s="319">
        <f t="shared" ca="1" si="109"/>
        <v>0</v>
      </c>
      <c r="CU109" s="319">
        <f t="shared" ca="1" si="109"/>
        <v>0</v>
      </c>
      <c r="CV109" s="319">
        <f t="shared" ca="1" si="109"/>
        <v>0</v>
      </c>
      <c r="CW109" s="319">
        <f t="shared" ca="1" si="109"/>
        <v>0</v>
      </c>
      <c r="CX109" s="319">
        <f t="shared" ca="1" si="109"/>
        <v>0</v>
      </c>
      <c r="CY109" s="319">
        <f t="shared" ca="1" si="109"/>
        <v>0</v>
      </c>
      <c r="CZ109" s="319">
        <f t="shared" ca="1" si="109"/>
        <v>0</v>
      </c>
      <c r="DA109" s="319">
        <f t="shared" ca="1" si="109"/>
        <v>0</v>
      </c>
      <c r="DB109" s="319">
        <f t="shared" ca="1" si="109"/>
        <v>0</v>
      </c>
      <c r="DC109" s="319">
        <f t="shared" ca="1" si="109"/>
        <v>0</v>
      </c>
    </row>
    <row r="110" spans="1:107" hidden="1">
      <c r="A110" s="92">
        <v>110</v>
      </c>
      <c r="B110" s="5" t="str">
        <f t="shared" ca="1" si="61"/>
        <v>L.1.4.</v>
      </c>
      <c r="C110" s="114">
        <f t="shared" ca="1" si="99"/>
        <v>0</v>
      </c>
      <c r="D110" s="195"/>
      <c r="E110" s="195"/>
      <c r="F110" s="196"/>
      <c r="G110" s="91">
        <f ca="1">SUMIF($H$39:$DC$39,"&lt;="&amp;PAL,$H110:$DC110)</f>
        <v>0</v>
      </c>
      <c r="H110" s="319">
        <f t="shared" ca="1" si="100"/>
        <v>0</v>
      </c>
      <c r="I110" s="319">
        <f t="shared" ca="1" si="100"/>
        <v>0</v>
      </c>
      <c r="J110" s="319">
        <f t="shared" ca="1" si="100"/>
        <v>0</v>
      </c>
      <c r="K110" s="319">
        <f t="shared" ca="1" si="100"/>
        <v>0</v>
      </c>
      <c r="L110" s="319">
        <f t="shared" ca="1" si="100"/>
        <v>0</v>
      </c>
      <c r="M110" s="319">
        <f t="shared" ca="1" si="100"/>
        <v>0</v>
      </c>
      <c r="N110" s="319">
        <f t="shared" ca="1" si="100"/>
        <v>0</v>
      </c>
      <c r="O110" s="319">
        <f t="shared" ca="1" si="100"/>
        <v>0</v>
      </c>
      <c r="P110" s="319">
        <f t="shared" ca="1" si="100"/>
        <v>0</v>
      </c>
      <c r="Q110" s="319">
        <f t="shared" ca="1" si="100"/>
        <v>0</v>
      </c>
      <c r="R110" s="319">
        <f t="shared" ca="1" si="101"/>
        <v>0</v>
      </c>
      <c r="S110" s="319">
        <f t="shared" ca="1" si="101"/>
        <v>0</v>
      </c>
      <c r="T110" s="319">
        <f t="shared" ca="1" si="101"/>
        <v>0</v>
      </c>
      <c r="U110" s="319">
        <f t="shared" ca="1" si="101"/>
        <v>0</v>
      </c>
      <c r="V110" s="319">
        <f t="shared" ca="1" si="101"/>
        <v>0</v>
      </c>
      <c r="W110" s="319">
        <f t="shared" ca="1" si="101"/>
        <v>0</v>
      </c>
      <c r="X110" s="319">
        <f t="shared" ca="1" si="101"/>
        <v>0</v>
      </c>
      <c r="Y110" s="319">
        <f t="shared" ca="1" si="101"/>
        <v>0</v>
      </c>
      <c r="Z110" s="319">
        <f t="shared" ca="1" si="101"/>
        <v>0</v>
      </c>
      <c r="AA110" s="319">
        <f t="shared" ca="1" si="101"/>
        <v>0</v>
      </c>
      <c r="AB110" s="319">
        <f t="shared" ca="1" si="102"/>
        <v>0</v>
      </c>
      <c r="AC110" s="319">
        <f t="shared" ca="1" si="102"/>
        <v>0</v>
      </c>
      <c r="AD110" s="319">
        <f t="shared" ca="1" si="102"/>
        <v>0</v>
      </c>
      <c r="AE110" s="319">
        <f t="shared" ca="1" si="102"/>
        <v>0</v>
      </c>
      <c r="AF110" s="319">
        <f t="shared" ca="1" si="102"/>
        <v>0</v>
      </c>
      <c r="AG110" s="319">
        <f t="shared" ca="1" si="102"/>
        <v>0</v>
      </c>
      <c r="AH110" s="319">
        <f t="shared" ca="1" si="102"/>
        <v>0</v>
      </c>
      <c r="AI110" s="319">
        <f t="shared" ca="1" si="102"/>
        <v>0</v>
      </c>
      <c r="AJ110" s="319">
        <f t="shared" ca="1" si="102"/>
        <v>0</v>
      </c>
      <c r="AK110" s="319">
        <f t="shared" ca="1" si="102"/>
        <v>0</v>
      </c>
      <c r="AL110" s="319">
        <f t="shared" ca="1" si="103"/>
        <v>0</v>
      </c>
      <c r="AM110" s="319">
        <f t="shared" ca="1" si="103"/>
        <v>0</v>
      </c>
      <c r="AN110" s="319">
        <f t="shared" ca="1" si="103"/>
        <v>0</v>
      </c>
      <c r="AO110" s="319">
        <f t="shared" ca="1" si="103"/>
        <v>0</v>
      </c>
      <c r="AP110" s="319">
        <f t="shared" ca="1" si="103"/>
        <v>0</v>
      </c>
      <c r="AQ110" s="319">
        <f t="shared" ca="1" si="103"/>
        <v>0</v>
      </c>
      <c r="AR110" s="319">
        <f t="shared" ca="1" si="103"/>
        <v>0</v>
      </c>
      <c r="AS110" s="319">
        <f t="shared" ca="1" si="103"/>
        <v>0</v>
      </c>
      <c r="AT110" s="319">
        <f t="shared" ca="1" si="103"/>
        <v>0</v>
      </c>
      <c r="AU110" s="319">
        <f t="shared" ca="1" si="103"/>
        <v>0</v>
      </c>
      <c r="AV110" s="319">
        <f t="shared" ca="1" si="104"/>
        <v>0</v>
      </c>
      <c r="AW110" s="319">
        <f t="shared" ca="1" si="104"/>
        <v>0</v>
      </c>
      <c r="AX110" s="319">
        <f t="shared" ca="1" si="104"/>
        <v>0</v>
      </c>
      <c r="AY110" s="319">
        <f t="shared" ca="1" si="104"/>
        <v>0</v>
      </c>
      <c r="AZ110" s="319">
        <f t="shared" ca="1" si="104"/>
        <v>0</v>
      </c>
      <c r="BA110" s="319">
        <f t="shared" ca="1" si="104"/>
        <v>0</v>
      </c>
      <c r="BB110" s="319">
        <f t="shared" ca="1" si="104"/>
        <v>0</v>
      </c>
      <c r="BC110" s="319">
        <f t="shared" ca="1" si="104"/>
        <v>0</v>
      </c>
      <c r="BD110" s="319">
        <f t="shared" ca="1" si="104"/>
        <v>0</v>
      </c>
      <c r="BE110" s="319">
        <f t="shared" ca="1" si="104"/>
        <v>0</v>
      </c>
      <c r="BF110" s="319">
        <f t="shared" ca="1" si="105"/>
        <v>0</v>
      </c>
      <c r="BG110" s="319">
        <f t="shared" ca="1" si="105"/>
        <v>0</v>
      </c>
      <c r="BH110" s="319">
        <f t="shared" ca="1" si="105"/>
        <v>0</v>
      </c>
      <c r="BI110" s="319">
        <f t="shared" ca="1" si="105"/>
        <v>0</v>
      </c>
      <c r="BJ110" s="319">
        <f t="shared" ca="1" si="105"/>
        <v>0</v>
      </c>
      <c r="BK110" s="319">
        <f t="shared" ca="1" si="105"/>
        <v>0</v>
      </c>
      <c r="BL110" s="319">
        <f t="shared" ca="1" si="105"/>
        <v>0</v>
      </c>
      <c r="BM110" s="319">
        <f t="shared" ca="1" si="105"/>
        <v>0</v>
      </c>
      <c r="BN110" s="319">
        <f t="shared" ca="1" si="105"/>
        <v>0</v>
      </c>
      <c r="BO110" s="319">
        <f t="shared" ca="1" si="105"/>
        <v>0</v>
      </c>
      <c r="BP110" s="319">
        <f t="shared" ca="1" si="106"/>
        <v>0</v>
      </c>
      <c r="BQ110" s="319">
        <f t="shared" ca="1" si="106"/>
        <v>0</v>
      </c>
      <c r="BR110" s="319">
        <f t="shared" ca="1" si="106"/>
        <v>0</v>
      </c>
      <c r="BS110" s="319">
        <f t="shared" ca="1" si="106"/>
        <v>0</v>
      </c>
      <c r="BT110" s="319">
        <f t="shared" ca="1" si="106"/>
        <v>0</v>
      </c>
      <c r="BU110" s="319">
        <f t="shared" ca="1" si="106"/>
        <v>0</v>
      </c>
      <c r="BV110" s="319">
        <f t="shared" ca="1" si="106"/>
        <v>0</v>
      </c>
      <c r="BW110" s="319">
        <f t="shared" ca="1" si="106"/>
        <v>0</v>
      </c>
      <c r="BX110" s="319">
        <f t="shared" ca="1" si="106"/>
        <v>0</v>
      </c>
      <c r="BY110" s="319">
        <f t="shared" ca="1" si="106"/>
        <v>0</v>
      </c>
      <c r="BZ110" s="319">
        <f t="shared" ca="1" si="107"/>
        <v>0</v>
      </c>
      <c r="CA110" s="319">
        <f t="shared" ca="1" si="107"/>
        <v>0</v>
      </c>
      <c r="CB110" s="319">
        <f t="shared" ca="1" si="107"/>
        <v>0</v>
      </c>
      <c r="CC110" s="319">
        <f t="shared" ca="1" si="107"/>
        <v>0</v>
      </c>
      <c r="CD110" s="319">
        <f t="shared" ca="1" si="107"/>
        <v>0</v>
      </c>
      <c r="CE110" s="319">
        <f t="shared" ca="1" si="107"/>
        <v>0</v>
      </c>
      <c r="CF110" s="319">
        <f t="shared" ca="1" si="107"/>
        <v>0</v>
      </c>
      <c r="CG110" s="319">
        <f t="shared" ca="1" si="107"/>
        <v>0</v>
      </c>
      <c r="CH110" s="319">
        <f t="shared" ca="1" si="107"/>
        <v>0</v>
      </c>
      <c r="CI110" s="319">
        <f t="shared" ca="1" si="107"/>
        <v>0</v>
      </c>
      <c r="CJ110" s="319">
        <f t="shared" ca="1" si="108"/>
        <v>0</v>
      </c>
      <c r="CK110" s="319">
        <f t="shared" ca="1" si="108"/>
        <v>0</v>
      </c>
      <c r="CL110" s="319">
        <f t="shared" ca="1" si="108"/>
        <v>0</v>
      </c>
      <c r="CM110" s="319">
        <f t="shared" ca="1" si="108"/>
        <v>0</v>
      </c>
      <c r="CN110" s="319">
        <f t="shared" ca="1" si="108"/>
        <v>0</v>
      </c>
      <c r="CO110" s="319">
        <f t="shared" ca="1" si="108"/>
        <v>0</v>
      </c>
      <c r="CP110" s="319">
        <f t="shared" ca="1" si="108"/>
        <v>0</v>
      </c>
      <c r="CQ110" s="319">
        <f t="shared" ca="1" si="108"/>
        <v>0</v>
      </c>
      <c r="CR110" s="319">
        <f t="shared" ca="1" si="108"/>
        <v>0</v>
      </c>
      <c r="CS110" s="319">
        <f t="shared" ca="1" si="108"/>
        <v>0</v>
      </c>
      <c r="CT110" s="319">
        <f t="shared" ca="1" si="109"/>
        <v>0</v>
      </c>
      <c r="CU110" s="319">
        <f t="shared" ca="1" si="109"/>
        <v>0</v>
      </c>
      <c r="CV110" s="319">
        <f t="shared" ca="1" si="109"/>
        <v>0</v>
      </c>
      <c r="CW110" s="319">
        <f t="shared" ca="1" si="109"/>
        <v>0</v>
      </c>
      <c r="CX110" s="319">
        <f t="shared" ca="1" si="109"/>
        <v>0</v>
      </c>
      <c r="CY110" s="319">
        <f t="shared" ca="1" si="109"/>
        <v>0</v>
      </c>
      <c r="CZ110" s="319">
        <f t="shared" ca="1" si="109"/>
        <v>0</v>
      </c>
      <c r="DA110" s="319">
        <f t="shared" ca="1" si="109"/>
        <v>0</v>
      </c>
      <c r="DB110" s="319">
        <f t="shared" ca="1" si="109"/>
        <v>0</v>
      </c>
      <c r="DC110" s="319">
        <f t="shared" ca="1" si="109"/>
        <v>0</v>
      </c>
    </row>
    <row r="111" spans="1:107" hidden="1">
      <c r="A111" s="92">
        <v>111</v>
      </c>
      <c r="B111" s="5" t="str">
        <f t="shared" ca="1" si="61"/>
        <v>L.1.5.</v>
      </c>
      <c r="C111" s="114">
        <f t="shared" ca="1" si="99"/>
        <v>0</v>
      </c>
      <c r="D111" s="195"/>
      <c r="E111" s="195"/>
      <c r="F111" s="196"/>
      <c r="G111" s="91">
        <f ca="1">SUMIF($H$39:$DC$39,"&lt;="&amp;PAL,$H111:$DC111)</f>
        <v>0</v>
      </c>
      <c r="H111" s="319">
        <f t="shared" ca="1" si="100"/>
        <v>0</v>
      </c>
      <c r="I111" s="319">
        <f t="shared" ca="1" si="100"/>
        <v>0</v>
      </c>
      <c r="J111" s="319">
        <f t="shared" ca="1" si="100"/>
        <v>0</v>
      </c>
      <c r="K111" s="319">
        <f t="shared" ca="1" si="100"/>
        <v>0</v>
      </c>
      <c r="L111" s="319">
        <f t="shared" ca="1" si="100"/>
        <v>0</v>
      </c>
      <c r="M111" s="319">
        <f t="shared" ca="1" si="100"/>
        <v>0</v>
      </c>
      <c r="N111" s="319">
        <f t="shared" ca="1" si="100"/>
        <v>0</v>
      </c>
      <c r="O111" s="319">
        <f t="shared" ca="1" si="100"/>
        <v>0</v>
      </c>
      <c r="P111" s="319">
        <f t="shared" ca="1" si="100"/>
        <v>0</v>
      </c>
      <c r="Q111" s="319">
        <f t="shared" ca="1" si="100"/>
        <v>0</v>
      </c>
      <c r="R111" s="319">
        <f t="shared" ca="1" si="101"/>
        <v>0</v>
      </c>
      <c r="S111" s="319">
        <f t="shared" ca="1" si="101"/>
        <v>0</v>
      </c>
      <c r="T111" s="319">
        <f t="shared" ca="1" si="101"/>
        <v>0</v>
      </c>
      <c r="U111" s="319">
        <f t="shared" ca="1" si="101"/>
        <v>0</v>
      </c>
      <c r="V111" s="319">
        <f t="shared" ca="1" si="101"/>
        <v>0</v>
      </c>
      <c r="W111" s="319">
        <f t="shared" ca="1" si="101"/>
        <v>0</v>
      </c>
      <c r="X111" s="319">
        <f t="shared" ca="1" si="101"/>
        <v>0</v>
      </c>
      <c r="Y111" s="319">
        <f t="shared" ca="1" si="101"/>
        <v>0</v>
      </c>
      <c r="Z111" s="319">
        <f t="shared" ca="1" si="101"/>
        <v>0</v>
      </c>
      <c r="AA111" s="319">
        <f t="shared" ca="1" si="101"/>
        <v>0</v>
      </c>
      <c r="AB111" s="319">
        <f t="shared" ca="1" si="102"/>
        <v>0</v>
      </c>
      <c r="AC111" s="319">
        <f t="shared" ca="1" si="102"/>
        <v>0</v>
      </c>
      <c r="AD111" s="319">
        <f t="shared" ca="1" si="102"/>
        <v>0</v>
      </c>
      <c r="AE111" s="319">
        <f t="shared" ca="1" si="102"/>
        <v>0</v>
      </c>
      <c r="AF111" s="319">
        <f t="shared" ca="1" si="102"/>
        <v>0</v>
      </c>
      <c r="AG111" s="319">
        <f t="shared" ca="1" si="102"/>
        <v>0</v>
      </c>
      <c r="AH111" s="319">
        <f t="shared" ca="1" si="102"/>
        <v>0</v>
      </c>
      <c r="AI111" s="319">
        <f t="shared" ca="1" si="102"/>
        <v>0</v>
      </c>
      <c r="AJ111" s="319">
        <f t="shared" ca="1" si="102"/>
        <v>0</v>
      </c>
      <c r="AK111" s="319">
        <f t="shared" ca="1" si="102"/>
        <v>0</v>
      </c>
      <c r="AL111" s="319">
        <f t="shared" ca="1" si="103"/>
        <v>0</v>
      </c>
      <c r="AM111" s="319">
        <f t="shared" ca="1" si="103"/>
        <v>0</v>
      </c>
      <c r="AN111" s="319">
        <f t="shared" ca="1" si="103"/>
        <v>0</v>
      </c>
      <c r="AO111" s="319">
        <f t="shared" ca="1" si="103"/>
        <v>0</v>
      </c>
      <c r="AP111" s="319">
        <f t="shared" ca="1" si="103"/>
        <v>0</v>
      </c>
      <c r="AQ111" s="319">
        <f t="shared" ca="1" si="103"/>
        <v>0</v>
      </c>
      <c r="AR111" s="319">
        <f t="shared" ca="1" si="103"/>
        <v>0</v>
      </c>
      <c r="AS111" s="319">
        <f t="shared" ca="1" si="103"/>
        <v>0</v>
      </c>
      <c r="AT111" s="319">
        <f t="shared" ca="1" si="103"/>
        <v>0</v>
      </c>
      <c r="AU111" s="319">
        <f t="shared" ca="1" si="103"/>
        <v>0</v>
      </c>
      <c r="AV111" s="319">
        <f t="shared" ca="1" si="104"/>
        <v>0</v>
      </c>
      <c r="AW111" s="319">
        <f t="shared" ca="1" si="104"/>
        <v>0</v>
      </c>
      <c r="AX111" s="319">
        <f t="shared" ca="1" si="104"/>
        <v>0</v>
      </c>
      <c r="AY111" s="319">
        <f t="shared" ca="1" si="104"/>
        <v>0</v>
      </c>
      <c r="AZ111" s="319">
        <f t="shared" ca="1" si="104"/>
        <v>0</v>
      </c>
      <c r="BA111" s="319">
        <f t="shared" ca="1" si="104"/>
        <v>0</v>
      </c>
      <c r="BB111" s="319">
        <f t="shared" ca="1" si="104"/>
        <v>0</v>
      </c>
      <c r="BC111" s="319">
        <f t="shared" ca="1" si="104"/>
        <v>0</v>
      </c>
      <c r="BD111" s="319">
        <f t="shared" ca="1" si="104"/>
        <v>0</v>
      </c>
      <c r="BE111" s="319">
        <f t="shared" ca="1" si="104"/>
        <v>0</v>
      </c>
      <c r="BF111" s="319">
        <f t="shared" ca="1" si="105"/>
        <v>0</v>
      </c>
      <c r="BG111" s="319">
        <f t="shared" ca="1" si="105"/>
        <v>0</v>
      </c>
      <c r="BH111" s="319">
        <f t="shared" ca="1" si="105"/>
        <v>0</v>
      </c>
      <c r="BI111" s="319">
        <f t="shared" ca="1" si="105"/>
        <v>0</v>
      </c>
      <c r="BJ111" s="319">
        <f t="shared" ca="1" si="105"/>
        <v>0</v>
      </c>
      <c r="BK111" s="319">
        <f t="shared" ca="1" si="105"/>
        <v>0</v>
      </c>
      <c r="BL111" s="319">
        <f t="shared" ca="1" si="105"/>
        <v>0</v>
      </c>
      <c r="BM111" s="319">
        <f t="shared" ca="1" si="105"/>
        <v>0</v>
      </c>
      <c r="BN111" s="319">
        <f t="shared" ca="1" si="105"/>
        <v>0</v>
      </c>
      <c r="BO111" s="319">
        <f t="shared" ca="1" si="105"/>
        <v>0</v>
      </c>
      <c r="BP111" s="319">
        <f t="shared" ca="1" si="106"/>
        <v>0</v>
      </c>
      <c r="BQ111" s="319">
        <f t="shared" ca="1" si="106"/>
        <v>0</v>
      </c>
      <c r="BR111" s="319">
        <f t="shared" ca="1" si="106"/>
        <v>0</v>
      </c>
      <c r="BS111" s="319">
        <f t="shared" ca="1" si="106"/>
        <v>0</v>
      </c>
      <c r="BT111" s="319">
        <f t="shared" ca="1" si="106"/>
        <v>0</v>
      </c>
      <c r="BU111" s="319">
        <f t="shared" ca="1" si="106"/>
        <v>0</v>
      </c>
      <c r="BV111" s="319">
        <f t="shared" ca="1" si="106"/>
        <v>0</v>
      </c>
      <c r="BW111" s="319">
        <f t="shared" ca="1" si="106"/>
        <v>0</v>
      </c>
      <c r="BX111" s="319">
        <f t="shared" ca="1" si="106"/>
        <v>0</v>
      </c>
      <c r="BY111" s="319">
        <f t="shared" ca="1" si="106"/>
        <v>0</v>
      </c>
      <c r="BZ111" s="319">
        <f t="shared" ca="1" si="107"/>
        <v>0</v>
      </c>
      <c r="CA111" s="319">
        <f t="shared" ca="1" si="107"/>
        <v>0</v>
      </c>
      <c r="CB111" s="319">
        <f t="shared" ca="1" si="107"/>
        <v>0</v>
      </c>
      <c r="CC111" s="319">
        <f t="shared" ca="1" si="107"/>
        <v>0</v>
      </c>
      <c r="CD111" s="319">
        <f t="shared" ca="1" si="107"/>
        <v>0</v>
      </c>
      <c r="CE111" s="319">
        <f t="shared" ca="1" si="107"/>
        <v>0</v>
      </c>
      <c r="CF111" s="319">
        <f t="shared" ca="1" si="107"/>
        <v>0</v>
      </c>
      <c r="CG111" s="319">
        <f t="shared" ca="1" si="107"/>
        <v>0</v>
      </c>
      <c r="CH111" s="319">
        <f t="shared" ca="1" si="107"/>
        <v>0</v>
      </c>
      <c r="CI111" s="319">
        <f t="shared" ca="1" si="107"/>
        <v>0</v>
      </c>
      <c r="CJ111" s="319">
        <f t="shared" ca="1" si="108"/>
        <v>0</v>
      </c>
      <c r="CK111" s="319">
        <f t="shared" ca="1" si="108"/>
        <v>0</v>
      </c>
      <c r="CL111" s="319">
        <f t="shared" ca="1" si="108"/>
        <v>0</v>
      </c>
      <c r="CM111" s="319">
        <f t="shared" ca="1" si="108"/>
        <v>0</v>
      </c>
      <c r="CN111" s="319">
        <f t="shared" ca="1" si="108"/>
        <v>0</v>
      </c>
      <c r="CO111" s="319">
        <f t="shared" ca="1" si="108"/>
        <v>0</v>
      </c>
      <c r="CP111" s="319">
        <f t="shared" ca="1" si="108"/>
        <v>0</v>
      </c>
      <c r="CQ111" s="319">
        <f t="shared" ca="1" si="108"/>
        <v>0</v>
      </c>
      <c r="CR111" s="319">
        <f t="shared" ca="1" si="108"/>
        <v>0</v>
      </c>
      <c r="CS111" s="319">
        <f t="shared" ca="1" si="108"/>
        <v>0</v>
      </c>
      <c r="CT111" s="319">
        <f t="shared" ca="1" si="109"/>
        <v>0</v>
      </c>
      <c r="CU111" s="319">
        <f t="shared" ca="1" si="109"/>
        <v>0</v>
      </c>
      <c r="CV111" s="319">
        <f t="shared" ca="1" si="109"/>
        <v>0</v>
      </c>
      <c r="CW111" s="319">
        <f t="shared" ca="1" si="109"/>
        <v>0</v>
      </c>
      <c r="CX111" s="319">
        <f t="shared" ca="1" si="109"/>
        <v>0</v>
      </c>
      <c r="CY111" s="319">
        <f t="shared" ca="1" si="109"/>
        <v>0</v>
      </c>
      <c r="CZ111" s="319">
        <f t="shared" ca="1" si="109"/>
        <v>0</v>
      </c>
      <c r="DA111" s="319">
        <f t="shared" ca="1" si="109"/>
        <v>0</v>
      </c>
      <c r="DB111" s="319">
        <f t="shared" ca="1" si="109"/>
        <v>0</v>
      </c>
      <c r="DC111" s="319">
        <f t="shared" ca="1" si="109"/>
        <v>0</v>
      </c>
    </row>
    <row r="112" spans="1:107" hidden="1">
      <c r="A112" s="92">
        <v>112</v>
      </c>
      <c r="B112" s="5" t="str">
        <f t="shared" ca="1" si="61"/>
        <v>L.1.6.</v>
      </c>
      <c r="C112" s="114">
        <f t="shared" ca="1" si="99"/>
        <v>0</v>
      </c>
      <c r="D112" s="195"/>
      <c r="E112" s="195"/>
      <c r="F112" s="196"/>
      <c r="G112" s="91">
        <f ca="1">SUMIF($H$39:$DC$39,"&lt;="&amp;PAL,$H112:$DC112)</f>
        <v>0</v>
      </c>
      <c r="H112" s="319">
        <f t="shared" ca="1" si="100"/>
        <v>0</v>
      </c>
      <c r="I112" s="319">
        <f t="shared" ca="1" si="100"/>
        <v>0</v>
      </c>
      <c r="J112" s="319">
        <f t="shared" ca="1" si="100"/>
        <v>0</v>
      </c>
      <c r="K112" s="319">
        <f t="shared" ca="1" si="100"/>
        <v>0</v>
      </c>
      <c r="L112" s="319">
        <f t="shared" ca="1" si="100"/>
        <v>0</v>
      </c>
      <c r="M112" s="319">
        <f t="shared" ca="1" si="100"/>
        <v>0</v>
      </c>
      <c r="N112" s="319">
        <f t="shared" ca="1" si="100"/>
        <v>0</v>
      </c>
      <c r="O112" s="319">
        <f t="shared" ca="1" si="100"/>
        <v>0</v>
      </c>
      <c r="P112" s="319">
        <f t="shared" ca="1" si="100"/>
        <v>0</v>
      </c>
      <c r="Q112" s="319">
        <f t="shared" ca="1" si="100"/>
        <v>0</v>
      </c>
      <c r="R112" s="319">
        <f t="shared" ca="1" si="101"/>
        <v>0</v>
      </c>
      <c r="S112" s="319">
        <f t="shared" ca="1" si="101"/>
        <v>0</v>
      </c>
      <c r="T112" s="319">
        <f t="shared" ca="1" si="101"/>
        <v>0</v>
      </c>
      <c r="U112" s="319">
        <f t="shared" ca="1" si="101"/>
        <v>0</v>
      </c>
      <c r="V112" s="319">
        <f t="shared" ca="1" si="101"/>
        <v>0</v>
      </c>
      <c r="W112" s="319">
        <f t="shared" ca="1" si="101"/>
        <v>0</v>
      </c>
      <c r="X112" s="319">
        <f t="shared" ca="1" si="101"/>
        <v>0</v>
      </c>
      <c r="Y112" s="319">
        <f t="shared" ca="1" si="101"/>
        <v>0</v>
      </c>
      <c r="Z112" s="319">
        <f t="shared" ca="1" si="101"/>
        <v>0</v>
      </c>
      <c r="AA112" s="319">
        <f t="shared" ca="1" si="101"/>
        <v>0</v>
      </c>
      <c r="AB112" s="319">
        <f t="shared" ca="1" si="102"/>
        <v>0</v>
      </c>
      <c r="AC112" s="319">
        <f t="shared" ca="1" si="102"/>
        <v>0</v>
      </c>
      <c r="AD112" s="319">
        <f t="shared" ca="1" si="102"/>
        <v>0</v>
      </c>
      <c r="AE112" s="319">
        <f t="shared" ca="1" si="102"/>
        <v>0</v>
      </c>
      <c r="AF112" s="319">
        <f t="shared" ca="1" si="102"/>
        <v>0</v>
      </c>
      <c r="AG112" s="319">
        <f t="shared" ca="1" si="102"/>
        <v>0</v>
      </c>
      <c r="AH112" s="319">
        <f t="shared" ca="1" si="102"/>
        <v>0</v>
      </c>
      <c r="AI112" s="319">
        <f t="shared" ca="1" si="102"/>
        <v>0</v>
      </c>
      <c r="AJ112" s="319">
        <f t="shared" ca="1" si="102"/>
        <v>0</v>
      </c>
      <c r="AK112" s="319">
        <f t="shared" ca="1" si="102"/>
        <v>0</v>
      </c>
      <c r="AL112" s="319">
        <f t="shared" ca="1" si="103"/>
        <v>0</v>
      </c>
      <c r="AM112" s="319">
        <f t="shared" ca="1" si="103"/>
        <v>0</v>
      </c>
      <c r="AN112" s="319">
        <f t="shared" ca="1" si="103"/>
        <v>0</v>
      </c>
      <c r="AO112" s="319">
        <f t="shared" ca="1" si="103"/>
        <v>0</v>
      </c>
      <c r="AP112" s="319">
        <f t="shared" ca="1" si="103"/>
        <v>0</v>
      </c>
      <c r="AQ112" s="319">
        <f t="shared" ca="1" si="103"/>
        <v>0</v>
      </c>
      <c r="AR112" s="319">
        <f t="shared" ca="1" si="103"/>
        <v>0</v>
      </c>
      <c r="AS112" s="319">
        <f t="shared" ca="1" si="103"/>
        <v>0</v>
      </c>
      <c r="AT112" s="319">
        <f t="shared" ca="1" si="103"/>
        <v>0</v>
      </c>
      <c r="AU112" s="319">
        <f t="shared" ca="1" si="103"/>
        <v>0</v>
      </c>
      <c r="AV112" s="319">
        <f t="shared" ca="1" si="104"/>
        <v>0</v>
      </c>
      <c r="AW112" s="319">
        <f t="shared" ca="1" si="104"/>
        <v>0</v>
      </c>
      <c r="AX112" s="319">
        <f t="shared" ca="1" si="104"/>
        <v>0</v>
      </c>
      <c r="AY112" s="319">
        <f t="shared" ca="1" si="104"/>
        <v>0</v>
      </c>
      <c r="AZ112" s="319">
        <f t="shared" ca="1" si="104"/>
        <v>0</v>
      </c>
      <c r="BA112" s="319">
        <f t="shared" ca="1" si="104"/>
        <v>0</v>
      </c>
      <c r="BB112" s="319">
        <f t="shared" ca="1" si="104"/>
        <v>0</v>
      </c>
      <c r="BC112" s="319">
        <f t="shared" ca="1" si="104"/>
        <v>0</v>
      </c>
      <c r="BD112" s="319">
        <f t="shared" ca="1" si="104"/>
        <v>0</v>
      </c>
      <c r="BE112" s="319">
        <f t="shared" ca="1" si="104"/>
        <v>0</v>
      </c>
      <c r="BF112" s="319">
        <f t="shared" ca="1" si="105"/>
        <v>0</v>
      </c>
      <c r="BG112" s="319">
        <f t="shared" ca="1" si="105"/>
        <v>0</v>
      </c>
      <c r="BH112" s="319">
        <f t="shared" ca="1" si="105"/>
        <v>0</v>
      </c>
      <c r="BI112" s="319">
        <f t="shared" ca="1" si="105"/>
        <v>0</v>
      </c>
      <c r="BJ112" s="319">
        <f t="shared" ca="1" si="105"/>
        <v>0</v>
      </c>
      <c r="BK112" s="319">
        <f t="shared" ca="1" si="105"/>
        <v>0</v>
      </c>
      <c r="BL112" s="319">
        <f t="shared" ca="1" si="105"/>
        <v>0</v>
      </c>
      <c r="BM112" s="319">
        <f t="shared" ca="1" si="105"/>
        <v>0</v>
      </c>
      <c r="BN112" s="319">
        <f t="shared" ca="1" si="105"/>
        <v>0</v>
      </c>
      <c r="BO112" s="319">
        <f t="shared" ca="1" si="105"/>
        <v>0</v>
      </c>
      <c r="BP112" s="319">
        <f t="shared" ca="1" si="106"/>
        <v>0</v>
      </c>
      <c r="BQ112" s="319">
        <f t="shared" ca="1" si="106"/>
        <v>0</v>
      </c>
      <c r="BR112" s="319">
        <f t="shared" ca="1" si="106"/>
        <v>0</v>
      </c>
      <c r="BS112" s="319">
        <f t="shared" ca="1" si="106"/>
        <v>0</v>
      </c>
      <c r="BT112" s="319">
        <f t="shared" ca="1" si="106"/>
        <v>0</v>
      </c>
      <c r="BU112" s="319">
        <f t="shared" ca="1" si="106"/>
        <v>0</v>
      </c>
      <c r="BV112" s="319">
        <f t="shared" ca="1" si="106"/>
        <v>0</v>
      </c>
      <c r="BW112" s="319">
        <f t="shared" ca="1" si="106"/>
        <v>0</v>
      </c>
      <c r="BX112" s="319">
        <f t="shared" ca="1" si="106"/>
        <v>0</v>
      </c>
      <c r="BY112" s="319">
        <f t="shared" ca="1" si="106"/>
        <v>0</v>
      </c>
      <c r="BZ112" s="319">
        <f t="shared" ca="1" si="107"/>
        <v>0</v>
      </c>
      <c r="CA112" s="319">
        <f t="shared" ca="1" si="107"/>
        <v>0</v>
      </c>
      <c r="CB112" s="319">
        <f t="shared" ca="1" si="107"/>
        <v>0</v>
      </c>
      <c r="CC112" s="319">
        <f t="shared" ca="1" si="107"/>
        <v>0</v>
      </c>
      <c r="CD112" s="319">
        <f t="shared" ca="1" si="107"/>
        <v>0</v>
      </c>
      <c r="CE112" s="319">
        <f t="shared" ca="1" si="107"/>
        <v>0</v>
      </c>
      <c r="CF112" s="319">
        <f t="shared" ca="1" si="107"/>
        <v>0</v>
      </c>
      <c r="CG112" s="319">
        <f t="shared" ca="1" si="107"/>
        <v>0</v>
      </c>
      <c r="CH112" s="319">
        <f t="shared" ca="1" si="107"/>
        <v>0</v>
      </c>
      <c r="CI112" s="319">
        <f t="shared" ca="1" si="107"/>
        <v>0</v>
      </c>
      <c r="CJ112" s="319">
        <f t="shared" ca="1" si="108"/>
        <v>0</v>
      </c>
      <c r="CK112" s="319">
        <f t="shared" ca="1" si="108"/>
        <v>0</v>
      </c>
      <c r="CL112" s="319">
        <f t="shared" ca="1" si="108"/>
        <v>0</v>
      </c>
      <c r="CM112" s="319">
        <f t="shared" ca="1" si="108"/>
        <v>0</v>
      </c>
      <c r="CN112" s="319">
        <f t="shared" ca="1" si="108"/>
        <v>0</v>
      </c>
      <c r="CO112" s="319">
        <f t="shared" ca="1" si="108"/>
        <v>0</v>
      </c>
      <c r="CP112" s="319">
        <f t="shared" ca="1" si="108"/>
        <v>0</v>
      </c>
      <c r="CQ112" s="319">
        <f t="shared" ca="1" si="108"/>
        <v>0</v>
      </c>
      <c r="CR112" s="319">
        <f t="shared" ca="1" si="108"/>
        <v>0</v>
      </c>
      <c r="CS112" s="319">
        <f t="shared" ca="1" si="108"/>
        <v>0</v>
      </c>
      <c r="CT112" s="319">
        <f t="shared" ca="1" si="109"/>
        <v>0</v>
      </c>
      <c r="CU112" s="319">
        <f t="shared" ca="1" si="109"/>
        <v>0</v>
      </c>
      <c r="CV112" s="319">
        <f t="shared" ca="1" si="109"/>
        <v>0</v>
      </c>
      <c r="CW112" s="319">
        <f t="shared" ca="1" si="109"/>
        <v>0</v>
      </c>
      <c r="CX112" s="319">
        <f t="shared" ca="1" si="109"/>
        <v>0</v>
      </c>
      <c r="CY112" s="319">
        <f t="shared" ca="1" si="109"/>
        <v>0</v>
      </c>
      <c r="CZ112" s="319">
        <f t="shared" ca="1" si="109"/>
        <v>0</v>
      </c>
      <c r="DA112" s="319">
        <f t="shared" ca="1" si="109"/>
        <v>0</v>
      </c>
      <c r="DB112" s="319">
        <f t="shared" ca="1" si="109"/>
        <v>0</v>
      </c>
      <c r="DC112" s="319">
        <f t="shared" ca="1" si="109"/>
        <v>0</v>
      </c>
    </row>
    <row r="113" spans="1:107" hidden="1">
      <c r="A113" s="92">
        <v>113</v>
      </c>
      <c r="B113" s="5" t="str">
        <f t="shared" ca="1" si="61"/>
        <v>L.1.7.</v>
      </c>
      <c r="C113" s="114">
        <f t="shared" ca="1" si="99"/>
        <v>0</v>
      </c>
      <c r="D113" s="195"/>
      <c r="E113" s="195"/>
      <c r="F113" s="196"/>
      <c r="G113" s="91">
        <f ca="1">SUMIF($H$39:$DC$39,"&lt;="&amp;PAL,$H113:$DC113)</f>
        <v>0</v>
      </c>
      <c r="H113" s="319">
        <f t="shared" ca="1" si="100"/>
        <v>0</v>
      </c>
      <c r="I113" s="319">
        <f t="shared" ca="1" si="100"/>
        <v>0</v>
      </c>
      <c r="J113" s="319">
        <f t="shared" ca="1" si="100"/>
        <v>0</v>
      </c>
      <c r="K113" s="319">
        <f t="shared" ca="1" si="100"/>
        <v>0</v>
      </c>
      <c r="L113" s="319">
        <f t="shared" ca="1" si="100"/>
        <v>0</v>
      </c>
      <c r="M113" s="319">
        <f t="shared" ca="1" si="100"/>
        <v>0</v>
      </c>
      <c r="N113" s="319">
        <f t="shared" ca="1" si="100"/>
        <v>0</v>
      </c>
      <c r="O113" s="319">
        <f t="shared" ca="1" si="100"/>
        <v>0</v>
      </c>
      <c r="P113" s="319">
        <f t="shared" ca="1" si="100"/>
        <v>0</v>
      </c>
      <c r="Q113" s="319">
        <f t="shared" ca="1" si="100"/>
        <v>0</v>
      </c>
      <c r="R113" s="319">
        <f t="shared" ca="1" si="101"/>
        <v>0</v>
      </c>
      <c r="S113" s="319">
        <f t="shared" ca="1" si="101"/>
        <v>0</v>
      </c>
      <c r="T113" s="319">
        <f t="shared" ca="1" si="101"/>
        <v>0</v>
      </c>
      <c r="U113" s="319">
        <f t="shared" ca="1" si="101"/>
        <v>0</v>
      </c>
      <c r="V113" s="319">
        <f t="shared" ca="1" si="101"/>
        <v>0</v>
      </c>
      <c r="W113" s="319">
        <f t="shared" ca="1" si="101"/>
        <v>0</v>
      </c>
      <c r="X113" s="319">
        <f t="shared" ca="1" si="101"/>
        <v>0</v>
      </c>
      <c r="Y113" s="319">
        <f t="shared" ca="1" si="101"/>
        <v>0</v>
      </c>
      <c r="Z113" s="319">
        <f t="shared" ca="1" si="101"/>
        <v>0</v>
      </c>
      <c r="AA113" s="319">
        <f t="shared" ca="1" si="101"/>
        <v>0</v>
      </c>
      <c r="AB113" s="319">
        <f t="shared" ca="1" si="102"/>
        <v>0</v>
      </c>
      <c r="AC113" s="319">
        <f t="shared" ca="1" si="102"/>
        <v>0</v>
      </c>
      <c r="AD113" s="319">
        <f t="shared" ca="1" si="102"/>
        <v>0</v>
      </c>
      <c r="AE113" s="319">
        <f t="shared" ca="1" si="102"/>
        <v>0</v>
      </c>
      <c r="AF113" s="319">
        <f t="shared" ca="1" si="102"/>
        <v>0</v>
      </c>
      <c r="AG113" s="319">
        <f t="shared" ca="1" si="102"/>
        <v>0</v>
      </c>
      <c r="AH113" s="319">
        <f t="shared" ca="1" si="102"/>
        <v>0</v>
      </c>
      <c r="AI113" s="319">
        <f t="shared" ca="1" si="102"/>
        <v>0</v>
      </c>
      <c r="AJ113" s="319">
        <f t="shared" ca="1" si="102"/>
        <v>0</v>
      </c>
      <c r="AK113" s="319">
        <f t="shared" ca="1" si="102"/>
        <v>0</v>
      </c>
      <c r="AL113" s="319">
        <f t="shared" ca="1" si="103"/>
        <v>0</v>
      </c>
      <c r="AM113" s="319">
        <f t="shared" ca="1" si="103"/>
        <v>0</v>
      </c>
      <c r="AN113" s="319">
        <f t="shared" ca="1" si="103"/>
        <v>0</v>
      </c>
      <c r="AO113" s="319">
        <f t="shared" ca="1" si="103"/>
        <v>0</v>
      </c>
      <c r="AP113" s="319">
        <f t="shared" ca="1" si="103"/>
        <v>0</v>
      </c>
      <c r="AQ113" s="319">
        <f t="shared" ca="1" si="103"/>
        <v>0</v>
      </c>
      <c r="AR113" s="319">
        <f t="shared" ca="1" si="103"/>
        <v>0</v>
      </c>
      <c r="AS113" s="319">
        <f t="shared" ca="1" si="103"/>
        <v>0</v>
      </c>
      <c r="AT113" s="319">
        <f t="shared" ca="1" si="103"/>
        <v>0</v>
      </c>
      <c r="AU113" s="319">
        <f t="shared" ca="1" si="103"/>
        <v>0</v>
      </c>
      <c r="AV113" s="319">
        <f t="shared" ca="1" si="104"/>
        <v>0</v>
      </c>
      <c r="AW113" s="319">
        <f t="shared" ca="1" si="104"/>
        <v>0</v>
      </c>
      <c r="AX113" s="319">
        <f t="shared" ca="1" si="104"/>
        <v>0</v>
      </c>
      <c r="AY113" s="319">
        <f t="shared" ca="1" si="104"/>
        <v>0</v>
      </c>
      <c r="AZ113" s="319">
        <f t="shared" ca="1" si="104"/>
        <v>0</v>
      </c>
      <c r="BA113" s="319">
        <f t="shared" ca="1" si="104"/>
        <v>0</v>
      </c>
      <c r="BB113" s="319">
        <f t="shared" ca="1" si="104"/>
        <v>0</v>
      </c>
      <c r="BC113" s="319">
        <f t="shared" ca="1" si="104"/>
        <v>0</v>
      </c>
      <c r="BD113" s="319">
        <f t="shared" ca="1" si="104"/>
        <v>0</v>
      </c>
      <c r="BE113" s="319">
        <f t="shared" ca="1" si="104"/>
        <v>0</v>
      </c>
      <c r="BF113" s="319">
        <f t="shared" ca="1" si="105"/>
        <v>0</v>
      </c>
      <c r="BG113" s="319">
        <f t="shared" ca="1" si="105"/>
        <v>0</v>
      </c>
      <c r="BH113" s="319">
        <f t="shared" ca="1" si="105"/>
        <v>0</v>
      </c>
      <c r="BI113" s="319">
        <f t="shared" ca="1" si="105"/>
        <v>0</v>
      </c>
      <c r="BJ113" s="319">
        <f t="shared" ca="1" si="105"/>
        <v>0</v>
      </c>
      <c r="BK113" s="319">
        <f t="shared" ca="1" si="105"/>
        <v>0</v>
      </c>
      <c r="BL113" s="319">
        <f t="shared" ca="1" si="105"/>
        <v>0</v>
      </c>
      <c r="BM113" s="319">
        <f t="shared" ca="1" si="105"/>
        <v>0</v>
      </c>
      <c r="BN113" s="319">
        <f t="shared" ca="1" si="105"/>
        <v>0</v>
      </c>
      <c r="BO113" s="319">
        <f t="shared" ca="1" si="105"/>
        <v>0</v>
      </c>
      <c r="BP113" s="319">
        <f t="shared" ca="1" si="106"/>
        <v>0</v>
      </c>
      <c r="BQ113" s="319">
        <f t="shared" ca="1" si="106"/>
        <v>0</v>
      </c>
      <c r="BR113" s="319">
        <f t="shared" ca="1" si="106"/>
        <v>0</v>
      </c>
      <c r="BS113" s="319">
        <f t="shared" ca="1" si="106"/>
        <v>0</v>
      </c>
      <c r="BT113" s="319">
        <f t="shared" ca="1" si="106"/>
        <v>0</v>
      </c>
      <c r="BU113" s="319">
        <f t="shared" ca="1" si="106"/>
        <v>0</v>
      </c>
      <c r="BV113" s="319">
        <f t="shared" ca="1" si="106"/>
        <v>0</v>
      </c>
      <c r="BW113" s="319">
        <f t="shared" ca="1" si="106"/>
        <v>0</v>
      </c>
      <c r="BX113" s="319">
        <f t="shared" ca="1" si="106"/>
        <v>0</v>
      </c>
      <c r="BY113" s="319">
        <f t="shared" ca="1" si="106"/>
        <v>0</v>
      </c>
      <c r="BZ113" s="319">
        <f t="shared" ca="1" si="107"/>
        <v>0</v>
      </c>
      <c r="CA113" s="319">
        <f t="shared" ca="1" si="107"/>
        <v>0</v>
      </c>
      <c r="CB113" s="319">
        <f t="shared" ca="1" si="107"/>
        <v>0</v>
      </c>
      <c r="CC113" s="319">
        <f t="shared" ca="1" si="107"/>
        <v>0</v>
      </c>
      <c r="CD113" s="319">
        <f t="shared" ca="1" si="107"/>
        <v>0</v>
      </c>
      <c r="CE113" s="319">
        <f t="shared" ca="1" si="107"/>
        <v>0</v>
      </c>
      <c r="CF113" s="319">
        <f t="shared" ca="1" si="107"/>
        <v>0</v>
      </c>
      <c r="CG113" s="319">
        <f t="shared" ca="1" si="107"/>
        <v>0</v>
      </c>
      <c r="CH113" s="319">
        <f t="shared" ca="1" si="107"/>
        <v>0</v>
      </c>
      <c r="CI113" s="319">
        <f t="shared" ca="1" si="107"/>
        <v>0</v>
      </c>
      <c r="CJ113" s="319">
        <f t="shared" ca="1" si="108"/>
        <v>0</v>
      </c>
      <c r="CK113" s="319">
        <f t="shared" ca="1" si="108"/>
        <v>0</v>
      </c>
      <c r="CL113" s="319">
        <f t="shared" ca="1" si="108"/>
        <v>0</v>
      </c>
      <c r="CM113" s="319">
        <f t="shared" ca="1" si="108"/>
        <v>0</v>
      </c>
      <c r="CN113" s="319">
        <f t="shared" ca="1" si="108"/>
        <v>0</v>
      </c>
      <c r="CO113" s="319">
        <f t="shared" ca="1" si="108"/>
        <v>0</v>
      </c>
      <c r="CP113" s="319">
        <f t="shared" ca="1" si="108"/>
        <v>0</v>
      </c>
      <c r="CQ113" s="319">
        <f t="shared" ca="1" si="108"/>
        <v>0</v>
      </c>
      <c r="CR113" s="319">
        <f t="shared" ca="1" si="108"/>
        <v>0</v>
      </c>
      <c r="CS113" s="319">
        <f t="shared" ca="1" si="108"/>
        <v>0</v>
      </c>
      <c r="CT113" s="319">
        <f t="shared" ca="1" si="109"/>
        <v>0</v>
      </c>
      <c r="CU113" s="319">
        <f t="shared" ca="1" si="109"/>
        <v>0</v>
      </c>
      <c r="CV113" s="319">
        <f t="shared" ca="1" si="109"/>
        <v>0</v>
      </c>
      <c r="CW113" s="319">
        <f t="shared" ca="1" si="109"/>
        <v>0</v>
      </c>
      <c r="CX113" s="319">
        <f t="shared" ca="1" si="109"/>
        <v>0</v>
      </c>
      <c r="CY113" s="319">
        <f t="shared" ca="1" si="109"/>
        <v>0</v>
      </c>
      <c r="CZ113" s="319">
        <f t="shared" ca="1" si="109"/>
        <v>0</v>
      </c>
      <c r="DA113" s="319">
        <f t="shared" ca="1" si="109"/>
        <v>0</v>
      </c>
      <c r="DB113" s="319">
        <f t="shared" ca="1" si="109"/>
        <v>0</v>
      </c>
      <c r="DC113" s="319">
        <f t="shared" ca="1" si="109"/>
        <v>0</v>
      </c>
    </row>
    <row r="114" spans="1:107" hidden="1">
      <c r="A114" s="92"/>
      <c r="G114" s="44"/>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2"/>
      <c r="B116" s="3" t="str">
        <f ca="1">IFERROR(OFFSET(INDIRECT("'"&amp;Opt_alt&amp;"'!B8"),0,0),"")</f>
        <v>B.</v>
      </c>
      <c r="C116" s="847" t="str">
        <f ca="1">IFERROR(OFFSET(INDIRECT("'"&amp;Opt_alt&amp;"'!C8"),0,0),"")</f>
        <v>REINVESTICIJOS (PO PRIEMONĖS ĮGYVENDINIMO)</v>
      </c>
      <c r="D116" s="848"/>
      <c r="E116" s="848"/>
      <c r="F116" s="849"/>
      <c r="G116" s="91">
        <f ca="1">SUMIF($H$39:$DC$39,"&lt;="&amp;PAL,$H116:$DC116)</f>
        <v>1017025.4921450784</v>
      </c>
      <c r="H116" s="14">
        <f t="shared" ref="H116:AM116" ca="1" si="110">IFERROR(OFFSET(INDIRECT("'"&amp;Opt_alt&amp;"'!H8"),0,H$39)*(1+VMI)^H$39,"")</f>
        <v>0</v>
      </c>
      <c r="I116" s="14">
        <f t="shared" ca="1" si="110"/>
        <v>0</v>
      </c>
      <c r="J116" s="14">
        <f t="shared" ca="1" si="110"/>
        <v>0</v>
      </c>
      <c r="K116" s="14">
        <f t="shared" ca="1" si="110"/>
        <v>0</v>
      </c>
      <c r="L116" s="14">
        <f t="shared" ca="1" si="110"/>
        <v>0</v>
      </c>
      <c r="M116" s="14">
        <f t="shared" ca="1" si="110"/>
        <v>0</v>
      </c>
      <c r="N116" s="14">
        <f t="shared" ca="1" si="110"/>
        <v>0</v>
      </c>
      <c r="O116" s="14">
        <f t="shared" ca="1" si="110"/>
        <v>0</v>
      </c>
      <c r="P116" s="14">
        <f t="shared" ca="1" si="110"/>
        <v>0</v>
      </c>
      <c r="Q116" s="14">
        <f t="shared" ca="1" si="110"/>
        <v>0</v>
      </c>
      <c r="R116" s="14">
        <f t="shared" ca="1" si="110"/>
        <v>161269.96552129462</v>
      </c>
      <c r="S116" s="14">
        <f ca="1">IFERROR(OFFSET(INDIRECT("'"&amp;Opt_alt&amp;"'!H8"),0,S$39)*(1+VMI)^S$39,"")</f>
        <v>332216.12897386693</v>
      </c>
      <c r="T116" s="14">
        <f t="shared" ca="1" si="110"/>
        <v>171091.30642154143</v>
      </c>
      <c r="U116" s="14">
        <f t="shared" ca="1" si="110"/>
        <v>352448.09122837533</v>
      </c>
      <c r="V116" s="14">
        <f t="shared" ca="1" si="110"/>
        <v>0</v>
      </c>
      <c r="W116" s="14">
        <f t="shared" ca="1" si="110"/>
        <v>0</v>
      </c>
      <c r="X116" s="14">
        <f t="shared" ca="1" si="110"/>
        <v>0</v>
      </c>
      <c r="Y116" s="14">
        <f t="shared" ca="1" si="110"/>
        <v>0</v>
      </c>
      <c r="Z116" s="14">
        <f t="shared" ca="1" si="110"/>
        <v>0</v>
      </c>
      <c r="AA116" s="14">
        <f t="shared" ca="1" si="110"/>
        <v>0</v>
      </c>
      <c r="AB116" s="14">
        <f t="shared" ca="1" si="110"/>
        <v>0</v>
      </c>
      <c r="AC116" s="14">
        <f t="shared" ca="1" si="110"/>
        <v>0</v>
      </c>
      <c r="AD116" s="14">
        <f t="shared" ca="1" si="110"/>
        <v>0</v>
      </c>
      <c r="AE116" s="14">
        <f t="shared" ca="1" si="110"/>
        <v>0</v>
      </c>
      <c r="AF116" s="14">
        <f t="shared" ca="1" si="110"/>
        <v>0</v>
      </c>
      <c r="AG116" s="14">
        <f t="shared" ca="1" si="110"/>
        <v>0</v>
      </c>
      <c r="AH116" s="14">
        <f t="shared" ca="1" si="110"/>
        <v>0</v>
      </c>
      <c r="AI116" s="14">
        <f t="shared" ca="1" si="110"/>
        <v>0</v>
      </c>
      <c r="AJ116" s="14">
        <f t="shared" ca="1" si="110"/>
        <v>0</v>
      </c>
      <c r="AK116" s="14">
        <f t="shared" ca="1" si="110"/>
        <v>0</v>
      </c>
      <c r="AL116" s="14">
        <f t="shared" ca="1" si="110"/>
        <v>0</v>
      </c>
      <c r="AM116" s="14">
        <f t="shared" ca="1" si="110"/>
        <v>0</v>
      </c>
      <c r="AN116" s="14">
        <f t="shared" ref="AN116:BS116" ca="1" si="111">IFERROR(OFFSET(INDIRECT("'"&amp;Opt_alt&amp;"'!H8"),0,AN$39)*(1+VMI)^AN$39,"")</f>
        <v>0</v>
      </c>
      <c r="AO116" s="14">
        <f t="shared" ca="1" si="111"/>
        <v>0</v>
      </c>
      <c r="AP116" s="14">
        <f t="shared" ca="1" si="111"/>
        <v>0</v>
      </c>
      <c r="AQ116" s="14">
        <f t="shared" ca="1" si="111"/>
        <v>0</v>
      </c>
      <c r="AR116" s="14">
        <f t="shared" ca="1" si="111"/>
        <v>0</v>
      </c>
      <c r="AS116" s="14">
        <f t="shared" ca="1" si="111"/>
        <v>0</v>
      </c>
      <c r="AT116" s="14">
        <f t="shared" ca="1" si="111"/>
        <v>0</v>
      </c>
      <c r="AU116" s="14">
        <f t="shared" ca="1" si="111"/>
        <v>0</v>
      </c>
      <c r="AV116" s="14">
        <f t="shared" ca="1" si="111"/>
        <v>0</v>
      </c>
      <c r="AW116" s="14">
        <f t="shared" ca="1" si="111"/>
        <v>0</v>
      </c>
      <c r="AX116" s="14">
        <f t="shared" ca="1" si="111"/>
        <v>0</v>
      </c>
      <c r="AY116" s="14">
        <f t="shared" ca="1" si="111"/>
        <v>0</v>
      </c>
      <c r="AZ116" s="14">
        <f t="shared" ca="1" si="111"/>
        <v>0</v>
      </c>
      <c r="BA116" s="14">
        <f t="shared" ca="1" si="111"/>
        <v>0</v>
      </c>
      <c r="BB116" s="14">
        <f t="shared" ca="1" si="111"/>
        <v>0</v>
      </c>
      <c r="BC116" s="14">
        <f t="shared" ca="1" si="111"/>
        <v>0</v>
      </c>
      <c r="BD116" s="14">
        <f t="shared" ca="1" si="111"/>
        <v>0</v>
      </c>
      <c r="BE116" s="14">
        <f t="shared" ca="1" si="111"/>
        <v>0</v>
      </c>
      <c r="BF116" s="14">
        <f t="shared" ca="1" si="111"/>
        <v>0</v>
      </c>
      <c r="BG116" s="14">
        <f t="shared" ca="1" si="111"/>
        <v>0</v>
      </c>
      <c r="BH116" s="14">
        <f t="shared" ca="1" si="111"/>
        <v>0</v>
      </c>
      <c r="BI116" s="14">
        <f t="shared" ca="1" si="111"/>
        <v>0</v>
      </c>
      <c r="BJ116" s="14">
        <f t="shared" ca="1" si="111"/>
        <v>0</v>
      </c>
      <c r="BK116" s="14">
        <f t="shared" ca="1" si="111"/>
        <v>0</v>
      </c>
      <c r="BL116" s="14">
        <f t="shared" ca="1" si="111"/>
        <v>0</v>
      </c>
      <c r="BM116" s="14">
        <f t="shared" ca="1" si="111"/>
        <v>0</v>
      </c>
      <c r="BN116" s="14">
        <f t="shared" ca="1" si="111"/>
        <v>0</v>
      </c>
      <c r="BO116" s="14">
        <f t="shared" ca="1" si="111"/>
        <v>0</v>
      </c>
      <c r="BP116" s="14">
        <f t="shared" ca="1" si="111"/>
        <v>0</v>
      </c>
      <c r="BQ116" s="14">
        <f t="shared" ca="1" si="111"/>
        <v>0</v>
      </c>
      <c r="BR116" s="14">
        <f t="shared" ca="1" si="111"/>
        <v>0</v>
      </c>
      <c r="BS116" s="14">
        <f t="shared" ca="1" si="111"/>
        <v>0</v>
      </c>
      <c r="BT116" s="14">
        <f t="shared" ref="BT116:DC116" ca="1" si="112">IFERROR(OFFSET(INDIRECT("'"&amp;Opt_alt&amp;"'!H8"),0,BT$39)*(1+VMI)^BT$39,"")</f>
        <v>0</v>
      </c>
      <c r="BU116" s="14">
        <f t="shared" ca="1" si="112"/>
        <v>0</v>
      </c>
      <c r="BV116" s="14">
        <f t="shared" ca="1" si="112"/>
        <v>0</v>
      </c>
      <c r="BW116" s="14">
        <f t="shared" ca="1" si="112"/>
        <v>0</v>
      </c>
      <c r="BX116" s="14">
        <f t="shared" ca="1" si="112"/>
        <v>0</v>
      </c>
      <c r="BY116" s="14">
        <f t="shared" ca="1" si="112"/>
        <v>0</v>
      </c>
      <c r="BZ116" s="14">
        <f t="shared" ca="1" si="112"/>
        <v>0</v>
      </c>
      <c r="CA116" s="14">
        <f t="shared" ca="1" si="112"/>
        <v>0</v>
      </c>
      <c r="CB116" s="14">
        <f t="shared" ca="1" si="112"/>
        <v>0</v>
      </c>
      <c r="CC116" s="14">
        <f t="shared" ca="1" si="112"/>
        <v>0</v>
      </c>
      <c r="CD116" s="14">
        <f t="shared" ca="1" si="112"/>
        <v>0</v>
      </c>
      <c r="CE116" s="14">
        <f t="shared" ca="1" si="112"/>
        <v>0</v>
      </c>
      <c r="CF116" s="14">
        <f t="shared" ca="1" si="112"/>
        <v>0</v>
      </c>
      <c r="CG116" s="14">
        <f t="shared" ca="1" si="112"/>
        <v>0</v>
      </c>
      <c r="CH116" s="14">
        <f t="shared" ca="1" si="112"/>
        <v>0</v>
      </c>
      <c r="CI116" s="14">
        <f t="shared" ca="1" si="112"/>
        <v>0</v>
      </c>
      <c r="CJ116" s="14">
        <f t="shared" ca="1" si="112"/>
        <v>0</v>
      </c>
      <c r="CK116" s="14">
        <f t="shared" ca="1" si="112"/>
        <v>0</v>
      </c>
      <c r="CL116" s="14">
        <f t="shared" ca="1" si="112"/>
        <v>0</v>
      </c>
      <c r="CM116" s="14">
        <f t="shared" ca="1" si="112"/>
        <v>0</v>
      </c>
      <c r="CN116" s="14">
        <f t="shared" ca="1" si="112"/>
        <v>0</v>
      </c>
      <c r="CO116" s="14">
        <f t="shared" ca="1" si="112"/>
        <v>0</v>
      </c>
      <c r="CP116" s="14">
        <f t="shared" ca="1" si="112"/>
        <v>0</v>
      </c>
      <c r="CQ116" s="14">
        <f t="shared" ca="1" si="112"/>
        <v>0</v>
      </c>
      <c r="CR116" s="14">
        <f t="shared" ca="1" si="112"/>
        <v>0</v>
      </c>
      <c r="CS116" s="14">
        <f t="shared" ca="1" si="112"/>
        <v>0</v>
      </c>
      <c r="CT116" s="14">
        <f t="shared" ca="1" si="112"/>
        <v>0</v>
      </c>
      <c r="CU116" s="14">
        <f t="shared" ca="1" si="112"/>
        <v>0</v>
      </c>
      <c r="CV116" s="14">
        <f t="shared" ca="1" si="112"/>
        <v>0</v>
      </c>
      <c r="CW116" s="14">
        <f t="shared" ca="1" si="112"/>
        <v>0</v>
      </c>
      <c r="CX116" s="14">
        <f t="shared" ca="1" si="112"/>
        <v>0</v>
      </c>
      <c r="CY116" s="14">
        <f t="shared" ca="1" si="112"/>
        <v>0</v>
      </c>
      <c r="CZ116" s="14">
        <f t="shared" ca="1" si="112"/>
        <v>0</v>
      </c>
      <c r="DA116" s="14">
        <f t="shared" ca="1" si="112"/>
        <v>0</v>
      </c>
      <c r="DB116" s="14">
        <f t="shared" ca="1" si="112"/>
        <v>0</v>
      </c>
      <c r="DC116" s="14">
        <f t="shared" ca="1" si="112"/>
        <v>0</v>
      </c>
    </row>
    <row r="117" spans="1:107" hidden="1">
      <c r="C117" s="132" t="s">
        <v>523</v>
      </c>
      <c r="D117" s="294"/>
      <c r="E117" s="294"/>
      <c r="F117" s="295"/>
      <c r="G117" s="91">
        <f ca="1">SUMIF($H$39:$DC$39,"&lt;="&amp;PAL,$H117:$DC117)</f>
        <v>262577653.00552139</v>
      </c>
      <c r="H117" s="14">
        <f ca="1">IFERROR((OFFSET(INDIRECT("'"&amp;Opt_alt&amp;"'!H89"),0,H$39)-OFFSET(INDIRECT("'"&amp;Opt_alt&amp;"'!H100"),0,H$39))*(1+VMI)^H$39,"")</f>
        <v>-22000</v>
      </c>
      <c r="I117" s="14">
        <f t="shared" ref="I117:AN117" ca="1" si="113">IFERROR(OFFSET(INDIRECT("'"&amp;Opt_alt&amp;"'!H89"),0,I$39)*(1+VMI)^I$39-OFFSET(INDIRECT("'"&amp;Opt_alt&amp;"'!H100"),0,I$39)*(1+VMI)^I$39,"")</f>
        <v>1558390</v>
      </c>
      <c r="J117" s="14">
        <f t="shared" ca="1" si="113"/>
        <v>4465995.0533846989</v>
      </c>
      <c r="K117" s="14">
        <f t="shared" ca="1" si="113"/>
        <v>7179643.5783835007</v>
      </c>
      <c r="L117" s="14">
        <f t="shared" ca="1" si="113"/>
        <v>11456014.341369519</v>
      </c>
      <c r="M117" s="14">
        <f t="shared" ca="1" si="113"/>
        <v>11799694.771610603</v>
      </c>
      <c r="N117" s="14">
        <f t="shared" ca="1" si="113"/>
        <v>12153685.614758924</v>
      </c>
      <c r="O117" s="14">
        <f t="shared" ca="1" si="113"/>
        <v>12523830.615596104</v>
      </c>
      <c r="P117" s="14">
        <f t="shared" ca="1" si="113"/>
        <v>12899545.534063984</v>
      </c>
      <c r="Q117" s="14">
        <f t="shared" ca="1" si="113"/>
        <v>13286531.900085906</v>
      </c>
      <c r="R117" s="14">
        <f t="shared" ca="1" si="113"/>
        <v>13685127.857088482</v>
      </c>
      <c r="S117" s="14">
        <f t="shared" ca="1" si="113"/>
        <v>14095681.692801137</v>
      </c>
      <c r="T117" s="14">
        <f t="shared" ca="1" si="113"/>
        <v>14518552.14358517</v>
      </c>
      <c r="U117" s="14">
        <f t="shared" ca="1" si="113"/>
        <v>14954108.707892723</v>
      </c>
      <c r="V117" s="14">
        <f t="shared" ca="1" si="113"/>
        <v>15402731.969129506</v>
      </c>
      <c r="W117" s="14">
        <f t="shared" ca="1" si="113"/>
        <v>15864813.928203393</v>
      </c>
      <c r="X117" s="14">
        <f t="shared" ca="1" si="113"/>
        <v>16340758.346049493</v>
      </c>
      <c r="Y117" s="14">
        <f t="shared" ca="1" si="113"/>
        <v>16830981.096430976</v>
      </c>
      <c r="Z117" s="14">
        <f t="shared" ca="1" si="113"/>
        <v>17335910.529323906</v>
      </c>
      <c r="AA117" s="14">
        <f t="shared" ca="1" si="113"/>
        <v>17855987.845203623</v>
      </c>
      <c r="AB117" s="14">
        <f t="shared" ca="1" si="113"/>
        <v>18391667.480559733</v>
      </c>
      <c r="AC117" s="14">
        <f t="shared" ca="1" si="113"/>
        <v>4333429.3626091108</v>
      </c>
      <c r="AD117" s="14">
        <f t="shared" ca="1" si="113"/>
        <v>4463432.2434873842</v>
      </c>
      <c r="AE117" s="14">
        <f t="shared" ca="1" si="113"/>
        <v>4597335.210792006</v>
      </c>
      <c r="AF117" s="14">
        <f t="shared" ca="1" si="113"/>
        <v>4735255.2671157653</v>
      </c>
      <c r="AG117" s="14">
        <f t="shared" ca="1" si="113"/>
        <v>4877312.9251292376</v>
      </c>
      <c r="AH117" s="14">
        <f t="shared" ca="1" si="113"/>
        <v>5023632.3128831163</v>
      </c>
      <c r="AI117" s="14">
        <f t="shared" ca="1" si="113"/>
        <v>5174341.2822696092</v>
      </c>
      <c r="AJ117" s="14">
        <f t="shared" ca="1" si="113"/>
        <v>5329571.5207376964</v>
      </c>
      <c r="AK117" s="14">
        <f t="shared" ca="1" si="113"/>
        <v>5489458.6663598269</v>
      </c>
      <c r="AL117" s="14">
        <f t="shared" ca="1" si="113"/>
        <v>5654142.4263506215</v>
      </c>
      <c r="AM117" s="14">
        <f t="shared" ca="1" si="113"/>
        <v>5823766.699141142</v>
      </c>
      <c r="AN117" s="14">
        <f t="shared" ca="1" si="113"/>
        <v>5998479.7001153752</v>
      </c>
      <c r="AO117" s="14">
        <f t="shared" ref="AO117:BT117" ca="1" si="114">IFERROR(OFFSET(INDIRECT("'"&amp;Opt_alt&amp;"'!H89"),0,AO$39)*(1+VMI)^AO$39-OFFSET(INDIRECT("'"&amp;Opt_alt&amp;"'!H100"),0,AO$39)*(1+VMI)^AO$39,"")</f>
        <v>6178434.0911188358</v>
      </c>
      <c r="AP117" s="14">
        <f t="shared" ca="1" si="114"/>
        <v>6363787.1138524003</v>
      </c>
      <c r="AQ117" s="14">
        <f t="shared" ca="1" si="114"/>
        <v>6554700.7272679731</v>
      </c>
      <c r="AR117" s="14">
        <f t="shared" ca="1" si="114"/>
        <v>6751341.7490860121</v>
      </c>
      <c r="AS117" s="14">
        <f t="shared" ca="1" si="114"/>
        <v>6953882.0015585925</v>
      </c>
      <c r="AT117" s="14">
        <f t="shared" ca="1" si="114"/>
        <v>7162498.4616053496</v>
      </c>
      <c r="AU117" s="14">
        <f t="shared" ca="1" si="114"/>
        <v>7377373.4154535113</v>
      </c>
      <c r="AV117" s="14">
        <f t="shared" ca="1" si="114"/>
        <v>7598694.6179171158</v>
      </c>
      <c r="AW117" s="14">
        <f t="shared" ca="1" si="114"/>
        <v>7826655.45645463</v>
      </c>
      <c r="AX117" s="14">
        <f t="shared" ca="1" si="114"/>
        <v>8061455.1201482685</v>
      </c>
      <c r="AY117" s="14">
        <f t="shared" ca="1" si="114"/>
        <v>8303298.7737527164</v>
      </c>
      <c r="AZ117" s="14">
        <f t="shared" ca="1" si="114"/>
        <v>8552397.7369652968</v>
      </c>
      <c r="BA117" s="14">
        <f t="shared" ca="1" si="114"/>
        <v>8808969.669074256</v>
      </c>
      <c r="BB117" s="14">
        <f t="shared" ca="1" si="114"/>
        <v>9073238.7591464836</v>
      </c>
      <c r="BC117" s="14">
        <f t="shared" ca="1" si="114"/>
        <v>9345435.9219208788</v>
      </c>
      <c r="BD117" s="14">
        <f t="shared" ca="1" si="114"/>
        <v>9625798.9995785058</v>
      </c>
      <c r="BE117" s="14">
        <f t="shared" ca="1" si="114"/>
        <v>9914572.9695658572</v>
      </c>
      <c r="BF117" s="14">
        <f t="shared" ca="1" si="114"/>
        <v>10212010.158652835</v>
      </c>
      <c r="BG117" s="14">
        <f t="shared" ca="1" si="114"/>
        <v>10518370.463412419</v>
      </c>
      <c r="BH117" s="14">
        <f t="shared" ca="1" si="114"/>
        <v>10833921.57731479</v>
      </c>
      <c r="BI117" s="14">
        <f t="shared" ca="1" si="114"/>
        <v>11158939.224634234</v>
      </c>
      <c r="BJ117" s="14">
        <f t="shared" ca="1" si="114"/>
        <v>11493707.401373262</v>
      </c>
      <c r="BK117" s="14">
        <f t="shared" ca="1" si="114"/>
        <v>11838518.623414461</v>
      </c>
      <c r="BL117" s="14">
        <f t="shared" ca="1" si="114"/>
        <v>12193674.18211689</v>
      </c>
      <c r="BM117" s="14">
        <f t="shared" ca="1" si="114"/>
        <v>12559484.4075804</v>
      </c>
      <c r="BN117" s="14">
        <f t="shared" ca="1" si="114"/>
        <v>12936268.939807812</v>
      </c>
      <c r="BO117" s="14">
        <f t="shared" ca="1" si="114"/>
        <v>13324357.008002046</v>
      </c>
      <c r="BP117" s="14">
        <f t="shared" ca="1" si="114"/>
        <v>13724087.718242109</v>
      </c>
      <c r="BQ117" s="14">
        <f t="shared" ca="1" si="114"/>
        <v>14135810.349789368</v>
      </c>
      <c r="BR117" s="14">
        <f t="shared" ca="1" si="114"/>
        <v>14559884.66028305</v>
      </c>
      <c r="BS117" s="14">
        <f t="shared" ca="1" si="114"/>
        <v>14996681.200091543</v>
      </c>
      <c r="BT117" s="14">
        <f t="shared" ca="1" si="114"/>
        <v>15446581.636094287</v>
      </c>
      <c r="BU117" s="14">
        <f t="shared" ref="BU117:DC117" ca="1" si="115">IFERROR(OFFSET(INDIRECT("'"&amp;Opt_alt&amp;"'!H89"),0,BU$39)*(1+VMI)^BU$39-OFFSET(INDIRECT("'"&amp;Opt_alt&amp;"'!H100"),0,BU$39)*(1+VMI)^BU$39,"")</f>
        <v>15909979.085177116</v>
      </c>
      <c r="BV117" s="14">
        <f t="shared" ca="1" si="115"/>
        <v>16387278.457732428</v>
      </c>
      <c r="BW117" s="14">
        <f t="shared" ca="1" si="115"/>
        <v>16878896.811464399</v>
      </c>
      <c r="BX117" s="14">
        <f t="shared" ca="1" si="115"/>
        <v>17385263.715808332</v>
      </c>
      <c r="BY117" s="14">
        <f t="shared" ca="1" si="115"/>
        <v>17906821.627282582</v>
      </c>
      <c r="BZ117" s="14">
        <f t="shared" ca="1" si="115"/>
        <v>18444026.27610106</v>
      </c>
      <c r="CA117" s="14">
        <f t="shared" ca="1" si="115"/>
        <v>18997347.064384092</v>
      </c>
      <c r="CB117" s="14">
        <f t="shared" ca="1" si="115"/>
        <v>19567267.476315614</v>
      </c>
      <c r="CC117" s="14">
        <f t="shared" ca="1" si="115"/>
        <v>20154285.50060508</v>
      </c>
      <c r="CD117" s="14">
        <f t="shared" ca="1" si="115"/>
        <v>20758914.065623235</v>
      </c>
      <c r="CE117" s="14">
        <f t="shared" ca="1" si="115"/>
        <v>21381681.487591933</v>
      </c>
      <c r="CF117" s="14">
        <f t="shared" ca="1" si="115"/>
        <v>22023131.932219688</v>
      </c>
      <c r="CG117" s="14">
        <f t="shared" ca="1" si="115"/>
        <v>22683825.890186276</v>
      </c>
      <c r="CH117" s="14">
        <f t="shared" ca="1" si="115"/>
        <v>23364340.666891869</v>
      </c>
      <c r="CI117" s="14">
        <f t="shared" ca="1" si="115"/>
        <v>24065270.886898626</v>
      </c>
      <c r="CJ117" s="14">
        <f t="shared" ca="1" si="115"/>
        <v>24787229.013505578</v>
      </c>
      <c r="CK117" s="14">
        <f t="shared" ca="1" si="115"/>
        <v>25530845.883910749</v>
      </c>
      <c r="CL117" s="14">
        <f t="shared" ca="1" si="115"/>
        <v>26296771.260428071</v>
      </c>
      <c r="CM117" s="14">
        <f t="shared" ca="1" si="115"/>
        <v>27085674.398240909</v>
      </c>
      <c r="CN117" s="14">
        <f t="shared" ca="1" si="115"/>
        <v>27898244.630188137</v>
      </c>
      <c r="CO117" s="14">
        <f t="shared" ca="1" si="115"/>
        <v>28735191.969093777</v>
      </c>
      <c r="CP117" s="14">
        <f t="shared" ca="1" si="115"/>
        <v>29597247.728166591</v>
      </c>
      <c r="CQ117" s="14">
        <f t="shared" ca="1" si="115"/>
        <v>30485165.160011597</v>
      </c>
      <c r="CR117" s="14">
        <f t="shared" ca="1" si="115"/>
        <v>31399720.114811935</v>
      </c>
      <c r="CS117" s="14">
        <f t="shared" ca="1" si="115"/>
        <v>32341711.718256295</v>
      </c>
      <c r="CT117" s="14">
        <f t="shared" ca="1" si="115"/>
        <v>33311963.069803987</v>
      </c>
      <c r="CU117" s="14">
        <f t="shared" ca="1" si="115"/>
        <v>34311321.961898103</v>
      </c>
      <c r="CV117" s="14">
        <f t="shared" ca="1" si="115"/>
        <v>35340661.620755047</v>
      </c>
      <c r="CW117" s="14">
        <f t="shared" ca="1" si="115"/>
        <v>36400881.469377697</v>
      </c>
      <c r="CX117" s="14">
        <f t="shared" ca="1" si="115"/>
        <v>37492907.913459025</v>
      </c>
      <c r="CY117" s="14">
        <f t="shared" ca="1" si="115"/>
        <v>38617695.150862798</v>
      </c>
      <c r="CZ117" s="14">
        <f t="shared" ca="1" si="115"/>
        <v>39776226.005388677</v>
      </c>
      <c r="DA117" s="14">
        <f t="shared" ca="1" si="115"/>
        <v>40969512.785550341</v>
      </c>
      <c r="DB117" s="14">
        <f t="shared" ca="1" si="115"/>
        <v>42198598.16911684</v>
      </c>
      <c r="DC117" s="14">
        <f t="shared" ca="1" si="115"/>
        <v>43464556.114190362</v>
      </c>
    </row>
    <row r="118" spans="1:107" hidden="1">
      <c r="B118" s="3" t="str">
        <f ca="1">IFERROR(OFFSET(INDIRECT("'"&amp;Opt_alt&amp;"'!B9"),0,0),"")</f>
        <v>C.</v>
      </c>
      <c r="C118" s="847" t="str">
        <f ca="1">IFERROR(OFFSET(INDIRECT("'"&amp;Opt_alt&amp;"'!C9"),0,0),"")</f>
        <v>PRIEMONĖS INVESTICIJOS</v>
      </c>
      <c r="D118" s="848"/>
      <c r="E118" s="848"/>
      <c r="F118" s="849"/>
      <c r="G118" s="91">
        <f ca="1">SUMIF($H$39:$DC$39,"&lt;="&amp;PAL,$H118:$DC118)</f>
        <v>12740940.4630432</v>
      </c>
      <c r="H118" s="14">
        <f t="shared" ref="H118:AM118" ca="1" si="116">IFERROR(OFFSET(INDIRECT("'"&amp;Opt_alt&amp;"'!H9"),0,H$39),"")</f>
        <v>1730000</v>
      </c>
      <c r="I118" s="14">
        <f t="shared" ca="1" si="116"/>
        <v>3387980.7675319999</v>
      </c>
      <c r="J118" s="14">
        <f t="shared" ca="1" si="116"/>
        <v>3377730.2703541331</v>
      </c>
      <c r="K118" s="14">
        <f t="shared" ca="1" si="116"/>
        <v>4210729.4251570664</v>
      </c>
      <c r="L118" s="14">
        <f t="shared" ca="1" si="116"/>
        <v>5000</v>
      </c>
      <c r="M118" s="14">
        <f t="shared" ca="1" si="116"/>
        <v>25000</v>
      </c>
      <c r="N118" s="14">
        <f t="shared" ca="1" si="116"/>
        <v>4500</v>
      </c>
      <c r="O118" s="14">
        <f t="shared" ca="1" si="116"/>
        <v>0</v>
      </c>
      <c r="P118" s="14">
        <f t="shared" ca="1" si="116"/>
        <v>0</v>
      </c>
      <c r="Q118" s="14">
        <f t="shared" ca="1" si="116"/>
        <v>0</v>
      </c>
      <c r="R118" s="14">
        <f t="shared" ca="1" si="116"/>
        <v>0</v>
      </c>
      <c r="S118" s="14">
        <f t="shared" ca="1" si="116"/>
        <v>0</v>
      </c>
      <c r="T118" s="14">
        <f t="shared" ca="1" si="116"/>
        <v>0</v>
      </c>
      <c r="U118" s="14">
        <f t="shared" ca="1" si="116"/>
        <v>0</v>
      </c>
      <c r="V118" s="14">
        <f t="shared" ca="1" si="116"/>
        <v>0</v>
      </c>
      <c r="W118" s="14">
        <f t="shared" ca="1" si="116"/>
        <v>0</v>
      </c>
      <c r="X118" s="14">
        <f t="shared" ca="1" si="116"/>
        <v>0</v>
      </c>
      <c r="Y118" s="14">
        <f t="shared" ca="1" si="116"/>
        <v>0</v>
      </c>
      <c r="Z118" s="14">
        <f t="shared" ca="1" si="116"/>
        <v>0</v>
      </c>
      <c r="AA118" s="14">
        <f t="shared" ca="1" si="116"/>
        <v>0</v>
      </c>
      <c r="AB118" s="14">
        <f t="shared" ca="1" si="116"/>
        <v>0</v>
      </c>
      <c r="AC118" s="14">
        <f t="shared" ca="1" si="116"/>
        <v>0</v>
      </c>
      <c r="AD118" s="14">
        <f t="shared" ca="1" si="116"/>
        <v>0</v>
      </c>
      <c r="AE118" s="14">
        <f t="shared" ca="1" si="116"/>
        <v>0</v>
      </c>
      <c r="AF118" s="14">
        <f t="shared" ca="1" si="116"/>
        <v>0</v>
      </c>
      <c r="AG118" s="14">
        <f t="shared" ca="1" si="116"/>
        <v>0</v>
      </c>
      <c r="AH118" s="14">
        <f t="shared" ca="1" si="116"/>
        <v>0</v>
      </c>
      <c r="AI118" s="14">
        <f t="shared" ca="1" si="116"/>
        <v>0</v>
      </c>
      <c r="AJ118" s="14">
        <f t="shared" ca="1" si="116"/>
        <v>0</v>
      </c>
      <c r="AK118" s="14">
        <f t="shared" ca="1" si="116"/>
        <v>0</v>
      </c>
      <c r="AL118" s="14">
        <f t="shared" ca="1" si="116"/>
        <v>0</v>
      </c>
      <c r="AM118" s="14">
        <f t="shared" ca="1" si="116"/>
        <v>0</v>
      </c>
      <c r="AN118" s="14">
        <f t="shared" ref="AN118:BS118" ca="1" si="117">IFERROR(OFFSET(INDIRECT("'"&amp;Opt_alt&amp;"'!H9"),0,AN$39),"")</f>
        <v>0</v>
      </c>
      <c r="AO118" s="14">
        <f t="shared" ca="1" si="117"/>
        <v>0</v>
      </c>
      <c r="AP118" s="14">
        <f t="shared" ca="1" si="117"/>
        <v>0</v>
      </c>
      <c r="AQ118" s="14">
        <f t="shared" ca="1" si="117"/>
        <v>0</v>
      </c>
      <c r="AR118" s="14">
        <f t="shared" ca="1" si="117"/>
        <v>0</v>
      </c>
      <c r="AS118" s="14">
        <f t="shared" ca="1" si="117"/>
        <v>0</v>
      </c>
      <c r="AT118" s="14">
        <f t="shared" ca="1" si="117"/>
        <v>0</v>
      </c>
      <c r="AU118" s="14">
        <f t="shared" ca="1" si="117"/>
        <v>0</v>
      </c>
      <c r="AV118" s="14">
        <f t="shared" ca="1" si="117"/>
        <v>0</v>
      </c>
      <c r="AW118" s="14">
        <f t="shared" ca="1" si="117"/>
        <v>0</v>
      </c>
      <c r="AX118" s="14">
        <f t="shared" ca="1" si="117"/>
        <v>0</v>
      </c>
      <c r="AY118" s="14">
        <f t="shared" ca="1" si="117"/>
        <v>0</v>
      </c>
      <c r="AZ118" s="14">
        <f t="shared" ca="1" si="117"/>
        <v>0</v>
      </c>
      <c r="BA118" s="14">
        <f t="shared" ca="1" si="117"/>
        <v>0</v>
      </c>
      <c r="BB118" s="14">
        <f t="shared" ca="1" si="117"/>
        <v>0</v>
      </c>
      <c r="BC118" s="14">
        <f t="shared" ca="1" si="117"/>
        <v>0</v>
      </c>
      <c r="BD118" s="14">
        <f t="shared" ca="1" si="117"/>
        <v>0</v>
      </c>
      <c r="BE118" s="14">
        <f t="shared" ca="1" si="117"/>
        <v>0</v>
      </c>
      <c r="BF118" s="14">
        <f t="shared" ca="1" si="117"/>
        <v>0</v>
      </c>
      <c r="BG118" s="14">
        <f t="shared" ca="1" si="117"/>
        <v>0</v>
      </c>
      <c r="BH118" s="14">
        <f t="shared" ca="1" si="117"/>
        <v>0</v>
      </c>
      <c r="BI118" s="14">
        <f t="shared" ca="1" si="117"/>
        <v>0</v>
      </c>
      <c r="BJ118" s="14">
        <f t="shared" ca="1" si="117"/>
        <v>0</v>
      </c>
      <c r="BK118" s="14">
        <f t="shared" ca="1" si="117"/>
        <v>0</v>
      </c>
      <c r="BL118" s="14">
        <f t="shared" ca="1" si="117"/>
        <v>0</v>
      </c>
      <c r="BM118" s="14">
        <f t="shared" ca="1" si="117"/>
        <v>0</v>
      </c>
      <c r="BN118" s="14">
        <f t="shared" ca="1" si="117"/>
        <v>0</v>
      </c>
      <c r="BO118" s="14">
        <f t="shared" ca="1" si="117"/>
        <v>0</v>
      </c>
      <c r="BP118" s="14">
        <f t="shared" ca="1" si="117"/>
        <v>0</v>
      </c>
      <c r="BQ118" s="14">
        <f t="shared" ca="1" si="117"/>
        <v>0</v>
      </c>
      <c r="BR118" s="14">
        <f t="shared" ca="1" si="117"/>
        <v>0</v>
      </c>
      <c r="BS118" s="14">
        <f t="shared" ca="1" si="117"/>
        <v>0</v>
      </c>
      <c r="BT118" s="14">
        <f t="shared" ref="BT118:DC118" ca="1" si="118">IFERROR(OFFSET(INDIRECT("'"&amp;Opt_alt&amp;"'!H9"),0,BT$39),"")</f>
        <v>0</v>
      </c>
      <c r="BU118" s="14">
        <f t="shared" ca="1" si="118"/>
        <v>0</v>
      </c>
      <c r="BV118" s="14">
        <f t="shared" ca="1" si="118"/>
        <v>0</v>
      </c>
      <c r="BW118" s="14">
        <f t="shared" ca="1" si="118"/>
        <v>0</v>
      </c>
      <c r="BX118" s="14">
        <f t="shared" ca="1" si="118"/>
        <v>0</v>
      </c>
      <c r="BY118" s="14">
        <f t="shared" ca="1" si="118"/>
        <v>0</v>
      </c>
      <c r="BZ118" s="14">
        <f t="shared" ca="1" si="118"/>
        <v>0</v>
      </c>
      <c r="CA118" s="14">
        <f t="shared" ca="1" si="118"/>
        <v>0</v>
      </c>
      <c r="CB118" s="14">
        <f t="shared" ca="1" si="118"/>
        <v>0</v>
      </c>
      <c r="CC118" s="14">
        <f t="shared" ca="1" si="118"/>
        <v>0</v>
      </c>
      <c r="CD118" s="14">
        <f t="shared" ca="1" si="118"/>
        <v>0</v>
      </c>
      <c r="CE118" s="14">
        <f t="shared" ca="1" si="118"/>
        <v>0</v>
      </c>
      <c r="CF118" s="14">
        <f t="shared" ca="1" si="118"/>
        <v>0</v>
      </c>
      <c r="CG118" s="14">
        <f t="shared" ca="1" si="118"/>
        <v>0</v>
      </c>
      <c r="CH118" s="14">
        <f t="shared" ca="1" si="118"/>
        <v>0</v>
      </c>
      <c r="CI118" s="14">
        <f t="shared" ca="1" si="118"/>
        <v>0</v>
      </c>
      <c r="CJ118" s="14">
        <f t="shared" ca="1" si="118"/>
        <v>0</v>
      </c>
      <c r="CK118" s="14">
        <f t="shared" ca="1" si="118"/>
        <v>0</v>
      </c>
      <c r="CL118" s="14">
        <f t="shared" ca="1" si="118"/>
        <v>0</v>
      </c>
      <c r="CM118" s="14">
        <f t="shared" ca="1" si="118"/>
        <v>0</v>
      </c>
      <c r="CN118" s="14">
        <f t="shared" ca="1" si="118"/>
        <v>0</v>
      </c>
      <c r="CO118" s="14">
        <f t="shared" ca="1" si="118"/>
        <v>0</v>
      </c>
      <c r="CP118" s="14">
        <f t="shared" ca="1" si="118"/>
        <v>0</v>
      </c>
      <c r="CQ118" s="14">
        <f t="shared" ca="1" si="118"/>
        <v>0</v>
      </c>
      <c r="CR118" s="14">
        <f t="shared" ca="1" si="118"/>
        <v>0</v>
      </c>
      <c r="CS118" s="14">
        <f t="shared" ca="1" si="118"/>
        <v>0</v>
      </c>
      <c r="CT118" s="14">
        <f t="shared" ca="1" si="118"/>
        <v>0</v>
      </c>
      <c r="CU118" s="14">
        <f t="shared" ca="1" si="118"/>
        <v>0</v>
      </c>
      <c r="CV118" s="14">
        <f t="shared" ca="1" si="118"/>
        <v>0</v>
      </c>
      <c r="CW118" s="14">
        <f t="shared" ca="1" si="118"/>
        <v>0</v>
      </c>
      <c r="CX118" s="14">
        <f t="shared" ca="1" si="118"/>
        <v>0</v>
      </c>
      <c r="CY118" s="14">
        <f t="shared" ca="1" si="118"/>
        <v>0</v>
      </c>
      <c r="CZ118" s="14">
        <f t="shared" ca="1" si="118"/>
        <v>0</v>
      </c>
      <c r="DA118" s="14">
        <f t="shared" ca="1" si="118"/>
        <v>0</v>
      </c>
      <c r="DB118" s="14">
        <f t="shared" ca="1" si="118"/>
        <v>0</v>
      </c>
      <c r="DC118" s="14">
        <f t="shared" ca="1" si="118"/>
        <v>0</v>
      </c>
    </row>
  </sheetData>
  <sheetProtection algorithmName="SHA-512" hashValue="gLVcprY3ublgEnB9tN1yTnGqXMIFcjEo4vRkswHx/CT5lhyMOrFmv9bCPGwwdR1t2kXBScsfhOAU8B/H9hlfAg==" saltValue="kPBGo9HVQvVnGv8t1jcDmw=="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7620</xdr:colOff>
                    <xdr:row>35</xdr:row>
                    <xdr:rowOff>45720</xdr:rowOff>
                  </from>
                  <to>
                    <xdr:col>3</xdr:col>
                    <xdr:colOff>83820</xdr:colOff>
                    <xdr:row>36</xdr:row>
                    <xdr:rowOff>106680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OFFSET(Data1!$M$2,0,0,COUNTA(Data1!$M$2:$M$6),1)</xm:f>
          </x14:formula1>
          <xm:sqref>F6:F7</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0">
    <tabColor theme="8" tint="0.59999389629810485"/>
    <pageSetUpPr fitToPage="1"/>
  </sheetPr>
  <dimension ref="A1:DH380"/>
  <sheetViews>
    <sheetView showGridLines="0" showRowColHeaders="0" zoomScale="90" zoomScaleNormal="90" workbookViewId="0">
      <pane xSplit="4" ySplit="4" topLeftCell="E274" activePane="bottomRight" state="frozenSplit"/>
      <selection activeCell="C20" sqref="C20"/>
      <selection pane="topRight" activeCell="C20" sqref="C20"/>
      <selection pane="bottomLeft" activeCell="C20" sqref="C20"/>
      <selection pane="bottomRight" activeCell="C3" sqref="C3"/>
    </sheetView>
  </sheetViews>
  <sheetFormatPr defaultColWidth="0" defaultRowHeight="14.4" zeroHeight="1"/>
  <cols>
    <col min="1" max="1" width="3.6640625" customWidth="1"/>
    <col min="2" max="2" width="6.6640625" customWidth="1"/>
    <col min="3" max="3" width="74.88671875" customWidth="1"/>
    <col min="4" max="4" width="7.5546875" hidden="1" customWidth="1"/>
    <col min="5" max="5" width="12.88671875" customWidth="1"/>
    <col min="6" max="6" width="21.44140625" customWidth="1"/>
    <col min="7" max="7" width="19.33203125" customWidth="1"/>
    <col min="8" max="8" width="19.5546875" customWidth="1"/>
    <col min="9" max="9" width="19.88671875" customWidth="1"/>
    <col min="10" max="10" width="19.109375" customWidth="1"/>
    <col min="11" max="11" width="19.33203125" customWidth="1"/>
    <col min="12" max="12" width="19.6640625" customWidth="1"/>
    <col min="13" max="13" width="19.109375" customWidth="1"/>
    <col min="14" max="14" width="20.88671875" customWidth="1"/>
    <col min="15" max="22" width="14.6640625" customWidth="1"/>
    <col min="23" max="107" width="14.6640625" hidden="1" customWidth="1"/>
    <col min="108" max="108" width="0.109375" hidden="1" customWidth="1"/>
    <col min="109" max="111" width="9.109375" hidden="1" customWidth="1"/>
    <col min="112" max="112" width="13.6640625" hidden="1" customWidth="1"/>
    <col min="113" max="16384" width="9.109375" hidden="1"/>
  </cols>
  <sheetData>
    <row r="1" spans="1:112" ht="9" customHeight="1"/>
    <row r="2" spans="1:112" ht="14.25" customHeight="1">
      <c r="B2" s="18" t="s">
        <v>238</v>
      </c>
      <c r="C2" s="18"/>
    </row>
    <row r="3" spans="1:112" ht="17.25" customHeight="1">
      <c r="B3" s="114" t="str">
        <f ca="1">IF(Opt_alt="","",INDIRECT("'" &amp; Opt_alt &amp;"'!B3"))</f>
        <v xml:space="preserve">Politinės/ekonominės svarbos scenarijus
</v>
      </c>
      <c r="C3" s="195"/>
      <c r="D3" s="195"/>
      <c r="E3" s="196"/>
    </row>
    <row r="4" spans="1:112" ht="46.5" customHeight="1" thickBot="1"/>
    <row r="5" spans="1:112" ht="15" hidden="1" customHeight="1" thickBot="1">
      <c r="B5" s="18" t="s">
        <v>206</v>
      </c>
      <c r="F5" s="867" t="s">
        <v>32</v>
      </c>
      <c r="G5" s="868"/>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394</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G6" s="25" t="s">
        <v>231</v>
      </c>
      <c r="DH6" s="25" t="s">
        <v>253</v>
      </c>
    </row>
    <row r="7" spans="1:112" ht="15" hidden="1" customHeight="1">
      <c r="B7" s="199" t="s">
        <v>17</v>
      </c>
      <c r="C7" s="200" t="s">
        <v>39</v>
      </c>
      <c r="D7" s="231"/>
      <c r="E7" s="232"/>
      <c r="F7" s="201">
        <f ca="1">F8+F9+F89-F100</f>
        <v>133624892.96759719</v>
      </c>
      <c r="G7" s="202">
        <f ca="1">SUMIF($H$5:$DC$5,"&lt;="&amp;PAL,$H7:$DC7)</f>
        <v>198829806.24019569</v>
      </c>
      <c r="H7" s="203">
        <f ca="1">H8+H9+H89-H100</f>
        <v>1708000</v>
      </c>
      <c r="I7" s="204">
        <f ca="1">I8+I9+I89-I100</f>
        <v>4900980.7675320003</v>
      </c>
      <c r="J7" s="204">
        <f t="shared" ref="J7:BU7" ca="1" si="2">J8+J9+J89-J100</f>
        <v>7587358.9378861329</v>
      </c>
      <c r="K7" s="204">
        <f t="shared" ca="1" si="2"/>
        <v>10781120.3630432</v>
      </c>
      <c r="L7" s="204">
        <f t="shared" ca="1" si="2"/>
        <v>10183520.3630432</v>
      </c>
      <c r="M7" s="204">
        <f t="shared" ca="1" si="2"/>
        <v>10203520.3630432</v>
      </c>
      <c r="N7" s="204">
        <f t="shared" ca="1" si="2"/>
        <v>10183020.3630432</v>
      </c>
      <c r="O7" s="204">
        <f t="shared" ca="1" si="2"/>
        <v>10183020.3630432</v>
      </c>
      <c r="P7" s="204">
        <f t="shared" ca="1" si="2"/>
        <v>10183020.3630432</v>
      </c>
      <c r="Q7" s="204">
        <f t="shared" ca="1" si="2"/>
        <v>10183020.3630432</v>
      </c>
      <c r="R7" s="204">
        <f t="shared" ca="1" si="2"/>
        <v>10303020.3630432</v>
      </c>
      <c r="S7" s="204">
        <f t="shared" ca="1" si="2"/>
        <v>10423020.3630432</v>
      </c>
      <c r="T7" s="204">
        <f t="shared" ca="1" si="2"/>
        <v>10303020.3630432</v>
      </c>
      <c r="U7" s="204">
        <f t="shared" ca="1" si="2"/>
        <v>10423020.3630432</v>
      </c>
      <c r="V7" s="204">
        <f t="shared" ca="1" si="2"/>
        <v>10183020.3630432</v>
      </c>
      <c r="W7" s="204">
        <f t="shared" ca="1" si="2"/>
        <v>10183020.3630432</v>
      </c>
      <c r="X7" s="204">
        <f t="shared" ca="1" si="2"/>
        <v>10183020.3630432</v>
      </c>
      <c r="Y7" s="204">
        <f t="shared" ca="1" si="2"/>
        <v>10183020.3630432</v>
      </c>
      <c r="Z7" s="204">
        <f t="shared" ca="1" si="2"/>
        <v>10183020.3630432</v>
      </c>
      <c r="AA7" s="204">
        <f t="shared" ca="1" si="2"/>
        <v>10183020.3630432</v>
      </c>
      <c r="AB7" s="204">
        <f t="shared" ca="1" si="2"/>
        <v>10183020.3630432</v>
      </c>
      <c r="AC7" s="204">
        <f t="shared" ca="1" si="2"/>
        <v>2329431.8160736002</v>
      </c>
      <c r="AD7" s="204">
        <f t="shared" ca="1" si="2"/>
        <v>2329431.8160736002</v>
      </c>
      <c r="AE7" s="204">
        <f t="shared" ca="1" si="2"/>
        <v>2329431.8160736002</v>
      </c>
      <c r="AF7" s="204">
        <f t="shared" ca="1" si="2"/>
        <v>2329431.8160736002</v>
      </c>
      <c r="AG7" s="204">
        <f t="shared" ca="1" si="2"/>
        <v>2329431.8160736002</v>
      </c>
      <c r="AH7" s="204">
        <f t="shared" ca="1" si="2"/>
        <v>2329431.8160736002</v>
      </c>
      <c r="AI7" s="204">
        <f t="shared" ca="1" si="2"/>
        <v>2329431.8160736002</v>
      </c>
      <c r="AJ7" s="204">
        <f t="shared" ca="1" si="2"/>
        <v>2329431.8160736002</v>
      </c>
      <c r="AK7" s="204">
        <f t="shared" ca="1" si="2"/>
        <v>2329431.8160736002</v>
      </c>
      <c r="AL7" s="204">
        <f t="shared" ca="1" si="2"/>
        <v>2329431.8160736002</v>
      </c>
      <c r="AM7" s="204">
        <f t="shared" ca="1" si="2"/>
        <v>2329431.8160736002</v>
      </c>
      <c r="AN7" s="204">
        <f t="shared" ca="1" si="2"/>
        <v>2329431.8160736002</v>
      </c>
      <c r="AO7" s="204">
        <f t="shared" ca="1" si="2"/>
        <v>2329431.8160736002</v>
      </c>
      <c r="AP7" s="204">
        <f t="shared" ca="1" si="2"/>
        <v>2329431.8160736002</v>
      </c>
      <c r="AQ7" s="204">
        <f t="shared" ca="1" si="2"/>
        <v>2329431.8160736002</v>
      </c>
      <c r="AR7" s="204">
        <f t="shared" ca="1" si="2"/>
        <v>2329431.8160736002</v>
      </c>
      <c r="AS7" s="204">
        <f t="shared" ca="1" si="2"/>
        <v>2329431.8160736002</v>
      </c>
      <c r="AT7" s="204">
        <f t="shared" ca="1" si="2"/>
        <v>2329431.8160736002</v>
      </c>
      <c r="AU7" s="204">
        <f t="shared" ca="1" si="2"/>
        <v>2329431.8160736002</v>
      </c>
      <c r="AV7" s="204">
        <f t="shared" ca="1" si="2"/>
        <v>2329431.8160736002</v>
      </c>
      <c r="AW7" s="204">
        <f t="shared" ca="1" si="2"/>
        <v>2329431.8160736002</v>
      </c>
      <c r="AX7" s="204">
        <f t="shared" ca="1" si="2"/>
        <v>2329431.8160736002</v>
      </c>
      <c r="AY7" s="204">
        <f t="shared" ca="1" si="2"/>
        <v>2329431.8160736002</v>
      </c>
      <c r="AZ7" s="204">
        <f t="shared" ca="1" si="2"/>
        <v>2329431.8160736002</v>
      </c>
      <c r="BA7" s="204">
        <f t="shared" ca="1" si="2"/>
        <v>2329431.8160736002</v>
      </c>
      <c r="BB7" s="204">
        <f t="shared" ca="1" si="2"/>
        <v>2329431.8160736002</v>
      </c>
      <c r="BC7" s="204">
        <f t="shared" ca="1" si="2"/>
        <v>2329431.8160736002</v>
      </c>
      <c r="BD7" s="204">
        <f t="shared" ca="1" si="2"/>
        <v>2329431.8160736002</v>
      </c>
      <c r="BE7" s="204">
        <f t="shared" ca="1" si="2"/>
        <v>2329431.8160736002</v>
      </c>
      <c r="BF7" s="204">
        <f t="shared" ca="1" si="2"/>
        <v>2329431.8160736002</v>
      </c>
      <c r="BG7" s="204">
        <f t="shared" ca="1" si="2"/>
        <v>2329431.8160736002</v>
      </c>
      <c r="BH7" s="204">
        <f t="shared" ca="1" si="2"/>
        <v>2329431.8160736002</v>
      </c>
      <c r="BI7" s="204">
        <f t="shared" ca="1" si="2"/>
        <v>2329431.8160736002</v>
      </c>
      <c r="BJ7" s="204">
        <f t="shared" ca="1" si="2"/>
        <v>2329431.8160736002</v>
      </c>
      <c r="BK7" s="204">
        <f t="shared" ca="1" si="2"/>
        <v>2329431.8160736002</v>
      </c>
      <c r="BL7" s="204">
        <f t="shared" ca="1" si="2"/>
        <v>2329431.8160736002</v>
      </c>
      <c r="BM7" s="204">
        <f t="shared" ca="1" si="2"/>
        <v>2329431.8160736002</v>
      </c>
      <c r="BN7" s="204">
        <f t="shared" ca="1" si="2"/>
        <v>2329431.8160736002</v>
      </c>
      <c r="BO7" s="204">
        <f t="shared" ca="1" si="2"/>
        <v>2329431.8160736002</v>
      </c>
      <c r="BP7" s="204">
        <f t="shared" ca="1" si="2"/>
        <v>2329431.8160736002</v>
      </c>
      <c r="BQ7" s="204">
        <f t="shared" ca="1" si="2"/>
        <v>2329431.8160736002</v>
      </c>
      <c r="BR7" s="204">
        <f t="shared" ca="1" si="2"/>
        <v>2329431.8160736002</v>
      </c>
      <c r="BS7" s="204">
        <f t="shared" ca="1" si="2"/>
        <v>2329431.8160736002</v>
      </c>
      <c r="BT7" s="204">
        <f t="shared" ca="1" si="2"/>
        <v>2329431.8160736002</v>
      </c>
      <c r="BU7" s="204">
        <f t="shared" ca="1" si="2"/>
        <v>2329431.8160736002</v>
      </c>
      <c r="BV7" s="204">
        <f t="shared" ref="BV7:DC7" ca="1" si="3">BV8+BV9+BV89-BV100</f>
        <v>2329431.8160736002</v>
      </c>
      <c r="BW7" s="204">
        <f t="shared" ca="1" si="3"/>
        <v>2329431.8160736002</v>
      </c>
      <c r="BX7" s="204">
        <f t="shared" ca="1" si="3"/>
        <v>2329431.8160736002</v>
      </c>
      <c r="BY7" s="204">
        <f t="shared" ca="1" si="3"/>
        <v>2329431.8160736002</v>
      </c>
      <c r="BZ7" s="204">
        <f t="shared" ca="1" si="3"/>
        <v>2329431.8160736002</v>
      </c>
      <c r="CA7" s="204">
        <f t="shared" ca="1" si="3"/>
        <v>2329431.8160736002</v>
      </c>
      <c r="CB7" s="204">
        <f t="shared" ca="1" si="3"/>
        <v>2329431.8160736002</v>
      </c>
      <c r="CC7" s="204">
        <f t="shared" ca="1" si="3"/>
        <v>2329431.8160736002</v>
      </c>
      <c r="CD7" s="204">
        <f t="shared" ca="1" si="3"/>
        <v>2329431.8160736002</v>
      </c>
      <c r="CE7" s="204">
        <f t="shared" ca="1" si="3"/>
        <v>2329431.8160736002</v>
      </c>
      <c r="CF7" s="204">
        <f t="shared" ca="1" si="3"/>
        <v>2329431.8160736002</v>
      </c>
      <c r="CG7" s="204">
        <f t="shared" ca="1" si="3"/>
        <v>2329431.8160736002</v>
      </c>
      <c r="CH7" s="204">
        <f t="shared" ca="1" si="3"/>
        <v>2329431.8160736002</v>
      </c>
      <c r="CI7" s="204">
        <f t="shared" ca="1" si="3"/>
        <v>2329431.8160736002</v>
      </c>
      <c r="CJ7" s="204">
        <f t="shared" ca="1" si="3"/>
        <v>2329431.8160736002</v>
      </c>
      <c r="CK7" s="204">
        <f t="shared" ca="1" si="3"/>
        <v>2329431.8160736002</v>
      </c>
      <c r="CL7" s="204">
        <f t="shared" ca="1" si="3"/>
        <v>2329431.8160736002</v>
      </c>
      <c r="CM7" s="204">
        <f t="shared" ca="1" si="3"/>
        <v>2329431.8160736002</v>
      </c>
      <c r="CN7" s="204">
        <f t="shared" ca="1" si="3"/>
        <v>2329431.8160736002</v>
      </c>
      <c r="CO7" s="204">
        <f t="shared" ca="1" si="3"/>
        <v>2329431.8160736002</v>
      </c>
      <c r="CP7" s="204">
        <f t="shared" ca="1" si="3"/>
        <v>2329431.8160736002</v>
      </c>
      <c r="CQ7" s="204">
        <f t="shared" ca="1" si="3"/>
        <v>2329431.8160736002</v>
      </c>
      <c r="CR7" s="204">
        <f t="shared" ca="1" si="3"/>
        <v>2329431.8160736002</v>
      </c>
      <c r="CS7" s="204">
        <f t="shared" ca="1" si="3"/>
        <v>2329431.8160736002</v>
      </c>
      <c r="CT7" s="204">
        <f t="shared" ca="1" si="3"/>
        <v>2329431.8160736002</v>
      </c>
      <c r="CU7" s="204">
        <f t="shared" ca="1" si="3"/>
        <v>2329431.8160736002</v>
      </c>
      <c r="CV7" s="204">
        <f t="shared" ca="1" si="3"/>
        <v>2329431.8160736002</v>
      </c>
      <c r="CW7" s="204">
        <f t="shared" ca="1" si="3"/>
        <v>2329431.8160736002</v>
      </c>
      <c r="CX7" s="204">
        <f t="shared" ca="1" si="3"/>
        <v>2329431.8160736002</v>
      </c>
      <c r="CY7" s="204">
        <f t="shared" ca="1" si="3"/>
        <v>2329431.8160736002</v>
      </c>
      <c r="CZ7" s="204">
        <f t="shared" ca="1" si="3"/>
        <v>2329431.8160736002</v>
      </c>
      <c r="DA7" s="204">
        <f t="shared" ca="1" si="3"/>
        <v>2329431.8160736002</v>
      </c>
      <c r="DB7" s="204">
        <f t="shared" ca="1" si="3"/>
        <v>2329431.8160736002</v>
      </c>
      <c r="DC7" s="202">
        <f t="shared" ca="1" si="3"/>
        <v>2329431.8160736002</v>
      </c>
      <c r="DF7" s="64"/>
    </row>
    <row r="8" spans="1:112" ht="15" hidden="1" customHeight="1">
      <c r="B8" s="151" t="s">
        <v>19</v>
      </c>
      <c r="C8" s="15" t="s">
        <v>158</v>
      </c>
      <c r="D8" s="130"/>
      <c r="E8" s="145"/>
      <c r="F8" s="141">
        <f ca="1">SUM(H20,H31,H42,H54,H65,H76,H87)</f>
        <v>0</v>
      </c>
      <c r="G8" s="140">
        <f ca="1">SUMIF($H$5:$DC$5,"&lt;="&amp;PAL,$H8:$DC8)</f>
        <v>720000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120000</v>
      </c>
      <c r="S8" s="11">
        <f t="shared" ca="1" si="4"/>
        <v>240000</v>
      </c>
      <c r="T8" s="11">
        <f t="shared" ca="1" si="4"/>
        <v>120000</v>
      </c>
      <c r="U8" s="11">
        <f t="shared" ca="1" si="4"/>
        <v>240000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12338333.613047894</v>
      </c>
      <c r="G9" s="140">
        <f ca="1">SUMIF($H$5:$DC$5,"&lt;="&amp;PAL,$H9:$DC9)</f>
        <v>12740940.4630432</v>
      </c>
      <c r="H9" s="137">
        <f ca="1">H10+H44+H78-H8</f>
        <v>1730000</v>
      </c>
      <c r="I9" s="8">
        <f t="shared" ref="I9:BT9" ca="1" si="6">I10+I44+I78-I8</f>
        <v>3387980.7675319999</v>
      </c>
      <c r="J9" s="8">
        <f t="shared" ca="1" si="6"/>
        <v>3377730.2703541331</v>
      </c>
      <c r="K9" s="8">
        <f t="shared" ca="1" si="6"/>
        <v>4210729.4251570664</v>
      </c>
      <c r="L9" s="8">
        <f t="shared" ca="1" si="6"/>
        <v>5000</v>
      </c>
      <c r="M9" s="8">
        <f t="shared" ca="1" si="6"/>
        <v>25000</v>
      </c>
      <c r="N9" s="8">
        <f t="shared" ca="1" si="6"/>
        <v>4500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432</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433</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t="28.8" hidden="1">
      <c r="A12" s="124">
        <v>0</v>
      </c>
      <c r="B12" s="205" t="str">
        <f t="shared" ref="B12:B43" ca="1" si="12">OFFSET(INDIRECT("'"&amp;Opt_alt&amp;"'!B12"),$A12,0)</f>
        <v>D.1.1.</v>
      </c>
      <c r="C12" s="129" t="str">
        <f t="shared" ref="C12:C43" ca="1" si="13">IF(OFFSET(INDIRECT("'"&amp;Opt_alt&amp;"'!C12"),$A12,0)="","",OFFSET(INDIRECT("'"&amp;Opt_alt&amp;"'!C12"),$A12,0))</f>
        <v xml:space="preserve">Veikla (nurodykite pavadinimą; suplanuotas investicijas pagrįskite prielaidų lape)
Analitinė studija dėl diplomatinio atstovavimo tinklo plėtros </v>
      </c>
      <c r="D12" s="135"/>
      <c r="E12" s="148">
        <f t="shared" ref="E12:E43" ca="1" si="14">IF(OFFSET(INDIRECT("'"&amp;Opt_alt&amp;"'!E12"),$A12,0)="","",OFFSET(INDIRECT("'"&amp;Opt_alt&amp;"'!E12"),$A12,0))</f>
        <v>0.21</v>
      </c>
      <c r="F12" s="139">
        <f ca="1">H12+NPV(FD,I12:INDEX(I12:DC12,PAL))</f>
        <v>0</v>
      </c>
      <c r="G12" s="140">
        <f ca="1">SUMIF($H$5:$DC$5,"&lt;="&amp;PAL,$H12:$DC12)</f>
        <v>0</v>
      </c>
      <c r="H12" s="138">
        <f t="shared" ref="H12:Q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ref="R12:AA21" ca="1" si="16">OFFSET(INDIRECT("'"&amp;Opt_alt&amp;"'!H12"),$A12,R$5)*$DF12</f>
        <v>0</v>
      </c>
      <c r="S12" s="138">
        <f t="shared" ca="1" si="16"/>
        <v>0</v>
      </c>
      <c r="T12" s="138">
        <f t="shared" ca="1" si="16"/>
        <v>0</v>
      </c>
      <c r="U12" s="138">
        <f t="shared" ca="1" si="16"/>
        <v>0</v>
      </c>
      <c r="V12" s="138">
        <f t="shared" ca="1" si="16"/>
        <v>0</v>
      </c>
      <c r="W12" s="138">
        <f t="shared" ca="1" si="16"/>
        <v>0</v>
      </c>
      <c r="X12" s="138">
        <f t="shared" ca="1" si="16"/>
        <v>0</v>
      </c>
      <c r="Y12" s="138">
        <f t="shared" ca="1" si="16"/>
        <v>0</v>
      </c>
      <c r="Z12" s="138">
        <f t="shared" ca="1" si="16"/>
        <v>0</v>
      </c>
      <c r="AA12" s="138">
        <f t="shared" ca="1" si="16"/>
        <v>0</v>
      </c>
      <c r="AB12" s="138">
        <f t="shared" ref="AB12:AK21" ca="1" si="17">OFFSET(INDIRECT("'"&amp;Opt_alt&amp;"'!H12"),$A12,AB$5)*$DF12</f>
        <v>0</v>
      </c>
      <c r="AC12" s="138">
        <f t="shared" ca="1" si="17"/>
        <v>0</v>
      </c>
      <c r="AD12" s="138">
        <f t="shared" ca="1" si="17"/>
        <v>0</v>
      </c>
      <c r="AE12" s="138">
        <f t="shared" ca="1" si="17"/>
        <v>0</v>
      </c>
      <c r="AF12" s="138">
        <f t="shared" ca="1" si="17"/>
        <v>0</v>
      </c>
      <c r="AG12" s="138">
        <f t="shared" ca="1" si="17"/>
        <v>0</v>
      </c>
      <c r="AH12" s="138">
        <f t="shared" ca="1" si="17"/>
        <v>0</v>
      </c>
      <c r="AI12" s="138">
        <f t="shared" ca="1" si="17"/>
        <v>0</v>
      </c>
      <c r="AJ12" s="138">
        <f t="shared" ca="1" si="17"/>
        <v>0</v>
      </c>
      <c r="AK12" s="138">
        <f t="shared" ca="1" si="17"/>
        <v>0</v>
      </c>
      <c r="AL12" s="138">
        <f t="shared" ref="AL12:AU21" ca="1" si="18">OFFSET(INDIRECT("'"&amp;Opt_alt&amp;"'!H12"),$A12,AL$5)*$DF12</f>
        <v>0</v>
      </c>
      <c r="AM12" s="138">
        <f t="shared" ca="1" si="18"/>
        <v>0</v>
      </c>
      <c r="AN12" s="138">
        <f t="shared" ca="1" si="18"/>
        <v>0</v>
      </c>
      <c r="AO12" s="138">
        <f t="shared" ca="1" si="18"/>
        <v>0</v>
      </c>
      <c r="AP12" s="138">
        <f t="shared" ca="1" si="18"/>
        <v>0</v>
      </c>
      <c r="AQ12" s="138">
        <f t="shared" ca="1" si="18"/>
        <v>0</v>
      </c>
      <c r="AR12" s="138">
        <f t="shared" ca="1" si="18"/>
        <v>0</v>
      </c>
      <c r="AS12" s="138">
        <f t="shared" ca="1" si="18"/>
        <v>0</v>
      </c>
      <c r="AT12" s="138">
        <f t="shared" ca="1" si="18"/>
        <v>0</v>
      </c>
      <c r="AU12" s="138">
        <f t="shared" ca="1" si="18"/>
        <v>0</v>
      </c>
      <c r="AV12" s="138">
        <f t="shared" ref="AV12:BE21" ca="1" si="19">OFFSET(INDIRECT("'"&amp;Opt_alt&amp;"'!H12"),$A12,AV$5)*$DF12</f>
        <v>0</v>
      </c>
      <c r="AW12" s="138">
        <f t="shared" ca="1" si="19"/>
        <v>0</v>
      </c>
      <c r="AX12" s="138">
        <f t="shared" ca="1" si="19"/>
        <v>0</v>
      </c>
      <c r="AY12" s="138">
        <f t="shared" ca="1" si="19"/>
        <v>0</v>
      </c>
      <c r="AZ12" s="138">
        <f t="shared" ca="1" si="19"/>
        <v>0</v>
      </c>
      <c r="BA12" s="138">
        <f t="shared" ca="1" si="19"/>
        <v>0</v>
      </c>
      <c r="BB12" s="138">
        <f t="shared" ca="1" si="19"/>
        <v>0</v>
      </c>
      <c r="BC12" s="138">
        <f t="shared" ca="1" si="19"/>
        <v>0</v>
      </c>
      <c r="BD12" s="138">
        <f t="shared" ca="1" si="19"/>
        <v>0</v>
      </c>
      <c r="BE12" s="138">
        <f t="shared" ca="1" si="19"/>
        <v>0</v>
      </c>
      <c r="BF12" s="138">
        <f t="shared" ref="BF12:BO21" ca="1" si="20">OFFSET(INDIRECT("'"&amp;Opt_alt&amp;"'!H12"),$A12,BF$5)*$DF12</f>
        <v>0</v>
      </c>
      <c r="BG12" s="138">
        <f t="shared" ca="1" si="20"/>
        <v>0</v>
      </c>
      <c r="BH12" s="138">
        <f t="shared" ca="1" si="20"/>
        <v>0</v>
      </c>
      <c r="BI12" s="138">
        <f t="shared" ca="1" si="20"/>
        <v>0</v>
      </c>
      <c r="BJ12" s="138">
        <f t="shared" ca="1" si="20"/>
        <v>0</v>
      </c>
      <c r="BK12" s="138">
        <f t="shared" ca="1" si="20"/>
        <v>0</v>
      </c>
      <c r="BL12" s="138">
        <f t="shared" ca="1" si="20"/>
        <v>0</v>
      </c>
      <c r="BM12" s="138">
        <f t="shared" ca="1" si="20"/>
        <v>0</v>
      </c>
      <c r="BN12" s="138">
        <f t="shared" ca="1" si="20"/>
        <v>0</v>
      </c>
      <c r="BO12" s="138">
        <f t="shared" ca="1" si="20"/>
        <v>0</v>
      </c>
      <c r="BP12" s="138">
        <f t="shared" ref="BP12:BY21" ca="1" si="21">OFFSET(INDIRECT("'"&amp;Opt_alt&amp;"'!H12"),$A12,BP$5)*$DF12</f>
        <v>0</v>
      </c>
      <c r="BQ12" s="138">
        <f t="shared" ca="1" si="21"/>
        <v>0</v>
      </c>
      <c r="BR12" s="138">
        <f t="shared" ca="1" si="21"/>
        <v>0</v>
      </c>
      <c r="BS12" s="138">
        <f t="shared" ca="1" si="21"/>
        <v>0</v>
      </c>
      <c r="BT12" s="138">
        <f t="shared" ca="1" si="21"/>
        <v>0</v>
      </c>
      <c r="BU12" s="138">
        <f t="shared" ca="1" si="21"/>
        <v>0</v>
      </c>
      <c r="BV12" s="138">
        <f t="shared" ca="1" si="21"/>
        <v>0</v>
      </c>
      <c r="BW12" s="138">
        <f t="shared" ca="1" si="21"/>
        <v>0</v>
      </c>
      <c r="BX12" s="138">
        <f t="shared" ca="1" si="21"/>
        <v>0</v>
      </c>
      <c r="BY12" s="138">
        <f t="shared" ca="1" si="21"/>
        <v>0</v>
      </c>
      <c r="BZ12" s="138">
        <f t="shared" ref="BZ12:CI21" ca="1" si="22">OFFSET(INDIRECT("'"&amp;Opt_alt&amp;"'!H12"),$A12,BZ$5)*$DF12</f>
        <v>0</v>
      </c>
      <c r="CA12" s="138">
        <f t="shared" ca="1" si="22"/>
        <v>0</v>
      </c>
      <c r="CB12" s="138">
        <f t="shared" ca="1" si="22"/>
        <v>0</v>
      </c>
      <c r="CC12" s="138">
        <f t="shared" ca="1" si="22"/>
        <v>0</v>
      </c>
      <c r="CD12" s="138">
        <f t="shared" ca="1" si="22"/>
        <v>0</v>
      </c>
      <c r="CE12" s="138">
        <f t="shared" ca="1" si="22"/>
        <v>0</v>
      </c>
      <c r="CF12" s="138">
        <f t="shared" ca="1" si="22"/>
        <v>0</v>
      </c>
      <c r="CG12" s="138">
        <f t="shared" ca="1" si="22"/>
        <v>0</v>
      </c>
      <c r="CH12" s="138">
        <f t="shared" ca="1" si="22"/>
        <v>0</v>
      </c>
      <c r="CI12" s="138">
        <f t="shared" ca="1" si="22"/>
        <v>0</v>
      </c>
      <c r="CJ12" s="138">
        <f t="shared" ref="CJ12:CS21" ca="1" si="23">OFFSET(INDIRECT("'"&amp;Opt_alt&amp;"'!H12"),$A12,CJ$5)*$DF12</f>
        <v>0</v>
      </c>
      <c r="CK12" s="138">
        <f t="shared" ca="1" si="23"/>
        <v>0</v>
      </c>
      <c r="CL12" s="138">
        <f t="shared" ca="1" si="23"/>
        <v>0</v>
      </c>
      <c r="CM12" s="138">
        <f t="shared" ca="1" si="23"/>
        <v>0</v>
      </c>
      <c r="CN12" s="138">
        <f t="shared" ca="1" si="23"/>
        <v>0</v>
      </c>
      <c r="CO12" s="138">
        <f t="shared" ca="1" si="23"/>
        <v>0</v>
      </c>
      <c r="CP12" s="138">
        <f t="shared" ca="1" si="23"/>
        <v>0</v>
      </c>
      <c r="CQ12" s="138">
        <f t="shared" ca="1" si="23"/>
        <v>0</v>
      </c>
      <c r="CR12" s="138">
        <f t="shared" ca="1" si="23"/>
        <v>0</v>
      </c>
      <c r="CS12" s="138">
        <f t="shared" ca="1" si="23"/>
        <v>0</v>
      </c>
      <c r="CT12" s="138">
        <f t="shared" ref="CT12:DC21" ca="1" si="24">OFFSET(INDIRECT("'"&amp;Opt_alt&amp;"'!H12"),$A12,CT$5)*$DF12</f>
        <v>0</v>
      </c>
      <c r="CU12" s="138">
        <f t="shared" ca="1" si="24"/>
        <v>0</v>
      </c>
      <c r="CV12" s="138">
        <f t="shared" ca="1" si="24"/>
        <v>0</v>
      </c>
      <c r="CW12" s="138">
        <f t="shared" ca="1" si="24"/>
        <v>0</v>
      </c>
      <c r="CX12" s="138">
        <f t="shared" ca="1" si="24"/>
        <v>0</v>
      </c>
      <c r="CY12" s="138">
        <f t="shared" ca="1" si="24"/>
        <v>0</v>
      </c>
      <c r="CZ12" s="138">
        <f t="shared" ca="1" si="24"/>
        <v>0</v>
      </c>
      <c r="DA12" s="138">
        <f t="shared" ca="1" si="24"/>
        <v>0</v>
      </c>
      <c r="DB12" s="138">
        <f t="shared" ca="1" si="24"/>
        <v>0</v>
      </c>
      <c r="DC12" s="138">
        <f t="shared" ca="1" si="24"/>
        <v>0</v>
      </c>
      <c r="DE12" s="254" t="str">
        <f t="shared" ref="DE12:DE75" ca="1" si="25">OFFSET(INDIRECT("'"&amp;Opt_alt&amp;"'!B12"),$A12,0)</f>
        <v>D.1.1.</v>
      </c>
      <c r="DF12">
        <v>1</v>
      </c>
      <c r="DG12">
        <f t="shared" ref="DG12:DG21" ca="1" si="26">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6"/>
        <v>0</v>
      </c>
      <c r="S13" s="138">
        <f t="shared" ca="1" si="16"/>
        <v>0</v>
      </c>
      <c r="T13" s="138">
        <f t="shared" ca="1" si="16"/>
        <v>0</v>
      </c>
      <c r="U13" s="138">
        <f t="shared" ca="1" si="16"/>
        <v>0</v>
      </c>
      <c r="V13" s="138">
        <f t="shared" ca="1" si="16"/>
        <v>0</v>
      </c>
      <c r="W13" s="138">
        <f t="shared" ca="1" si="16"/>
        <v>0</v>
      </c>
      <c r="X13" s="138">
        <f t="shared" ca="1" si="16"/>
        <v>0</v>
      </c>
      <c r="Y13" s="138">
        <f t="shared" ca="1" si="16"/>
        <v>0</v>
      </c>
      <c r="Z13" s="138">
        <f t="shared" ca="1" si="16"/>
        <v>0</v>
      </c>
      <c r="AA13" s="138">
        <f t="shared" ca="1" si="16"/>
        <v>0</v>
      </c>
      <c r="AB13" s="138">
        <f t="shared" ca="1" si="17"/>
        <v>0</v>
      </c>
      <c r="AC13" s="138">
        <f t="shared" ca="1" si="17"/>
        <v>0</v>
      </c>
      <c r="AD13" s="138">
        <f t="shared" ca="1" si="17"/>
        <v>0</v>
      </c>
      <c r="AE13" s="138">
        <f t="shared" ca="1" si="17"/>
        <v>0</v>
      </c>
      <c r="AF13" s="138">
        <f t="shared" ca="1" si="17"/>
        <v>0</v>
      </c>
      <c r="AG13" s="138">
        <f t="shared" ca="1" si="17"/>
        <v>0</v>
      </c>
      <c r="AH13" s="138">
        <f t="shared" ca="1" si="17"/>
        <v>0</v>
      </c>
      <c r="AI13" s="138">
        <f t="shared" ca="1" si="17"/>
        <v>0</v>
      </c>
      <c r="AJ13" s="138">
        <f t="shared" ca="1" si="17"/>
        <v>0</v>
      </c>
      <c r="AK13" s="138">
        <f t="shared" ca="1" si="17"/>
        <v>0</v>
      </c>
      <c r="AL13" s="138">
        <f t="shared" ca="1" si="18"/>
        <v>0</v>
      </c>
      <c r="AM13" s="138">
        <f t="shared" ca="1" si="18"/>
        <v>0</v>
      </c>
      <c r="AN13" s="138">
        <f t="shared" ca="1" si="18"/>
        <v>0</v>
      </c>
      <c r="AO13" s="138">
        <f t="shared" ca="1" si="18"/>
        <v>0</v>
      </c>
      <c r="AP13" s="138">
        <f t="shared" ca="1" si="18"/>
        <v>0</v>
      </c>
      <c r="AQ13" s="138">
        <f t="shared" ca="1" si="18"/>
        <v>0</v>
      </c>
      <c r="AR13" s="138">
        <f t="shared" ca="1" si="18"/>
        <v>0</v>
      </c>
      <c r="AS13" s="138">
        <f t="shared" ca="1" si="18"/>
        <v>0</v>
      </c>
      <c r="AT13" s="138">
        <f t="shared" ca="1" si="18"/>
        <v>0</v>
      </c>
      <c r="AU13" s="138">
        <f t="shared" ca="1" si="18"/>
        <v>0</v>
      </c>
      <c r="AV13" s="138">
        <f t="shared" ca="1" si="19"/>
        <v>0</v>
      </c>
      <c r="AW13" s="138">
        <f t="shared" ca="1" si="19"/>
        <v>0</v>
      </c>
      <c r="AX13" s="138">
        <f t="shared" ca="1" si="19"/>
        <v>0</v>
      </c>
      <c r="AY13" s="138">
        <f t="shared" ca="1" si="19"/>
        <v>0</v>
      </c>
      <c r="AZ13" s="138">
        <f t="shared" ca="1" si="19"/>
        <v>0</v>
      </c>
      <c r="BA13" s="138">
        <f t="shared" ca="1" si="19"/>
        <v>0</v>
      </c>
      <c r="BB13" s="138">
        <f t="shared" ca="1" si="19"/>
        <v>0</v>
      </c>
      <c r="BC13" s="138">
        <f t="shared" ca="1" si="19"/>
        <v>0</v>
      </c>
      <c r="BD13" s="138">
        <f t="shared" ca="1" si="19"/>
        <v>0</v>
      </c>
      <c r="BE13" s="138">
        <f t="shared" ca="1" si="19"/>
        <v>0</v>
      </c>
      <c r="BF13" s="138">
        <f t="shared" ca="1" si="20"/>
        <v>0</v>
      </c>
      <c r="BG13" s="138">
        <f t="shared" ca="1" si="20"/>
        <v>0</v>
      </c>
      <c r="BH13" s="138">
        <f t="shared" ca="1" si="20"/>
        <v>0</v>
      </c>
      <c r="BI13" s="138">
        <f t="shared" ca="1" si="20"/>
        <v>0</v>
      </c>
      <c r="BJ13" s="138">
        <f t="shared" ca="1" si="20"/>
        <v>0</v>
      </c>
      <c r="BK13" s="138">
        <f t="shared" ca="1" si="20"/>
        <v>0</v>
      </c>
      <c r="BL13" s="138">
        <f t="shared" ca="1" si="20"/>
        <v>0</v>
      </c>
      <c r="BM13" s="138">
        <f t="shared" ca="1" si="20"/>
        <v>0</v>
      </c>
      <c r="BN13" s="138">
        <f t="shared" ca="1" si="20"/>
        <v>0</v>
      </c>
      <c r="BO13" s="138">
        <f t="shared" ca="1" si="20"/>
        <v>0</v>
      </c>
      <c r="BP13" s="138">
        <f t="shared" ca="1" si="21"/>
        <v>0</v>
      </c>
      <c r="BQ13" s="138">
        <f t="shared" ca="1" si="21"/>
        <v>0</v>
      </c>
      <c r="BR13" s="138">
        <f t="shared" ca="1" si="21"/>
        <v>0</v>
      </c>
      <c r="BS13" s="138">
        <f t="shared" ca="1" si="21"/>
        <v>0</v>
      </c>
      <c r="BT13" s="138">
        <f t="shared" ca="1" si="21"/>
        <v>0</v>
      </c>
      <c r="BU13" s="138">
        <f t="shared" ca="1" si="21"/>
        <v>0</v>
      </c>
      <c r="BV13" s="138">
        <f t="shared" ca="1" si="21"/>
        <v>0</v>
      </c>
      <c r="BW13" s="138">
        <f t="shared" ca="1" si="21"/>
        <v>0</v>
      </c>
      <c r="BX13" s="138">
        <f t="shared" ca="1" si="21"/>
        <v>0</v>
      </c>
      <c r="BY13" s="138">
        <f t="shared" ca="1" si="21"/>
        <v>0</v>
      </c>
      <c r="BZ13" s="138">
        <f t="shared" ca="1" si="22"/>
        <v>0</v>
      </c>
      <c r="CA13" s="138">
        <f t="shared" ca="1" si="22"/>
        <v>0</v>
      </c>
      <c r="CB13" s="138">
        <f t="shared" ca="1" si="22"/>
        <v>0</v>
      </c>
      <c r="CC13" s="138">
        <f t="shared" ca="1" si="22"/>
        <v>0</v>
      </c>
      <c r="CD13" s="138">
        <f t="shared" ca="1" si="22"/>
        <v>0</v>
      </c>
      <c r="CE13" s="138">
        <f t="shared" ca="1" si="22"/>
        <v>0</v>
      </c>
      <c r="CF13" s="138">
        <f t="shared" ca="1" si="22"/>
        <v>0</v>
      </c>
      <c r="CG13" s="138">
        <f t="shared" ca="1" si="22"/>
        <v>0</v>
      </c>
      <c r="CH13" s="138">
        <f t="shared" ca="1" si="22"/>
        <v>0</v>
      </c>
      <c r="CI13" s="138">
        <f t="shared" ca="1" si="22"/>
        <v>0</v>
      </c>
      <c r="CJ13" s="138">
        <f t="shared" ca="1" si="23"/>
        <v>0</v>
      </c>
      <c r="CK13" s="138">
        <f t="shared" ca="1" si="23"/>
        <v>0</v>
      </c>
      <c r="CL13" s="138">
        <f t="shared" ca="1" si="23"/>
        <v>0</v>
      </c>
      <c r="CM13" s="138">
        <f t="shared" ca="1" si="23"/>
        <v>0</v>
      </c>
      <c r="CN13" s="138">
        <f t="shared" ca="1" si="23"/>
        <v>0</v>
      </c>
      <c r="CO13" s="138">
        <f t="shared" ca="1" si="23"/>
        <v>0</v>
      </c>
      <c r="CP13" s="138">
        <f t="shared" ca="1" si="23"/>
        <v>0</v>
      </c>
      <c r="CQ13" s="138">
        <f t="shared" ca="1" si="23"/>
        <v>0</v>
      </c>
      <c r="CR13" s="138">
        <f t="shared" ca="1" si="23"/>
        <v>0</v>
      </c>
      <c r="CS13" s="138">
        <f t="shared" ca="1" si="23"/>
        <v>0</v>
      </c>
      <c r="CT13" s="138">
        <f t="shared" ca="1" si="24"/>
        <v>0</v>
      </c>
      <c r="CU13" s="138">
        <f t="shared" ca="1" si="24"/>
        <v>0</v>
      </c>
      <c r="CV13" s="138">
        <f t="shared" ca="1" si="24"/>
        <v>0</v>
      </c>
      <c r="CW13" s="138">
        <f t="shared" ca="1" si="24"/>
        <v>0</v>
      </c>
      <c r="CX13" s="138">
        <f t="shared" ca="1" si="24"/>
        <v>0</v>
      </c>
      <c r="CY13" s="138">
        <f t="shared" ca="1" si="24"/>
        <v>0</v>
      </c>
      <c r="CZ13" s="138">
        <f t="shared" ca="1" si="24"/>
        <v>0</v>
      </c>
      <c r="DA13" s="138">
        <f t="shared" ca="1" si="24"/>
        <v>0</v>
      </c>
      <c r="DB13" s="138">
        <f t="shared" ca="1" si="24"/>
        <v>0</v>
      </c>
      <c r="DC13" s="138">
        <f t="shared" ca="1" si="24"/>
        <v>0</v>
      </c>
      <c r="DE13" s="254" t="str">
        <f t="shared" ca="1" si="25"/>
        <v>D.1.2.</v>
      </c>
      <c r="DF13">
        <v>1</v>
      </c>
      <c r="DG13">
        <f t="shared" ca="1" si="26"/>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6"/>
        <v>0</v>
      </c>
      <c r="S14" s="138">
        <f t="shared" ca="1" si="16"/>
        <v>0</v>
      </c>
      <c r="T14" s="138">
        <f t="shared" ca="1" si="16"/>
        <v>0</v>
      </c>
      <c r="U14" s="138">
        <f t="shared" ca="1" si="16"/>
        <v>0</v>
      </c>
      <c r="V14" s="138">
        <f t="shared" ca="1" si="16"/>
        <v>0</v>
      </c>
      <c r="W14" s="138">
        <f t="shared" ca="1" si="16"/>
        <v>0</v>
      </c>
      <c r="X14" s="138">
        <f t="shared" ca="1" si="16"/>
        <v>0</v>
      </c>
      <c r="Y14" s="138">
        <f t="shared" ca="1" si="16"/>
        <v>0</v>
      </c>
      <c r="Z14" s="138">
        <f t="shared" ca="1" si="16"/>
        <v>0</v>
      </c>
      <c r="AA14" s="138">
        <f t="shared" ca="1" si="16"/>
        <v>0</v>
      </c>
      <c r="AB14" s="138">
        <f t="shared" ca="1" si="17"/>
        <v>0</v>
      </c>
      <c r="AC14" s="138">
        <f t="shared" ca="1" si="17"/>
        <v>0</v>
      </c>
      <c r="AD14" s="138">
        <f t="shared" ca="1" si="17"/>
        <v>0</v>
      </c>
      <c r="AE14" s="138">
        <f t="shared" ca="1" si="17"/>
        <v>0</v>
      </c>
      <c r="AF14" s="138">
        <f t="shared" ca="1" si="17"/>
        <v>0</v>
      </c>
      <c r="AG14" s="138">
        <f t="shared" ca="1" si="17"/>
        <v>0</v>
      </c>
      <c r="AH14" s="138">
        <f t="shared" ca="1" si="17"/>
        <v>0</v>
      </c>
      <c r="AI14" s="138">
        <f t="shared" ca="1" si="17"/>
        <v>0</v>
      </c>
      <c r="AJ14" s="138">
        <f t="shared" ca="1" si="17"/>
        <v>0</v>
      </c>
      <c r="AK14" s="138">
        <f t="shared" ca="1" si="17"/>
        <v>0</v>
      </c>
      <c r="AL14" s="138">
        <f t="shared" ca="1" si="18"/>
        <v>0</v>
      </c>
      <c r="AM14" s="138">
        <f t="shared" ca="1" si="18"/>
        <v>0</v>
      </c>
      <c r="AN14" s="138">
        <f t="shared" ca="1" si="18"/>
        <v>0</v>
      </c>
      <c r="AO14" s="138">
        <f t="shared" ca="1" si="18"/>
        <v>0</v>
      </c>
      <c r="AP14" s="138">
        <f t="shared" ca="1" si="18"/>
        <v>0</v>
      </c>
      <c r="AQ14" s="138">
        <f t="shared" ca="1" si="18"/>
        <v>0</v>
      </c>
      <c r="AR14" s="138">
        <f t="shared" ca="1" si="18"/>
        <v>0</v>
      </c>
      <c r="AS14" s="138">
        <f t="shared" ca="1" si="18"/>
        <v>0</v>
      </c>
      <c r="AT14" s="138">
        <f t="shared" ca="1" si="18"/>
        <v>0</v>
      </c>
      <c r="AU14" s="138">
        <f t="shared" ca="1" si="18"/>
        <v>0</v>
      </c>
      <c r="AV14" s="138">
        <f t="shared" ca="1" si="19"/>
        <v>0</v>
      </c>
      <c r="AW14" s="138">
        <f t="shared" ca="1" si="19"/>
        <v>0</v>
      </c>
      <c r="AX14" s="138">
        <f t="shared" ca="1" si="19"/>
        <v>0</v>
      </c>
      <c r="AY14" s="138">
        <f t="shared" ca="1" si="19"/>
        <v>0</v>
      </c>
      <c r="AZ14" s="138">
        <f t="shared" ca="1" si="19"/>
        <v>0</v>
      </c>
      <c r="BA14" s="138">
        <f t="shared" ca="1" si="19"/>
        <v>0</v>
      </c>
      <c r="BB14" s="138">
        <f t="shared" ca="1" si="19"/>
        <v>0</v>
      </c>
      <c r="BC14" s="138">
        <f t="shared" ca="1" si="19"/>
        <v>0</v>
      </c>
      <c r="BD14" s="138">
        <f t="shared" ca="1" si="19"/>
        <v>0</v>
      </c>
      <c r="BE14" s="138">
        <f t="shared" ca="1" si="19"/>
        <v>0</v>
      </c>
      <c r="BF14" s="138">
        <f t="shared" ca="1" si="20"/>
        <v>0</v>
      </c>
      <c r="BG14" s="138">
        <f t="shared" ca="1" si="20"/>
        <v>0</v>
      </c>
      <c r="BH14" s="138">
        <f t="shared" ca="1" si="20"/>
        <v>0</v>
      </c>
      <c r="BI14" s="138">
        <f t="shared" ca="1" si="20"/>
        <v>0</v>
      </c>
      <c r="BJ14" s="138">
        <f t="shared" ca="1" si="20"/>
        <v>0</v>
      </c>
      <c r="BK14" s="138">
        <f t="shared" ca="1" si="20"/>
        <v>0</v>
      </c>
      <c r="BL14" s="138">
        <f t="shared" ca="1" si="20"/>
        <v>0</v>
      </c>
      <c r="BM14" s="138">
        <f t="shared" ca="1" si="20"/>
        <v>0</v>
      </c>
      <c r="BN14" s="138">
        <f t="shared" ca="1" si="20"/>
        <v>0</v>
      </c>
      <c r="BO14" s="138">
        <f t="shared" ca="1" si="20"/>
        <v>0</v>
      </c>
      <c r="BP14" s="138">
        <f t="shared" ca="1" si="21"/>
        <v>0</v>
      </c>
      <c r="BQ14" s="138">
        <f t="shared" ca="1" si="21"/>
        <v>0</v>
      </c>
      <c r="BR14" s="138">
        <f t="shared" ca="1" si="21"/>
        <v>0</v>
      </c>
      <c r="BS14" s="138">
        <f t="shared" ca="1" si="21"/>
        <v>0</v>
      </c>
      <c r="BT14" s="138">
        <f t="shared" ca="1" si="21"/>
        <v>0</v>
      </c>
      <c r="BU14" s="138">
        <f t="shared" ca="1" si="21"/>
        <v>0</v>
      </c>
      <c r="BV14" s="138">
        <f t="shared" ca="1" si="21"/>
        <v>0</v>
      </c>
      <c r="BW14" s="138">
        <f t="shared" ca="1" si="21"/>
        <v>0</v>
      </c>
      <c r="BX14" s="138">
        <f t="shared" ca="1" si="21"/>
        <v>0</v>
      </c>
      <c r="BY14" s="138">
        <f t="shared" ca="1" si="21"/>
        <v>0</v>
      </c>
      <c r="BZ14" s="138">
        <f t="shared" ca="1" si="22"/>
        <v>0</v>
      </c>
      <c r="CA14" s="138">
        <f t="shared" ca="1" si="22"/>
        <v>0</v>
      </c>
      <c r="CB14" s="138">
        <f t="shared" ca="1" si="22"/>
        <v>0</v>
      </c>
      <c r="CC14" s="138">
        <f t="shared" ca="1" si="22"/>
        <v>0</v>
      </c>
      <c r="CD14" s="138">
        <f t="shared" ca="1" si="22"/>
        <v>0</v>
      </c>
      <c r="CE14" s="138">
        <f t="shared" ca="1" si="22"/>
        <v>0</v>
      </c>
      <c r="CF14" s="138">
        <f t="shared" ca="1" si="22"/>
        <v>0</v>
      </c>
      <c r="CG14" s="138">
        <f t="shared" ca="1" si="22"/>
        <v>0</v>
      </c>
      <c r="CH14" s="138">
        <f t="shared" ca="1" si="22"/>
        <v>0</v>
      </c>
      <c r="CI14" s="138">
        <f t="shared" ca="1" si="22"/>
        <v>0</v>
      </c>
      <c r="CJ14" s="138">
        <f t="shared" ca="1" si="23"/>
        <v>0</v>
      </c>
      <c r="CK14" s="138">
        <f t="shared" ca="1" si="23"/>
        <v>0</v>
      </c>
      <c r="CL14" s="138">
        <f t="shared" ca="1" si="23"/>
        <v>0</v>
      </c>
      <c r="CM14" s="138">
        <f t="shared" ca="1" si="23"/>
        <v>0</v>
      </c>
      <c r="CN14" s="138">
        <f t="shared" ca="1" si="23"/>
        <v>0</v>
      </c>
      <c r="CO14" s="138">
        <f t="shared" ca="1" si="23"/>
        <v>0</v>
      </c>
      <c r="CP14" s="138">
        <f t="shared" ca="1" si="23"/>
        <v>0</v>
      </c>
      <c r="CQ14" s="138">
        <f t="shared" ca="1" si="23"/>
        <v>0</v>
      </c>
      <c r="CR14" s="138">
        <f t="shared" ca="1" si="23"/>
        <v>0</v>
      </c>
      <c r="CS14" s="138">
        <f t="shared" ca="1" si="23"/>
        <v>0</v>
      </c>
      <c r="CT14" s="138">
        <f t="shared" ca="1" si="24"/>
        <v>0</v>
      </c>
      <c r="CU14" s="138">
        <f t="shared" ca="1" si="24"/>
        <v>0</v>
      </c>
      <c r="CV14" s="138">
        <f t="shared" ca="1" si="24"/>
        <v>0</v>
      </c>
      <c r="CW14" s="138">
        <f t="shared" ca="1" si="24"/>
        <v>0</v>
      </c>
      <c r="CX14" s="138">
        <f t="shared" ca="1" si="24"/>
        <v>0</v>
      </c>
      <c r="CY14" s="138">
        <f t="shared" ca="1" si="24"/>
        <v>0</v>
      </c>
      <c r="CZ14" s="138">
        <f t="shared" ca="1" si="24"/>
        <v>0</v>
      </c>
      <c r="DA14" s="138">
        <f t="shared" ca="1" si="24"/>
        <v>0</v>
      </c>
      <c r="DB14" s="138">
        <f t="shared" ca="1" si="24"/>
        <v>0</v>
      </c>
      <c r="DC14" s="138">
        <f t="shared" ca="1" si="24"/>
        <v>0</v>
      </c>
      <c r="DE14" s="254" t="str">
        <f t="shared" ca="1" si="25"/>
        <v>D.1.3.</v>
      </c>
      <c r="DF14">
        <v>1</v>
      </c>
      <c r="DG14">
        <f t="shared" ca="1" si="26"/>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6"/>
        <v>0</v>
      </c>
      <c r="S15" s="138">
        <f t="shared" ca="1" si="16"/>
        <v>0</v>
      </c>
      <c r="T15" s="138">
        <f t="shared" ca="1" si="16"/>
        <v>0</v>
      </c>
      <c r="U15" s="138">
        <f t="shared" ca="1" si="16"/>
        <v>0</v>
      </c>
      <c r="V15" s="138">
        <f t="shared" ca="1" si="16"/>
        <v>0</v>
      </c>
      <c r="W15" s="138">
        <f t="shared" ca="1" si="16"/>
        <v>0</v>
      </c>
      <c r="X15" s="138">
        <f t="shared" ca="1" si="16"/>
        <v>0</v>
      </c>
      <c r="Y15" s="138">
        <f t="shared" ca="1" si="16"/>
        <v>0</v>
      </c>
      <c r="Z15" s="138">
        <f t="shared" ca="1" si="16"/>
        <v>0</v>
      </c>
      <c r="AA15" s="138">
        <f t="shared" ca="1" si="16"/>
        <v>0</v>
      </c>
      <c r="AB15" s="138">
        <f t="shared" ca="1" si="17"/>
        <v>0</v>
      </c>
      <c r="AC15" s="138">
        <f t="shared" ca="1" si="17"/>
        <v>0</v>
      </c>
      <c r="AD15" s="138">
        <f t="shared" ca="1" si="17"/>
        <v>0</v>
      </c>
      <c r="AE15" s="138">
        <f t="shared" ca="1" si="17"/>
        <v>0</v>
      </c>
      <c r="AF15" s="138">
        <f t="shared" ca="1" si="17"/>
        <v>0</v>
      </c>
      <c r="AG15" s="138">
        <f t="shared" ca="1" si="17"/>
        <v>0</v>
      </c>
      <c r="AH15" s="138">
        <f t="shared" ca="1" si="17"/>
        <v>0</v>
      </c>
      <c r="AI15" s="138">
        <f t="shared" ca="1" si="17"/>
        <v>0</v>
      </c>
      <c r="AJ15" s="138">
        <f t="shared" ca="1" si="17"/>
        <v>0</v>
      </c>
      <c r="AK15" s="138">
        <f t="shared" ca="1" si="17"/>
        <v>0</v>
      </c>
      <c r="AL15" s="138">
        <f t="shared" ca="1" si="18"/>
        <v>0</v>
      </c>
      <c r="AM15" s="138">
        <f t="shared" ca="1" si="18"/>
        <v>0</v>
      </c>
      <c r="AN15" s="138">
        <f t="shared" ca="1" si="18"/>
        <v>0</v>
      </c>
      <c r="AO15" s="138">
        <f t="shared" ca="1" si="18"/>
        <v>0</v>
      </c>
      <c r="AP15" s="138">
        <f t="shared" ca="1" si="18"/>
        <v>0</v>
      </c>
      <c r="AQ15" s="138">
        <f t="shared" ca="1" si="18"/>
        <v>0</v>
      </c>
      <c r="AR15" s="138">
        <f t="shared" ca="1" si="18"/>
        <v>0</v>
      </c>
      <c r="AS15" s="138">
        <f t="shared" ca="1" si="18"/>
        <v>0</v>
      </c>
      <c r="AT15" s="138">
        <f t="shared" ca="1" si="18"/>
        <v>0</v>
      </c>
      <c r="AU15" s="138">
        <f t="shared" ca="1" si="18"/>
        <v>0</v>
      </c>
      <c r="AV15" s="138">
        <f t="shared" ca="1" si="19"/>
        <v>0</v>
      </c>
      <c r="AW15" s="138">
        <f t="shared" ca="1" si="19"/>
        <v>0</v>
      </c>
      <c r="AX15" s="138">
        <f t="shared" ca="1" si="19"/>
        <v>0</v>
      </c>
      <c r="AY15" s="138">
        <f t="shared" ca="1" si="19"/>
        <v>0</v>
      </c>
      <c r="AZ15" s="138">
        <f t="shared" ca="1" si="19"/>
        <v>0</v>
      </c>
      <c r="BA15" s="138">
        <f t="shared" ca="1" si="19"/>
        <v>0</v>
      </c>
      <c r="BB15" s="138">
        <f t="shared" ca="1" si="19"/>
        <v>0</v>
      </c>
      <c r="BC15" s="138">
        <f t="shared" ca="1" si="19"/>
        <v>0</v>
      </c>
      <c r="BD15" s="138">
        <f t="shared" ca="1" si="19"/>
        <v>0</v>
      </c>
      <c r="BE15" s="138">
        <f t="shared" ca="1" si="19"/>
        <v>0</v>
      </c>
      <c r="BF15" s="138">
        <f t="shared" ca="1" si="20"/>
        <v>0</v>
      </c>
      <c r="BG15" s="138">
        <f t="shared" ca="1" si="20"/>
        <v>0</v>
      </c>
      <c r="BH15" s="138">
        <f t="shared" ca="1" si="20"/>
        <v>0</v>
      </c>
      <c r="BI15" s="138">
        <f t="shared" ca="1" si="20"/>
        <v>0</v>
      </c>
      <c r="BJ15" s="138">
        <f t="shared" ca="1" si="20"/>
        <v>0</v>
      </c>
      <c r="BK15" s="138">
        <f t="shared" ca="1" si="20"/>
        <v>0</v>
      </c>
      <c r="BL15" s="138">
        <f t="shared" ca="1" si="20"/>
        <v>0</v>
      </c>
      <c r="BM15" s="138">
        <f t="shared" ca="1" si="20"/>
        <v>0</v>
      </c>
      <c r="BN15" s="138">
        <f t="shared" ca="1" si="20"/>
        <v>0</v>
      </c>
      <c r="BO15" s="138">
        <f t="shared" ca="1" si="20"/>
        <v>0</v>
      </c>
      <c r="BP15" s="138">
        <f t="shared" ca="1" si="21"/>
        <v>0</v>
      </c>
      <c r="BQ15" s="138">
        <f t="shared" ca="1" si="21"/>
        <v>0</v>
      </c>
      <c r="BR15" s="138">
        <f t="shared" ca="1" si="21"/>
        <v>0</v>
      </c>
      <c r="BS15" s="138">
        <f t="shared" ca="1" si="21"/>
        <v>0</v>
      </c>
      <c r="BT15" s="138">
        <f t="shared" ca="1" si="21"/>
        <v>0</v>
      </c>
      <c r="BU15" s="138">
        <f t="shared" ca="1" si="21"/>
        <v>0</v>
      </c>
      <c r="BV15" s="138">
        <f t="shared" ca="1" si="21"/>
        <v>0</v>
      </c>
      <c r="BW15" s="138">
        <f t="shared" ca="1" si="21"/>
        <v>0</v>
      </c>
      <c r="BX15" s="138">
        <f t="shared" ca="1" si="21"/>
        <v>0</v>
      </c>
      <c r="BY15" s="138">
        <f t="shared" ca="1" si="21"/>
        <v>0</v>
      </c>
      <c r="BZ15" s="138">
        <f t="shared" ca="1" si="22"/>
        <v>0</v>
      </c>
      <c r="CA15" s="138">
        <f t="shared" ca="1" si="22"/>
        <v>0</v>
      </c>
      <c r="CB15" s="138">
        <f t="shared" ca="1" si="22"/>
        <v>0</v>
      </c>
      <c r="CC15" s="138">
        <f t="shared" ca="1" si="22"/>
        <v>0</v>
      </c>
      <c r="CD15" s="138">
        <f t="shared" ca="1" si="22"/>
        <v>0</v>
      </c>
      <c r="CE15" s="138">
        <f t="shared" ca="1" si="22"/>
        <v>0</v>
      </c>
      <c r="CF15" s="138">
        <f t="shared" ca="1" si="22"/>
        <v>0</v>
      </c>
      <c r="CG15" s="138">
        <f t="shared" ca="1" si="22"/>
        <v>0</v>
      </c>
      <c r="CH15" s="138">
        <f t="shared" ca="1" si="22"/>
        <v>0</v>
      </c>
      <c r="CI15" s="138">
        <f t="shared" ca="1" si="22"/>
        <v>0</v>
      </c>
      <c r="CJ15" s="138">
        <f t="shared" ca="1" si="23"/>
        <v>0</v>
      </c>
      <c r="CK15" s="138">
        <f t="shared" ca="1" si="23"/>
        <v>0</v>
      </c>
      <c r="CL15" s="138">
        <f t="shared" ca="1" si="23"/>
        <v>0</v>
      </c>
      <c r="CM15" s="138">
        <f t="shared" ca="1" si="23"/>
        <v>0</v>
      </c>
      <c r="CN15" s="138">
        <f t="shared" ca="1" si="23"/>
        <v>0</v>
      </c>
      <c r="CO15" s="138">
        <f t="shared" ca="1" si="23"/>
        <v>0</v>
      </c>
      <c r="CP15" s="138">
        <f t="shared" ca="1" si="23"/>
        <v>0</v>
      </c>
      <c r="CQ15" s="138">
        <f t="shared" ca="1" si="23"/>
        <v>0</v>
      </c>
      <c r="CR15" s="138">
        <f t="shared" ca="1" si="23"/>
        <v>0</v>
      </c>
      <c r="CS15" s="138">
        <f t="shared" ca="1" si="23"/>
        <v>0</v>
      </c>
      <c r="CT15" s="138">
        <f t="shared" ca="1" si="24"/>
        <v>0</v>
      </c>
      <c r="CU15" s="138">
        <f t="shared" ca="1" si="24"/>
        <v>0</v>
      </c>
      <c r="CV15" s="138">
        <f t="shared" ca="1" si="24"/>
        <v>0</v>
      </c>
      <c r="CW15" s="138">
        <f t="shared" ca="1" si="24"/>
        <v>0</v>
      </c>
      <c r="CX15" s="138">
        <f t="shared" ca="1" si="24"/>
        <v>0</v>
      </c>
      <c r="CY15" s="138">
        <f t="shared" ca="1" si="24"/>
        <v>0</v>
      </c>
      <c r="CZ15" s="138">
        <f t="shared" ca="1" si="24"/>
        <v>0</v>
      </c>
      <c r="DA15" s="138">
        <f t="shared" ca="1" si="24"/>
        <v>0</v>
      </c>
      <c r="DB15" s="138">
        <f t="shared" ca="1" si="24"/>
        <v>0</v>
      </c>
      <c r="DC15" s="138">
        <f t="shared" ca="1" si="24"/>
        <v>0</v>
      </c>
      <c r="DE15" s="254" t="str">
        <f t="shared" ca="1" si="25"/>
        <v>D.1.4.</v>
      </c>
      <c r="DF15">
        <v>1</v>
      </c>
      <c r="DG15">
        <f t="shared" ca="1" si="26"/>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6"/>
        <v>0</v>
      </c>
      <c r="S16" s="138">
        <f t="shared" ca="1" si="16"/>
        <v>0</v>
      </c>
      <c r="T16" s="138">
        <f t="shared" ca="1" si="16"/>
        <v>0</v>
      </c>
      <c r="U16" s="138">
        <f t="shared" ca="1" si="16"/>
        <v>0</v>
      </c>
      <c r="V16" s="138">
        <f t="shared" ca="1" si="16"/>
        <v>0</v>
      </c>
      <c r="W16" s="138">
        <f t="shared" ca="1" si="16"/>
        <v>0</v>
      </c>
      <c r="X16" s="138">
        <f t="shared" ca="1" si="16"/>
        <v>0</v>
      </c>
      <c r="Y16" s="138">
        <f t="shared" ca="1" si="16"/>
        <v>0</v>
      </c>
      <c r="Z16" s="138">
        <f t="shared" ca="1" si="16"/>
        <v>0</v>
      </c>
      <c r="AA16" s="138">
        <f t="shared" ca="1" si="16"/>
        <v>0</v>
      </c>
      <c r="AB16" s="138">
        <f t="shared" ca="1" si="17"/>
        <v>0</v>
      </c>
      <c r="AC16" s="138">
        <f t="shared" ca="1" si="17"/>
        <v>0</v>
      </c>
      <c r="AD16" s="138">
        <f t="shared" ca="1" si="17"/>
        <v>0</v>
      </c>
      <c r="AE16" s="138">
        <f t="shared" ca="1" si="17"/>
        <v>0</v>
      </c>
      <c r="AF16" s="138">
        <f t="shared" ca="1" si="17"/>
        <v>0</v>
      </c>
      <c r="AG16" s="138">
        <f t="shared" ca="1" si="17"/>
        <v>0</v>
      </c>
      <c r="AH16" s="138">
        <f t="shared" ca="1" si="17"/>
        <v>0</v>
      </c>
      <c r="AI16" s="138">
        <f t="shared" ca="1" si="17"/>
        <v>0</v>
      </c>
      <c r="AJ16" s="138">
        <f t="shared" ca="1" si="17"/>
        <v>0</v>
      </c>
      <c r="AK16" s="138">
        <f t="shared" ca="1" si="17"/>
        <v>0</v>
      </c>
      <c r="AL16" s="138">
        <f t="shared" ca="1" si="18"/>
        <v>0</v>
      </c>
      <c r="AM16" s="138">
        <f t="shared" ca="1" si="18"/>
        <v>0</v>
      </c>
      <c r="AN16" s="138">
        <f t="shared" ca="1" si="18"/>
        <v>0</v>
      </c>
      <c r="AO16" s="138">
        <f t="shared" ca="1" si="18"/>
        <v>0</v>
      </c>
      <c r="AP16" s="138">
        <f t="shared" ca="1" si="18"/>
        <v>0</v>
      </c>
      <c r="AQ16" s="138">
        <f t="shared" ca="1" si="18"/>
        <v>0</v>
      </c>
      <c r="AR16" s="138">
        <f t="shared" ca="1" si="18"/>
        <v>0</v>
      </c>
      <c r="AS16" s="138">
        <f t="shared" ca="1" si="18"/>
        <v>0</v>
      </c>
      <c r="AT16" s="138">
        <f t="shared" ca="1" si="18"/>
        <v>0</v>
      </c>
      <c r="AU16" s="138">
        <f t="shared" ca="1" si="18"/>
        <v>0</v>
      </c>
      <c r="AV16" s="138">
        <f t="shared" ca="1" si="19"/>
        <v>0</v>
      </c>
      <c r="AW16" s="138">
        <f t="shared" ca="1" si="19"/>
        <v>0</v>
      </c>
      <c r="AX16" s="138">
        <f t="shared" ca="1" si="19"/>
        <v>0</v>
      </c>
      <c r="AY16" s="138">
        <f t="shared" ca="1" si="19"/>
        <v>0</v>
      </c>
      <c r="AZ16" s="138">
        <f t="shared" ca="1" si="19"/>
        <v>0</v>
      </c>
      <c r="BA16" s="138">
        <f t="shared" ca="1" si="19"/>
        <v>0</v>
      </c>
      <c r="BB16" s="138">
        <f t="shared" ca="1" si="19"/>
        <v>0</v>
      </c>
      <c r="BC16" s="138">
        <f t="shared" ca="1" si="19"/>
        <v>0</v>
      </c>
      <c r="BD16" s="138">
        <f t="shared" ca="1" si="19"/>
        <v>0</v>
      </c>
      <c r="BE16" s="138">
        <f t="shared" ca="1" si="19"/>
        <v>0</v>
      </c>
      <c r="BF16" s="138">
        <f t="shared" ca="1" si="20"/>
        <v>0</v>
      </c>
      <c r="BG16" s="138">
        <f t="shared" ca="1" si="20"/>
        <v>0</v>
      </c>
      <c r="BH16" s="138">
        <f t="shared" ca="1" si="20"/>
        <v>0</v>
      </c>
      <c r="BI16" s="138">
        <f t="shared" ca="1" si="20"/>
        <v>0</v>
      </c>
      <c r="BJ16" s="138">
        <f t="shared" ca="1" si="20"/>
        <v>0</v>
      </c>
      <c r="BK16" s="138">
        <f t="shared" ca="1" si="20"/>
        <v>0</v>
      </c>
      <c r="BL16" s="138">
        <f t="shared" ca="1" si="20"/>
        <v>0</v>
      </c>
      <c r="BM16" s="138">
        <f t="shared" ca="1" si="20"/>
        <v>0</v>
      </c>
      <c r="BN16" s="138">
        <f t="shared" ca="1" si="20"/>
        <v>0</v>
      </c>
      <c r="BO16" s="138">
        <f t="shared" ca="1" si="20"/>
        <v>0</v>
      </c>
      <c r="BP16" s="138">
        <f t="shared" ca="1" si="21"/>
        <v>0</v>
      </c>
      <c r="BQ16" s="138">
        <f t="shared" ca="1" si="21"/>
        <v>0</v>
      </c>
      <c r="BR16" s="138">
        <f t="shared" ca="1" si="21"/>
        <v>0</v>
      </c>
      <c r="BS16" s="138">
        <f t="shared" ca="1" si="21"/>
        <v>0</v>
      </c>
      <c r="BT16" s="138">
        <f t="shared" ca="1" si="21"/>
        <v>0</v>
      </c>
      <c r="BU16" s="138">
        <f t="shared" ca="1" si="21"/>
        <v>0</v>
      </c>
      <c r="BV16" s="138">
        <f t="shared" ca="1" si="21"/>
        <v>0</v>
      </c>
      <c r="BW16" s="138">
        <f t="shared" ca="1" si="21"/>
        <v>0</v>
      </c>
      <c r="BX16" s="138">
        <f t="shared" ca="1" si="21"/>
        <v>0</v>
      </c>
      <c r="BY16" s="138">
        <f t="shared" ca="1" si="21"/>
        <v>0</v>
      </c>
      <c r="BZ16" s="138">
        <f t="shared" ca="1" si="22"/>
        <v>0</v>
      </c>
      <c r="CA16" s="138">
        <f t="shared" ca="1" si="22"/>
        <v>0</v>
      </c>
      <c r="CB16" s="138">
        <f t="shared" ca="1" si="22"/>
        <v>0</v>
      </c>
      <c r="CC16" s="138">
        <f t="shared" ca="1" si="22"/>
        <v>0</v>
      </c>
      <c r="CD16" s="138">
        <f t="shared" ca="1" si="22"/>
        <v>0</v>
      </c>
      <c r="CE16" s="138">
        <f t="shared" ca="1" si="22"/>
        <v>0</v>
      </c>
      <c r="CF16" s="138">
        <f t="shared" ca="1" si="22"/>
        <v>0</v>
      </c>
      <c r="CG16" s="138">
        <f t="shared" ca="1" si="22"/>
        <v>0</v>
      </c>
      <c r="CH16" s="138">
        <f t="shared" ca="1" si="22"/>
        <v>0</v>
      </c>
      <c r="CI16" s="138">
        <f t="shared" ca="1" si="22"/>
        <v>0</v>
      </c>
      <c r="CJ16" s="138">
        <f t="shared" ca="1" si="23"/>
        <v>0</v>
      </c>
      <c r="CK16" s="138">
        <f t="shared" ca="1" si="23"/>
        <v>0</v>
      </c>
      <c r="CL16" s="138">
        <f t="shared" ca="1" si="23"/>
        <v>0</v>
      </c>
      <c r="CM16" s="138">
        <f t="shared" ca="1" si="23"/>
        <v>0</v>
      </c>
      <c r="CN16" s="138">
        <f t="shared" ca="1" si="23"/>
        <v>0</v>
      </c>
      <c r="CO16" s="138">
        <f t="shared" ca="1" si="23"/>
        <v>0</v>
      </c>
      <c r="CP16" s="138">
        <f t="shared" ca="1" si="23"/>
        <v>0</v>
      </c>
      <c r="CQ16" s="138">
        <f t="shared" ca="1" si="23"/>
        <v>0</v>
      </c>
      <c r="CR16" s="138">
        <f t="shared" ca="1" si="23"/>
        <v>0</v>
      </c>
      <c r="CS16" s="138">
        <f t="shared" ca="1" si="23"/>
        <v>0</v>
      </c>
      <c r="CT16" s="138">
        <f t="shared" ca="1" si="24"/>
        <v>0</v>
      </c>
      <c r="CU16" s="138">
        <f t="shared" ca="1" si="24"/>
        <v>0</v>
      </c>
      <c r="CV16" s="138">
        <f t="shared" ca="1" si="24"/>
        <v>0</v>
      </c>
      <c r="CW16" s="138">
        <f t="shared" ca="1" si="24"/>
        <v>0</v>
      </c>
      <c r="CX16" s="138">
        <f t="shared" ca="1" si="24"/>
        <v>0</v>
      </c>
      <c r="CY16" s="138">
        <f t="shared" ca="1" si="24"/>
        <v>0</v>
      </c>
      <c r="CZ16" s="138">
        <f t="shared" ca="1" si="24"/>
        <v>0</v>
      </c>
      <c r="DA16" s="138">
        <f t="shared" ca="1" si="24"/>
        <v>0</v>
      </c>
      <c r="DB16" s="138">
        <f t="shared" ca="1" si="24"/>
        <v>0</v>
      </c>
      <c r="DC16" s="138">
        <f t="shared" ca="1" si="24"/>
        <v>0</v>
      </c>
      <c r="DE16" s="254" t="str">
        <f t="shared" ca="1" si="25"/>
        <v>D.1.5.</v>
      </c>
      <c r="DF16">
        <v>1</v>
      </c>
      <c r="DG16">
        <f t="shared" ca="1" si="26"/>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6"/>
        <v>0</v>
      </c>
      <c r="S17" s="138">
        <f t="shared" ca="1" si="16"/>
        <v>0</v>
      </c>
      <c r="T17" s="138">
        <f t="shared" ca="1" si="16"/>
        <v>0</v>
      </c>
      <c r="U17" s="138">
        <f t="shared" ca="1" si="16"/>
        <v>0</v>
      </c>
      <c r="V17" s="138">
        <f t="shared" ca="1" si="16"/>
        <v>0</v>
      </c>
      <c r="W17" s="138">
        <f t="shared" ca="1" si="16"/>
        <v>0</v>
      </c>
      <c r="X17" s="138">
        <f t="shared" ca="1" si="16"/>
        <v>0</v>
      </c>
      <c r="Y17" s="138">
        <f t="shared" ca="1" si="16"/>
        <v>0</v>
      </c>
      <c r="Z17" s="138">
        <f t="shared" ca="1" si="16"/>
        <v>0</v>
      </c>
      <c r="AA17" s="138">
        <f t="shared" ca="1" si="16"/>
        <v>0</v>
      </c>
      <c r="AB17" s="138">
        <f t="shared" ca="1" si="17"/>
        <v>0</v>
      </c>
      <c r="AC17" s="138">
        <f t="shared" ca="1" si="17"/>
        <v>0</v>
      </c>
      <c r="AD17" s="138">
        <f t="shared" ca="1" si="17"/>
        <v>0</v>
      </c>
      <c r="AE17" s="138">
        <f t="shared" ca="1" si="17"/>
        <v>0</v>
      </c>
      <c r="AF17" s="138">
        <f t="shared" ca="1" si="17"/>
        <v>0</v>
      </c>
      <c r="AG17" s="138">
        <f t="shared" ca="1" si="17"/>
        <v>0</v>
      </c>
      <c r="AH17" s="138">
        <f t="shared" ca="1" si="17"/>
        <v>0</v>
      </c>
      <c r="AI17" s="138">
        <f t="shared" ca="1" si="17"/>
        <v>0</v>
      </c>
      <c r="AJ17" s="138">
        <f t="shared" ca="1" si="17"/>
        <v>0</v>
      </c>
      <c r="AK17" s="138">
        <f t="shared" ca="1" si="17"/>
        <v>0</v>
      </c>
      <c r="AL17" s="138">
        <f t="shared" ca="1" si="18"/>
        <v>0</v>
      </c>
      <c r="AM17" s="138">
        <f t="shared" ca="1" si="18"/>
        <v>0</v>
      </c>
      <c r="AN17" s="138">
        <f t="shared" ca="1" si="18"/>
        <v>0</v>
      </c>
      <c r="AO17" s="138">
        <f t="shared" ca="1" si="18"/>
        <v>0</v>
      </c>
      <c r="AP17" s="138">
        <f t="shared" ca="1" si="18"/>
        <v>0</v>
      </c>
      <c r="AQ17" s="138">
        <f t="shared" ca="1" si="18"/>
        <v>0</v>
      </c>
      <c r="AR17" s="138">
        <f t="shared" ca="1" si="18"/>
        <v>0</v>
      </c>
      <c r="AS17" s="138">
        <f t="shared" ca="1" si="18"/>
        <v>0</v>
      </c>
      <c r="AT17" s="138">
        <f t="shared" ca="1" si="18"/>
        <v>0</v>
      </c>
      <c r="AU17" s="138">
        <f t="shared" ca="1" si="18"/>
        <v>0</v>
      </c>
      <c r="AV17" s="138">
        <f t="shared" ca="1" si="19"/>
        <v>0</v>
      </c>
      <c r="AW17" s="138">
        <f t="shared" ca="1" si="19"/>
        <v>0</v>
      </c>
      <c r="AX17" s="138">
        <f t="shared" ca="1" si="19"/>
        <v>0</v>
      </c>
      <c r="AY17" s="138">
        <f t="shared" ca="1" si="19"/>
        <v>0</v>
      </c>
      <c r="AZ17" s="138">
        <f t="shared" ca="1" si="19"/>
        <v>0</v>
      </c>
      <c r="BA17" s="138">
        <f t="shared" ca="1" si="19"/>
        <v>0</v>
      </c>
      <c r="BB17" s="138">
        <f t="shared" ca="1" si="19"/>
        <v>0</v>
      </c>
      <c r="BC17" s="138">
        <f t="shared" ca="1" si="19"/>
        <v>0</v>
      </c>
      <c r="BD17" s="138">
        <f t="shared" ca="1" si="19"/>
        <v>0</v>
      </c>
      <c r="BE17" s="138">
        <f t="shared" ca="1" si="19"/>
        <v>0</v>
      </c>
      <c r="BF17" s="138">
        <f t="shared" ca="1" si="20"/>
        <v>0</v>
      </c>
      <c r="BG17" s="138">
        <f t="shared" ca="1" si="20"/>
        <v>0</v>
      </c>
      <c r="BH17" s="138">
        <f t="shared" ca="1" si="20"/>
        <v>0</v>
      </c>
      <c r="BI17" s="138">
        <f t="shared" ca="1" si="20"/>
        <v>0</v>
      </c>
      <c r="BJ17" s="138">
        <f t="shared" ca="1" si="20"/>
        <v>0</v>
      </c>
      <c r="BK17" s="138">
        <f t="shared" ca="1" si="20"/>
        <v>0</v>
      </c>
      <c r="BL17" s="138">
        <f t="shared" ca="1" si="20"/>
        <v>0</v>
      </c>
      <c r="BM17" s="138">
        <f t="shared" ca="1" si="20"/>
        <v>0</v>
      </c>
      <c r="BN17" s="138">
        <f t="shared" ca="1" si="20"/>
        <v>0</v>
      </c>
      <c r="BO17" s="138">
        <f t="shared" ca="1" si="20"/>
        <v>0</v>
      </c>
      <c r="BP17" s="138">
        <f t="shared" ca="1" si="21"/>
        <v>0</v>
      </c>
      <c r="BQ17" s="138">
        <f t="shared" ca="1" si="21"/>
        <v>0</v>
      </c>
      <c r="BR17" s="138">
        <f t="shared" ca="1" si="21"/>
        <v>0</v>
      </c>
      <c r="BS17" s="138">
        <f t="shared" ca="1" si="21"/>
        <v>0</v>
      </c>
      <c r="BT17" s="138">
        <f t="shared" ca="1" si="21"/>
        <v>0</v>
      </c>
      <c r="BU17" s="138">
        <f t="shared" ca="1" si="21"/>
        <v>0</v>
      </c>
      <c r="BV17" s="138">
        <f t="shared" ca="1" si="21"/>
        <v>0</v>
      </c>
      <c r="BW17" s="138">
        <f t="shared" ca="1" si="21"/>
        <v>0</v>
      </c>
      <c r="BX17" s="138">
        <f t="shared" ca="1" si="21"/>
        <v>0</v>
      </c>
      <c r="BY17" s="138">
        <f t="shared" ca="1" si="21"/>
        <v>0</v>
      </c>
      <c r="BZ17" s="138">
        <f t="shared" ca="1" si="22"/>
        <v>0</v>
      </c>
      <c r="CA17" s="138">
        <f t="shared" ca="1" si="22"/>
        <v>0</v>
      </c>
      <c r="CB17" s="138">
        <f t="shared" ca="1" si="22"/>
        <v>0</v>
      </c>
      <c r="CC17" s="138">
        <f t="shared" ca="1" si="22"/>
        <v>0</v>
      </c>
      <c r="CD17" s="138">
        <f t="shared" ca="1" si="22"/>
        <v>0</v>
      </c>
      <c r="CE17" s="138">
        <f t="shared" ca="1" si="22"/>
        <v>0</v>
      </c>
      <c r="CF17" s="138">
        <f t="shared" ca="1" si="22"/>
        <v>0</v>
      </c>
      <c r="CG17" s="138">
        <f t="shared" ca="1" si="22"/>
        <v>0</v>
      </c>
      <c r="CH17" s="138">
        <f t="shared" ca="1" si="22"/>
        <v>0</v>
      </c>
      <c r="CI17" s="138">
        <f t="shared" ca="1" si="22"/>
        <v>0</v>
      </c>
      <c r="CJ17" s="138">
        <f t="shared" ca="1" si="23"/>
        <v>0</v>
      </c>
      <c r="CK17" s="138">
        <f t="shared" ca="1" si="23"/>
        <v>0</v>
      </c>
      <c r="CL17" s="138">
        <f t="shared" ca="1" si="23"/>
        <v>0</v>
      </c>
      <c r="CM17" s="138">
        <f t="shared" ca="1" si="23"/>
        <v>0</v>
      </c>
      <c r="CN17" s="138">
        <f t="shared" ca="1" si="23"/>
        <v>0</v>
      </c>
      <c r="CO17" s="138">
        <f t="shared" ca="1" si="23"/>
        <v>0</v>
      </c>
      <c r="CP17" s="138">
        <f t="shared" ca="1" si="23"/>
        <v>0</v>
      </c>
      <c r="CQ17" s="138">
        <f t="shared" ca="1" si="23"/>
        <v>0</v>
      </c>
      <c r="CR17" s="138">
        <f t="shared" ca="1" si="23"/>
        <v>0</v>
      </c>
      <c r="CS17" s="138">
        <f t="shared" ca="1" si="23"/>
        <v>0</v>
      </c>
      <c r="CT17" s="138">
        <f t="shared" ca="1" si="24"/>
        <v>0</v>
      </c>
      <c r="CU17" s="138">
        <f t="shared" ca="1" si="24"/>
        <v>0</v>
      </c>
      <c r="CV17" s="138">
        <f t="shared" ca="1" si="24"/>
        <v>0</v>
      </c>
      <c r="CW17" s="138">
        <f t="shared" ca="1" si="24"/>
        <v>0</v>
      </c>
      <c r="CX17" s="138">
        <f t="shared" ca="1" si="24"/>
        <v>0</v>
      </c>
      <c r="CY17" s="138">
        <f t="shared" ca="1" si="24"/>
        <v>0</v>
      </c>
      <c r="CZ17" s="138">
        <f t="shared" ca="1" si="24"/>
        <v>0</v>
      </c>
      <c r="DA17" s="138">
        <f t="shared" ca="1" si="24"/>
        <v>0</v>
      </c>
      <c r="DB17" s="138">
        <f t="shared" ca="1" si="24"/>
        <v>0</v>
      </c>
      <c r="DC17" s="138">
        <f t="shared" ca="1" si="24"/>
        <v>0</v>
      </c>
      <c r="DE17" s="254" t="str">
        <f t="shared" ca="1" si="25"/>
        <v>D.1.6.</v>
      </c>
      <c r="DF17">
        <v>1</v>
      </c>
      <c r="DG17">
        <f t="shared" ca="1" si="26"/>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6"/>
        <v>0</v>
      </c>
      <c r="S18" s="138">
        <f t="shared" ca="1" si="16"/>
        <v>0</v>
      </c>
      <c r="T18" s="138">
        <f t="shared" ca="1" si="16"/>
        <v>0</v>
      </c>
      <c r="U18" s="138">
        <f t="shared" ca="1" si="16"/>
        <v>0</v>
      </c>
      <c r="V18" s="138">
        <f t="shared" ca="1" si="16"/>
        <v>0</v>
      </c>
      <c r="W18" s="138">
        <f t="shared" ca="1" si="16"/>
        <v>0</v>
      </c>
      <c r="X18" s="138">
        <f t="shared" ca="1" si="16"/>
        <v>0</v>
      </c>
      <c r="Y18" s="138">
        <f t="shared" ca="1" si="16"/>
        <v>0</v>
      </c>
      <c r="Z18" s="138">
        <f t="shared" ca="1" si="16"/>
        <v>0</v>
      </c>
      <c r="AA18" s="138">
        <f t="shared" ca="1" si="16"/>
        <v>0</v>
      </c>
      <c r="AB18" s="138">
        <f t="shared" ca="1" si="17"/>
        <v>0</v>
      </c>
      <c r="AC18" s="138">
        <f t="shared" ca="1" si="17"/>
        <v>0</v>
      </c>
      <c r="AD18" s="138">
        <f t="shared" ca="1" si="17"/>
        <v>0</v>
      </c>
      <c r="AE18" s="138">
        <f t="shared" ca="1" si="17"/>
        <v>0</v>
      </c>
      <c r="AF18" s="138">
        <f t="shared" ca="1" si="17"/>
        <v>0</v>
      </c>
      <c r="AG18" s="138">
        <f t="shared" ca="1" si="17"/>
        <v>0</v>
      </c>
      <c r="AH18" s="138">
        <f t="shared" ca="1" si="17"/>
        <v>0</v>
      </c>
      <c r="AI18" s="138">
        <f t="shared" ca="1" si="17"/>
        <v>0</v>
      </c>
      <c r="AJ18" s="138">
        <f t="shared" ca="1" si="17"/>
        <v>0</v>
      </c>
      <c r="AK18" s="138">
        <f t="shared" ca="1" si="17"/>
        <v>0</v>
      </c>
      <c r="AL18" s="138">
        <f t="shared" ca="1" si="18"/>
        <v>0</v>
      </c>
      <c r="AM18" s="138">
        <f t="shared" ca="1" si="18"/>
        <v>0</v>
      </c>
      <c r="AN18" s="138">
        <f t="shared" ca="1" si="18"/>
        <v>0</v>
      </c>
      <c r="AO18" s="138">
        <f t="shared" ca="1" si="18"/>
        <v>0</v>
      </c>
      <c r="AP18" s="138">
        <f t="shared" ca="1" si="18"/>
        <v>0</v>
      </c>
      <c r="AQ18" s="138">
        <f t="shared" ca="1" si="18"/>
        <v>0</v>
      </c>
      <c r="AR18" s="138">
        <f t="shared" ca="1" si="18"/>
        <v>0</v>
      </c>
      <c r="AS18" s="138">
        <f t="shared" ca="1" si="18"/>
        <v>0</v>
      </c>
      <c r="AT18" s="138">
        <f t="shared" ca="1" si="18"/>
        <v>0</v>
      </c>
      <c r="AU18" s="138">
        <f t="shared" ca="1" si="18"/>
        <v>0</v>
      </c>
      <c r="AV18" s="138">
        <f t="shared" ca="1" si="19"/>
        <v>0</v>
      </c>
      <c r="AW18" s="138">
        <f t="shared" ca="1" si="19"/>
        <v>0</v>
      </c>
      <c r="AX18" s="138">
        <f t="shared" ca="1" si="19"/>
        <v>0</v>
      </c>
      <c r="AY18" s="138">
        <f t="shared" ca="1" si="19"/>
        <v>0</v>
      </c>
      <c r="AZ18" s="138">
        <f t="shared" ca="1" si="19"/>
        <v>0</v>
      </c>
      <c r="BA18" s="138">
        <f t="shared" ca="1" si="19"/>
        <v>0</v>
      </c>
      <c r="BB18" s="138">
        <f t="shared" ca="1" si="19"/>
        <v>0</v>
      </c>
      <c r="BC18" s="138">
        <f t="shared" ca="1" si="19"/>
        <v>0</v>
      </c>
      <c r="BD18" s="138">
        <f t="shared" ca="1" si="19"/>
        <v>0</v>
      </c>
      <c r="BE18" s="138">
        <f t="shared" ca="1" si="19"/>
        <v>0</v>
      </c>
      <c r="BF18" s="138">
        <f t="shared" ca="1" si="20"/>
        <v>0</v>
      </c>
      <c r="BG18" s="138">
        <f t="shared" ca="1" si="20"/>
        <v>0</v>
      </c>
      <c r="BH18" s="138">
        <f t="shared" ca="1" si="20"/>
        <v>0</v>
      </c>
      <c r="BI18" s="138">
        <f t="shared" ca="1" si="20"/>
        <v>0</v>
      </c>
      <c r="BJ18" s="138">
        <f t="shared" ca="1" si="20"/>
        <v>0</v>
      </c>
      <c r="BK18" s="138">
        <f t="shared" ca="1" si="20"/>
        <v>0</v>
      </c>
      <c r="BL18" s="138">
        <f t="shared" ca="1" si="20"/>
        <v>0</v>
      </c>
      <c r="BM18" s="138">
        <f t="shared" ca="1" si="20"/>
        <v>0</v>
      </c>
      <c r="BN18" s="138">
        <f t="shared" ca="1" si="20"/>
        <v>0</v>
      </c>
      <c r="BO18" s="138">
        <f t="shared" ca="1" si="20"/>
        <v>0</v>
      </c>
      <c r="BP18" s="138">
        <f t="shared" ca="1" si="21"/>
        <v>0</v>
      </c>
      <c r="BQ18" s="138">
        <f t="shared" ca="1" si="21"/>
        <v>0</v>
      </c>
      <c r="BR18" s="138">
        <f t="shared" ca="1" si="21"/>
        <v>0</v>
      </c>
      <c r="BS18" s="138">
        <f t="shared" ca="1" si="21"/>
        <v>0</v>
      </c>
      <c r="BT18" s="138">
        <f t="shared" ca="1" si="21"/>
        <v>0</v>
      </c>
      <c r="BU18" s="138">
        <f t="shared" ca="1" si="21"/>
        <v>0</v>
      </c>
      <c r="BV18" s="138">
        <f t="shared" ca="1" si="21"/>
        <v>0</v>
      </c>
      <c r="BW18" s="138">
        <f t="shared" ca="1" si="21"/>
        <v>0</v>
      </c>
      <c r="BX18" s="138">
        <f t="shared" ca="1" si="21"/>
        <v>0</v>
      </c>
      <c r="BY18" s="138">
        <f t="shared" ca="1" si="21"/>
        <v>0</v>
      </c>
      <c r="BZ18" s="138">
        <f t="shared" ca="1" si="22"/>
        <v>0</v>
      </c>
      <c r="CA18" s="138">
        <f t="shared" ca="1" si="22"/>
        <v>0</v>
      </c>
      <c r="CB18" s="138">
        <f t="shared" ca="1" si="22"/>
        <v>0</v>
      </c>
      <c r="CC18" s="138">
        <f t="shared" ca="1" si="22"/>
        <v>0</v>
      </c>
      <c r="CD18" s="138">
        <f t="shared" ca="1" si="22"/>
        <v>0</v>
      </c>
      <c r="CE18" s="138">
        <f t="shared" ca="1" si="22"/>
        <v>0</v>
      </c>
      <c r="CF18" s="138">
        <f t="shared" ca="1" si="22"/>
        <v>0</v>
      </c>
      <c r="CG18" s="138">
        <f t="shared" ca="1" si="22"/>
        <v>0</v>
      </c>
      <c r="CH18" s="138">
        <f t="shared" ca="1" si="22"/>
        <v>0</v>
      </c>
      <c r="CI18" s="138">
        <f t="shared" ca="1" si="22"/>
        <v>0</v>
      </c>
      <c r="CJ18" s="138">
        <f t="shared" ca="1" si="23"/>
        <v>0</v>
      </c>
      <c r="CK18" s="138">
        <f t="shared" ca="1" si="23"/>
        <v>0</v>
      </c>
      <c r="CL18" s="138">
        <f t="shared" ca="1" si="23"/>
        <v>0</v>
      </c>
      <c r="CM18" s="138">
        <f t="shared" ca="1" si="23"/>
        <v>0</v>
      </c>
      <c r="CN18" s="138">
        <f t="shared" ca="1" si="23"/>
        <v>0</v>
      </c>
      <c r="CO18" s="138">
        <f t="shared" ca="1" si="23"/>
        <v>0</v>
      </c>
      <c r="CP18" s="138">
        <f t="shared" ca="1" si="23"/>
        <v>0</v>
      </c>
      <c r="CQ18" s="138">
        <f t="shared" ca="1" si="23"/>
        <v>0</v>
      </c>
      <c r="CR18" s="138">
        <f t="shared" ca="1" si="23"/>
        <v>0</v>
      </c>
      <c r="CS18" s="138">
        <f t="shared" ca="1" si="23"/>
        <v>0</v>
      </c>
      <c r="CT18" s="138">
        <f t="shared" ca="1" si="24"/>
        <v>0</v>
      </c>
      <c r="CU18" s="138">
        <f t="shared" ca="1" si="24"/>
        <v>0</v>
      </c>
      <c r="CV18" s="138">
        <f t="shared" ca="1" si="24"/>
        <v>0</v>
      </c>
      <c r="CW18" s="138">
        <f t="shared" ca="1" si="24"/>
        <v>0</v>
      </c>
      <c r="CX18" s="138">
        <f t="shared" ca="1" si="24"/>
        <v>0</v>
      </c>
      <c r="CY18" s="138">
        <f t="shared" ca="1" si="24"/>
        <v>0</v>
      </c>
      <c r="CZ18" s="138">
        <f t="shared" ca="1" si="24"/>
        <v>0</v>
      </c>
      <c r="DA18" s="138">
        <f t="shared" ca="1" si="24"/>
        <v>0</v>
      </c>
      <c r="DB18" s="138">
        <f t="shared" ca="1" si="24"/>
        <v>0</v>
      </c>
      <c r="DC18" s="138">
        <f t="shared" ca="1" si="24"/>
        <v>0</v>
      </c>
      <c r="DE18" s="254" t="str">
        <f t="shared" ca="1" si="25"/>
        <v>D.1.7.</v>
      </c>
      <c r="DF18">
        <v>1</v>
      </c>
      <c r="DG18">
        <f t="shared" ca="1" si="26"/>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6"/>
        <v>0</v>
      </c>
      <c r="S19" s="138">
        <f t="shared" ca="1" si="16"/>
        <v>0</v>
      </c>
      <c r="T19" s="138">
        <f t="shared" ca="1" si="16"/>
        <v>0</v>
      </c>
      <c r="U19" s="138">
        <f t="shared" ca="1" si="16"/>
        <v>0</v>
      </c>
      <c r="V19" s="138">
        <f t="shared" ca="1" si="16"/>
        <v>0</v>
      </c>
      <c r="W19" s="138">
        <f t="shared" ca="1" si="16"/>
        <v>0</v>
      </c>
      <c r="X19" s="138">
        <f t="shared" ca="1" si="16"/>
        <v>0</v>
      </c>
      <c r="Y19" s="138">
        <f t="shared" ca="1" si="16"/>
        <v>0</v>
      </c>
      <c r="Z19" s="138">
        <f t="shared" ca="1" si="16"/>
        <v>0</v>
      </c>
      <c r="AA19" s="138">
        <f t="shared" ca="1" si="16"/>
        <v>0</v>
      </c>
      <c r="AB19" s="138">
        <f t="shared" ca="1" si="17"/>
        <v>0</v>
      </c>
      <c r="AC19" s="138">
        <f t="shared" ca="1" si="17"/>
        <v>0</v>
      </c>
      <c r="AD19" s="138">
        <f t="shared" ca="1" si="17"/>
        <v>0</v>
      </c>
      <c r="AE19" s="138">
        <f t="shared" ca="1" si="17"/>
        <v>0</v>
      </c>
      <c r="AF19" s="138">
        <f t="shared" ca="1" si="17"/>
        <v>0</v>
      </c>
      <c r="AG19" s="138">
        <f t="shared" ca="1" si="17"/>
        <v>0</v>
      </c>
      <c r="AH19" s="138">
        <f t="shared" ca="1" si="17"/>
        <v>0</v>
      </c>
      <c r="AI19" s="138">
        <f t="shared" ca="1" si="17"/>
        <v>0</v>
      </c>
      <c r="AJ19" s="138">
        <f t="shared" ca="1" si="17"/>
        <v>0</v>
      </c>
      <c r="AK19" s="138">
        <f t="shared" ca="1" si="17"/>
        <v>0</v>
      </c>
      <c r="AL19" s="138">
        <f t="shared" ca="1" si="18"/>
        <v>0</v>
      </c>
      <c r="AM19" s="138">
        <f t="shared" ca="1" si="18"/>
        <v>0</v>
      </c>
      <c r="AN19" s="138">
        <f t="shared" ca="1" si="18"/>
        <v>0</v>
      </c>
      <c r="AO19" s="138">
        <f t="shared" ca="1" si="18"/>
        <v>0</v>
      </c>
      <c r="AP19" s="138">
        <f t="shared" ca="1" si="18"/>
        <v>0</v>
      </c>
      <c r="AQ19" s="138">
        <f t="shared" ca="1" si="18"/>
        <v>0</v>
      </c>
      <c r="AR19" s="138">
        <f t="shared" ca="1" si="18"/>
        <v>0</v>
      </c>
      <c r="AS19" s="138">
        <f t="shared" ca="1" si="18"/>
        <v>0</v>
      </c>
      <c r="AT19" s="138">
        <f t="shared" ca="1" si="18"/>
        <v>0</v>
      </c>
      <c r="AU19" s="138">
        <f t="shared" ca="1" si="18"/>
        <v>0</v>
      </c>
      <c r="AV19" s="138">
        <f t="shared" ca="1" si="19"/>
        <v>0</v>
      </c>
      <c r="AW19" s="138">
        <f t="shared" ca="1" si="19"/>
        <v>0</v>
      </c>
      <c r="AX19" s="138">
        <f t="shared" ca="1" si="19"/>
        <v>0</v>
      </c>
      <c r="AY19" s="138">
        <f t="shared" ca="1" si="19"/>
        <v>0</v>
      </c>
      <c r="AZ19" s="138">
        <f t="shared" ca="1" si="19"/>
        <v>0</v>
      </c>
      <c r="BA19" s="138">
        <f t="shared" ca="1" si="19"/>
        <v>0</v>
      </c>
      <c r="BB19" s="138">
        <f t="shared" ca="1" si="19"/>
        <v>0</v>
      </c>
      <c r="BC19" s="138">
        <f t="shared" ca="1" si="19"/>
        <v>0</v>
      </c>
      <c r="BD19" s="138">
        <f t="shared" ca="1" si="19"/>
        <v>0</v>
      </c>
      <c r="BE19" s="138">
        <f t="shared" ca="1" si="19"/>
        <v>0</v>
      </c>
      <c r="BF19" s="138">
        <f t="shared" ca="1" si="20"/>
        <v>0</v>
      </c>
      <c r="BG19" s="138">
        <f t="shared" ca="1" si="20"/>
        <v>0</v>
      </c>
      <c r="BH19" s="138">
        <f t="shared" ca="1" si="20"/>
        <v>0</v>
      </c>
      <c r="BI19" s="138">
        <f t="shared" ca="1" si="20"/>
        <v>0</v>
      </c>
      <c r="BJ19" s="138">
        <f t="shared" ca="1" si="20"/>
        <v>0</v>
      </c>
      <c r="BK19" s="138">
        <f t="shared" ca="1" si="20"/>
        <v>0</v>
      </c>
      <c r="BL19" s="138">
        <f t="shared" ca="1" si="20"/>
        <v>0</v>
      </c>
      <c r="BM19" s="138">
        <f t="shared" ca="1" si="20"/>
        <v>0</v>
      </c>
      <c r="BN19" s="138">
        <f t="shared" ca="1" si="20"/>
        <v>0</v>
      </c>
      <c r="BO19" s="138">
        <f t="shared" ca="1" si="20"/>
        <v>0</v>
      </c>
      <c r="BP19" s="138">
        <f t="shared" ca="1" si="21"/>
        <v>0</v>
      </c>
      <c r="BQ19" s="138">
        <f t="shared" ca="1" si="21"/>
        <v>0</v>
      </c>
      <c r="BR19" s="138">
        <f t="shared" ca="1" si="21"/>
        <v>0</v>
      </c>
      <c r="BS19" s="138">
        <f t="shared" ca="1" si="21"/>
        <v>0</v>
      </c>
      <c r="BT19" s="138">
        <f t="shared" ca="1" si="21"/>
        <v>0</v>
      </c>
      <c r="BU19" s="138">
        <f t="shared" ca="1" si="21"/>
        <v>0</v>
      </c>
      <c r="BV19" s="138">
        <f t="shared" ca="1" si="21"/>
        <v>0</v>
      </c>
      <c r="BW19" s="138">
        <f t="shared" ca="1" si="21"/>
        <v>0</v>
      </c>
      <c r="BX19" s="138">
        <f t="shared" ca="1" si="21"/>
        <v>0</v>
      </c>
      <c r="BY19" s="138">
        <f t="shared" ca="1" si="21"/>
        <v>0</v>
      </c>
      <c r="BZ19" s="138">
        <f t="shared" ca="1" si="22"/>
        <v>0</v>
      </c>
      <c r="CA19" s="138">
        <f t="shared" ca="1" si="22"/>
        <v>0</v>
      </c>
      <c r="CB19" s="138">
        <f t="shared" ca="1" si="22"/>
        <v>0</v>
      </c>
      <c r="CC19" s="138">
        <f t="shared" ca="1" si="22"/>
        <v>0</v>
      </c>
      <c r="CD19" s="138">
        <f t="shared" ca="1" si="22"/>
        <v>0</v>
      </c>
      <c r="CE19" s="138">
        <f t="shared" ca="1" si="22"/>
        <v>0</v>
      </c>
      <c r="CF19" s="138">
        <f t="shared" ca="1" si="22"/>
        <v>0</v>
      </c>
      <c r="CG19" s="138">
        <f t="shared" ca="1" si="22"/>
        <v>0</v>
      </c>
      <c r="CH19" s="138">
        <f t="shared" ca="1" si="22"/>
        <v>0</v>
      </c>
      <c r="CI19" s="138">
        <f t="shared" ca="1" si="22"/>
        <v>0</v>
      </c>
      <c r="CJ19" s="138">
        <f t="shared" ca="1" si="23"/>
        <v>0</v>
      </c>
      <c r="CK19" s="138">
        <f t="shared" ca="1" si="23"/>
        <v>0</v>
      </c>
      <c r="CL19" s="138">
        <f t="shared" ca="1" si="23"/>
        <v>0</v>
      </c>
      <c r="CM19" s="138">
        <f t="shared" ca="1" si="23"/>
        <v>0</v>
      </c>
      <c r="CN19" s="138">
        <f t="shared" ca="1" si="23"/>
        <v>0</v>
      </c>
      <c r="CO19" s="138">
        <f t="shared" ca="1" si="23"/>
        <v>0</v>
      </c>
      <c r="CP19" s="138">
        <f t="shared" ca="1" si="23"/>
        <v>0</v>
      </c>
      <c r="CQ19" s="138">
        <f t="shared" ca="1" si="23"/>
        <v>0</v>
      </c>
      <c r="CR19" s="138">
        <f t="shared" ca="1" si="23"/>
        <v>0</v>
      </c>
      <c r="CS19" s="138">
        <f t="shared" ca="1" si="23"/>
        <v>0</v>
      </c>
      <c r="CT19" s="138">
        <f t="shared" ca="1" si="24"/>
        <v>0</v>
      </c>
      <c r="CU19" s="138">
        <f t="shared" ca="1" si="24"/>
        <v>0</v>
      </c>
      <c r="CV19" s="138">
        <f t="shared" ca="1" si="24"/>
        <v>0</v>
      </c>
      <c r="CW19" s="138">
        <f t="shared" ca="1" si="24"/>
        <v>0</v>
      </c>
      <c r="CX19" s="138">
        <f t="shared" ca="1" si="24"/>
        <v>0</v>
      </c>
      <c r="CY19" s="138">
        <f t="shared" ca="1" si="24"/>
        <v>0</v>
      </c>
      <c r="CZ19" s="138">
        <f t="shared" ca="1" si="24"/>
        <v>0</v>
      </c>
      <c r="DA19" s="138">
        <f t="shared" ca="1" si="24"/>
        <v>0</v>
      </c>
      <c r="DB19" s="138">
        <f t="shared" ca="1" si="24"/>
        <v>0</v>
      </c>
      <c r="DC19" s="138">
        <f t="shared" ca="1" si="24"/>
        <v>0</v>
      </c>
      <c r="DE19" s="254" t="str">
        <f t="shared" ca="1" si="25"/>
        <v>D.1.8.</v>
      </c>
      <c r="DF19">
        <v>1</v>
      </c>
      <c r="DG19">
        <f t="shared" ca="1" si="26"/>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6"/>
        <v>0</v>
      </c>
      <c r="S20" s="138">
        <f t="shared" ca="1" si="16"/>
        <v>0</v>
      </c>
      <c r="T20" s="138">
        <f t="shared" ca="1" si="16"/>
        <v>0</v>
      </c>
      <c r="U20" s="138">
        <f t="shared" ca="1" si="16"/>
        <v>0</v>
      </c>
      <c r="V20" s="138">
        <f t="shared" ca="1" si="16"/>
        <v>0</v>
      </c>
      <c r="W20" s="138">
        <f t="shared" ca="1" si="16"/>
        <v>0</v>
      </c>
      <c r="X20" s="138">
        <f t="shared" ca="1" si="16"/>
        <v>0</v>
      </c>
      <c r="Y20" s="138">
        <f t="shared" ca="1" si="16"/>
        <v>0</v>
      </c>
      <c r="Z20" s="138">
        <f t="shared" ca="1" si="16"/>
        <v>0</v>
      </c>
      <c r="AA20" s="138">
        <f t="shared" ca="1" si="16"/>
        <v>0</v>
      </c>
      <c r="AB20" s="138">
        <f t="shared" ca="1" si="17"/>
        <v>0</v>
      </c>
      <c r="AC20" s="138">
        <f t="shared" ca="1" si="17"/>
        <v>0</v>
      </c>
      <c r="AD20" s="138">
        <f t="shared" ca="1" si="17"/>
        <v>0</v>
      </c>
      <c r="AE20" s="138">
        <f t="shared" ca="1" si="17"/>
        <v>0</v>
      </c>
      <c r="AF20" s="138">
        <f t="shared" ca="1" si="17"/>
        <v>0</v>
      </c>
      <c r="AG20" s="138">
        <f t="shared" ca="1" si="17"/>
        <v>0</v>
      </c>
      <c r="AH20" s="138">
        <f t="shared" ca="1" si="17"/>
        <v>0</v>
      </c>
      <c r="AI20" s="138">
        <f t="shared" ca="1" si="17"/>
        <v>0</v>
      </c>
      <c r="AJ20" s="138">
        <f t="shared" ca="1" si="17"/>
        <v>0</v>
      </c>
      <c r="AK20" s="138">
        <f t="shared" ca="1" si="17"/>
        <v>0</v>
      </c>
      <c r="AL20" s="138">
        <f t="shared" ca="1" si="18"/>
        <v>0</v>
      </c>
      <c r="AM20" s="138">
        <f t="shared" ca="1" si="18"/>
        <v>0</v>
      </c>
      <c r="AN20" s="138">
        <f t="shared" ca="1" si="18"/>
        <v>0</v>
      </c>
      <c r="AO20" s="138">
        <f t="shared" ca="1" si="18"/>
        <v>0</v>
      </c>
      <c r="AP20" s="138">
        <f t="shared" ca="1" si="18"/>
        <v>0</v>
      </c>
      <c r="AQ20" s="138">
        <f t="shared" ca="1" si="18"/>
        <v>0</v>
      </c>
      <c r="AR20" s="138">
        <f t="shared" ca="1" si="18"/>
        <v>0</v>
      </c>
      <c r="AS20" s="138">
        <f t="shared" ca="1" si="18"/>
        <v>0</v>
      </c>
      <c r="AT20" s="138">
        <f t="shared" ca="1" si="18"/>
        <v>0</v>
      </c>
      <c r="AU20" s="138">
        <f t="shared" ca="1" si="18"/>
        <v>0</v>
      </c>
      <c r="AV20" s="138">
        <f t="shared" ca="1" si="19"/>
        <v>0</v>
      </c>
      <c r="AW20" s="138">
        <f t="shared" ca="1" si="19"/>
        <v>0</v>
      </c>
      <c r="AX20" s="138">
        <f t="shared" ca="1" si="19"/>
        <v>0</v>
      </c>
      <c r="AY20" s="138">
        <f t="shared" ca="1" si="19"/>
        <v>0</v>
      </c>
      <c r="AZ20" s="138">
        <f t="shared" ca="1" si="19"/>
        <v>0</v>
      </c>
      <c r="BA20" s="138">
        <f t="shared" ca="1" si="19"/>
        <v>0</v>
      </c>
      <c r="BB20" s="138">
        <f t="shared" ca="1" si="19"/>
        <v>0</v>
      </c>
      <c r="BC20" s="138">
        <f t="shared" ca="1" si="19"/>
        <v>0</v>
      </c>
      <c r="BD20" s="138">
        <f t="shared" ca="1" si="19"/>
        <v>0</v>
      </c>
      <c r="BE20" s="138">
        <f t="shared" ca="1" si="19"/>
        <v>0</v>
      </c>
      <c r="BF20" s="138">
        <f t="shared" ca="1" si="20"/>
        <v>0</v>
      </c>
      <c r="BG20" s="138">
        <f t="shared" ca="1" si="20"/>
        <v>0</v>
      </c>
      <c r="BH20" s="138">
        <f t="shared" ca="1" si="20"/>
        <v>0</v>
      </c>
      <c r="BI20" s="138">
        <f t="shared" ca="1" si="20"/>
        <v>0</v>
      </c>
      <c r="BJ20" s="138">
        <f t="shared" ca="1" si="20"/>
        <v>0</v>
      </c>
      <c r="BK20" s="138">
        <f t="shared" ca="1" si="20"/>
        <v>0</v>
      </c>
      <c r="BL20" s="138">
        <f t="shared" ca="1" si="20"/>
        <v>0</v>
      </c>
      <c r="BM20" s="138">
        <f t="shared" ca="1" si="20"/>
        <v>0</v>
      </c>
      <c r="BN20" s="138">
        <f t="shared" ca="1" si="20"/>
        <v>0</v>
      </c>
      <c r="BO20" s="138">
        <f t="shared" ca="1" si="20"/>
        <v>0</v>
      </c>
      <c r="BP20" s="138">
        <f t="shared" ca="1" si="21"/>
        <v>0</v>
      </c>
      <c r="BQ20" s="138">
        <f t="shared" ca="1" si="21"/>
        <v>0</v>
      </c>
      <c r="BR20" s="138">
        <f t="shared" ca="1" si="21"/>
        <v>0</v>
      </c>
      <c r="BS20" s="138">
        <f t="shared" ca="1" si="21"/>
        <v>0</v>
      </c>
      <c r="BT20" s="138">
        <f t="shared" ca="1" si="21"/>
        <v>0</v>
      </c>
      <c r="BU20" s="138">
        <f t="shared" ca="1" si="21"/>
        <v>0</v>
      </c>
      <c r="BV20" s="138">
        <f t="shared" ca="1" si="21"/>
        <v>0</v>
      </c>
      <c r="BW20" s="138">
        <f t="shared" ca="1" si="21"/>
        <v>0</v>
      </c>
      <c r="BX20" s="138">
        <f t="shared" ca="1" si="21"/>
        <v>0</v>
      </c>
      <c r="BY20" s="138">
        <f t="shared" ca="1" si="21"/>
        <v>0</v>
      </c>
      <c r="BZ20" s="138">
        <f t="shared" ca="1" si="22"/>
        <v>0</v>
      </c>
      <c r="CA20" s="138">
        <f t="shared" ca="1" si="22"/>
        <v>0</v>
      </c>
      <c r="CB20" s="138">
        <f t="shared" ca="1" si="22"/>
        <v>0</v>
      </c>
      <c r="CC20" s="138">
        <f t="shared" ca="1" si="22"/>
        <v>0</v>
      </c>
      <c r="CD20" s="138">
        <f t="shared" ca="1" si="22"/>
        <v>0</v>
      </c>
      <c r="CE20" s="138">
        <f t="shared" ca="1" si="22"/>
        <v>0</v>
      </c>
      <c r="CF20" s="138">
        <f t="shared" ca="1" si="22"/>
        <v>0</v>
      </c>
      <c r="CG20" s="138">
        <f t="shared" ca="1" si="22"/>
        <v>0</v>
      </c>
      <c r="CH20" s="138">
        <f t="shared" ca="1" si="22"/>
        <v>0</v>
      </c>
      <c r="CI20" s="138">
        <f t="shared" ca="1" si="22"/>
        <v>0</v>
      </c>
      <c r="CJ20" s="138">
        <f t="shared" ca="1" si="23"/>
        <v>0</v>
      </c>
      <c r="CK20" s="138">
        <f t="shared" ca="1" si="23"/>
        <v>0</v>
      </c>
      <c r="CL20" s="138">
        <f t="shared" ca="1" si="23"/>
        <v>0</v>
      </c>
      <c r="CM20" s="138">
        <f t="shared" ca="1" si="23"/>
        <v>0</v>
      </c>
      <c r="CN20" s="138">
        <f t="shared" ca="1" si="23"/>
        <v>0</v>
      </c>
      <c r="CO20" s="138">
        <f t="shared" ca="1" si="23"/>
        <v>0</v>
      </c>
      <c r="CP20" s="138">
        <f t="shared" ca="1" si="23"/>
        <v>0</v>
      </c>
      <c r="CQ20" s="138">
        <f t="shared" ca="1" si="23"/>
        <v>0</v>
      </c>
      <c r="CR20" s="138">
        <f t="shared" ca="1" si="23"/>
        <v>0</v>
      </c>
      <c r="CS20" s="138">
        <f t="shared" ca="1" si="23"/>
        <v>0</v>
      </c>
      <c r="CT20" s="138">
        <f t="shared" ca="1" si="24"/>
        <v>0</v>
      </c>
      <c r="CU20" s="138">
        <f t="shared" ca="1" si="24"/>
        <v>0</v>
      </c>
      <c r="CV20" s="138">
        <f t="shared" ca="1" si="24"/>
        <v>0</v>
      </c>
      <c r="CW20" s="138">
        <f t="shared" ca="1" si="24"/>
        <v>0</v>
      </c>
      <c r="CX20" s="138">
        <f t="shared" ca="1" si="24"/>
        <v>0</v>
      </c>
      <c r="CY20" s="138">
        <f t="shared" ca="1" si="24"/>
        <v>0</v>
      </c>
      <c r="CZ20" s="138">
        <f t="shared" ca="1" si="24"/>
        <v>0</v>
      </c>
      <c r="DA20" s="138">
        <f t="shared" ca="1" si="24"/>
        <v>0</v>
      </c>
      <c r="DB20" s="138">
        <f t="shared" ca="1" si="24"/>
        <v>0</v>
      </c>
      <c r="DC20" s="138">
        <f t="shared" ca="1" si="24"/>
        <v>0</v>
      </c>
      <c r="DE20" s="254" t="str">
        <f t="shared" ca="1" si="25"/>
        <v>D.1.9.</v>
      </c>
      <c r="DF20">
        <v>1</v>
      </c>
      <c r="DG20">
        <f t="shared" ca="1" si="26"/>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6"/>
        <v>0</v>
      </c>
      <c r="S21" s="138">
        <f t="shared" ca="1" si="16"/>
        <v>0</v>
      </c>
      <c r="T21" s="138">
        <f t="shared" ca="1" si="16"/>
        <v>0</v>
      </c>
      <c r="U21" s="138">
        <f t="shared" ca="1" si="16"/>
        <v>0</v>
      </c>
      <c r="V21" s="138">
        <f t="shared" ca="1" si="16"/>
        <v>0</v>
      </c>
      <c r="W21" s="138">
        <f t="shared" ca="1" si="16"/>
        <v>0</v>
      </c>
      <c r="X21" s="138">
        <f t="shared" ca="1" si="16"/>
        <v>0</v>
      </c>
      <c r="Y21" s="138">
        <f t="shared" ca="1" si="16"/>
        <v>0</v>
      </c>
      <c r="Z21" s="138">
        <f t="shared" ca="1" si="16"/>
        <v>0</v>
      </c>
      <c r="AA21" s="138">
        <f t="shared" ca="1" si="16"/>
        <v>0</v>
      </c>
      <c r="AB21" s="138">
        <f t="shared" ca="1" si="17"/>
        <v>0</v>
      </c>
      <c r="AC21" s="138">
        <f t="shared" ca="1" si="17"/>
        <v>0</v>
      </c>
      <c r="AD21" s="138">
        <f t="shared" ca="1" si="17"/>
        <v>0</v>
      </c>
      <c r="AE21" s="138">
        <f t="shared" ca="1" si="17"/>
        <v>0</v>
      </c>
      <c r="AF21" s="138">
        <f t="shared" ca="1" si="17"/>
        <v>0</v>
      </c>
      <c r="AG21" s="138">
        <f t="shared" ca="1" si="17"/>
        <v>0</v>
      </c>
      <c r="AH21" s="138">
        <f t="shared" ca="1" si="17"/>
        <v>0</v>
      </c>
      <c r="AI21" s="138">
        <f t="shared" ca="1" si="17"/>
        <v>0</v>
      </c>
      <c r="AJ21" s="138">
        <f t="shared" ca="1" si="17"/>
        <v>0</v>
      </c>
      <c r="AK21" s="138">
        <f t="shared" ca="1" si="17"/>
        <v>0</v>
      </c>
      <c r="AL21" s="138">
        <f t="shared" ca="1" si="18"/>
        <v>0</v>
      </c>
      <c r="AM21" s="138">
        <f t="shared" ca="1" si="18"/>
        <v>0</v>
      </c>
      <c r="AN21" s="138">
        <f t="shared" ca="1" si="18"/>
        <v>0</v>
      </c>
      <c r="AO21" s="138">
        <f t="shared" ca="1" si="18"/>
        <v>0</v>
      </c>
      <c r="AP21" s="138">
        <f t="shared" ca="1" si="18"/>
        <v>0</v>
      </c>
      <c r="AQ21" s="138">
        <f t="shared" ca="1" si="18"/>
        <v>0</v>
      </c>
      <c r="AR21" s="138">
        <f t="shared" ca="1" si="18"/>
        <v>0</v>
      </c>
      <c r="AS21" s="138">
        <f t="shared" ca="1" si="18"/>
        <v>0</v>
      </c>
      <c r="AT21" s="138">
        <f t="shared" ca="1" si="18"/>
        <v>0</v>
      </c>
      <c r="AU21" s="138">
        <f t="shared" ca="1" si="18"/>
        <v>0</v>
      </c>
      <c r="AV21" s="138">
        <f t="shared" ca="1" si="19"/>
        <v>0</v>
      </c>
      <c r="AW21" s="138">
        <f t="shared" ca="1" si="19"/>
        <v>0</v>
      </c>
      <c r="AX21" s="138">
        <f t="shared" ca="1" si="19"/>
        <v>0</v>
      </c>
      <c r="AY21" s="138">
        <f t="shared" ca="1" si="19"/>
        <v>0</v>
      </c>
      <c r="AZ21" s="138">
        <f t="shared" ca="1" si="19"/>
        <v>0</v>
      </c>
      <c r="BA21" s="138">
        <f t="shared" ca="1" si="19"/>
        <v>0</v>
      </c>
      <c r="BB21" s="138">
        <f t="shared" ca="1" si="19"/>
        <v>0</v>
      </c>
      <c r="BC21" s="138">
        <f t="shared" ca="1" si="19"/>
        <v>0</v>
      </c>
      <c r="BD21" s="138">
        <f t="shared" ca="1" si="19"/>
        <v>0</v>
      </c>
      <c r="BE21" s="138">
        <f t="shared" ca="1" si="19"/>
        <v>0</v>
      </c>
      <c r="BF21" s="138">
        <f t="shared" ca="1" si="20"/>
        <v>0</v>
      </c>
      <c r="BG21" s="138">
        <f t="shared" ca="1" si="20"/>
        <v>0</v>
      </c>
      <c r="BH21" s="138">
        <f t="shared" ca="1" si="20"/>
        <v>0</v>
      </c>
      <c r="BI21" s="138">
        <f t="shared" ca="1" si="20"/>
        <v>0</v>
      </c>
      <c r="BJ21" s="138">
        <f t="shared" ca="1" si="20"/>
        <v>0</v>
      </c>
      <c r="BK21" s="138">
        <f t="shared" ca="1" si="20"/>
        <v>0</v>
      </c>
      <c r="BL21" s="138">
        <f t="shared" ca="1" si="20"/>
        <v>0</v>
      </c>
      <c r="BM21" s="138">
        <f t="shared" ca="1" si="20"/>
        <v>0</v>
      </c>
      <c r="BN21" s="138">
        <f t="shared" ca="1" si="20"/>
        <v>0</v>
      </c>
      <c r="BO21" s="138">
        <f t="shared" ca="1" si="20"/>
        <v>0</v>
      </c>
      <c r="BP21" s="138">
        <f t="shared" ca="1" si="21"/>
        <v>0</v>
      </c>
      <c r="BQ21" s="138">
        <f t="shared" ca="1" si="21"/>
        <v>0</v>
      </c>
      <c r="BR21" s="138">
        <f t="shared" ca="1" si="21"/>
        <v>0</v>
      </c>
      <c r="BS21" s="138">
        <f t="shared" ca="1" si="21"/>
        <v>0</v>
      </c>
      <c r="BT21" s="138">
        <f t="shared" ca="1" si="21"/>
        <v>0</v>
      </c>
      <c r="BU21" s="138">
        <f t="shared" ca="1" si="21"/>
        <v>0</v>
      </c>
      <c r="BV21" s="138">
        <f t="shared" ca="1" si="21"/>
        <v>0</v>
      </c>
      <c r="BW21" s="138">
        <f t="shared" ca="1" si="21"/>
        <v>0</v>
      </c>
      <c r="BX21" s="138">
        <f t="shared" ca="1" si="21"/>
        <v>0</v>
      </c>
      <c r="BY21" s="138">
        <f t="shared" ca="1" si="21"/>
        <v>0</v>
      </c>
      <c r="BZ21" s="138">
        <f t="shared" ca="1" si="22"/>
        <v>0</v>
      </c>
      <c r="CA21" s="138">
        <f t="shared" ca="1" si="22"/>
        <v>0</v>
      </c>
      <c r="CB21" s="138">
        <f t="shared" ca="1" si="22"/>
        <v>0</v>
      </c>
      <c r="CC21" s="138">
        <f t="shared" ca="1" si="22"/>
        <v>0</v>
      </c>
      <c r="CD21" s="138">
        <f t="shared" ca="1" si="22"/>
        <v>0</v>
      </c>
      <c r="CE21" s="138">
        <f t="shared" ca="1" si="22"/>
        <v>0</v>
      </c>
      <c r="CF21" s="138">
        <f t="shared" ca="1" si="22"/>
        <v>0</v>
      </c>
      <c r="CG21" s="138">
        <f t="shared" ca="1" si="22"/>
        <v>0</v>
      </c>
      <c r="CH21" s="138">
        <f t="shared" ca="1" si="22"/>
        <v>0</v>
      </c>
      <c r="CI21" s="138">
        <f t="shared" ca="1" si="22"/>
        <v>0</v>
      </c>
      <c r="CJ21" s="138">
        <f t="shared" ca="1" si="23"/>
        <v>0</v>
      </c>
      <c r="CK21" s="138">
        <f t="shared" ca="1" si="23"/>
        <v>0</v>
      </c>
      <c r="CL21" s="138">
        <f t="shared" ca="1" si="23"/>
        <v>0</v>
      </c>
      <c r="CM21" s="138">
        <f t="shared" ca="1" si="23"/>
        <v>0</v>
      </c>
      <c r="CN21" s="138">
        <f t="shared" ca="1" si="23"/>
        <v>0</v>
      </c>
      <c r="CO21" s="138">
        <f t="shared" ca="1" si="23"/>
        <v>0</v>
      </c>
      <c r="CP21" s="138">
        <f t="shared" ca="1" si="23"/>
        <v>0</v>
      </c>
      <c r="CQ21" s="138">
        <f t="shared" ca="1" si="23"/>
        <v>0</v>
      </c>
      <c r="CR21" s="138">
        <f t="shared" ca="1" si="23"/>
        <v>0</v>
      </c>
      <c r="CS21" s="138">
        <f t="shared" ca="1" si="23"/>
        <v>0</v>
      </c>
      <c r="CT21" s="138">
        <f t="shared" ca="1" si="24"/>
        <v>0</v>
      </c>
      <c r="CU21" s="138">
        <f t="shared" ca="1" si="24"/>
        <v>0</v>
      </c>
      <c r="CV21" s="138">
        <f t="shared" ca="1" si="24"/>
        <v>0</v>
      </c>
      <c r="CW21" s="138">
        <f t="shared" ca="1" si="24"/>
        <v>0</v>
      </c>
      <c r="CX21" s="138">
        <f t="shared" ca="1" si="24"/>
        <v>0</v>
      </c>
      <c r="CY21" s="138">
        <f t="shared" ca="1" si="24"/>
        <v>0</v>
      </c>
      <c r="CZ21" s="138">
        <f t="shared" ca="1" si="24"/>
        <v>0</v>
      </c>
      <c r="DA21" s="138">
        <f t="shared" ca="1" si="24"/>
        <v>0</v>
      </c>
      <c r="DB21" s="138">
        <f t="shared" ca="1" si="24"/>
        <v>0</v>
      </c>
      <c r="DC21" s="138">
        <f t="shared" ca="1" si="24"/>
        <v>0</v>
      </c>
      <c r="DE21" s="254" t="str">
        <f t="shared" ca="1" si="25"/>
        <v>D.1.L.</v>
      </c>
      <c r="DF21">
        <v>1</v>
      </c>
      <c r="DG21">
        <f t="shared" ca="1" si="26"/>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7">SUM(I23:I31)</f>
        <v>0</v>
      </c>
      <c r="J22" s="234">
        <f t="shared" ca="1" si="27"/>
        <v>0</v>
      </c>
      <c r="K22" s="234">
        <f t="shared" ca="1" si="27"/>
        <v>0</v>
      </c>
      <c r="L22" s="234">
        <f t="shared" ca="1" si="27"/>
        <v>0</v>
      </c>
      <c r="M22" s="234">
        <f t="shared" ca="1" si="27"/>
        <v>0</v>
      </c>
      <c r="N22" s="234">
        <f t="shared" ca="1" si="27"/>
        <v>0</v>
      </c>
      <c r="O22" s="234">
        <f t="shared" ca="1" si="27"/>
        <v>0</v>
      </c>
      <c r="P22" s="234">
        <f t="shared" ca="1" si="27"/>
        <v>0</v>
      </c>
      <c r="Q22" s="234">
        <f t="shared" ca="1" si="27"/>
        <v>0</v>
      </c>
      <c r="R22" s="234">
        <f t="shared" ca="1" si="27"/>
        <v>0</v>
      </c>
      <c r="S22" s="234">
        <f t="shared" ca="1" si="27"/>
        <v>0</v>
      </c>
      <c r="T22" s="234">
        <f t="shared" ca="1" si="27"/>
        <v>0</v>
      </c>
      <c r="U22" s="234">
        <f t="shared" ca="1" si="27"/>
        <v>0</v>
      </c>
      <c r="V22" s="234">
        <f t="shared" ca="1" si="27"/>
        <v>0</v>
      </c>
      <c r="W22" s="234">
        <f t="shared" ca="1" si="27"/>
        <v>0</v>
      </c>
      <c r="X22" s="234">
        <f t="shared" ca="1" si="27"/>
        <v>0</v>
      </c>
      <c r="Y22" s="234">
        <f t="shared" ca="1" si="27"/>
        <v>0</v>
      </c>
      <c r="Z22" s="234">
        <f t="shared" ca="1" si="27"/>
        <v>0</v>
      </c>
      <c r="AA22" s="234">
        <f t="shared" ca="1" si="27"/>
        <v>0</v>
      </c>
      <c r="AB22" s="234">
        <f t="shared" ca="1" si="27"/>
        <v>0</v>
      </c>
      <c r="AC22" s="234">
        <f t="shared" ca="1" si="27"/>
        <v>0</v>
      </c>
      <c r="AD22" s="234">
        <f t="shared" ca="1" si="27"/>
        <v>0</v>
      </c>
      <c r="AE22" s="234">
        <f t="shared" ca="1" si="27"/>
        <v>0</v>
      </c>
      <c r="AF22" s="234">
        <f t="shared" ca="1" si="27"/>
        <v>0</v>
      </c>
      <c r="AG22" s="234">
        <f t="shared" ca="1" si="27"/>
        <v>0</v>
      </c>
      <c r="AH22" s="234">
        <f t="shared" ca="1" si="27"/>
        <v>0</v>
      </c>
      <c r="AI22" s="234">
        <f t="shared" ca="1" si="27"/>
        <v>0</v>
      </c>
      <c r="AJ22" s="234">
        <f t="shared" ca="1" si="27"/>
        <v>0</v>
      </c>
      <c r="AK22" s="234">
        <f t="shared" ca="1" si="27"/>
        <v>0</v>
      </c>
      <c r="AL22" s="234">
        <f t="shared" ca="1" si="27"/>
        <v>0</v>
      </c>
      <c r="AM22" s="234">
        <f t="shared" ca="1" si="27"/>
        <v>0</v>
      </c>
      <c r="AN22" s="234">
        <f t="shared" ca="1" si="27"/>
        <v>0</v>
      </c>
      <c r="AO22" s="234">
        <f t="shared" ca="1" si="27"/>
        <v>0</v>
      </c>
      <c r="AP22" s="234">
        <f t="shared" ca="1" si="27"/>
        <v>0</v>
      </c>
      <c r="AQ22" s="234">
        <f t="shared" ca="1" si="27"/>
        <v>0</v>
      </c>
      <c r="AR22" s="234">
        <f t="shared" ca="1" si="27"/>
        <v>0</v>
      </c>
      <c r="AS22" s="234">
        <f t="shared" ca="1" si="27"/>
        <v>0</v>
      </c>
      <c r="AT22" s="234">
        <f t="shared" ca="1" si="27"/>
        <v>0</v>
      </c>
      <c r="AU22" s="234">
        <f t="shared" ca="1" si="27"/>
        <v>0</v>
      </c>
      <c r="AV22" s="234">
        <f t="shared" ca="1" si="27"/>
        <v>0</v>
      </c>
      <c r="AW22" s="234">
        <f t="shared" ca="1" si="27"/>
        <v>0</v>
      </c>
      <c r="AX22" s="234">
        <f t="shared" ca="1" si="27"/>
        <v>0</v>
      </c>
      <c r="AY22" s="234">
        <f t="shared" ca="1" si="27"/>
        <v>0</v>
      </c>
      <c r="AZ22" s="234">
        <f t="shared" ca="1" si="27"/>
        <v>0</v>
      </c>
      <c r="BA22" s="234">
        <f t="shared" ca="1" si="27"/>
        <v>0</v>
      </c>
      <c r="BB22" s="234">
        <f t="shared" ca="1" si="27"/>
        <v>0</v>
      </c>
      <c r="BC22" s="234">
        <f t="shared" ca="1" si="27"/>
        <v>0</v>
      </c>
      <c r="BD22" s="234">
        <f t="shared" ca="1" si="27"/>
        <v>0</v>
      </c>
      <c r="BE22" s="234">
        <f t="shared" ca="1" si="27"/>
        <v>0</v>
      </c>
      <c r="BF22" s="234">
        <f t="shared" ca="1" si="27"/>
        <v>0</v>
      </c>
      <c r="BG22" s="234">
        <f t="shared" ca="1" si="27"/>
        <v>0</v>
      </c>
      <c r="BH22" s="234">
        <f t="shared" ca="1" si="27"/>
        <v>0</v>
      </c>
      <c r="BI22" s="234">
        <f t="shared" ca="1" si="27"/>
        <v>0</v>
      </c>
      <c r="BJ22" s="234">
        <f t="shared" ca="1" si="27"/>
        <v>0</v>
      </c>
      <c r="BK22" s="234">
        <f t="shared" ca="1" si="27"/>
        <v>0</v>
      </c>
      <c r="BL22" s="234">
        <f t="shared" ca="1" si="27"/>
        <v>0</v>
      </c>
      <c r="BM22" s="234">
        <f t="shared" ca="1" si="27"/>
        <v>0</v>
      </c>
      <c r="BN22" s="234">
        <f t="shared" ca="1" si="27"/>
        <v>0</v>
      </c>
      <c r="BO22" s="234">
        <f t="shared" ca="1" si="27"/>
        <v>0</v>
      </c>
      <c r="BP22" s="234">
        <f t="shared" ca="1" si="27"/>
        <v>0</v>
      </c>
      <c r="BQ22" s="234">
        <f t="shared" ca="1" si="27"/>
        <v>0</v>
      </c>
      <c r="BR22" s="234">
        <f t="shared" ca="1" si="27"/>
        <v>0</v>
      </c>
      <c r="BS22" s="234">
        <f t="shared" ca="1" si="27"/>
        <v>0</v>
      </c>
      <c r="BT22" s="234">
        <f t="shared" ca="1" si="27"/>
        <v>0</v>
      </c>
      <c r="BU22" s="234">
        <f t="shared" ref="BU22:DC22" ca="1" si="28">SUM(BU23:BU31)</f>
        <v>0</v>
      </c>
      <c r="BV22" s="234">
        <f t="shared" ca="1" si="28"/>
        <v>0</v>
      </c>
      <c r="BW22" s="234">
        <f t="shared" ca="1" si="28"/>
        <v>0</v>
      </c>
      <c r="BX22" s="234">
        <f t="shared" ca="1" si="28"/>
        <v>0</v>
      </c>
      <c r="BY22" s="234">
        <f t="shared" ca="1" si="28"/>
        <v>0</v>
      </c>
      <c r="BZ22" s="234">
        <f t="shared" ca="1" si="28"/>
        <v>0</v>
      </c>
      <c r="CA22" s="234">
        <f t="shared" ca="1" si="28"/>
        <v>0</v>
      </c>
      <c r="CB22" s="234">
        <f t="shared" ca="1" si="28"/>
        <v>0</v>
      </c>
      <c r="CC22" s="234">
        <f t="shared" ca="1" si="28"/>
        <v>0</v>
      </c>
      <c r="CD22" s="234">
        <f t="shared" ca="1" si="28"/>
        <v>0</v>
      </c>
      <c r="CE22" s="234">
        <f t="shared" ca="1" si="28"/>
        <v>0</v>
      </c>
      <c r="CF22" s="234">
        <f t="shared" ca="1" si="28"/>
        <v>0</v>
      </c>
      <c r="CG22" s="234">
        <f t="shared" ca="1" si="28"/>
        <v>0</v>
      </c>
      <c r="CH22" s="234">
        <f t="shared" ca="1" si="28"/>
        <v>0</v>
      </c>
      <c r="CI22" s="234">
        <f t="shared" ca="1" si="28"/>
        <v>0</v>
      </c>
      <c r="CJ22" s="234">
        <f t="shared" ca="1" si="28"/>
        <v>0</v>
      </c>
      <c r="CK22" s="234">
        <f t="shared" ca="1" si="28"/>
        <v>0</v>
      </c>
      <c r="CL22" s="234">
        <f t="shared" ca="1" si="28"/>
        <v>0</v>
      </c>
      <c r="CM22" s="234">
        <f t="shared" ca="1" si="28"/>
        <v>0</v>
      </c>
      <c r="CN22" s="234">
        <f t="shared" ca="1" si="28"/>
        <v>0</v>
      </c>
      <c r="CO22" s="234">
        <f t="shared" ca="1" si="28"/>
        <v>0</v>
      </c>
      <c r="CP22" s="234">
        <f t="shared" ca="1" si="28"/>
        <v>0</v>
      </c>
      <c r="CQ22" s="234">
        <f t="shared" ca="1" si="28"/>
        <v>0</v>
      </c>
      <c r="CR22" s="234">
        <f t="shared" ca="1" si="28"/>
        <v>0</v>
      </c>
      <c r="CS22" s="234">
        <f t="shared" ca="1" si="28"/>
        <v>0</v>
      </c>
      <c r="CT22" s="234">
        <f t="shared" ca="1" si="28"/>
        <v>0</v>
      </c>
      <c r="CU22" s="234">
        <f t="shared" ca="1" si="28"/>
        <v>0</v>
      </c>
      <c r="CV22" s="234">
        <f t="shared" ca="1" si="28"/>
        <v>0</v>
      </c>
      <c r="CW22" s="234">
        <f t="shared" ca="1" si="28"/>
        <v>0</v>
      </c>
      <c r="CX22" s="234">
        <f t="shared" ca="1" si="28"/>
        <v>0</v>
      </c>
      <c r="CY22" s="234">
        <f t="shared" ca="1" si="28"/>
        <v>0</v>
      </c>
      <c r="CZ22" s="234">
        <f t="shared" ca="1" si="28"/>
        <v>0</v>
      </c>
      <c r="DA22" s="234">
        <f t="shared" ca="1" si="28"/>
        <v>0</v>
      </c>
      <c r="DB22" s="234">
        <f t="shared" ca="1" si="28"/>
        <v>0</v>
      </c>
      <c r="DC22" s="234">
        <f t="shared" ca="1" si="28"/>
        <v>0</v>
      </c>
      <c r="DE22" s="254"/>
      <c r="DF22">
        <v>1</v>
      </c>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Q32" ca="1" si="29">OFFSET(INDIRECT("'"&amp;Opt_alt&amp;"'!H12"),$A23,H$5)*$DF23</f>
        <v>0</v>
      </c>
      <c r="I23" s="138">
        <f t="shared" ca="1" si="29"/>
        <v>0</v>
      </c>
      <c r="J23" s="138">
        <f t="shared" ca="1" si="29"/>
        <v>0</v>
      </c>
      <c r="K23" s="138">
        <f t="shared" ca="1" si="29"/>
        <v>0</v>
      </c>
      <c r="L23" s="138">
        <f t="shared" ca="1" si="29"/>
        <v>0</v>
      </c>
      <c r="M23" s="138">
        <f t="shared" ca="1" si="29"/>
        <v>0</v>
      </c>
      <c r="N23" s="138">
        <f t="shared" ca="1" si="29"/>
        <v>0</v>
      </c>
      <c r="O23" s="138">
        <f t="shared" ca="1" si="29"/>
        <v>0</v>
      </c>
      <c r="P23" s="138">
        <f t="shared" ca="1" si="29"/>
        <v>0</v>
      </c>
      <c r="Q23" s="138">
        <f t="shared" ca="1" si="29"/>
        <v>0</v>
      </c>
      <c r="R23" s="138">
        <f t="shared" ref="R23:AA32" ca="1" si="30">OFFSET(INDIRECT("'"&amp;Opt_alt&amp;"'!H12"),$A23,R$5)*$DF23</f>
        <v>0</v>
      </c>
      <c r="S23" s="138">
        <f t="shared" ca="1" si="30"/>
        <v>0</v>
      </c>
      <c r="T23" s="138">
        <f t="shared" ca="1" si="30"/>
        <v>0</v>
      </c>
      <c r="U23" s="138">
        <f t="shared" ca="1" si="30"/>
        <v>0</v>
      </c>
      <c r="V23" s="138">
        <f t="shared" ca="1" si="30"/>
        <v>0</v>
      </c>
      <c r="W23" s="138">
        <f t="shared" ca="1" si="30"/>
        <v>0</v>
      </c>
      <c r="X23" s="138">
        <f t="shared" ca="1" si="30"/>
        <v>0</v>
      </c>
      <c r="Y23" s="138">
        <f t="shared" ca="1" si="30"/>
        <v>0</v>
      </c>
      <c r="Z23" s="138">
        <f t="shared" ca="1" si="30"/>
        <v>0</v>
      </c>
      <c r="AA23" s="138">
        <f t="shared" ca="1" si="30"/>
        <v>0</v>
      </c>
      <c r="AB23" s="138">
        <f t="shared" ref="AB23:AK32" ca="1" si="31">OFFSET(INDIRECT("'"&amp;Opt_alt&amp;"'!H12"),$A23,AB$5)*$DF23</f>
        <v>0</v>
      </c>
      <c r="AC23" s="138">
        <f t="shared" ca="1" si="31"/>
        <v>0</v>
      </c>
      <c r="AD23" s="138">
        <f t="shared" ca="1" si="31"/>
        <v>0</v>
      </c>
      <c r="AE23" s="138">
        <f t="shared" ca="1" si="31"/>
        <v>0</v>
      </c>
      <c r="AF23" s="138">
        <f t="shared" ca="1" si="31"/>
        <v>0</v>
      </c>
      <c r="AG23" s="138">
        <f t="shared" ca="1" si="31"/>
        <v>0</v>
      </c>
      <c r="AH23" s="138">
        <f t="shared" ca="1" si="31"/>
        <v>0</v>
      </c>
      <c r="AI23" s="138">
        <f t="shared" ca="1" si="31"/>
        <v>0</v>
      </c>
      <c r="AJ23" s="138">
        <f t="shared" ca="1" si="31"/>
        <v>0</v>
      </c>
      <c r="AK23" s="138">
        <f t="shared" ca="1" si="31"/>
        <v>0</v>
      </c>
      <c r="AL23" s="138">
        <f t="shared" ref="AL23:AU32" ca="1" si="32">OFFSET(INDIRECT("'"&amp;Opt_alt&amp;"'!H12"),$A23,AL$5)*$DF23</f>
        <v>0</v>
      </c>
      <c r="AM23" s="138">
        <f t="shared" ca="1" si="32"/>
        <v>0</v>
      </c>
      <c r="AN23" s="138">
        <f t="shared" ca="1" si="32"/>
        <v>0</v>
      </c>
      <c r="AO23" s="138">
        <f t="shared" ca="1" si="32"/>
        <v>0</v>
      </c>
      <c r="AP23" s="138">
        <f t="shared" ca="1" si="32"/>
        <v>0</v>
      </c>
      <c r="AQ23" s="138">
        <f t="shared" ca="1" si="32"/>
        <v>0</v>
      </c>
      <c r="AR23" s="138">
        <f t="shared" ca="1" si="32"/>
        <v>0</v>
      </c>
      <c r="AS23" s="138">
        <f t="shared" ca="1" si="32"/>
        <v>0</v>
      </c>
      <c r="AT23" s="138">
        <f t="shared" ca="1" si="32"/>
        <v>0</v>
      </c>
      <c r="AU23" s="138">
        <f t="shared" ca="1" si="32"/>
        <v>0</v>
      </c>
      <c r="AV23" s="138">
        <f t="shared" ref="AV23:BE32" ca="1" si="33">OFFSET(INDIRECT("'"&amp;Opt_alt&amp;"'!H12"),$A23,AV$5)*$DF23</f>
        <v>0</v>
      </c>
      <c r="AW23" s="138">
        <f t="shared" ca="1" si="33"/>
        <v>0</v>
      </c>
      <c r="AX23" s="138">
        <f t="shared" ca="1" si="33"/>
        <v>0</v>
      </c>
      <c r="AY23" s="138">
        <f t="shared" ca="1" si="33"/>
        <v>0</v>
      </c>
      <c r="AZ23" s="138">
        <f t="shared" ca="1" si="33"/>
        <v>0</v>
      </c>
      <c r="BA23" s="138">
        <f t="shared" ca="1" si="33"/>
        <v>0</v>
      </c>
      <c r="BB23" s="138">
        <f t="shared" ca="1" si="33"/>
        <v>0</v>
      </c>
      <c r="BC23" s="138">
        <f t="shared" ca="1" si="33"/>
        <v>0</v>
      </c>
      <c r="BD23" s="138">
        <f t="shared" ca="1" si="33"/>
        <v>0</v>
      </c>
      <c r="BE23" s="138">
        <f t="shared" ca="1" si="33"/>
        <v>0</v>
      </c>
      <c r="BF23" s="138">
        <f t="shared" ref="BF23:BO32" ca="1" si="34">OFFSET(INDIRECT("'"&amp;Opt_alt&amp;"'!H12"),$A23,BF$5)*$DF23</f>
        <v>0</v>
      </c>
      <c r="BG23" s="138">
        <f t="shared" ca="1" si="34"/>
        <v>0</v>
      </c>
      <c r="BH23" s="138">
        <f t="shared" ca="1" si="34"/>
        <v>0</v>
      </c>
      <c r="BI23" s="138">
        <f t="shared" ca="1" si="34"/>
        <v>0</v>
      </c>
      <c r="BJ23" s="138">
        <f t="shared" ca="1" si="34"/>
        <v>0</v>
      </c>
      <c r="BK23" s="138">
        <f t="shared" ca="1" si="34"/>
        <v>0</v>
      </c>
      <c r="BL23" s="138">
        <f t="shared" ca="1" si="34"/>
        <v>0</v>
      </c>
      <c r="BM23" s="138">
        <f t="shared" ca="1" si="34"/>
        <v>0</v>
      </c>
      <c r="BN23" s="138">
        <f t="shared" ca="1" si="34"/>
        <v>0</v>
      </c>
      <c r="BO23" s="138">
        <f t="shared" ca="1" si="34"/>
        <v>0</v>
      </c>
      <c r="BP23" s="138">
        <f t="shared" ref="BP23:BY32" ca="1" si="35">OFFSET(INDIRECT("'"&amp;Opt_alt&amp;"'!H12"),$A23,BP$5)*$DF23</f>
        <v>0</v>
      </c>
      <c r="BQ23" s="138">
        <f t="shared" ca="1" si="35"/>
        <v>0</v>
      </c>
      <c r="BR23" s="138">
        <f t="shared" ca="1" si="35"/>
        <v>0</v>
      </c>
      <c r="BS23" s="138">
        <f t="shared" ca="1" si="35"/>
        <v>0</v>
      </c>
      <c r="BT23" s="138">
        <f t="shared" ca="1" si="35"/>
        <v>0</v>
      </c>
      <c r="BU23" s="138">
        <f t="shared" ca="1" si="35"/>
        <v>0</v>
      </c>
      <c r="BV23" s="138">
        <f t="shared" ca="1" si="35"/>
        <v>0</v>
      </c>
      <c r="BW23" s="138">
        <f t="shared" ca="1" si="35"/>
        <v>0</v>
      </c>
      <c r="BX23" s="138">
        <f t="shared" ca="1" si="35"/>
        <v>0</v>
      </c>
      <c r="BY23" s="138">
        <f t="shared" ca="1" si="35"/>
        <v>0</v>
      </c>
      <c r="BZ23" s="138">
        <f t="shared" ref="BZ23:CI32" ca="1" si="36">OFFSET(INDIRECT("'"&amp;Opt_alt&amp;"'!H12"),$A23,BZ$5)*$DF23</f>
        <v>0</v>
      </c>
      <c r="CA23" s="138">
        <f t="shared" ca="1" si="36"/>
        <v>0</v>
      </c>
      <c r="CB23" s="138">
        <f t="shared" ca="1" si="36"/>
        <v>0</v>
      </c>
      <c r="CC23" s="138">
        <f t="shared" ca="1" si="36"/>
        <v>0</v>
      </c>
      <c r="CD23" s="138">
        <f t="shared" ca="1" si="36"/>
        <v>0</v>
      </c>
      <c r="CE23" s="138">
        <f t="shared" ca="1" si="36"/>
        <v>0</v>
      </c>
      <c r="CF23" s="138">
        <f t="shared" ca="1" si="36"/>
        <v>0</v>
      </c>
      <c r="CG23" s="138">
        <f t="shared" ca="1" si="36"/>
        <v>0</v>
      </c>
      <c r="CH23" s="138">
        <f t="shared" ca="1" si="36"/>
        <v>0</v>
      </c>
      <c r="CI23" s="138">
        <f t="shared" ca="1" si="36"/>
        <v>0</v>
      </c>
      <c r="CJ23" s="138">
        <f t="shared" ref="CJ23:CS32" ca="1" si="37">OFFSET(INDIRECT("'"&amp;Opt_alt&amp;"'!H12"),$A23,CJ$5)*$DF23</f>
        <v>0</v>
      </c>
      <c r="CK23" s="138">
        <f t="shared" ca="1" si="37"/>
        <v>0</v>
      </c>
      <c r="CL23" s="138">
        <f t="shared" ca="1" si="37"/>
        <v>0</v>
      </c>
      <c r="CM23" s="138">
        <f t="shared" ca="1" si="37"/>
        <v>0</v>
      </c>
      <c r="CN23" s="138">
        <f t="shared" ca="1" si="37"/>
        <v>0</v>
      </c>
      <c r="CO23" s="138">
        <f t="shared" ca="1" si="37"/>
        <v>0</v>
      </c>
      <c r="CP23" s="138">
        <f t="shared" ca="1" si="37"/>
        <v>0</v>
      </c>
      <c r="CQ23" s="138">
        <f t="shared" ca="1" si="37"/>
        <v>0</v>
      </c>
      <c r="CR23" s="138">
        <f t="shared" ca="1" si="37"/>
        <v>0</v>
      </c>
      <c r="CS23" s="138">
        <f t="shared" ca="1" si="37"/>
        <v>0</v>
      </c>
      <c r="CT23" s="138">
        <f t="shared" ref="CT23:DC32" ca="1" si="38">OFFSET(INDIRECT("'"&amp;Opt_alt&amp;"'!H12"),$A23,CT$5)*$DF23</f>
        <v>0</v>
      </c>
      <c r="CU23" s="138">
        <f t="shared" ca="1" si="38"/>
        <v>0</v>
      </c>
      <c r="CV23" s="138">
        <f t="shared" ca="1" si="38"/>
        <v>0</v>
      </c>
      <c r="CW23" s="138">
        <f t="shared" ca="1" si="38"/>
        <v>0</v>
      </c>
      <c r="CX23" s="138">
        <f t="shared" ca="1" si="38"/>
        <v>0</v>
      </c>
      <c r="CY23" s="138">
        <f t="shared" ca="1" si="38"/>
        <v>0</v>
      </c>
      <c r="CZ23" s="138">
        <f t="shared" ca="1" si="38"/>
        <v>0</v>
      </c>
      <c r="DA23" s="138">
        <f t="shared" ca="1" si="38"/>
        <v>0</v>
      </c>
      <c r="DB23" s="138">
        <f t="shared" ca="1" si="38"/>
        <v>0</v>
      </c>
      <c r="DC23" s="138">
        <f t="shared" ca="1" si="38"/>
        <v>0</v>
      </c>
      <c r="DE23" s="254" t="str">
        <f t="shared" ca="1" si="25"/>
        <v>D.2.1.</v>
      </c>
      <c r="DF23">
        <v>1</v>
      </c>
      <c r="DG23">
        <f t="shared" ref="DG23:DG32" ca="1" si="39">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9"/>
        <v>0</v>
      </c>
      <c r="I24" s="138">
        <f t="shared" ca="1" si="29"/>
        <v>0</v>
      </c>
      <c r="J24" s="138">
        <f t="shared" ca="1" si="29"/>
        <v>0</v>
      </c>
      <c r="K24" s="138">
        <f t="shared" ca="1" si="29"/>
        <v>0</v>
      </c>
      <c r="L24" s="138">
        <f t="shared" ca="1" si="29"/>
        <v>0</v>
      </c>
      <c r="M24" s="138">
        <f t="shared" ca="1" si="29"/>
        <v>0</v>
      </c>
      <c r="N24" s="138">
        <f t="shared" ca="1" si="29"/>
        <v>0</v>
      </c>
      <c r="O24" s="138">
        <f t="shared" ca="1" si="29"/>
        <v>0</v>
      </c>
      <c r="P24" s="138">
        <f t="shared" ca="1" si="29"/>
        <v>0</v>
      </c>
      <c r="Q24" s="138">
        <f t="shared" ca="1" si="29"/>
        <v>0</v>
      </c>
      <c r="R24" s="138">
        <f t="shared" ca="1" si="30"/>
        <v>0</v>
      </c>
      <c r="S24" s="138">
        <f t="shared" ca="1" si="30"/>
        <v>0</v>
      </c>
      <c r="T24" s="138">
        <f t="shared" ca="1" si="30"/>
        <v>0</v>
      </c>
      <c r="U24" s="138">
        <f t="shared" ca="1" si="30"/>
        <v>0</v>
      </c>
      <c r="V24" s="138">
        <f t="shared" ca="1" si="30"/>
        <v>0</v>
      </c>
      <c r="W24" s="138">
        <f t="shared" ca="1" si="30"/>
        <v>0</v>
      </c>
      <c r="X24" s="138">
        <f t="shared" ca="1" si="30"/>
        <v>0</v>
      </c>
      <c r="Y24" s="138">
        <f t="shared" ca="1" si="30"/>
        <v>0</v>
      </c>
      <c r="Z24" s="138">
        <f t="shared" ca="1" si="30"/>
        <v>0</v>
      </c>
      <c r="AA24" s="138">
        <f t="shared" ca="1" si="30"/>
        <v>0</v>
      </c>
      <c r="AB24" s="138">
        <f t="shared" ca="1" si="31"/>
        <v>0</v>
      </c>
      <c r="AC24" s="138">
        <f t="shared" ca="1" si="31"/>
        <v>0</v>
      </c>
      <c r="AD24" s="138">
        <f t="shared" ca="1" si="31"/>
        <v>0</v>
      </c>
      <c r="AE24" s="138">
        <f t="shared" ca="1" si="31"/>
        <v>0</v>
      </c>
      <c r="AF24" s="138">
        <f t="shared" ca="1" si="31"/>
        <v>0</v>
      </c>
      <c r="AG24" s="138">
        <f t="shared" ca="1" si="31"/>
        <v>0</v>
      </c>
      <c r="AH24" s="138">
        <f t="shared" ca="1" si="31"/>
        <v>0</v>
      </c>
      <c r="AI24" s="138">
        <f t="shared" ca="1" si="31"/>
        <v>0</v>
      </c>
      <c r="AJ24" s="138">
        <f t="shared" ca="1" si="31"/>
        <v>0</v>
      </c>
      <c r="AK24" s="138">
        <f t="shared" ca="1" si="31"/>
        <v>0</v>
      </c>
      <c r="AL24" s="138">
        <f t="shared" ca="1" si="32"/>
        <v>0</v>
      </c>
      <c r="AM24" s="138">
        <f t="shared" ca="1" si="32"/>
        <v>0</v>
      </c>
      <c r="AN24" s="138">
        <f t="shared" ca="1" si="32"/>
        <v>0</v>
      </c>
      <c r="AO24" s="138">
        <f t="shared" ca="1" si="32"/>
        <v>0</v>
      </c>
      <c r="AP24" s="138">
        <f t="shared" ca="1" si="32"/>
        <v>0</v>
      </c>
      <c r="AQ24" s="138">
        <f t="shared" ca="1" si="32"/>
        <v>0</v>
      </c>
      <c r="AR24" s="138">
        <f t="shared" ca="1" si="32"/>
        <v>0</v>
      </c>
      <c r="AS24" s="138">
        <f t="shared" ca="1" si="32"/>
        <v>0</v>
      </c>
      <c r="AT24" s="138">
        <f t="shared" ca="1" si="32"/>
        <v>0</v>
      </c>
      <c r="AU24" s="138">
        <f t="shared" ca="1" si="32"/>
        <v>0</v>
      </c>
      <c r="AV24" s="138">
        <f t="shared" ca="1" si="33"/>
        <v>0</v>
      </c>
      <c r="AW24" s="138">
        <f t="shared" ca="1" si="33"/>
        <v>0</v>
      </c>
      <c r="AX24" s="138">
        <f t="shared" ca="1" si="33"/>
        <v>0</v>
      </c>
      <c r="AY24" s="138">
        <f t="shared" ca="1" si="33"/>
        <v>0</v>
      </c>
      <c r="AZ24" s="138">
        <f t="shared" ca="1" si="33"/>
        <v>0</v>
      </c>
      <c r="BA24" s="138">
        <f t="shared" ca="1" si="33"/>
        <v>0</v>
      </c>
      <c r="BB24" s="138">
        <f t="shared" ca="1" si="33"/>
        <v>0</v>
      </c>
      <c r="BC24" s="138">
        <f t="shared" ca="1" si="33"/>
        <v>0</v>
      </c>
      <c r="BD24" s="138">
        <f t="shared" ca="1" si="33"/>
        <v>0</v>
      </c>
      <c r="BE24" s="138">
        <f t="shared" ca="1" si="33"/>
        <v>0</v>
      </c>
      <c r="BF24" s="138">
        <f t="shared" ca="1" si="34"/>
        <v>0</v>
      </c>
      <c r="BG24" s="138">
        <f t="shared" ca="1" si="34"/>
        <v>0</v>
      </c>
      <c r="BH24" s="138">
        <f t="shared" ca="1" si="34"/>
        <v>0</v>
      </c>
      <c r="BI24" s="138">
        <f t="shared" ca="1" si="34"/>
        <v>0</v>
      </c>
      <c r="BJ24" s="138">
        <f t="shared" ca="1" si="34"/>
        <v>0</v>
      </c>
      <c r="BK24" s="138">
        <f t="shared" ca="1" si="34"/>
        <v>0</v>
      </c>
      <c r="BL24" s="138">
        <f t="shared" ca="1" si="34"/>
        <v>0</v>
      </c>
      <c r="BM24" s="138">
        <f t="shared" ca="1" si="34"/>
        <v>0</v>
      </c>
      <c r="BN24" s="138">
        <f t="shared" ca="1" si="34"/>
        <v>0</v>
      </c>
      <c r="BO24" s="138">
        <f t="shared" ca="1" si="34"/>
        <v>0</v>
      </c>
      <c r="BP24" s="138">
        <f t="shared" ca="1" si="35"/>
        <v>0</v>
      </c>
      <c r="BQ24" s="138">
        <f t="shared" ca="1" si="35"/>
        <v>0</v>
      </c>
      <c r="BR24" s="138">
        <f t="shared" ca="1" si="35"/>
        <v>0</v>
      </c>
      <c r="BS24" s="138">
        <f t="shared" ca="1" si="35"/>
        <v>0</v>
      </c>
      <c r="BT24" s="138">
        <f t="shared" ca="1" si="35"/>
        <v>0</v>
      </c>
      <c r="BU24" s="138">
        <f t="shared" ca="1" si="35"/>
        <v>0</v>
      </c>
      <c r="BV24" s="138">
        <f t="shared" ca="1" si="35"/>
        <v>0</v>
      </c>
      <c r="BW24" s="138">
        <f t="shared" ca="1" si="35"/>
        <v>0</v>
      </c>
      <c r="BX24" s="138">
        <f t="shared" ca="1" si="35"/>
        <v>0</v>
      </c>
      <c r="BY24" s="138">
        <f t="shared" ca="1" si="35"/>
        <v>0</v>
      </c>
      <c r="BZ24" s="138">
        <f t="shared" ca="1" si="36"/>
        <v>0</v>
      </c>
      <c r="CA24" s="138">
        <f t="shared" ca="1" si="36"/>
        <v>0</v>
      </c>
      <c r="CB24" s="138">
        <f t="shared" ca="1" si="36"/>
        <v>0</v>
      </c>
      <c r="CC24" s="138">
        <f t="shared" ca="1" si="36"/>
        <v>0</v>
      </c>
      <c r="CD24" s="138">
        <f t="shared" ca="1" si="36"/>
        <v>0</v>
      </c>
      <c r="CE24" s="138">
        <f t="shared" ca="1" si="36"/>
        <v>0</v>
      </c>
      <c r="CF24" s="138">
        <f t="shared" ca="1" si="36"/>
        <v>0</v>
      </c>
      <c r="CG24" s="138">
        <f t="shared" ca="1" si="36"/>
        <v>0</v>
      </c>
      <c r="CH24" s="138">
        <f t="shared" ca="1" si="36"/>
        <v>0</v>
      </c>
      <c r="CI24" s="138">
        <f t="shared" ca="1" si="36"/>
        <v>0</v>
      </c>
      <c r="CJ24" s="138">
        <f t="shared" ca="1" si="37"/>
        <v>0</v>
      </c>
      <c r="CK24" s="138">
        <f t="shared" ca="1" si="37"/>
        <v>0</v>
      </c>
      <c r="CL24" s="138">
        <f t="shared" ca="1" si="37"/>
        <v>0</v>
      </c>
      <c r="CM24" s="138">
        <f t="shared" ca="1" si="37"/>
        <v>0</v>
      </c>
      <c r="CN24" s="138">
        <f t="shared" ca="1" si="37"/>
        <v>0</v>
      </c>
      <c r="CO24" s="138">
        <f t="shared" ca="1" si="37"/>
        <v>0</v>
      </c>
      <c r="CP24" s="138">
        <f t="shared" ca="1" si="37"/>
        <v>0</v>
      </c>
      <c r="CQ24" s="138">
        <f t="shared" ca="1" si="37"/>
        <v>0</v>
      </c>
      <c r="CR24" s="138">
        <f t="shared" ca="1" si="37"/>
        <v>0</v>
      </c>
      <c r="CS24" s="138">
        <f t="shared" ca="1" si="37"/>
        <v>0</v>
      </c>
      <c r="CT24" s="138">
        <f t="shared" ca="1" si="38"/>
        <v>0</v>
      </c>
      <c r="CU24" s="138">
        <f t="shared" ca="1" si="38"/>
        <v>0</v>
      </c>
      <c r="CV24" s="138">
        <f t="shared" ca="1" si="38"/>
        <v>0</v>
      </c>
      <c r="CW24" s="138">
        <f t="shared" ca="1" si="38"/>
        <v>0</v>
      </c>
      <c r="CX24" s="138">
        <f t="shared" ca="1" si="38"/>
        <v>0</v>
      </c>
      <c r="CY24" s="138">
        <f t="shared" ca="1" si="38"/>
        <v>0</v>
      </c>
      <c r="CZ24" s="138">
        <f t="shared" ca="1" si="38"/>
        <v>0</v>
      </c>
      <c r="DA24" s="138">
        <f t="shared" ca="1" si="38"/>
        <v>0</v>
      </c>
      <c r="DB24" s="138">
        <f t="shared" ca="1" si="38"/>
        <v>0</v>
      </c>
      <c r="DC24" s="138">
        <f t="shared" ca="1" si="38"/>
        <v>0</v>
      </c>
      <c r="DE24" s="254" t="str">
        <f t="shared" ca="1" si="25"/>
        <v>D.2.2.</v>
      </c>
      <c r="DF24">
        <v>1</v>
      </c>
      <c r="DG24">
        <f t="shared" ca="1" si="39"/>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9"/>
        <v>0</v>
      </c>
      <c r="I25" s="138">
        <f t="shared" ca="1" si="29"/>
        <v>0</v>
      </c>
      <c r="J25" s="138">
        <f t="shared" ca="1" si="29"/>
        <v>0</v>
      </c>
      <c r="K25" s="138">
        <f t="shared" ca="1" si="29"/>
        <v>0</v>
      </c>
      <c r="L25" s="138">
        <f t="shared" ca="1" si="29"/>
        <v>0</v>
      </c>
      <c r="M25" s="138">
        <f t="shared" ca="1" si="29"/>
        <v>0</v>
      </c>
      <c r="N25" s="138">
        <f t="shared" ca="1" si="29"/>
        <v>0</v>
      </c>
      <c r="O25" s="138">
        <f t="shared" ca="1" si="29"/>
        <v>0</v>
      </c>
      <c r="P25" s="138">
        <f t="shared" ca="1" si="29"/>
        <v>0</v>
      </c>
      <c r="Q25" s="138">
        <f t="shared" ca="1" si="29"/>
        <v>0</v>
      </c>
      <c r="R25" s="138">
        <f t="shared" ca="1" si="30"/>
        <v>0</v>
      </c>
      <c r="S25" s="138">
        <f t="shared" ca="1" si="30"/>
        <v>0</v>
      </c>
      <c r="T25" s="138">
        <f t="shared" ca="1" si="30"/>
        <v>0</v>
      </c>
      <c r="U25" s="138">
        <f t="shared" ca="1" si="30"/>
        <v>0</v>
      </c>
      <c r="V25" s="138">
        <f t="shared" ca="1" si="30"/>
        <v>0</v>
      </c>
      <c r="W25" s="138">
        <f t="shared" ca="1" si="30"/>
        <v>0</v>
      </c>
      <c r="X25" s="138">
        <f t="shared" ca="1" si="30"/>
        <v>0</v>
      </c>
      <c r="Y25" s="138">
        <f t="shared" ca="1" si="30"/>
        <v>0</v>
      </c>
      <c r="Z25" s="138">
        <f t="shared" ca="1" si="30"/>
        <v>0</v>
      </c>
      <c r="AA25" s="138">
        <f t="shared" ca="1" si="30"/>
        <v>0</v>
      </c>
      <c r="AB25" s="138">
        <f t="shared" ca="1" si="31"/>
        <v>0</v>
      </c>
      <c r="AC25" s="138">
        <f t="shared" ca="1" si="31"/>
        <v>0</v>
      </c>
      <c r="AD25" s="138">
        <f t="shared" ca="1" si="31"/>
        <v>0</v>
      </c>
      <c r="AE25" s="138">
        <f t="shared" ca="1" si="31"/>
        <v>0</v>
      </c>
      <c r="AF25" s="138">
        <f t="shared" ca="1" si="31"/>
        <v>0</v>
      </c>
      <c r="AG25" s="138">
        <f t="shared" ca="1" si="31"/>
        <v>0</v>
      </c>
      <c r="AH25" s="138">
        <f t="shared" ca="1" si="31"/>
        <v>0</v>
      </c>
      <c r="AI25" s="138">
        <f t="shared" ca="1" si="31"/>
        <v>0</v>
      </c>
      <c r="AJ25" s="138">
        <f t="shared" ca="1" si="31"/>
        <v>0</v>
      </c>
      <c r="AK25" s="138">
        <f t="shared" ca="1" si="31"/>
        <v>0</v>
      </c>
      <c r="AL25" s="138">
        <f t="shared" ca="1" si="32"/>
        <v>0</v>
      </c>
      <c r="AM25" s="138">
        <f t="shared" ca="1" si="32"/>
        <v>0</v>
      </c>
      <c r="AN25" s="138">
        <f t="shared" ca="1" si="32"/>
        <v>0</v>
      </c>
      <c r="AO25" s="138">
        <f t="shared" ca="1" si="32"/>
        <v>0</v>
      </c>
      <c r="AP25" s="138">
        <f t="shared" ca="1" si="32"/>
        <v>0</v>
      </c>
      <c r="AQ25" s="138">
        <f t="shared" ca="1" si="32"/>
        <v>0</v>
      </c>
      <c r="AR25" s="138">
        <f t="shared" ca="1" si="32"/>
        <v>0</v>
      </c>
      <c r="AS25" s="138">
        <f t="shared" ca="1" si="32"/>
        <v>0</v>
      </c>
      <c r="AT25" s="138">
        <f t="shared" ca="1" si="32"/>
        <v>0</v>
      </c>
      <c r="AU25" s="138">
        <f t="shared" ca="1" si="32"/>
        <v>0</v>
      </c>
      <c r="AV25" s="138">
        <f t="shared" ca="1" si="33"/>
        <v>0</v>
      </c>
      <c r="AW25" s="138">
        <f t="shared" ca="1" si="33"/>
        <v>0</v>
      </c>
      <c r="AX25" s="138">
        <f t="shared" ca="1" si="33"/>
        <v>0</v>
      </c>
      <c r="AY25" s="138">
        <f t="shared" ca="1" si="33"/>
        <v>0</v>
      </c>
      <c r="AZ25" s="138">
        <f t="shared" ca="1" si="33"/>
        <v>0</v>
      </c>
      <c r="BA25" s="138">
        <f t="shared" ca="1" si="33"/>
        <v>0</v>
      </c>
      <c r="BB25" s="138">
        <f t="shared" ca="1" si="33"/>
        <v>0</v>
      </c>
      <c r="BC25" s="138">
        <f t="shared" ca="1" si="33"/>
        <v>0</v>
      </c>
      <c r="BD25" s="138">
        <f t="shared" ca="1" si="33"/>
        <v>0</v>
      </c>
      <c r="BE25" s="138">
        <f t="shared" ca="1" si="33"/>
        <v>0</v>
      </c>
      <c r="BF25" s="138">
        <f t="shared" ca="1" si="34"/>
        <v>0</v>
      </c>
      <c r="BG25" s="138">
        <f t="shared" ca="1" si="34"/>
        <v>0</v>
      </c>
      <c r="BH25" s="138">
        <f t="shared" ca="1" si="34"/>
        <v>0</v>
      </c>
      <c r="BI25" s="138">
        <f t="shared" ca="1" si="34"/>
        <v>0</v>
      </c>
      <c r="BJ25" s="138">
        <f t="shared" ca="1" si="34"/>
        <v>0</v>
      </c>
      <c r="BK25" s="138">
        <f t="shared" ca="1" si="34"/>
        <v>0</v>
      </c>
      <c r="BL25" s="138">
        <f t="shared" ca="1" si="34"/>
        <v>0</v>
      </c>
      <c r="BM25" s="138">
        <f t="shared" ca="1" si="34"/>
        <v>0</v>
      </c>
      <c r="BN25" s="138">
        <f t="shared" ca="1" si="34"/>
        <v>0</v>
      </c>
      <c r="BO25" s="138">
        <f t="shared" ca="1" si="34"/>
        <v>0</v>
      </c>
      <c r="BP25" s="138">
        <f t="shared" ca="1" si="35"/>
        <v>0</v>
      </c>
      <c r="BQ25" s="138">
        <f t="shared" ca="1" si="35"/>
        <v>0</v>
      </c>
      <c r="BR25" s="138">
        <f t="shared" ca="1" si="35"/>
        <v>0</v>
      </c>
      <c r="BS25" s="138">
        <f t="shared" ca="1" si="35"/>
        <v>0</v>
      </c>
      <c r="BT25" s="138">
        <f t="shared" ca="1" si="35"/>
        <v>0</v>
      </c>
      <c r="BU25" s="138">
        <f t="shared" ca="1" si="35"/>
        <v>0</v>
      </c>
      <c r="BV25" s="138">
        <f t="shared" ca="1" si="35"/>
        <v>0</v>
      </c>
      <c r="BW25" s="138">
        <f t="shared" ca="1" si="35"/>
        <v>0</v>
      </c>
      <c r="BX25" s="138">
        <f t="shared" ca="1" si="35"/>
        <v>0</v>
      </c>
      <c r="BY25" s="138">
        <f t="shared" ca="1" si="35"/>
        <v>0</v>
      </c>
      <c r="BZ25" s="138">
        <f t="shared" ca="1" si="36"/>
        <v>0</v>
      </c>
      <c r="CA25" s="138">
        <f t="shared" ca="1" si="36"/>
        <v>0</v>
      </c>
      <c r="CB25" s="138">
        <f t="shared" ca="1" si="36"/>
        <v>0</v>
      </c>
      <c r="CC25" s="138">
        <f t="shared" ca="1" si="36"/>
        <v>0</v>
      </c>
      <c r="CD25" s="138">
        <f t="shared" ca="1" si="36"/>
        <v>0</v>
      </c>
      <c r="CE25" s="138">
        <f t="shared" ca="1" si="36"/>
        <v>0</v>
      </c>
      <c r="CF25" s="138">
        <f t="shared" ca="1" si="36"/>
        <v>0</v>
      </c>
      <c r="CG25" s="138">
        <f t="shared" ca="1" si="36"/>
        <v>0</v>
      </c>
      <c r="CH25" s="138">
        <f t="shared" ca="1" si="36"/>
        <v>0</v>
      </c>
      <c r="CI25" s="138">
        <f t="shared" ca="1" si="36"/>
        <v>0</v>
      </c>
      <c r="CJ25" s="138">
        <f t="shared" ca="1" si="37"/>
        <v>0</v>
      </c>
      <c r="CK25" s="138">
        <f t="shared" ca="1" si="37"/>
        <v>0</v>
      </c>
      <c r="CL25" s="138">
        <f t="shared" ca="1" si="37"/>
        <v>0</v>
      </c>
      <c r="CM25" s="138">
        <f t="shared" ca="1" si="37"/>
        <v>0</v>
      </c>
      <c r="CN25" s="138">
        <f t="shared" ca="1" si="37"/>
        <v>0</v>
      </c>
      <c r="CO25" s="138">
        <f t="shared" ca="1" si="37"/>
        <v>0</v>
      </c>
      <c r="CP25" s="138">
        <f t="shared" ca="1" si="37"/>
        <v>0</v>
      </c>
      <c r="CQ25" s="138">
        <f t="shared" ca="1" si="37"/>
        <v>0</v>
      </c>
      <c r="CR25" s="138">
        <f t="shared" ca="1" si="37"/>
        <v>0</v>
      </c>
      <c r="CS25" s="138">
        <f t="shared" ca="1" si="37"/>
        <v>0</v>
      </c>
      <c r="CT25" s="138">
        <f t="shared" ca="1" si="38"/>
        <v>0</v>
      </c>
      <c r="CU25" s="138">
        <f t="shared" ca="1" si="38"/>
        <v>0</v>
      </c>
      <c r="CV25" s="138">
        <f t="shared" ca="1" si="38"/>
        <v>0</v>
      </c>
      <c r="CW25" s="138">
        <f t="shared" ca="1" si="38"/>
        <v>0</v>
      </c>
      <c r="CX25" s="138">
        <f t="shared" ca="1" si="38"/>
        <v>0</v>
      </c>
      <c r="CY25" s="138">
        <f t="shared" ca="1" si="38"/>
        <v>0</v>
      </c>
      <c r="CZ25" s="138">
        <f t="shared" ca="1" si="38"/>
        <v>0</v>
      </c>
      <c r="DA25" s="138">
        <f t="shared" ca="1" si="38"/>
        <v>0</v>
      </c>
      <c r="DB25" s="138">
        <f t="shared" ca="1" si="38"/>
        <v>0</v>
      </c>
      <c r="DC25" s="138">
        <f t="shared" ca="1" si="38"/>
        <v>0</v>
      </c>
      <c r="DE25" s="254" t="str">
        <f t="shared" ca="1" si="25"/>
        <v>D.2.3.</v>
      </c>
      <c r="DF25">
        <v>1</v>
      </c>
      <c r="DG25">
        <f t="shared" ca="1" si="39"/>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9"/>
        <v>0</v>
      </c>
      <c r="I26" s="138">
        <f t="shared" ca="1" si="29"/>
        <v>0</v>
      </c>
      <c r="J26" s="138">
        <f t="shared" ca="1" si="29"/>
        <v>0</v>
      </c>
      <c r="K26" s="138">
        <f t="shared" ca="1" si="29"/>
        <v>0</v>
      </c>
      <c r="L26" s="138">
        <f t="shared" ca="1" si="29"/>
        <v>0</v>
      </c>
      <c r="M26" s="138">
        <f t="shared" ca="1" si="29"/>
        <v>0</v>
      </c>
      <c r="N26" s="138">
        <f t="shared" ca="1" si="29"/>
        <v>0</v>
      </c>
      <c r="O26" s="138">
        <f t="shared" ca="1" si="29"/>
        <v>0</v>
      </c>
      <c r="P26" s="138">
        <f t="shared" ca="1" si="29"/>
        <v>0</v>
      </c>
      <c r="Q26" s="138">
        <f t="shared" ca="1" si="29"/>
        <v>0</v>
      </c>
      <c r="R26" s="138">
        <f t="shared" ca="1" si="30"/>
        <v>0</v>
      </c>
      <c r="S26" s="138">
        <f t="shared" ca="1" si="30"/>
        <v>0</v>
      </c>
      <c r="T26" s="138">
        <f t="shared" ca="1" si="30"/>
        <v>0</v>
      </c>
      <c r="U26" s="138">
        <f t="shared" ca="1" si="30"/>
        <v>0</v>
      </c>
      <c r="V26" s="138">
        <f t="shared" ca="1" si="30"/>
        <v>0</v>
      </c>
      <c r="W26" s="138">
        <f t="shared" ca="1" si="30"/>
        <v>0</v>
      </c>
      <c r="X26" s="138">
        <f t="shared" ca="1" si="30"/>
        <v>0</v>
      </c>
      <c r="Y26" s="138">
        <f t="shared" ca="1" si="30"/>
        <v>0</v>
      </c>
      <c r="Z26" s="138">
        <f t="shared" ca="1" si="30"/>
        <v>0</v>
      </c>
      <c r="AA26" s="138">
        <f t="shared" ca="1" si="30"/>
        <v>0</v>
      </c>
      <c r="AB26" s="138">
        <f t="shared" ca="1" si="31"/>
        <v>0</v>
      </c>
      <c r="AC26" s="138">
        <f t="shared" ca="1" si="31"/>
        <v>0</v>
      </c>
      <c r="AD26" s="138">
        <f t="shared" ca="1" si="31"/>
        <v>0</v>
      </c>
      <c r="AE26" s="138">
        <f t="shared" ca="1" si="31"/>
        <v>0</v>
      </c>
      <c r="AF26" s="138">
        <f t="shared" ca="1" si="31"/>
        <v>0</v>
      </c>
      <c r="AG26" s="138">
        <f t="shared" ca="1" si="31"/>
        <v>0</v>
      </c>
      <c r="AH26" s="138">
        <f t="shared" ca="1" si="31"/>
        <v>0</v>
      </c>
      <c r="AI26" s="138">
        <f t="shared" ca="1" si="31"/>
        <v>0</v>
      </c>
      <c r="AJ26" s="138">
        <f t="shared" ca="1" si="31"/>
        <v>0</v>
      </c>
      <c r="AK26" s="138">
        <f t="shared" ca="1" si="31"/>
        <v>0</v>
      </c>
      <c r="AL26" s="138">
        <f t="shared" ca="1" si="32"/>
        <v>0</v>
      </c>
      <c r="AM26" s="138">
        <f t="shared" ca="1" si="32"/>
        <v>0</v>
      </c>
      <c r="AN26" s="138">
        <f t="shared" ca="1" si="32"/>
        <v>0</v>
      </c>
      <c r="AO26" s="138">
        <f t="shared" ca="1" si="32"/>
        <v>0</v>
      </c>
      <c r="AP26" s="138">
        <f t="shared" ca="1" si="32"/>
        <v>0</v>
      </c>
      <c r="AQ26" s="138">
        <f t="shared" ca="1" si="32"/>
        <v>0</v>
      </c>
      <c r="AR26" s="138">
        <f t="shared" ca="1" si="32"/>
        <v>0</v>
      </c>
      <c r="AS26" s="138">
        <f t="shared" ca="1" si="32"/>
        <v>0</v>
      </c>
      <c r="AT26" s="138">
        <f t="shared" ca="1" si="32"/>
        <v>0</v>
      </c>
      <c r="AU26" s="138">
        <f t="shared" ca="1" si="32"/>
        <v>0</v>
      </c>
      <c r="AV26" s="138">
        <f t="shared" ca="1" si="33"/>
        <v>0</v>
      </c>
      <c r="AW26" s="138">
        <f t="shared" ca="1" si="33"/>
        <v>0</v>
      </c>
      <c r="AX26" s="138">
        <f t="shared" ca="1" si="33"/>
        <v>0</v>
      </c>
      <c r="AY26" s="138">
        <f t="shared" ca="1" si="33"/>
        <v>0</v>
      </c>
      <c r="AZ26" s="138">
        <f t="shared" ca="1" si="33"/>
        <v>0</v>
      </c>
      <c r="BA26" s="138">
        <f t="shared" ca="1" si="33"/>
        <v>0</v>
      </c>
      <c r="BB26" s="138">
        <f t="shared" ca="1" si="33"/>
        <v>0</v>
      </c>
      <c r="BC26" s="138">
        <f t="shared" ca="1" si="33"/>
        <v>0</v>
      </c>
      <c r="BD26" s="138">
        <f t="shared" ca="1" si="33"/>
        <v>0</v>
      </c>
      <c r="BE26" s="138">
        <f t="shared" ca="1" si="33"/>
        <v>0</v>
      </c>
      <c r="BF26" s="138">
        <f t="shared" ca="1" si="34"/>
        <v>0</v>
      </c>
      <c r="BG26" s="138">
        <f t="shared" ca="1" si="34"/>
        <v>0</v>
      </c>
      <c r="BH26" s="138">
        <f t="shared" ca="1" si="34"/>
        <v>0</v>
      </c>
      <c r="BI26" s="138">
        <f t="shared" ca="1" si="34"/>
        <v>0</v>
      </c>
      <c r="BJ26" s="138">
        <f t="shared" ca="1" si="34"/>
        <v>0</v>
      </c>
      <c r="BK26" s="138">
        <f t="shared" ca="1" si="34"/>
        <v>0</v>
      </c>
      <c r="BL26" s="138">
        <f t="shared" ca="1" si="34"/>
        <v>0</v>
      </c>
      <c r="BM26" s="138">
        <f t="shared" ca="1" si="34"/>
        <v>0</v>
      </c>
      <c r="BN26" s="138">
        <f t="shared" ca="1" si="34"/>
        <v>0</v>
      </c>
      <c r="BO26" s="138">
        <f t="shared" ca="1" si="34"/>
        <v>0</v>
      </c>
      <c r="BP26" s="138">
        <f t="shared" ca="1" si="35"/>
        <v>0</v>
      </c>
      <c r="BQ26" s="138">
        <f t="shared" ca="1" si="35"/>
        <v>0</v>
      </c>
      <c r="BR26" s="138">
        <f t="shared" ca="1" si="35"/>
        <v>0</v>
      </c>
      <c r="BS26" s="138">
        <f t="shared" ca="1" si="35"/>
        <v>0</v>
      </c>
      <c r="BT26" s="138">
        <f t="shared" ca="1" si="35"/>
        <v>0</v>
      </c>
      <c r="BU26" s="138">
        <f t="shared" ca="1" si="35"/>
        <v>0</v>
      </c>
      <c r="BV26" s="138">
        <f t="shared" ca="1" si="35"/>
        <v>0</v>
      </c>
      <c r="BW26" s="138">
        <f t="shared" ca="1" si="35"/>
        <v>0</v>
      </c>
      <c r="BX26" s="138">
        <f t="shared" ca="1" si="35"/>
        <v>0</v>
      </c>
      <c r="BY26" s="138">
        <f t="shared" ca="1" si="35"/>
        <v>0</v>
      </c>
      <c r="BZ26" s="138">
        <f t="shared" ca="1" si="36"/>
        <v>0</v>
      </c>
      <c r="CA26" s="138">
        <f t="shared" ca="1" si="36"/>
        <v>0</v>
      </c>
      <c r="CB26" s="138">
        <f t="shared" ca="1" si="36"/>
        <v>0</v>
      </c>
      <c r="CC26" s="138">
        <f t="shared" ca="1" si="36"/>
        <v>0</v>
      </c>
      <c r="CD26" s="138">
        <f t="shared" ca="1" si="36"/>
        <v>0</v>
      </c>
      <c r="CE26" s="138">
        <f t="shared" ca="1" si="36"/>
        <v>0</v>
      </c>
      <c r="CF26" s="138">
        <f t="shared" ca="1" si="36"/>
        <v>0</v>
      </c>
      <c r="CG26" s="138">
        <f t="shared" ca="1" si="36"/>
        <v>0</v>
      </c>
      <c r="CH26" s="138">
        <f t="shared" ca="1" si="36"/>
        <v>0</v>
      </c>
      <c r="CI26" s="138">
        <f t="shared" ca="1" si="36"/>
        <v>0</v>
      </c>
      <c r="CJ26" s="138">
        <f t="shared" ca="1" si="37"/>
        <v>0</v>
      </c>
      <c r="CK26" s="138">
        <f t="shared" ca="1" si="37"/>
        <v>0</v>
      </c>
      <c r="CL26" s="138">
        <f t="shared" ca="1" si="37"/>
        <v>0</v>
      </c>
      <c r="CM26" s="138">
        <f t="shared" ca="1" si="37"/>
        <v>0</v>
      </c>
      <c r="CN26" s="138">
        <f t="shared" ca="1" si="37"/>
        <v>0</v>
      </c>
      <c r="CO26" s="138">
        <f t="shared" ca="1" si="37"/>
        <v>0</v>
      </c>
      <c r="CP26" s="138">
        <f t="shared" ca="1" si="37"/>
        <v>0</v>
      </c>
      <c r="CQ26" s="138">
        <f t="shared" ca="1" si="37"/>
        <v>0</v>
      </c>
      <c r="CR26" s="138">
        <f t="shared" ca="1" si="37"/>
        <v>0</v>
      </c>
      <c r="CS26" s="138">
        <f t="shared" ca="1" si="37"/>
        <v>0</v>
      </c>
      <c r="CT26" s="138">
        <f t="shared" ca="1" si="38"/>
        <v>0</v>
      </c>
      <c r="CU26" s="138">
        <f t="shared" ca="1" si="38"/>
        <v>0</v>
      </c>
      <c r="CV26" s="138">
        <f t="shared" ca="1" si="38"/>
        <v>0</v>
      </c>
      <c r="CW26" s="138">
        <f t="shared" ca="1" si="38"/>
        <v>0</v>
      </c>
      <c r="CX26" s="138">
        <f t="shared" ca="1" si="38"/>
        <v>0</v>
      </c>
      <c r="CY26" s="138">
        <f t="shared" ca="1" si="38"/>
        <v>0</v>
      </c>
      <c r="CZ26" s="138">
        <f t="shared" ca="1" si="38"/>
        <v>0</v>
      </c>
      <c r="DA26" s="138">
        <f t="shared" ca="1" si="38"/>
        <v>0</v>
      </c>
      <c r="DB26" s="138">
        <f t="shared" ca="1" si="38"/>
        <v>0</v>
      </c>
      <c r="DC26" s="138">
        <f t="shared" ca="1" si="38"/>
        <v>0</v>
      </c>
      <c r="DE26" s="254" t="str">
        <f t="shared" ca="1" si="25"/>
        <v>D.2.4.</v>
      </c>
      <c r="DF26">
        <v>1</v>
      </c>
      <c r="DG26">
        <f t="shared" ca="1" si="39"/>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9"/>
        <v>0</v>
      </c>
      <c r="I27" s="138">
        <f t="shared" ca="1" si="29"/>
        <v>0</v>
      </c>
      <c r="J27" s="138">
        <f t="shared" ca="1" si="29"/>
        <v>0</v>
      </c>
      <c r="K27" s="138">
        <f t="shared" ca="1" si="29"/>
        <v>0</v>
      </c>
      <c r="L27" s="138">
        <f t="shared" ca="1" si="29"/>
        <v>0</v>
      </c>
      <c r="M27" s="138">
        <f t="shared" ca="1" si="29"/>
        <v>0</v>
      </c>
      <c r="N27" s="138">
        <f t="shared" ca="1" si="29"/>
        <v>0</v>
      </c>
      <c r="O27" s="138">
        <f t="shared" ca="1" si="29"/>
        <v>0</v>
      </c>
      <c r="P27" s="138">
        <f t="shared" ca="1" si="29"/>
        <v>0</v>
      </c>
      <c r="Q27" s="138">
        <f t="shared" ca="1" si="29"/>
        <v>0</v>
      </c>
      <c r="R27" s="138">
        <f t="shared" ca="1" si="30"/>
        <v>0</v>
      </c>
      <c r="S27" s="138">
        <f t="shared" ca="1" si="30"/>
        <v>0</v>
      </c>
      <c r="T27" s="138">
        <f t="shared" ca="1" si="30"/>
        <v>0</v>
      </c>
      <c r="U27" s="138">
        <f t="shared" ca="1" si="30"/>
        <v>0</v>
      </c>
      <c r="V27" s="138">
        <f t="shared" ca="1" si="30"/>
        <v>0</v>
      </c>
      <c r="W27" s="138">
        <f t="shared" ca="1" si="30"/>
        <v>0</v>
      </c>
      <c r="X27" s="138">
        <f t="shared" ca="1" si="30"/>
        <v>0</v>
      </c>
      <c r="Y27" s="138">
        <f t="shared" ca="1" si="30"/>
        <v>0</v>
      </c>
      <c r="Z27" s="138">
        <f t="shared" ca="1" si="30"/>
        <v>0</v>
      </c>
      <c r="AA27" s="138">
        <f t="shared" ca="1" si="30"/>
        <v>0</v>
      </c>
      <c r="AB27" s="138">
        <f t="shared" ca="1" si="31"/>
        <v>0</v>
      </c>
      <c r="AC27" s="138">
        <f t="shared" ca="1" si="31"/>
        <v>0</v>
      </c>
      <c r="AD27" s="138">
        <f t="shared" ca="1" si="31"/>
        <v>0</v>
      </c>
      <c r="AE27" s="138">
        <f t="shared" ca="1" si="31"/>
        <v>0</v>
      </c>
      <c r="AF27" s="138">
        <f t="shared" ca="1" si="31"/>
        <v>0</v>
      </c>
      <c r="AG27" s="138">
        <f t="shared" ca="1" si="31"/>
        <v>0</v>
      </c>
      <c r="AH27" s="138">
        <f t="shared" ca="1" si="31"/>
        <v>0</v>
      </c>
      <c r="AI27" s="138">
        <f t="shared" ca="1" si="31"/>
        <v>0</v>
      </c>
      <c r="AJ27" s="138">
        <f t="shared" ca="1" si="31"/>
        <v>0</v>
      </c>
      <c r="AK27" s="138">
        <f t="shared" ca="1" si="31"/>
        <v>0</v>
      </c>
      <c r="AL27" s="138">
        <f t="shared" ca="1" si="32"/>
        <v>0</v>
      </c>
      <c r="AM27" s="138">
        <f t="shared" ca="1" si="32"/>
        <v>0</v>
      </c>
      <c r="AN27" s="138">
        <f t="shared" ca="1" si="32"/>
        <v>0</v>
      </c>
      <c r="AO27" s="138">
        <f t="shared" ca="1" si="32"/>
        <v>0</v>
      </c>
      <c r="AP27" s="138">
        <f t="shared" ca="1" si="32"/>
        <v>0</v>
      </c>
      <c r="AQ27" s="138">
        <f t="shared" ca="1" si="32"/>
        <v>0</v>
      </c>
      <c r="AR27" s="138">
        <f t="shared" ca="1" si="32"/>
        <v>0</v>
      </c>
      <c r="AS27" s="138">
        <f t="shared" ca="1" si="32"/>
        <v>0</v>
      </c>
      <c r="AT27" s="138">
        <f t="shared" ca="1" si="32"/>
        <v>0</v>
      </c>
      <c r="AU27" s="138">
        <f t="shared" ca="1" si="32"/>
        <v>0</v>
      </c>
      <c r="AV27" s="138">
        <f t="shared" ca="1" si="33"/>
        <v>0</v>
      </c>
      <c r="AW27" s="138">
        <f t="shared" ca="1" si="33"/>
        <v>0</v>
      </c>
      <c r="AX27" s="138">
        <f t="shared" ca="1" si="33"/>
        <v>0</v>
      </c>
      <c r="AY27" s="138">
        <f t="shared" ca="1" si="33"/>
        <v>0</v>
      </c>
      <c r="AZ27" s="138">
        <f t="shared" ca="1" si="33"/>
        <v>0</v>
      </c>
      <c r="BA27" s="138">
        <f t="shared" ca="1" si="33"/>
        <v>0</v>
      </c>
      <c r="BB27" s="138">
        <f t="shared" ca="1" si="33"/>
        <v>0</v>
      </c>
      <c r="BC27" s="138">
        <f t="shared" ca="1" si="33"/>
        <v>0</v>
      </c>
      <c r="BD27" s="138">
        <f t="shared" ca="1" si="33"/>
        <v>0</v>
      </c>
      <c r="BE27" s="138">
        <f t="shared" ca="1" si="33"/>
        <v>0</v>
      </c>
      <c r="BF27" s="138">
        <f t="shared" ca="1" si="34"/>
        <v>0</v>
      </c>
      <c r="BG27" s="138">
        <f t="shared" ca="1" si="34"/>
        <v>0</v>
      </c>
      <c r="BH27" s="138">
        <f t="shared" ca="1" si="34"/>
        <v>0</v>
      </c>
      <c r="BI27" s="138">
        <f t="shared" ca="1" si="34"/>
        <v>0</v>
      </c>
      <c r="BJ27" s="138">
        <f t="shared" ca="1" si="34"/>
        <v>0</v>
      </c>
      <c r="BK27" s="138">
        <f t="shared" ca="1" si="34"/>
        <v>0</v>
      </c>
      <c r="BL27" s="138">
        <f t="shared" ca="1" si="34"/>
        <v>0</v>
      </c>
      <c r="BM27" s="138">
        <f t="shared" ca="1" si="34"/>
        <v>0</v>
      </c>
      <c r="BN27" s="138">
        <f t="shared" ca="1" si="34"/>
        <v>0</v>
      </c>
      <c r="BO27" s="138">
        <f t="shared" ca="1" si="34"/>
        <v>0</v>
      </c>
      <c r="BP27" s="138">
        <f t="shared" ca="1" si="35"/>
        <v>0</v>
      </c>
      <c r="BQ27" s="138">
        <f t="shared" ca="1" si="35"/>
        <v>0</v>
      </c>
      <c r="BR27" s="138">
        <f t="shared" ca="1" si="35"/>
        <v>0</v>
      </c>
      <c r="BS27" s="138">
        <f t="shared" ca="1" si="35"/>
        <v>0</v>
      </c>
      <c r="BT27" s="138">
        <f t="shared" ca="1" si="35"/>
        <v>0</v>
      </c>
      <c r="BU27" s="138">
        <f t="shared" ca="1" si="35"/>
        <v>0</v>
      </c>
      <c r="BV27" s="138">
        <f t="shared" ca="1" si="35"/>
        <v>0</v>
      </c>
      <c r="BW27" s="138">
        <f t="shared" ca="1" si="35"/>
        <v>0</v>
      </c>
      <c r="BX27" s="138">
        <f t="shared" ca="1" si="35"/>
        <v>0</v>
      </c>
      <c r="BY27" s="138">
        <f t="shared" ca="1" si="35"/>
        <v>0</v>
      </c>
      <c r="BZ27" s="138">
        <f t="shared" ca="1" si="36"/>
        <v>0</v>
      </c>
      <c r="CA27" s="138">
        <f t="shared" ca="1" si="36"/>
        <v>0</v>
      </c>
      <c r="CB27" s="138">
        <f t="shared" ca="1" si="36"/>
        <v>0</v>
      </c>
      <c r="CC27" s="138">
        <f t="shared" ca="1" si="36"/>
        <v>0</v>
      </c>
      <c r="CD27" s="138">
        <f t="shared" ca="1" si="36"/>
        <v>0</v>
      </c>
      <c r="CE27" s="138">
        <f t="shared" ca="1" si="36"/>
        <v>0</v>
      </c>
      <c r="CF27" s="138">
        <f t="shared" ca="1" si="36"/>
        <v>0</v>
      </c>
      <c r="CG27" s="138">
        <f t="shared" ca="1" si="36"/>
        <v>0</v>
      </c>
      <c r="CH27" s="138">
        <f t="shared" ca="1" si="36"/>
        <v>0</v>
      </c>
      <c r="CI27" s="138">
        <f t="shared" ca="1" si="36"/>
        <v>0</v>
      </c>
      <c r="CJ27" s="138">
        <f t="shared" ca="1" si="37"/>
        <v>0</v>
      </c>
      <c r="CK27" s="138">
        <f t="shared" ca="1" si="37"/>
        <v>0</v>
      </c>
      <c r="CL27" s="138">
        <f t="shared" ca="1" si="37"/>
        <v>0</v>
      </c>
      <c r="CM27" s="138">
        <f t="shared" ca="1" si="37"/>
        <v>0</v>
      </c>
      <c r="CN27" s="138">
        <f t="shared" ca="1" si="37"/>
        <v>0</v>
      </c>
      <c r="CO27" s="138">
        <f t="shared" ca="1" si="37"/>
        <v>0</v>
      </c>
      <c r="CP27" s="138">
        <f t="shared" ca="1" si="37"/>
        <v>0</v>
      </c>
      <c r="CQ27" s="138">
        <f t="shared" ca="1" si="37"/>
        <v>0</v>
      </c>
      <c r="CR27" s="138">
        <f t="shared" ca="1" si="37"/>
        <v>0</v>
      </c>
      <c r="CS27" s="138">
        <f t="shared" ca="1" si="37"/>
        <v>0</v>
      </c>
      <c r="CT27" s="138">
        <f t="shared" ca="1" si="38"/>
        <v>0</v>
      </c>
      <c r="CU27" s="138">
        <f t="shared" ca="1" si="38"/>
        <v>0</v>
      </c>
      <c r="CV27" s="138">
        <f t="shared" ca="1" si="38"/>
        <v>0</v>
      </c>
      <c r="CW27" s="138">
        <f t="shared" ca="1" si="38"/>
        <v>0</v>
      </c>
      <c r="CX27" s="138">
        <f t="shared" ca="1" si="38"/>
        <v>0</v>
      </c>
      <c r="CY27" s="138">
        <f t="shared" ca="1" si="38"/>
        <v>0</v>
      </c>
      <c r="CZ27" s="138">
        <f t="shared" ca="1" si="38"/>
        <v>0</v>
      </c>
      <c r="DA27" s="138">
        <f t="shared" ca="1" si="38"/>
        <v>0</v>
      </c>
      <c r="DB27" s="138">
        <f t="shared" ca="1" si="38"/>
        <v>0</v>
      </c>
      <c r="DC27" s="138">
        <f t="shared" ca="1" si="38"/>
        <v>0</v>
      </c>
      <c r="DE27" s="254" t="str">
        <f t="shared" ca="1" si="25"/>
        <v>D.2.5.</v>
      </c>
      <c r="DF27">
        <v>1</v>
      </c>
      <c r="DG27">
        <f t="shared" ca="1" si="39"/>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9"/>
        <v>0</v>
      </c>
      <c r="I28" s="138">
        <f t="shared" ca="1" si="29"/>
        <v>0</v>
      </c>
      <c r="J28" s="138">
        <f t="shared" ca="1" si="29"/>
        <v>0</v>
      </c>
      <c r="K28" s="138">
        <f t="shared" ca="1" si="29"/>
        <v>0</v>
      </c>
      <c r="L28" s="138">
        <f t="shared" ca="1" si="29"/>
        <v>0</v>
      </c>
      <c r="M28" s="138">
        <f t="shared" ca="1" si="29"/>
        <v>0</v>
      </c>
      <c r="N28" s="138">
        <f t="shared" ca="1" si="29"/>
        <v>0</v>
      </c>
      <c r="O28" s="138">
        <f t="shared" ca="1" si="29"/>
        <v>0</v>
      </c>
      <c r="P28" s="138">
        <f t="shared" ca="1" si="29"/>
        <v>0</v>
      </c>
      <c r="Q28" s="138">
        <f t="shared" ca="1" si="29"/>
        <v>0</v>
      </c>
      <c r="R28" s="138">
        <f t="shared" ca="1" si="30"/>
        <v>0</v>
      </c>
      <c r="S28" s="138">
        <f t="shared" ca="1" si="30"/>
        <v>0</v>
      </c>
      <c r="T28" s="138">
        <f t="shared" ca="1" si="30"/>
        <v>0</v>
      </c>
      <c r="U28" s="138">
        <f t="shared" ca="1" si="30"/>
        <v>0</v>
      </c>
      <c r="V28" s="138">
        <f t="shared" ca="1" si="30"/>
        <v>0</v>
      </c>
      <c r="W28" s="138">
        <f t="shared" ca="1" si="30"/>
        <v>0</v>
      </c>
      <c r="X28" s="138">
        <f t="shared" ca="1" si="30"/>
        <v>0</v>
      </c>
      <c r="Y28" s="138">
        <f t="shared" ca="1" si="30"/>
        <v>0</v>
      </c>
      <c r="Z28" s="138">
        <f t="shared" ca="1" si="30"/>
        <v>0</v>
      </c>
      <c r="AA28" s="138">
        <f t="shared" ca="1" si="30"/>
        <v>0</v>
      </c>
      <c r="AB28" s="138">
        <f t="shared" ca="1" si="31"/>
        <v>0</v>
      </c>
      <c r="AC28" s="138">
        <f t="shared" ca="1" si="31"/>
        <v>0</v>
      </c>
      <c r="AD28" s="138">
        <f t="shared" ca="1" si="31"/>
        <v>0</v>
      </c>
      <c r="AE28" s="138">
        <f t="shared" ca="1" si="31"/>
        <v>0</v>
      </c>
      <c r="AF28" s="138">
        <f t="shared" ca="1" si="31"/>
        <v>0</v>
      </c>
      <c r="AG28" s="138">
        <f t="shared" ca="1" si="31"/>
        <v>0</v>
      </c>
      <c r="AH28" s="138">
        <f t="shared" ca="1" si="31"/>
        <v>0</v>
      </c>
      <c r="AI28" s="138">
        <f t="shared" ca="1" si="31"/>
        <v>0</v>
      </c>
      <c r="AJ28" s="138">
        <f t="shared" ca="1" si="31"/>
        <v>0</v>
      </c>
      <c r="AK28" s="138">
        <f t="shared" ca="1" si="31"/>
        <v>0</v>
      </c>
      <c r="AL28" s="138">
        <f t="shared" ca="1" si="32"/>
        <v>0</v>
      </c>
      <c r="AM28" s="138">
        <f t="shared" ca="1" si="32"/>
        <v>0</v>
      </c>
      <c r="AN28" s="138">
        <f t="shared" ca="1" si="32"/>
        <v>0</v>
      </c>
      <c r="AO28" s="138">
        <f t="shared" ca="1" si="32"/>
        <v>0</v>
      </c>
      <c r="AP28" s="138">
        <f t="shared" ca="1" si="32"/>
        <v>0</v>
      </c>
      <c r="AQ28" s="138">
        <f t="shared" ca="1" si="32"/>
        <v>0</v>
      </c>
      <c r="AR28" s="138">
        <f t="shared" ca="1" si="32"/>
        <v>0</v>
      </c>
      <c r="AS28" s="138">
        <f t="shared" ca="1" si="32"/>
        <v>0</v>
      </c>
      <c r="AT28" s="138">
        <f t="shared" ca="1" si="32"/>
        <v>0</v>
      </c>
      <c r="AU28" s="138">
        <f t="shared" ca="1" si="32"/>
        <v>0</v>
      </c>
      <c r="AV28" s="138">
        <f t="shared" ca="1" si="33"/>
        <v>0</v>
      </c>
      <c r="AW28" s="138">
        <f t="shared" ca="1" si="33"/>
        <v>0</v>
      </c>
      <c r="AX28" s="138">
        <f t="shared" ca="1" si="33"/>
        <v>0</v>
      </c>
      <c r="AY28" s="138">
        <f t="shared" ca="1" si="33"/>
        <v>0</v>
      </c>
      <c r="AZ28" s="138">
        <f t="shared" ca="1" si="33"/>
        <v>0</v>
      </c>
      <c r="BA28" s="138">
        <f t="shared" ca="1" si="33"/>
        <v>0</v>
      </c>
      <c r="BB28" s="138">
        <f t="shared" ca="1" si="33"/>
        <v>0</v>
      </c>
      <c r="BC28" s="138">
        <f t="shared" ca="1" si="33"/>
        <v>0</v>
      </c>
      <c r="BD28" s="138">
        <f t="shared" ca="1" si="33"/>
        <v>0</v>
      </c>
      <c r="BE28" s="138">
        <f t="shared" ca="1" si="33"/>
        <v>0</v>
      </c>
      <c r="BF28" s="138">
        <f t="shared" ca="1" si="34"/>
        <v>0</v>
      </c>
      <c r="BG28" s="138">
        <f t="shared" ca="1" si="34"/>
        <v>0</v>
      </c>
      <c r="BH28" s="138">
        <f t="shared" ca="1" si="34"/>
        <v>0</v>
      </c>
      <c r="BI28" s="138">
        <f t="shared" ca="1" si="34"/>
        <v>0</v>
      </c>
      <c r="BJ28" s="138">
        <f t="shared" ca="1" si="34"/>
        <v>0</v>
      </c>
      <c r="BK28" s="138">
        <f t="shared" ca="1" si="34"/>
        <v>0</v>
      </c>
      <c r="BL28" s="138">
        <f t="shared" ca="1" si="34"/>
        <v>0</v>
      </c>
      <c r="BM28" s="138">
        <f t="shared" ca="1" si="34"/>
        <v>0</v>
      </c>
      <c r="BN28" s="138">
        <f t="shared" ca="1" si="34"/>
        <v>0</v>
      </c>
      <c r="BO28" s="138">
        <f t="shared" ca="1" si="34"/>
        <v>0</v>
      </c>
      <c r="BP28" s="138">
        <f t="shared" ca="1" si="35"/>
        <v>0</v>
      </c>
      <c r="BQ28" s="138">
        <f t="shared" ca="1" si="35"/>
        <v>0</v>
      </c>
      <c r="BR28" s="138">
        <f t="shared" ca="1" si="35"/>
        <v>0</v>
      </c>
      <c r="BS28" s="138">
        <f t="shared" ca="1" si="35"/>
        <v>0</v>
      </c>
      <c r="BT28" s="138">
        <f t="shared" ca="1" si="35"/>
        <v>0</v>
      </c>
      <c r="BU28" s="138">
        <f t="shared" ca="1" si="35"/>
        <v>0</v>
      </c>
      <c r="BV28" s="138">
        <f t="shared" ca="1" si="35"/>
        <v>0</v>
      </c>
      <c r="BW28" s="138">
        <f t="shared" ca="1" si="35"/>
        <v>0</v>
      </c>
      <c r="BX28" s="138">
        <f t="shared" ca="1" si="35"/>
        <v>0</v>
      </c>
      <c r="BY28" s="138">
        <f t="shared" ca="1" si="35"/>
        <v>0</v>
      </c>
      <c r="BZ28" s="138">
        <f t="shared" ca="1" si="36"/>
        <v>0</v>
      </c>
      <c r="CA28" s="138">
        <f t="shared" ca="1" si="36"/>
        <v>0</v>
      </c>
      <c r="CB28" s="138">
        <f t="shared" ca="1" si="36"/>
        <v>0</v>
      </c>
      <c r="CC28" s="138">
        <f t="shared" ca="1" si="36"/>
        <v>0</v>
      </c>
      <c r="CD28" s="138">
        <f t="shared" ca="1" si="36"/>
        <v>0</v>
      </c>
      <c r="CE28" s="138">
        <f t="shared" ca="1" si="36"/>
        <v>0</v>
      </c>
      <c r="CF28" s="138">
        <f t="shared" ca="1" si="36"/>
        <v>0</v>
      </c>
      <c r="CG28" s="138">
        <f t="shared" ca="1" si="36"/>
        <v>0</v>
      </c>
      <c r="CH28" s="138">
        <f t="shared" ca="1" si="36"/>
        <v>0</v>
      </c>
      <c r="CI28" s="138">
        <f t="shared" ca="1" si="36"/>
        <v>0</v>
      </c>
      <c r="CJ28" s="138">
        <f t="shared" ca="1" si="37"/>
        <v>0</v>
      </c>
      <c r="CK28" s="138">
        <f t="shared" ca="1" si="37"/>
        <v>0</v>
      </c>
      <c r="CL28" s="138">
        <f t="shared" ca="1" si="37"/>
        <v>0</v>
      </c>
      <c r="CM28" s="138">
        <f t="shared" ca="1" si="37"/>
        <v>0</v>
      </c>
      <c r="CN28" s="138">
        <f t="shared" ca="1" si="37"/>
        <v>0</v>
      </c>
      <c r="CO28" s="138">
        <f t="shared" ca="1" si="37"/>
        <v>0</v>
      </c>
      <c r="CP28" s="138">
        <f t="shared" ca="1" si="37"/>
        <v>0</v>
      </c>
      <c r="CQ28" s="138">
        <f t="shared" ca="1" si="37"/>
        <v>0</v>
      </c>
      <c r="CR28" s="138">
        <f t="shared" ca="1" si="37"/>
        <v>0</v>
      </c>
      <c r="CS28" s="138">
        <f t="shared" ca="1" si="37"/>
        <v>0</v>
      </c>
      <c r="CT28" s="138">
        <f t="shared" ca="1" si="38"/>
        <v>0</v>
      </c>
      <c r="CU28" s="138">
        <f t="shared" ca="1" si="38"/>
        <v>0</v>
      </c>
      <c r="CV28" s="138">
        <f t="shared" ca="1" si="38"/>
        <v>0</v>
      </c>
      <c r="CW28" s="138">
        <f t="shared" ca="1" si="38"/>
        <v>0</v>
      </c>
      <c r="CX28" s="138">
        <f t="shared" ca="1" si="38"/>
        <v>0</v>
      </c>
      <c r="CY28" s="138">
        <f t="shared" ca="1" si="38"/>
        <v>0</v>
      </c>
      <c r="CZ28" s="138">
        <f t="shared" ca="1" si="38"/>
        <v>0</v>
      </c>
      <c r="DA28" s="138">
        <f t="shared" ca="1" si="38"/>
        <v>0</v>
      </c>
      <c r="DB28" s="138">
        <f t="shared" ca="1" si="38"/>
        <v>0</v>
      </c>
      <c r="DC28" s="138">
        <f t="shared" ca="1" si="38"/>
        <v>0</v>
      </c>
      <c r="DE28" s="254" t="str">
        <f t="shared" ca="1" si="25"/>
        <v>D.2.6.</v>
      </c>
      <c r="DF28">
        <v>1</v>
      </c>
      <c r="DG28">
        <f t="shared" ca="1" si="39"/>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9"/>
        <v>0</v>
      </c>
      <c r="I29" s="138">
        <f t="shared" ca="1" si="29"/>
        <v>0</v>
      </c>
      <c r="J29" s="138">
        <f t="shared" ca="1" si="29"/>
        <v>0</v>
      </c>
      <c r="K29" s="138">
        <f t="shared" ca="1" si="29"/>
        <v>0</v>
      </c>
      <c r="L29" s="138">
        <f t="shared" ca="1" si="29"/>
        <v>0</v>
      </c>
      <c r="M29" s="138">
        <f t="shared" ca="1" si="29"/>
        <v>0</v>
      </c>
      <c r="N29" s="138">
        <f t="shared" ca="1" si="29"/>
        <v>0</v>
      </c>
      <c r="O29" s="138">
        <f t="shared" ca="1" si="29"/>
        <v>0</v>
      </c>
      <c r="P29" s="138">
        <f t="shared" ca="1" si="29"/>
        <v>0</v>
      </c>
      <c r="Q29" s="138">
        <f t="shared" ca="1" si="29"/>
        <v>0</v>
      </c>
      <c r="R29" s="138">
        <f t="shared" ca="1" si="30"/>
        <v>0</v>
      </c>
      <c r="S29" s="138">
        <f t="shared" ca="1" si="30"/>
        <v>0</v>
      </c>
      <c r="T29" s="138">
        <f t="shared" ca="1" si="30"/>
        <v>0</v>
      </c>
      <c r="U29" s="138">
        <f t="shared" ca="1" si="30"/>
        <v>0</v>
      </c>
      <c r="V29" s="138">
        <f t="shared" ca="1" si="30"/>
        <v>0</v>
      </c>
      <c r="W29" s="138">
        <f t="shared" ca="1" si="30"/>
        <v>0</v>
      </c>
      <c r="X29" s="138">
        <f t="shared" ca="1" si="30"/>
        <v>0</v>
      </c>
      <c r="Y29" s="138">
        <f t="shared" ca="1" si="30"/>
        <v>0</v>
      </c>
      <c r="Z29" s="138">
        <f t="shared" ca="1" si="30"/>
        <v>0</v>
      </c>
      <c r="AA29" s="138">
        <f t="shared" ca="1" si="30"/>
        <v>0</v>
      </c>
      <c r="AB29" s="138">
        <f t="shared" ca="1" si="31"/>
        <v>0</v>
      </c>
      <c r="AC29" s="138">
        <f t="shared" ca="1" si="31"/>
        <v>0</v>
      </c>
      <c r="AD29" s="138">
        <f t="shared" ca="1" si="31"/>
        <v>0</v>
      </c>
      <c r="AE29" s="138">
        <f t="shared" ca="1" si="31"/>
        <v>0</v>
      </c>
      <c r="AF29" s="138">
        <f t="shared" ca="1" si="31"/>
        <v>0</v>
      </c>
      <c r="AG29" s="138">
        <f t="shared" ca="1" si="31"/>
        <v>0</v>
      </c>
      <c r="AH29" s="138">
        <f t="shared" ca="1" si="31"/>
        <v>0</v>
      </c>
      <c r="AI29" s="138">
        <f t="shared" ca="1" si="31"/>
        <v>0</v>
      </c>
      <c r="AJ29" s="138">
        <f t="shared" ca="1" si="31"/>
        <v>0</v>
      </c>
      <c r="AK29" s="138">
        <f t="shared" ca="1" si="31"/>
        <v>0</v>
      </c>
      <c r="AL29" s="138">
        <f t="shared" ca="1" si="32"/>
        <v>0</v>
      </c>
      <c r="AM29" s="138">
        <f t="shared" ca="1" si="32"/>
        <v>0</v>
      </c>
      <c r="AN29" s="138">
        <f t="shared" ca="1" si="32"/>
        <v>0</v>
      </c>
      <c r="AO29" s="138">
        <f t="shared" ca="1" si="32"/>
        <v>0</v>
      </c>
      <c r="AP29" s="138">
        <f t="shared" ca="1" si="32"/>
        <v>0</v>
      </c>
      <c r="AQ29" s="138">
        <f t="shared" ca="1" si="32"/>
        <v>0</v>
      </c>
      <c r="AR29" s="138">
        <f t="shared" ca="1" si="32"/>
        <v>0</v>
      </c>
      <c r="AS29" s="138">
        <f t="shared" ca="1" si="32"/>
        <v>0</v>
      </c>
      <c r="AT29" s="138">
        <f t="shared" ca="1" si="32"/>
        <v>0</v>
      </c>
      <c r="AU29" s="138">
        <f t="shared" ca="1" si="32"/>
        <v>0</v>
      </c>
      <c r="AV29" s="138">
        <f t="shared" ca="1" si="33"/>
        <v>0</v>
      </c>
      <c r="AW29" s="138">
        <f t="shared" ca="1" si="33"/>
        <v>0</v>
      </c>
      <c r="AX29" s="138">
        <f t="shared" ca="1" si="33"/>
        <v>0</v>
      </c>
      <c r="AY29" s="138">
        <f t="shared" ca="1" si="33"/>
        <v>0</v>
      </c>
      <c r="AZ29" s="138">
        <f t="shared" ca="1" si="33"/>
        <v>0</v>
      </c>
      <c r="BA29" s="138">
        <f t="shared" ca="1" si="33"/>
        <v>0</v>
      </c>
      <c r="BB29" s="138">
        <f t="shared" ca="1" si="33"/>
        <v>0</v>
      </c>
      <c r="BC29" s="138">
        <f t="shared" ca="1" si="33"/>
        <v>0</v>
      </c>
      <c r="BD29" s="138">
        <f t="shared" ca="1" si="33"/>
        <v>0</v>
      </c>
      <c r="BE29" s="138">
        <f t="shared" ca="1" si="33"/>
        <v>0</v>
      </c>
      <c r="BF29" s="138">
        <f t="shared" ca="1" si="34"/>
        <v>0</v>
      </c>
      <c r="BG29" s="138">
        <f t="shared" ca="1" si="34"/>
        <v>0</v>
      </c>
      <c r="BH29" s="138">
        <f t="shared" ca="1" si="34"/>
        <v>0</v>
      </c>
      <c r="BI29" s="138">
        <f t="shared" ca="1" si="34"/>
        <v>0</v>
      </c>
      <c r="BJ29" s="138">
        <f t="shared" ca="1" si="34"/>
        <v>0</v>
      </c>
      <c r="BK29" s="138">
        <f t="shared" ca="1" si="34"/>
        <v>0</v>
      </c>
      <c r="BL29" s="138">
        <f t="shared" ca="1" si="34"/>
        <v>0</v>
      </c>
      <c r="BM29" s="138">
        <f t="shared" ca="1" si="34"/>
        <v>0</v>
      </c>
      <c r="BN29" s="138">
        <f t="shared" ca="1" si="34"/>
        <v>0</v>
      </c>
      <c r="BO29" s="138">
        <f t="shared" ca="1" si="34"/>
        <v>0</v>
      </c>
      <c r="BP29" s="138">
        <f t="shared" ca="1" si="35"/>
        <v>0</v>
      </c>
      <c r="BQ29" s="138">
        <f t="shared" ca="1" si="35"/>
        <v>0</v>
      </c>
      <c r="BR29" s="138">
        <f t="shared" ca="1" si="35"/>
        <v>0</v>
      </c>
      <c r="BS29" s="138">
        <f t="shared" ca="1" si="35"/>
        <v>0</v>
      </c>
      <c r="BT29" s="138">
        <f t="shared" ca="1" si="35"/>
        <v>0</v>
      </c>
      <c r="BU29" s="138">
        <f t="shared" ca="1" si="35"/>
        <v>0</v>
      </c>
      <c r="BV29" s="138">
        <f t="shared" ca="1" si="35"/>
        <v>0</v>
      </c>
      <c r="BW29" s="138">
        <f t="shared" ca="1" si="35"/>
        <v>0</v>
      </c>
      <c r="BX29" s="138">
        <f t="shared" ca="1" si="35"/>
        <v>0</v>
      </c>
      <c r="BY29" s="138">
        <f t="shared" ca="1" si="35"/>
        <v>0</v>
      </c>
      <c r="BZ29" s="138">
        <f t="shared" ca="1" si="36"/>
        <v>0</v>
      </c>
      <c r="CA29" s="138">
        <f t="shared" ca="1" si="36"/>
        <v>0</v>
      </c>
      <c r="CB29" s="138">
        <f t="shared" ca="1" si="36"/>
        <v>0</v>
      </c>
      <c r="CC29" s="138">
        <f t="shared" ca="1" si="36"/>
        <v>0</v>
      </c>
      <c r="CD29" s="138">
        <f t="shared" ca="1" si="36"/>
        <v>0</v>
      </c>
      <c r="CE29" s="138">
        <f t="shared" ca="1" si="36"/>
        <v>0</v>
      </c>
      <c r="CF29" s="138">
        <f t="shared" ca="1" si="36"/>
        <v>0</v>
      </c>
      <c r="CG29" s="138">
        <f t="shared" ca="1" si="36"/>
        <v>0</v>
      </c>
      <c r="CH29" s="138">
        <f t="shared" ca="1" si="36"/>
        <v>0</v>
      </c>
      <c r="CI29" s="138">
        <f t="shared" ca="1" si="36"/>
        <v>0</v>
      </c>
      <c r="CJ29" s="138">
        <f t="shared" ca="1" si="37"/>
        <v>0</v>
      </c>
      <c r="CK29" s="138">
        <f t="shared" ca="1" si="37"/>
        <v>0</v>
      </c>
      <c r="CL29" s="138">
        <f t="shared" ca="1" si="37"/>
        <v>0</v>
      </c>
      <c r="CM29" s="138">
        <f t="shared" ca="1" si="37"/>
        <v>0</v>
      </c>
      <c r="CN29" s="138">
        <f t="shared" ca="1" si="37"/>
        <v>0</v>
      </c>
      <c r="CO29" s="138">
        <f t="shared" ca="1" si="37"/>
        <v>0</v>
      </c>
      <c r="CP29" s="138">
        <f t="shared" ca="1" si="37"/>
        <v>0</v>
      </c>
      <c r="CQ29" s="138">
        <f t="shared" ca="1" si="37"/>
        <v>0</v>
      </c>
      <c r="CR29" s="138">
        <f t="shared" ca="1" si="37"/>
        <v>0</v>
      </c>
      <c r="CS29" s="138">
        <f t="shared" ca="1" si="37"/>
        <v>0</v>
      </c>
      <c r="CT29" s="138">
        <f t="shared" ca="1" si="38"/>
        <v>0</v>
      </c>
      <c r="CU29" s="138">
        <f t="shared" ca="1" si="38"/>
        <v>0</v>
      </c>
      <c r="CV29" s="138">
        <f t="shared" ca="1" si="38"/>
        <v>0</v>
      </c>
      <c r="CW29" s="138">
        <f t="shared" ca="1" si="38"/>
        <v>0</v>
      </c>
      <c r="CX29" s="138">
        <f t="shared" ca="1" si="38"/>
        <v>0</v>
      </c>
      <c r="CY29" s="138">
        <f t="shared" ca="1" si="38"/>
        <v>0</v>
      </c>
      <c r="CZ29" s="138">
        <f t="shared" ca="1" si="38"/>
        <v>0</v>
      </c>
      <c r="DA29" s="138">
        <f t="shared" ca="1" si="38"/>
        <v>0</v>
      </c>
      <c r="DB29" s="138">
        <f t="shared" ca="1" si="38"/>
        <v>0</v>
      </c>
      <c r="DC29" s="138">
        <f t="shared" ca="1" si="38"/>
        <v>0</v>
      </c>
      <c r="DE29" s="254" t="str">
        <f t="shared" ca="1" si="25"/>
        <v>D.2.7.</v>
      </c>
      <c r="DF29">
        <v>1</v>
      </c>
      <c r="DG29">
        <f t="shared" ca="1" si="39"/>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9"/>
        <v>0</v>
      </c>
      <c r="I30" s="138">
        <f t="shared" ca="1" si="29"/>
        <v>0</v>
      </c>
      <c r="J30" s="138">
        <f t="shared" ca="1" si="29"/>
        <v>0</v>
      </c>
      <c r="K30" s="138">
        <f t="shared" ca="1" si="29"/>
        <v>0</v>
      </c>
      <c r="L30" s="138">
        <f t="shared" ca="1" si="29"/>
        <v>0</v>
      </c>
      <c r="M30" s="138">
        <f t="shared" ca="1" si="29"/>
        <v>0</v>
      </c>
      <c r="N30" s="138">
        <f t="shared" ca="1" si="29"/>
        <v>0</v>
      </c>
      <c r="O30" s="138">
        <f t="shared" ca="1" si="29"/>
        <v>0</v>
      </c>
      <c r="P30" s="138">
        <f t="shared" ca="1" si="29"/>
        <v>0</v>
      </c>
      <c r="Q30" s="138">
        <f t="shared" ca="1" si="29"/>
        <v>0</v>
      </c>
      <c r="R30" s="138">
        <f t="shared" ca="1" si="30"/>
        <v>0</v>
      </c>
      <c r="S30" s="138">
        <f t="shared" ca="1" si="30"/>
        <v>0</v>
      </c>
      <c r="T30" s="138">
        <f t="shared" ca="1" si="30"/>
        <v>0</v>
      </c>
      <c r="U30" s="138">
        <f t="shared" ca="1" si="30"/>
        <v>0</v>
      </c>
      <c r="V30" s="138">
        <f t="shared" ca="1" si="30"/>
        <v>0</v>
      </c>
      <c r="W30" s="138">
        <f t="shared" ca="1" si="30"/>
        <v>0</v>
      </c>
      <c r="X30" s="138">
        <f t="shared" ca="1" si="30"/>
        <v>0</v>
      </c>
      <c r="Y30" s="138">
        <f t="shared" ca="1" si="30"/>
        <v>0</v>
      </c>
      <c r="Z30" s="138">
        <f t="shared" ca="1" si="30"/>
        <v>0</v>
      </c>
      <c r="AA30" s="138">
        <f t="shared" ca="1" si="30"/>
        <v>0</v>
      </c>
      <c r="AB30" s="138">
        <f t="shared" ca="1" si="31"/>
        <v>0</v>
      </c>
      <c r="AC30" s="138">
        <f t="shared" ca="1" si="31"/>
        <v>0</v>
      </c>
      <c r="AD30" s="138">
        <f t="shared" ca="1" si="31"/>
        <v>0</v>
      </c>
      <c r="AE30" s="138">
        <f t="shared" ca="1" si="31"/>
        <v>0</v>
      </c>
      <c r="AF30" s="138">
        <f t="shared" ca="1" si="31"/>
        <v>0</v>
      </c>
      <c r="AG30" s="138">
        <f t="shared" ca="1" si="31"/>
        <v>0</v>
      </c>
      <c r="AH30" s="138">
        <f t="shared" ca="1" si="31"/>
        <v>0</v>
      </c>
      <c r="AI30" s="138">
        <f t="shared" ca="1" si="31"/>
        <v>0</v>
      </c>
      <c r="AJ30" s="138">
        <f t="shared" ca="1" si="31"/>
        <v>0</v>
      </c>
      <c r="AK30" s="138">
        <f t="shared" ca="1" si="31"/>
        <v>0</v>
      </c>
      <c r="AL30" s="138">
        <f t="shared" ca="1" si="32"/>
        <v>0</v>
      </c>
      <c r="AM30" s="138">
        <f t="shared" ca="1" si="32"/>
        <v>0</v>
      </c>
      <c r="AN30" s="138">
        <f t="shared" ca="1" si="32"/>
        <v>0</v>
      </c>
      <c r="AO30" s="138">
        <f t="shared" ca="1" si="32"/>
        <v>0</v>
      </c>
      <c r="AP30" s="138">
        <f t="shared" ca="1" si="32"/>
        <v>0</v>
      </c>
      <c r="AQ30" s="138">
        <f t="shared" ca="1" si="32"/>
        <v>0</v>
      </c>
      <c r="AR30" s="138">
        <f t="shared" ca="1" si="32"/>
        <v>0</v>
      </c>
      <c r="AS30" s="138">
        <f t="shared" ca="1" si="32"/>
        <v>0</v>
      </c>
      <c r="AT30" s="138">
        <f t="shared" ca="1" si="32"/>
        <v>0</v>
      </c>
      <c r="AU30" s="138">
        <f t="shared" ca="1" si="32"/>
        <v>0</v>
      </c>
      <c r="AV30" s="138">
        <f t="shared" ca="1" si="33"/>
        <v>0</v>
      </c>
      <c r="AW30" s="138">
        <f t="shared" ca="1" si="33"/>
        <v>0</v>
      </c>
      <c r="AX30" s="138">
        <f t="shared" ca="1" si="33"/>
        <v>0</v>
      </c>
      <c r="AY30" s="138">
        <f t="shared" ca="1" si="33"/>
        <v>0</v>
      </c>
      <c r="AZ30" s="138">
        <f t="shared" ca="1" si="33"/>
        <v>0</v>
      </c>
      <c r="BA30" s="138">
        <f t="shared" ca="1" si="33"/>
        <v>0</v>
      </c>
      <c r="BB30" s="138">
        <f t="shared" ca="1" si="33"/>
        <v>0</v>
      </c>
      <c r="BC30" s="138">
        <f t="shared" ca="1" si="33"/>
        <v>0</v>
      </c>
      <c r="BD30" s="138">
        <f t="shared" ca="1" si="33"/>
        <v>0</v>
      </c>
      <c r="BE30" s="138">
        <f t="shared" ca="1" si="33"/>
        <v>0</v>
      </c>
      <c r="BF30" s="138">
        <f t="shared" ca="1" si="34"/>
        <v>0</v>
      </c>
      <c r="BG30" s="138">
        <f t="shared" ca="1" si="34"/>
        <v>0</v>
      </c>
      <c r="BH30" s="138">
        <f t="shared" ca="1" si="34"/>
        <v>0</v>
      </c>
      <c r="BI30" s="138">
        <f t="shared" ca="1" si="34"/>
        <v>0</v>
      </c>
      <c r="BJ30" s="138">
        <f t="shared" ca="1" si="34"/>
        <v>0</v>
      </c>
      <c r="BK30" s="138">
        <f t="shared" ca="1" si="34"/>
        <v>0</v>
      </c>
      <c r="BL30" s="138">
        <f t="shared" ca="1" si="34"/>
        <v>0</v>
      </c>
      <c r="BM30" s="138">
        <f t="shared" ca="1" si="34"/>
        <v>0</v>
      </c>
      <c r="BN30" s="138">
        <f t="shared" ca="1" si="34"/>
        <v>0</v>
      </c>
      <c r="BO30" s="138">
        <f t="shared" ca="1" si="34"/>
        <v>0</v>
      </c>
      <c r="BP30" s="138">
        <f t="shared" ca="1" si="35"/>
        <v>0</v>
      </c>
      <c r="BQ30" s="138">
        <f t="shared" ca="1" si="35"/>
        <v>0</v>
      </c>
      <c r="BR30" s="138">
        <f t="shared" ca="1" si="35"/>
        <v>0</v>
      </c>
      <c r="BS30" s="138">
        <f t="shared" ca="1" si="35"/>
        <v>0</v>
      </c>
      <c r="BT30" s="138">
        <f t="shared" ca="1" si="35"/>
        <v>0</v>
      </c>
      <c r="BU30" s="138">
        <f t="shared" ca="1" si="35"/>
        <v>0</v>
      </c>
      <c r="BV30" s="138">
        <f t="shared" ca="1" si="35"/>
        <v>0</v>
      </c>
      <c r="BW30" s="138">
        <f t="shared" ca="1" si="35"/>
        <v>0</v>
      </c>
      <c r="BX30" s="138">
        <f t="shared" ca="1" si="35"/>
        <v>0</v>
      </c>
      <c r="BY30" s="138">
        <f t="shared" ca="1" si="35"/>
        <v>0</v>
      </c>
      <c r="BZ30" s="138">
        <f t="shared" ca="1" si="36"/>
        <v>0</v>
      </c>
      <c r="CA30" s="138">
        <f t="shared" ca="1" si="36"/>
        <v>0</v>
      </c>
      <c r="CB30" s="138">
        <f t="shared" ca="1" si="36"/>
        <v>0</v>
      </c>
      <c r="CC30" s="138">
        <f t="shared" ca="1" si="36"/>
        <v>0</v>
      </c>
      <c r="CD30" s="138">
        <f t="shared" ca="1" si="36"/>
        <v>0</v>
      </c>
      <c r="CE30" s="138">
        <f t="shared" ca="1" si="36"/>
        <v>0</v>
      </c>
      <c r="CF30" s="138">
        <f t="shared" ca="1" si="36"/>
        <v>0</v>
      </c>
      <c r="CG30" s="138">
        <f t="shared" ca="1" si="36"/>
        <v>0</v>
      </c>
      <c r="CH30" s="138">
        <f t="shared" ca="1" si="36"/>
        <v>0</v>
      </c>
      <c r="CI30" s="138">
        <f t="shared" ca="1" si="36"/>
        <v>0</v>
      </c>
      <c r="CJ30" s="138">
        <f t="shared" ca="1" si="37"/>
        <v>0</v>
      </c>
      <c r="CK30" s="138">
        <f t="shared" ca="1" si="37"/>
        <v>0</v>
      </c>
      <c r="CL30" s="138">
        <f t="shared" ca="1" si="37"/>
        <v>0</v>
      </c>
      <c r="CM30" s="138">
        <f t="shared" ca="1" si="37"/>
        <v>0</v>
      </c>
      <c r="CN30" s="138">
        <f t="shared" ca="1" si="37"/>
        <v>0</v>
      </c>
      <c r="CO30" s="138">
        <f t="shared" ca="1" si="37"/>
        <v>0</v>
      </c>
      <c r="CP30" s="138">
        <f t="shared" ca="1" si="37"/>
        <v>0</v>
      </c>
      <c r="CQ30" s="138">
        <f t="shared" ca="1" si="37"/>
        <v>0</v>
      </c>
      <c r="CR30" s="138">
        <f t="shared" ca="1" si="37"/>
        <v>0</v>
      </c>
      <c r="CS30" s="138">
        <f t="shared" ca="1" si="37"/>
        <v>0</v>
      </c>
      <c r="CT30" s="138">
        <f t="shared" ca="1" si="38"/>
        <v>0</v>
      </c>
      <c r="CU30" s="138">
        <f t="shared" ca="1" si="38"/>
        <v>0</v>
      </c>
      <c r="CV30" s="138">
        <f t="shared" ca="1" si="38"/>
        <v>0</v>
      </c>
      <c r="CW30" s="138">
        <f t="shared" ca="1" si="38"/>
        <v>0</v>
      </c>
      <c r="CX30" s="138">
        <f t="shared" ca="1" si="38"/>
        <v>0</v>
      </c>
      <c r="CY30" s="138">
        <f t="shared" ca="1" si="38"/>
        <v>0</v>
      </c>
      <c r="CZ30" s="138">
        <f t="shared" ca="1" si="38"/>
        <v>0</v>
      </c>
      <c r="DA30" s="138">
        <f t="shared" ca="1" si="38"/>
        <v>0</v>
      </c>
      <c r="DB30" s="138">
        <f t="shared" ca="1" si="38"/>
        <v>0</v>
      </c>
      <c r="DC30" s="138">
        <f t="shared" ca="1" si="38"/>
        <v>0</v>
      </c>
      <c r="DE30" s="254" t="str">
        <f t="shared" ca="1" si="25"/>
        <v>D.2.8.</v>
      </c>
      <c r="DF30">
        <v>1</v>
      </c>
      <c r="DG30">
        <f t="shared" ca="1" si="39"/>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9"/>
        <v>0</v>
      </c>
      <c r="I31" s="138">
        <f t="shared" ca="1" si="29"/>
        <v>0</v>
      </c>
      <c r="J31" s="138">
        <f t="shared" ca="1" si="29"/>
        <v>0</v>
      </c>
      <c r="K31" s="138">
        <f t="shared" ca="1" si="29"/>
        <v>0</v>
      </c>
      <c r="L31" s="138">
        <f t="shared" ca="1" si="29"/>
        <v>0</v>
      </c>
      <c r="M31" s="138">
        <f t="shared" ca="1" si="29"/>
        <v>0</v>
      </c>
      <c r="N31" s="138">
        <f t="shared" ca="1" si="29"/>
        <v>0</v>
      </c>
      <c r="O31" s="138">
        <f t="shared" ca="1" si="29"/>
        <v>0</v>
      </c>
      <c r="P31" s="138">
        <f t="shared" ca="1" si="29"/>
        <v>0</v>
      </c>
      <c r="Q31" s="138">
        <f t="shared" ca="1" si="29"/>
        <v>0</v>
      </c>
      <c r="R31" s="138">
        <f t="shared" ca="1" si="30"/>
        <v>0</v>
      </c>
      <c r="S31" s="138">
        <f t="shared" ca="1" si="30"/>
        <v>0</v>
      </c>
      <c r="T31" s="138">
        <f t="shared" ca="1" si="30"/>
        <v>0</v>
      </c>
      <c r="U31" s="138">
        <f t="shared" ca="1" si="30"/>
        <v>0</v>
      </c>
      <c r="V31" s="138">
        <f t="shared" ca="1" si="30"/>
        <v>0</v>
      </c>
      <c r="W31" s="138">
        <f t="shared" ca="1" si="30"/>
        <v>0</v>
      </c>
      <c r="X31" s="138">
        <f t="shared" ca="1" si="30"/>
        <v>0</v>
      </c>
      <c r="Y31" s="138">
        <f t="shared" ca="1" si="30"/>
        <v>0</v>
      </c>
      <c r="Z31" s="138">
        <f t="shared" ca="1" si="30"/>
        <v>0</v>
      </c>
      <c r="AA31" s="138">
        <f t="shared" ca="1" si="30"/>
        <v>0</v>
      </c>
      <c r="AB31" s="138">
        <f t="shared" ca="1" si="31"/>
        <v>0</v>
      </c>
      <c r="AC31" s="138">
        <f t="shared" ca="1" si="31"/>
        <v>0</v>
      </c>
      <c r="AD31" s="138">
        <f t="shared" ca="1" si="31"/>
        <v>0</v>
      </c>
      <c r="AE31" s="138">
        <f t="shared" ca="1" si="31"/>
        <v>0</v>
      </c>
      <c r="AF31" s="138">
        <f t="shared" ca="1" si="31"/>
        <v>0</v>
      </c>
      <c r="AG31" s="138">
        <f t="shared" ca="1" si="31"/>
        <v>0</v>
      </c>
      <c r="AH31" s="138">
        <f t="shared" ca="1" si="31"/>
        <v>0</v>
      </c>
      <c r="AI31" s="138">
        <f t="shared" ca="1" si="31"/>
        <v>0</v>
      </c>
      <c r="AJ31" s="138">
        <f t="shared" ca="1" si="31"/>
        <v>0</v>
      </c>
      <c r="AK31" s="138">
        <f t="shared" ca="1" si="31"/>
        <v>0</v>
      </c>
      <c r="AL31" s="138">
        <f t="shared" ca="1" si="32"/>
        <v>0</v>
      </c>
      <c r="AM31" s="138">
        <f t="shared" ca="1" si="32"/>
        <v>0</v>
      </c>
      <c r="AN31" s="138">
        <f t="shared" ca="1" si="32"/>
        <v>0</v>
      </c>
      <c r="AO31" s="138">
        <f t="shared" ca="1" si="32"/>
        <v>0</v>
      </c>
      <c r="AP31" s="138">
        <f t="shared" ca="1" si="32"/>
        <v>0</v>
      </c>
      <c r="AQ31" s="138">
        <f t="shared" ca="1" si="32"/>
        <v>0</v>
      </c>
      <c r="AR31" s="138">
        <f t="shared" ca="1" si="32"/>
        <v>0</v>
      </c>
      <c r="AS31" s="138">
        <f t="shared" ca="1" si="32"/>
        <v>0</v>
      </c>
      <c r="AT31" s="138">
        <f t="shared" ca="1" si="32"/>
        <v>0</v>
      </c>
      <c r="AU31" s="138">
        <f t="shared" ca="1" si="32"/>
        <v>0</v>
      </c>
      <c r="AV31" s="138">
        <f t="shared" ca="1" si="33"/>
        <v>0</v>
      </c>
      <c r="AW31" s="138">
        <f t="shared" ca="1" si="33"/>
        <v>0</v>
      </c>
      <c r="AX31" s="138">
        <f t="shared" ca="1" si="33"/>
        <v>0</v>
      </c>
      <c r="AY31" s="138">
        <f t="shared" ca="1" si="33"/>
        <v>0</v>
      </c>
      <c r="AZ31" s="138">
        <f t="shared" ca="1" si="33"/>
        <v>0</v>
      </c>
      <c r="BA31" s="138">
        <f t="shared" ca="1" si="33"/>
        <v>0</v>
      </c>
      <c r="BB31" s="138">
        <f t="shared" ca="1" si="33"/>
        <v>0</v>
      </c>
      <c r="BC31" s="138">
        <f t="shared" ca="1" si="33"/>
        <v>0</v>
      </c>
      <c r="BD31" s="138">
        <f t="shared" ca="1" si="33"/>
        <v>0</v>
      </c>
      <c r="BE31" s="138">
        <f t="shared" ca="1" si="33"/>
        <v>0</v>
      </c>
      <c r="BF31" s="138">
        <f t="shared" ca="1" si="34"/>
        <v>0</v>
      </c>
      <c r="BG31" s="138">
        <f t="shared" ca="1" si="34"/>
        <v>0</v>
      </c>
      <c r="BH31" s="138">
        <f t="shared" ca="1" si="34"/>
        <v>0</v>
      </c>
      <c r="BI31" s="138">
        <f t="shared" ca="1" si="34"/>
        <v>0</v>
      </c>
      <c r="BJ31" s="138">
        <f t="shared" ca="1" si="34"/>
        <v>0</v>
      </c>
      <c r="BK31" s="138">
        <f t="shared" ca="1" si="34"/>
        <v>0</v>
      </c>
      <c r="BL31" s="138">
        <f t="shared" ca="1" si="34"/>
        <v>0</v>
      </c>
      <c r="BM31" s="138">
        <f t="shared" ca="1" si="34"/>
        <v>0</v>
      </c>
      <c r="BN31" s="138">
        <f t="shared" ca="1" si="34"/>
        <v>0</v>
      </c>
      <c r="BO31" s="138">
        <f t="shared" ca="1" si="34"/>
        <v>0</v>
      </c>
      <c r="BP31" s="138">
        <f t="shared" ca="1" si="35"/>
        <v>0</v>
      </c>
      <c r="BQ31" s="138">
        <f t="shared" ca="1" si="35"/>
        <v>0</v>
      </c>
      <c r="BR31" s="138">
        <f t="shared" ca="1" si="35"/>
        <v>0</v>
      </c>
      <c r="BS31" s="138">
        <f t="shared" ca="1" si="35"/>
        <v>0</v>
      </c>
      <c r="BT31" s="138">
        <f t="shared" ca="1" si="35"/>
        <v>0</v>
      </c>
      <c r="BU31" s="138">
        <f t="shared" ca="1" si="35"/>
        <v>0</v>
      </c>
      <c r="BV31" s="138">
        <f t="shared" ca="1" si="35"/>
        <v>0</v>
      </c>
      <c r="BW31" s="138">
        <f t="shared" ca="1" si="35"/>
        <v>0</v>
      </c>
      <c r="BX31" s="138">
        <f t="shared" ca="1" si="35"/>
        <v>0</v>
      </c>
      <c r="BY31" s="138">
        <f t="shared" ca="1" si="35"/>
        <v>0</v>
      </c>
      <c r="BZ31" s="138">
        <f t="shared" ca="1" si="36"/>
        <v>0</v>
      </c>
      <c r="CA31" s="138">
        <f t="shared" ca="1" si="36"/>
        <v>0</v>
      </c>
      <c r="CB31" s="138">
        <f t="shared" ca="1" si="36"/>
        <v>0</v>
      </c>
      <c r="CC31" s="138">
        <f t="shared" ca="1" si="36"/>
        <v>0</v>
      </c>
      <c r="CD31" s="138">
        <f t="shared" ca="1" si="36"/>
        <v>0</v>
      </c>
      <c r="CE31" s="138">
        <f t="shared" ca="1" si="36"/>
        <v>0</v>
      </c>
      <c r="CF31" s="138">
        <f t="shared" ca="1" si="36"/>
        <v>0</v>
      </c>
      <c r="CG31" s="138">
        <f t="shared" ca="1" si="36"/>
        <v>0</v>
      </c>
      <c r="CH31" s="138">
        <f t="shared" ca="1" si="36"/>
        <v>0</v>
      </c>
      <c r="CI31" s="138">
        <f t="shared" ca="1" si="36"/>
        <v>0</v>
      </c>
      <c r="CJ31" s="138">
        <f t="shared" ca="1" si="37"/>
        <v>0</v>
      </c>
      <c r="CK31" s="138">
        <f t="shared" ca="1" si="37"/>
        <v>0</v>
      </c>
      <c r="CL31" s="138">
        <f t="shared" ca="1" si="37"/>
        <v>0</v>
      </c>
      <c r="CM31" s="138">
        <f t="shared" ca="1" si="37"/>
        <v>0</v>
      </c>
      <c r="CN31" s="138">
        <f t="shared" ca="1" si="37"/>
        <v>0</v>
      </c>
      <c r="CO31" s="138">
        <f t="shared" ca="1" si="37"/>
        <v>0</v>
      </c>
      <c r="CP31" s="138">
        <f t="shared" ca="1" si="37"/>
        <v>0</v>
      </c>
      <c r="CQ31" s="138">
        <f t="shared" ca="1" si="37"/>
        <v>0</v>
      </c>
      <c r="CR31" s="138">
        <f t="shared" ca="1" si="37"/>
        <v>0</v>
      </c>
      <c r="CS31" s="138">
        <f t="shared" ca="1" si="37"/>
        <v>0</v>
      </c>
      <c r="CT31" s="138">
        <f t="shared" ca="1" si="38"/>
        <v>0</v>
      </c>
      <c r="CU31" s="138">
        <f t="shared" ca="1" si="38"/>
        <v>0</v>
      </c>
      <c r="CV31" s="138">
        <f t="shared" ca="1" si="38"/>
        <v>0</v>
      </c>
      <c r="CW31" s="138">
        <f t="shared" ca="1" si="38"/>
        <v>0</v>
      </c>
      <c r="CX31" s="138">
        <f t="shared" ca="1" si="38"/>
        <v>0</v>
      </c>
      <c r="CY31" s="138">
        <f t="shared" ca="1" si="38"/>
        <v>0</v>
      </c>
      <c r="CZ31" s="138">
        <f t="shared" ca="1" si="38"/>
        <v>0</v>
      </c>
      <c r="DA31" s="138">
        <f t="shared" ca="1" si="38"/>
        <v>0</v>
      </c>
      <c r="DB31" s="138">
        <f t="shared" ca="1" si="38"/>
        <v>0</v>
      </c>
      <c r="DC31" s="138">
        <f t="shared" ca="1" si="38"/>
        <v>0</v>
      </c>
      <c r="DE31" s="254" t="str">
        <f t="shared" ca="1" si="25"/>
        <v>D.2.9.</v>
      </c>
      <c r="DF31">
        <v>1</v>
      </c>
      <c r="DG31">
        <f t="shared" ca="1" si="39"/>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9"/>
        <v>0</v>
      </c>
      <c r="I32" s="138">
        <f t="shared" ca="1" si="29"/>
        <v>0</v>
      </c>
      <c r="J32" s="138">
        <f t="shared" ca="1" si="29"/>
        <v>0</v>
      </c>
      <c r="K32" s="138">
        <f t="shared" ca="1" si="29"/>
        <v>0</v>
      </c>
      <c r="L32" s="138">
        <f t="shared" ca="1" si="29"/>
        <v>0</v>
      </c>
      <c r="M32" s="138">
        <f t="shared" ca="1" si="29"/>
        <v>0</v>
      </c>
      <c r="N32" s="138">
        <f t="shared" ca="1" si="29"/>
        <v>0</v>
      </c>
      <c r="O32" s="138">
        <f t="shared" ca="1" si="29"/>
        <v>0</v>
      </c>
      <c r="P32" s="138">
        <f t="shared" ca="1" si="29"/>
        <v>0</v>
      </c>
      <c r="Q32" s="138">
        <f t="shared" ca="1" si="29"/>
        <v>0</v>
      </c>
      <c r="R32" s="138">
        <f t="shared" ca="1" si="30"/>
        <v>0</v>
      </c>
      <c r="S32" s="138">
        <f t="shared" ca="1" si="30"/>
        <v>0</v>
      </c>
      <c r="T32" s="138">
        <f t="shared" ca="1" si="30"/>
        <v>0</v>
      </c>
      <c r="U32" s="138">
        <f t="shared" ca="1" si="30"/>
        <v>0</v>
      </c>
      <c r="V32" s="138">
        <f t="shared" ca="1" si="30"/>
        <v>0</v>
      </c>
      <c r="W32" s="138">
        <f t="shared" ca="1" si="30"/>
        <v>0</v>
      </c>
      <c r="X32" s="138">
        <f t="shared" ca="1" si="30"/>
        <v>0</v>
      </c>
      <c r="Y32" s="138">
        <f t="shared" ca="1" si="30"/>
        <v>0</v>
      </c>
      <c r="Z32" s="138">
        <f t="shared" ca="1" si="30"/>
        <v>0</v>
      </c>
      <c r="AA32" s="138">
        <f t="shared" ca="1" si="30"/>
        <v>0</v>
      </c>
      <c r="AB32" s="138">
        <f t="shared" ca="1" si="31"/>
        <v>0</v>
      </c>
      <c r="AC32" s="138">
        <f t="shared" ca="1" si="31"/>
        <v>0</v>
      </c>
      <c r="AD32" s="138">
        <f t="shared" ca="1" si="31"/>
        <v>0</v>
      </c>
      <c r="AE32" s="138">
        <f t="shared" ca="1" si="31"/>
        <v>0</v>
      </c>
      <c r="AF32" s="138">
        <f t="shared" ca="1" si="31"/>
        <v>0</v>
      </c>
      <c r="AG32" s="138">
        <f t="shared" ca="1" si="31"/>
        <v>0</v>
      </c>
      <c r="AH32" s="138">
        <f t="shared" ca="1" si="31"/>
        <v>0</v>
      </c>
      <c r="AI32" s="138">
        <f t="shared" ca="1" si="31"/>
        <v>0</v>
      </c>
      <c r="AJ32" s="138">
        <f t="shared" ca="1" si="31"/>
        <v>0</v>
      </c>
      <c r="AK32" s="138">
        <f t="shared" ca="1" si="31"/>
        <v>0</v>
      </c>
      <c r="AL32" s="138">
        <f t="shared" ca="1" si="32"/>
        <v>0</v>
      </c>
      <c r="AM32" s="138">
        <f t="shared" ca="1" si="32"/>
        <v>0</v>
      </c>
      <c r="AN32" s="138">
        <f t="shared" ca="1" si="32"/>
        <v>0</v>
      </c>
      <c r="AO32" s="138">
        <f t="shared" ca="1" si="32"/>
        <v>0</v>
      </c>
      <c r="AP32" s="138">
        <f t="shared" ca="1" si="32"/>
        <v>0</v>
      </c>
      <c r="AQ32" s="138">
        <f t="shared" ca="1" si="32"/>
        <v>0</v>
      </c>
      <c r="AR32" s="138">
        <f t="shared" ca="1" si="32"/>
        <v>0</v>
      </c>
      <c r="AS32" s="138">
        <f t="shared" ca="1" si="32"/>
        <v>0</v>
      </c>
      <c r="AT32" s="138">
        <f t="shared" ca="1" si="32"/>
        <v>0</v>
      </c>
      <c r="AU32" s="138">
        <f t="shared" ca="1" si="32"/>
        <v>0</v>
      </c>
      <c r="AV32" s="138">
        <f t="shared" ca="1" si="33"/>
        <v>0</v>
      </c>
      <c r="AW32" s="138">
        <f t="shared" ca="1" si="33"/>
        <v>0</v>
      </c>
      <c r="AX32" s="138">
        <f t="shared" ca="1" si="33"/>
        <v>0</v>
      </c>
      <c r="AY32" s="138">
        <f t="shared" ca="1" si="33"/>
        <v>0</v>
      </c>
      <c r="AZ32" s="138">
        <f t="shared" ca="1" si="33"/>
        <v>0</v>
      </c>
      <c r="BA32" s="138">
        <f t="shared" ca="1" si="33"/>
        <v>0</v>
      </c>
      <c r="BB32" s="138">
        <f t="shared" ca="1" si="33"/>
        <v>0</v>
      </c>
      <c r="BC32" s="138">
        <f t="shared" ca="1" si="33"/>
        <v>0</v>
      </c>
      <c r="BD32" s="138">
        <f t="shared" ca="1" si="33"/>
        <v>0</v>
      </c>
      <c r="BE32" s="138">
        <f t="shared" ca="1" si="33"/>
        <v>0</v>
      </c>
      <c r="BF32" s="138">
        <f t="shared" ca="1" si="34"/>
        <v>0</v>
      </c>
      <c r="BG32" s="138">
        <f t="shared" ca="1" si="34"/>
        <v>0</v>
      </c>
      <c r="BH32" s="138">
        <f t="shared" ca="1" si="34"/>
        <v>0</v>
      </c>
      <c r="BI32" s="138">
        <f t="shared" ca="1" si="34"/>
        <v>0</v>
      </c>
      <c r="BJ32" s="138">
        <f t="shared" ca="1" si="34"/>
        <v>0</v>
      </c>
      <c r="BK32" s="138">
        <f t="shared" ca="1" si="34"/>
        <v>0</v>
      </c>
      <c r="BL32" s="138">
        <f t="shared" ca="1" si="34"/>
        <v>0</v>
      </c>
      <c r="BM32" s="138">
        <f t="shared" ca="1" si="34"/>
        <v>0</v>
      </c>
      <c r="BN32" s="138">
        <f t="shared" ca="1" si="34"/>
        <v>0</v>
      </c>
      <c r="BO32" s="138">
        <f t="shared" ca="1" si="34"/>
        <v>0</v>
      </c>
      <c r="BP32" s="138">
        <f t="shared" ca="1" si="35"/>
        <v>0</v>
      </c>
      <c r="BQ32" s="138">
        <f t="shared" ca="1" si="35"/>
        <v>0</v>
      </c>
      <c r="BR32" s="138">
        <f t="shared" ca="1" si="35"/>
        <v>0</v>
      </c>
      <c r="BS32" s="138">
        <f t="shared" ca="1" si="35"/>
        <v>0</v>
      </c>
      <c r="BT32" s="138">
        <f t="shared" ca="1" si="35"/>
        <v>0</v>
      </c>
      <c r="BU32" s="138">
        <f t="shared" ca="1" si="35"/>
        <v>0</v>
      </c>
      <c r="BV32" s="138">
        <f t="shared" ca="1" si="35"/>
        <v>0</v>
      </c>
      <c r="BW32" s="138">
        <f t="shared" ca="1" si="35"/>
        <v>0</v>
      </c>
      <c r="BX32" s="138">
        <f t="shared" ca="1" si="35"/>
        <v>0</v>
      </c>
      <c r="BY32" s="138">
        <f t="shared" ca="1" si="35"/>
        <v>0</v>
      </c>
      <c r="BZ32" s="138">
        <f t="shared" ca="1" si="36"/>
        <v>0</v>
      </c>
      <c r="CA32" s="138">
        <f t="shared" ca="1" si="36"/>
        <v>0</v>
      </c>
      <c r="CB32" s="138">
        <f t="shared" ca="1" si="36"/>
        <v>0</v>
      </c>
      <c r="CC32" s="138">
        <f t="shared" ca="1" si="36"/>
        <v>0</v>
      </c>
      <c r="CD32" s="138">
        <f t="shared" ca="1" si="36"/>
        <v>0</v>
      </c>
      <c r="CE32" s="138">
        <f t="shared" ca="1" si="36"/>
        <v>0</v>
      </c>
      <c r="CF32" s="138">
        <f t="shared" ca="1" si="36"/>
        <v>0</v>
      </c>
      <c r="CG32" s="138">
        <f t="shared" ca="1" si="36"/>
        <v>0</v>
      </c>
      <c r="CH32" s="138">
        <f t="shared" ca="1" si="36"/>
        <v>0</v>
      </c>
      <c r="CI32" s="138">
        <f t="shared" ca="1" si="36"/>
        <v>0</v>
      </c>
      <c r="CJ32" s="138">
        <f t="shared" ca="1" si="37"/>
        <v>0</v>
      </c>
      <c r="CK32" s="138">
        <f t="shared" ca="1" si="37"/>
        <v>0</v>
      </c>
      <c r="CL32" s="138">
        <f t="shared" ca="1" si="37"/>
        <v>0</v>
      </c>
      <c r="CM32" s="138">
        <f t="shared" ca="1" si="37"/>
        <v>0</v>
      </c>
      <c r="CN32" s="138">
        <f t="shared" ca="1" si="37"/>
        <v>0</v>
      </c>
      <c r="CO32" s="138">
        <f t="shared" ca="1" si="37"/>
        <v>0</v>
      </c>
      <c r="CP32" s="138">
        <f t="shared" ca="1" si="37"/>
        <v>0</v>
      </c>
      <c r="CQ32" s="138">
        <f t="shared" ca="1" si="37"/>
        <v>0</v>
      </c>
      <c r="CR32" s="138">
        <f t="shared" ca="1" si="37"/>
        <v>0</v>
      </c>
      <c r="CS32" s="138">
        <f t="shared" ca="1" si="37"/>
        <v>0</v>
      </c>
      <c r="CT32" s="138">
        <f t="shared" ca="1" si="38"/>
        <v>0</v>
      </c>
      <c r="CU32" s="138">
        <f t="shared" ca="1" si="38"/>
        <v>0</v>
      </c>
      <c r="CV32" s="138">
        <f t="shared" ca="1" si="38"/>
        <v>0</v>
      </c>
      <c r="CW32" s="138">
        <f t="shared" ca="1" si="38"/>
        <v>0</v>
      </c>
      <c r="CX32" s="138">
        <f t="shared" ca="1" si="38"/>
        <v>0</v>
      </c>
      <c r="CY32" s="138">
        <f t="shared" ca="1" si="38"/>
        <v>0</v>
      </c>
      <c r="CZ32" s="138">
        <f t="shared" ca="1" si="38"/>
        <v>0</v>
      </c>
      <c r="DA32" s="138">
        <f t="shared" ca="1" si="38"/>
        <v>0</v>
      </c>
      <c r="DB32" s="138">
        <f t="shared" ca="1" si="38"/>
        <v>0</v>
      </c>
      <c r="DC32" s="138">
        <f t="shared" ca="1" si="38"/>
        <v>0</v>
      </c>
      <c r="DE32" s="254" t="str">
        <f t="shared" ca="1" si="25"/>
        <v>D.2.L.</v>
      </c>
      <c r="DF32">
        <v>1</v>
      </c>
      <c r="DG32">
        <f t="shared" ca="1" si="39"/>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40">SUM(I34:I42)</f>
        <v>0</v>
      </c>
      <c r="J33" s="234">
        <f t="shared" ca="1" si="40"/>
        <v>0</v>
      </c>
      <c r="K33" s="234">
        <f t="shared" ca="1" si="40"/>
        <v>0</v>
      </c>
      <c r="L33" s="234">
        <f t="shared" ca="1" si="40"/>
        <v>0</v>
      </c>
      <c r="M33" s="234">
        <f t="shared" ca="1" si="40"/>
        <v>0</v>
      </c>
      <c r="N33" s="234">
        <f t="shared" ca="1" si="40"/>
        <v>0</v>
      </c>
      <c r="O33" s="234">
        <f t="shared" ca="1" si="40"/>
        <v>0</v>
      </c>
      <c r="P33" s="234">
        <f t="shared" ca="1" si="40"/>
        <v>0</v>
      </c>
      <c r="Q33" s="234">
        <f t="shared" ca="1" si="40"/>
        <v>0</v>
      </c>
      <c r="R33" s="234">
        <f t="shared" ca="1" si="40"/>
        <v>0</v>
      </c>
      <c r="S33" s="234">
        <f t="shared" ca="1" si="40"/>
        <v>0</v>
      </c>
      <c r="T33" s="234">
        <f t="shared" ca="1" si="40"/>
        <v>0</v>
      </c>
      <c r="U33" s="234">
        <f t="shared" ca="1" si="40"/>
        <v>0</v>
      </c>
      <c r="V33" s="234">
        <f t="shared" ca="1" si="40"/>
        <v>0</v>
      </c>
      <c r="W33" s="234">
        <f t="shared" ca="1" si="40"/>
        <v>0</v>
      </c>
      <c r="X33" s="234">
        <f t="shared" ca="1" si="40"/>
        <v>0</v>
      </c>
      <c r="Y33" s="234">
        <f t="shared" ca="1" si="40"/>
        <v>0</v>
      </c>
      <c r="Z33" s="234">
        <f t="shared" ca="1" si="40"/>
        <v>0</v>
      </c>
      <c r="AA33" s="234">
        <f t="shared" ca="1" si="40"/>
        <v>0</v>
      </c>
      <c r="AB33" s="234">
        <f t="shared" ca="1" si="40"/>
        <v>0</v>
      </c>
      <c r="AC33" s="234">
        <f t="shared" ca="1" si="40"/>
        <v>0</v>
      </c>
      <c r="AD33" s="234">
        <f t="shared" ca="1" si="40"/>
        <v>0</v>
      </c>
      <c r="AE33" s="234">
        <f t="shared" ca="1" si="40"/>
        <v>0</v>
      </c>
      <c r="AF33" s="234">
        <f t="shared" ca="1" si="40"/>
        <v>0</v>
      </c>
      <c r="AG33" s="234">
        <f t="shared" ca="1" si="40"/>
        <v>0</v>
      </c>
      <c r="AH33" s="234">
        <f t="shared" ca="1" si="40"/>
        <v>0</v>
      </c>
      <c r="AI33" s="234">
        <f t="shared" ca="1" si="40"/>
        <v>0</v>
      </c>
      <c r="AJ33" s="234">
        <f t="shared" ca="1" si="40"/>
        <v>0</v>
      </c>
      <c r="AK33" s="234">
        <f t="shared" ca="1" si="40"/>
        <v>0</v>
      </c>
      <c r="AL33" s="234">
        <f t="shared" ca="1" si="40"/>
        <v>0</v>
      </c>
      <c r="AM33" s="234">
        <f t="shared" ca="1" si="40"/>
        <v>0</v>
      </c>
      <c r="AN33" s="234">
        <f t="shared" ca="1" si="40"/>
        <v>0</v>
      </c>
      <c r="AO33" s="234">
        <f t="shared" ca="1" si="40"/>
        <v>0</v>
      </c>
      <c r="AP33" s="234">
        <f t="shared" ca="1" si="40"/>
        <v>0</v>
      </c>
      <c r="AQ33" s="234">
        <f t="shared" ca="1" si="40"/>
        <v>0</v>
      </c>
      <c r="AR33" s="234">
        <f t="shared" ca="1" si="40"/>
        <v>0</v>
      </c>
      <c r="AS33" s="234">
        <f t="shared" ca="1" si="40"/>
        <v>0</v>
      </c>
      <c r="AT33" s="234">
        <f t="shared" ca="1" si="40"/>
        <v>0</v>
      </c>
      <c r="AU33" s="234">
        <f t="shared" ca="1" si="40"/>
        <v>0</v>
      </c>
      <c r="AV33" s="234">
        <f t="shared" ca="1" si="40"/>
        <v>0</v>
      </c>
      <c r="AW33" s="234">
        <f t="shared" ca="1" si="40"/>
        <v>0</v>
      </c>
      <c r="AX33" s="234">
        <f t="shared" ca="1" si="40"/>
        <v>0</v>
      </c>
      <c r="AY33" s="234">
        <f t="shared" ca="1" si="40"/>
        <v>0</v>
      </c>
      <c r="AZ33" s="234">
        <f t="shared" ca="1" si="40"/>
        <v>0</v>
      </c>
      <c r="BA33" s="234">
        <f t="shared" ca="1" si="40"/>
        <v>0</v>
      </c>
      <c r="BB33" s="234">
        <f t="shared" ca="1" si="40"/>
        <v>0</v>
      </c>
      <c r="BC33" s="234">
        <f t="shared" ca="1" si="40"/>
        <v>0</v>
      </c>
      <c r="BD33" s="234">
        <f t="shared" ca="1" si="40"/>
        <v>0</v>
      </c>
      <c r="BE33" s="234">
        <f t="shared" ca="1" si="40"/>
        <v>0</v>
      </c>
      <c r="BF33" s="234">
        <f t="shared" ca="1" si="40"/>
        <v>0</v>
      </c>
      <c r="BG33" s="234">
        <f t="shared" ca="1" si="40"/>
        <v>0</v>
      </c>
      <c r="BH33" s="234">
        <f t="shared" ca="1" si="40"/>
        <v>0</v>
      </c>
      <c r="BI33" s="234">
        <f t="shared" ca="1" si="40"/>
        <v>0</v>
      </c>
      <c r="BJ33" s="234">
        <f t="shared" ca="1" si="40"/>
        <v>0</v>
      </c>
      <c r="BK33" s="234">
        <f t="shared" ca="1" si="40"/>
        <v>0</v>
      </c>
      <c r="BL33" s="234">
        <f t="shared" ca="1" si="40"/>
        <v>0</v>
      </c>
      <c r="BM33" s="234">
        <f t="shared" ca="1" si="40"/>
        <v>0</v>
      </c>
      <c r="BN33" s="234">
        <f t="shared" ca="1" si="40"/>
        <v>0</v>
      </c>
      <c r="BO33" s="234">
        <f t="shared" ca="1" si="40"/>
        <v>0</v>
      </c>
      <c r="BP33" s="234">
        <f t="shared" ca="1" si="40"/>
        <v>0</v>
      </c>
      <c r="BQ33" s="234">
        <f t="shared" ca="1" si="40"/>
        <v>0</v>
      </c>
      <c r="BR33" s="234">
        <f t="shared" ca="1" si="40"/>
        <v>0</v>
      </c>
      <c r="BS33" s="234">
        <f t="shared" ca="1" si="40"/>
        <v>0</v>
      </c>
      <c r="BT33" s="234">
        <f t="shared" ca="1" si="40"/>
        <v>0</v>
      </c>
      <c r="BU33" s="234">
        <f t="shared" ref="BU33:DC33" ca="1" si="41">SUM(BU34:BU42)</f>
        <v>0</v>
      </c>
      <c r="BV33" s="234">
        <f t="shared" ca="1" si="41"/>
        <v>0</v>
      </c>
      <c r="BW33" s="234">
        <f t="shared" ca="1" si="41"/>
        <v>0</v>
      </c>
      <c r="BX33" s="234">
        <f t="shared" ca="1" si="41"/>
        <v>0</v>
      </c>
      <c r="BY33" s="234">
        <f t="shared" ca="1" si="41"/>
        <v>0</v>
      </c>
      <c r="BZ33" s="234">
        <f t="shared" ca="1" si="41"/>
        <v>0</v>
      </c>
      <c r="CA33" s="234">
        <f t="shared" ca="1" si="41"/>
        <v>0</v>
      </c>
      <c r="CB33" s="234">
        <f t="shared" ca="1" si="41"/>
        <v>0</v>
      </c>
      <c r="CC33" s="234">
        <f t="shared" ca="1" si="41"/>
        <v>0</v>
      </c>
      <c r="CD33" s="234">
        <f t="shared" ca="1" si="41"/>
        <v>0</v>
      </c>
      <c r="CE33" s="234">
        <f t="shared" ca="1" si="41"/>
        <v>0</v>
      </c>
      <c r="CF33" s="234">
        <f t="shared" ca="1" si="41"/>
        <v>0</v>
      </c>
      <c r="CG33" s="234">
        <f t="shared" ca="1" si="41"/>
        <v>0</v>
      </c>
      <c r="CH33" s="234">
        <f t="shared" ca="1" si="41"/>
        <v>0</v>
      </c>
      <c r="CI33" s="234">
        <f t="shared" ca="1" si="41"/>
        <v>0</v>
      </c>
      <c r="CJ33" s="234">
        <f t="shared" ca="1" si="41"/>
        <v>0</v>
      </c>
      <c r="CK33" s="234">
        <f t="shared" ca="1" si="41"/>
        <v>0</v>
      </c>
      <c r="CL33" s="234">
        <f t="shared" ca="1" si="41"/>
        <v>0</v>
      </c>
      <c r="CM33" s="234">
        <f t="shared" ca="1" si="41"/>
        <v>0</v>
      </c>
      <c r="CN33" s="234">
        <f t="shared" ca="1" si="41"/>
        <v>0</v>
      </c>
      <c r="CO33" s="234">
        <f t="shared" ca="1" si="41"/>
        <v>0</v>
      </c>
      <c r="CP33" s="234">
        <f t="shared" ca="1" si="41"/>
        <v>0</v>
      </c>
      <c r="CQ33" s="234">
        <f t="shared" ca="1" si="41"/>
        <v>0</v>
      </c>
      <c r="CR33" s="234">
        <f t="shared" ca="1" si="41"/>
        <v>0</v>
      </c>
      <c r="CS33" s="234">
        <f t="shared" ca="1" si="41"/>
        <v>0</v>
      </c>
      <c r="CT33" s="234">
        <f t="shared" ca="1" si="41"/>
        <v>0</v>
      </c>
      <c r="CU33" s="234">
        <f t="shared" ca="1" si="41"/>
        <v>0</v>
      </c>
      <c r="CV33" s="234">
        <f t="shared" ca="1" si="41"/>
        <v>0</v>
      </c>
      <c r="CW33" s="234">
        <f t="shared" ca="1" si="41"/>
        <v>0</v>
      </c>
      <c r="CX33" s="234">
        <f t="shared" ca="1" si="41"/>
        <v>0</v>
      </c>
      <c r="CY33" s="234">
        <f t="shared" ca="1" si="41"/>
        <v>0</v>
      </c>
      <c r="CZ33" s="234">
        <f t="shared" ca="1" si="41"/>
        <v>0</v>
      </c>
      <c r="DA33" s="234">
        <f t="shared" ca="1" si="41"/>
        <v>0</v>
      </c>
      <c r="DB33" s="234">
        <f t="shared" ca="1" si="41"/>
        <v>0</v>
      </c>
      <c r="DC33" s="234">
        <f t="shared" ca="1" si="41"/>
        <v>0</v>
      </c>
      <c r="DE33" s="254"/>
      <c r="DF33">
        <v>1</v>
      </c>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Q43" ca="1" si="42">OFFSET(INDIRECT("'"&amp;Opt_alt&amp;"'!H12"),$A34,H$5)*$DF34</f>
        <v>0</v>
      </c>
      <c r="I34" s="138">
        <f t="shared" ca="1" si="42"/>
        <v>0</v>
      </c>
      <c r="J34" s="138">
        <f t="shared" ca="1" si="42"/>
        <v>0</v>
      </c>
      <c r="K34" s="138">
        <f t="shared" ca="1" si="42"/>
        <v>0</v>
      </c>
      <c r="L34" s="138">
        <f t="shared" ca="1" si="42"/>
        <v>0</v>
      </c>
      <c r="M34" s="138">
        <f t="shared" ca="1" si="42"/>
        <v>0</v>
      </c>
      <c r="N34" s="138">
        <f t="shared" ca="1" si="42"/>
        <v>0</v>
      </c>
      <c r="O34" s="138">
        <f t="shared" ca="1" si="42"/>
        <v>0</v>
      </c>
      <c r="P34" s="138">
        <f t="shared" ca="1" si="42"/>
        <v>0</v>
      </c>
      <c r="Q34" s="138">
        <f t="shared" ca="1" si="42"/>
        <v>0</v>
      </c>
      <c r="R34" s="138">
        <f t="shared" ref="R34:AA43" ca="1" si="43">OFFSET(INDIRECT("'"&amp;Opt_alt&amp;"'!H12"),$A34,R$5)*$DF34</f>
        <v>0</v>
      </c>
      <c r="S34" s="138">
        <f t="shared" ca="1" si="43"/>
        <v>0</v>
      </c>
      <c r="T34" s="138">
        <f t="shared" ca="1" si="43"/>
        <v>0</v>
      </c>
      <c r="U34" s="138">
        <f t="shared" ca="1" si="43"/>
        <v>0</v>
      </c>
      <c r="V34" s="138">
        <f t="shared" ca="1" si="43"/>
        <v>0</v>
      </c>
      <c r="W34" s="138">
        <f t="shared" ca="1" si="43"/>
        <v>0</v>
      </c>
      <c r="X34" s="138">
        <f t="shared" ca="1" si="43"/>
        <v>0</v>
      </c>
      <c r="Y34" s="138">
        <f t="shared" ca="1" si="43"/>
        <v>0</v>
      </c>
      <c r="Z34" s="138">
        <f t="shared" ca="1" si="43"/>
        <v>0</v>
      </c>
      <c r="AA34" s="138">
        <f t="shared" ca="1" si="43"/>
        <v>0</v>
      </c>
      <c r="AB34" s="138">
        <f t="shared" ref="AB34:AK43" ca="1" si="44">OFFSET(INDIRECT("'"&amp;Opt_alt&amp;"'!H12"),$A34,AB$5)*$DF34</f>
        <v>0</v>
      </c>
      <c r="AC34" s="138">
        <f t="shared" ca="1" si="44"/>
        <v>0</v>
      </c>
      <c r="AD34" s="138">
        <f t="shared" ca="1" si="44"/>
        <v>0</v>
      </c>
      <c r="AE34" s="138">
        <f t="shared" ca="1" si="44"/>
        <v>0</v>
      </c>
      <c r="AF34" s="138">
        <f t="shared" ca="1" si="44"/>
        <v>0</v>
      </c>
      <c r="AG34" s="138">
        <f t="shared" ca="1" si="44"/>
        <v>0</v>
      </c>
      <c r="AH34" s="138">
        <f t="shared" ca="1" si="44"/>
        <v>0</v>
      </c>
      <c r="AI34" s="138">
        <f t="shared" ca="1" si="44"/>
        <v>0</v>
      </c>
      <c r="AJ34" s="138">
        <f t="shared" ca="1" si="44"/>
        <v>0</v>
      </c>
      <c r="AK34" s="138">
        <f t="shared" ca="1" si="44"/>
        <v>0</v>
      </c>
      <c r="AL34" s="138">
        <f t="shared" ref="AL34:AU43" ca="1" si="45">OFFSET(INDIRECT("'"&amp;Opt_alt&amp;"'!H12"),$A34,AL$5)*$DF34</f>
        <v>0</v>
      </c>
      <c r="AM34" s="138">
        <f t="shared" ca="1" si="45"/>
        <v>0</v>
      </c>
      <c r="AN34" s="138">
        <f t="shared" ca="1" si="45"/>
        <v>0</v>
      </c>
      <c r="AO34" s="138">
        <f t="shared" ca="1" si="45"/>
        <v>0</v>
      </c>
      <c r="AP34" s="138">
        <f t="shared" ca="1" si="45"/>
        <v>0</v>
      </c>
      <c r="AQ34" s="138">
        <f t="shared" ca="1" si="45"/>
        <v>0</v>
      </c>
      <c r="AR34" s="138">
        <f t="shared" ca="1" si="45"/>
        <v>0</v>
      </c>
      <c r="AS34" s="138">
        <f t="shared" ca="1" si="45"/>
        <v>0</v>
      </c>
      <c r="AT34" s="138">
        <f t="shared" ca="1" si="45"/>
        <v>0</v>
      </c>
      <c r="AU34" s="138">
        <f t="shared" ca="1" si="45"/>
        <v>0</v>
      </c>
      <c r="AV34" s="138">
        <f t="shared" ref="AV34:BE43" ca="1" si="46">OFFSET(INDIRECT("'"&amp;Opt_alt&amp;"'!H12"),$A34,AV$5)*$DF34</f>
        <v>0</v>
      </c>
      <c r="AW34" s="138">
        <f t="shared" ca="1" si="46"/>
        <v>0</v>
      </c>
      <c r="AX34" s="138">
        <f t="shared" ca="1" si="46"/>
        <v>0</v>
      </c>
      <c r="AY34" s="138">
        <f t="shared" ca="1" si="46"/>
        <v>0</v>
      </c>
      <c r="AZ34" s="138">
        <f t="shared" ca="1" si="46"/>
        <v>0</v>
      </c>
      <c r="BA34" s="138">
        <f t="shared" ca="1" si="46"/>
        <v>0</v>
      </c>
      <c r="BB34" s="138">
        <f t="shared" ca="1" si="46"/>
        <v>0</v>
      </c>
      <c r="BC34" s="138">
        <f t="shared" ca="1" si="46"/>
        <v>0</v>
      </c>
      <c r="BD34" s="138">
        <f t="shared" ca="1" si="46"/>
        <v>0</v>
      </c>
      <c r="BE34" s="138">
        <f t="shared" ca="1" si="46"/>
        <v>0</v>
      </c>
      <c r="BF34" s="138">
        <f t="shared" ref="BF34:BO43" ca="1" si="47">OFFSET(INDIRECT("'"&amp;Opt_alt&amp;"'!H12"),$A34,BF$5)*$DF34</f>
        <v>0</v>
      </c>
      <c r="BG34" s="138">
        <f t="shared" ca="1" si="47"/>
        <v>0</v>
      </c>
      <c r="BH34" s="138">
        <f t="shared" ca="1" si="47"/>
        <v>0</v>
      </c>
      <c r="BI34" s="138">
        <f t="shared" ca="1" si="47"/>
        <v>0</v>
      </c>
      <c r="BJ34" s="138">
        <f t="shared" ca="1" si="47"/>
        <v>0</v>
      </c>
      <c r="BK34" s="138">
        <f t="shared" ca="1" si="47"/>
        <v>0</v>
      </c>
      <c r="BL34" s="138">
        <f t="shared" ca="1" si="47"/>
        <v>0</v>
      </c>
      <c r="BM34" s="138">
        <f t="shared" ca="1" si="47"/>
        <v>0</v>
      </c>
      <c r="BN34" s="138">
        <f t="shared" ca="1" si="47"/>
        <v>0</v>
      </c>
      <c r="BO34" s="138">
        <f t="shared" ca="1" si="47"/>
        <v>0</v>
      </c>
      <c r="BP34" s="138">
        <f t="shared" ref="BP34:BY43" ca="1" si="48">OFFSET(INDIRECT("'"&amp;Opt_alt&amp;"'!H12"),$A34,BP$5)*$DF34</f>
        <v>0</v>
      </c>
      <c r="BQ34" s="138">
        <f t="shared" ca="1" si="48"/>
        <v>0</v>
      </c>
      <c r="BR34" s="138">
        <f t="shared" ca="1" si="48"/>
        <v>0</v>
      </c>
      <c r="BS34" s="138">
        <f t="shared" ca="1" si="48"/>
        <v>0</v>
      </c>
      <c r="BT34" s="138">
        <f t="shared" ca="1" si="48"/>
        <v>0</v>
      </c>
      <c r="BU34" s="138">
        <f t="shared" ca="1" si="48"/>
        <v>0</v>
      </c>
      <c r="BV34" s="138">
        <f t="shared" ca="1" si="48"/>
        <v>0</v>
      </c>
      <c r="BW34" s="138">
        <f t="shared" ca="1" si="48"/>
        <v>0</v>
      </c>
      <c r="BX34" s="138">
        <f t="shared" ca="1" si="48"/>
        <v>0</v>
      </c>
      <c r="BY34" s="138">
        <f t="shared" ca="1" si="48"/>
        <v>0</v>
      </c>
      <c r="BZ34" s="138">
        <f t="shared" ref="BZ34:CI43" ca="1" si="49">OFFSET(INDIRECT("'"&amp;Opt_alt&amp;"'!H12"),$A34,BZ$5)*$DF34</f>
        <v>0</v>
      </c>
      <c r="CA34" s="138">
        <f t="shared" ca="1" si="49"/>
        <v>0</v>
      </c>
      <c r="CB34" s="138">
        <f t="shared" ca="1" si="49"/>
        <v>0</v>
      </c>
      <c r="CC34" s="138">
        <f t="shared" ca="1" si="49"/>
        <v>0</v>
      </c>
      <c r="CD34" s="138">
        <f t="shared" ca="1" si="49"/>
        <v>0</v>
      </c>
      <c r="CE34" s="138">
        <f t="shared" ca="1" si="49"/>
        <v>0</v>
      </c>
      <c r="CF34" s="138">
        <f t="shared" ca="1" si="49"/>
        <v>0</v>
      </c>
      <c r="CG34" s="138">
        <f t="shared" ca="1" si="49"/>
        <v>0</v>
      </c>
      <c r="CH34" s="138">
        <f t="shared" ca="1" si="49"/>
        <v>0</v>
      </c>
      <c r="CI34" s="138">
        <f t="shared" ca="1" si="49"/>
        <v>0</v>
      </c>
      <c r="CJ34" s="138">
        <f t="shared" ref="CJ34:CS43" ca="1" si="50">OFFSET(INDIRECT("'"&amp;Opt_alt&amp;"'!H12"),$A34,CJ$5)*$DF34</f>
        <v>0</v>
      </c>
      <c r="CK34" s="138">
        <f t="shared" ca="1" si="50"/>
        <v>0</v>
      </c>
      <c r="CL34" s="138">
        <f t="shared" ca="1" si="50"/>
        <v>0</v>
      </c>
      <c r="CM34" s="138">
        <f t="shared" ca="1" si="50"/>
        <v>0</v>
      </c>
      <c r="CN34" s="138">
        <f t="shared" ca="1" si="50"/>
        <v>0</v>
      </c>
      <c r="CO34" s="138">
        <f t="shared" ca="1" si="50"/>
        <v>0</v>
      </c>
      <c r="CP34" s="138">
        <f t="shared" ca="1" si="50"/>
        <v>0</v>
      </c>
      <c r="CQ34" s="138">
        <f t="shared" ca="1" si="50"/>
        <v>0</v>
      </c>
      <c r="CR34" s="138">
        <f t="shared" ca="1" si="50"/>
        <v>0</v>
      </c>
      <c r="CS34" s="138">
        <f t="shared" ca="1" si="50"/>
        <v>0</v>
      </c>
      <c r="CT34" s="138">
        <f t="shared" ref="CT34:DC43" ca="1" si="51">OFFSET(INDIRECT("'"&amp;Opt_alt&amp;"'!H12"),$A34,CT$5)*$DF34</f>
        <v>0</v>
      </c>
      <c r="CU34" s="138">
        <f t="shared" ca="1" si="51"/>
        <v>0</v>
      </c>
      <c r="CV34" s="138">
        <f t="shared" ca="1" si="51"/>
        <v>0</v>
      </c>
      <c r="CW34" s="138">
        <f t="shared" ca="1" si="51"/>
        <v>0</v>
      </c>
      <c r="CX34" s="138">
        <f t="shared" ca="1" si="51"/>
        <v>0</v>
      </c>
      <c r="CY34" s="138">
        <f t="shared" ca="1" si="51"/>
        <v>0</v>
      </c>
      <c r="CZ34" s="138">
        <f t="shared" ca="1" si="51"/>
        <v>0</v>
      </c>
      <c r="DA34" s="138">
        <f t="shared" ca="1" si="51"/>
        <v>0</v>
      </c>
      <c r="DB34" s="138">
        <f t="shared" ca="1" si="51"/>
        <v>0</v>
      </c>
      <c r="DC34" s="138">
        <f t="shared" ca="1" si="51"/>
        <v>0</v>
      </c>
      <c r="DE34" s="254" t="str">
        <f t="shared" ca="1" si="25"/>
        <v>D.3.1.</v>
      </c>
      <c r="DF34">
        <v>1</v>
      </c>
      <c r="DG34">
        <f t="shared" ref="DG34:DG43" ca="1" si="52">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42"/>
        <v>0</v>
      </c>
      <c r="I35" s="138">
        <f t="shared" ca="1" si="42"/>
        <v>0</v>
      </c>
      <c r="J35" s="138">
        <f t="shared" ca="1" si="42"/>
        <v>0</v>
      </c>
      <c r="K35" s="138">
        <f t="shared" ca="1" si="42"/>
        <v>0</v>
      </c>
      <c r="L35" s="138">
        <f t="shared" ca="1" si="42"/>
        <v>0</v>
      </c>
      <c r="M35" s="138">
        <f t="shared" ca="1" si="42"/>
        <v>0</v>
      </c>
      <c r="N35" s="138">
        <f t="shared" ca="1" si="42"/>
        <v>0</v>
      </c>
      <c r="O35" s="138">
        <f t="shared" ca="1" si="42"/>
        <v>0</v>
      </c>
      <c r="P35" s="138">
        <f t="shared" ca="1" si="42"/>
        <v>0</v>
      </c>
      <c r="Q35" s="138">
        <f t="shared" ca="1" si="42"/>
        <v>0</v>
      </c>
      <c r="R35" s="138">
        <f t="shared" ca="1" si="43"/>
        <v>0</v>
      </c>
      <c r="S35" s="138">
        <f t="shared" ca="1" si="43"/>
        <v>0</v>
      </c>
      <c r="T35" s="138">
        <f t="shared" ca="1" si="43"/>
        <v>0</v>
      </c>
      <c r="U35" s="138">
        <f t="shared" ca="1" si="43"/>
        <v>0</v>
      </c>
      <c r="V35" s="138">
        <f t="shared" ca="1" si="43"/>
        <v>0</v>
      </c>
      <c r="W35" s="138">
        <f t="shared" ca="1" si="43"/>
        <v>0</v>
      </c>
      <c r="X35" s="138">
        <f t="shared" ca="1" si="43"/>
        <v>0</v>
      </c>
      <c r="Y35" s="138">
        <f t="shared" ca="1" si="43"/>
        <v>0</v>
      </c>
      <c r="Z35" s="138">
        <f t="shared" ca="1" si="43"/>
        <v>0</v>
      </c>
      <c r="AA35" s="138">
        <f t="shared" ca="1" si="43"/>
        <v>0</v>
      </c>
      <c r="AB35" s="138">
        <f t="shared" ca="1" si="44"/>
        <v>0</v>
      </c>
      <c r="AC35" s="138">
        <f t="shared" ca="1" si="44"/>
        <v>0</v>
      </c>
      <c r="AD35" s="138">
        <f t="shared" ca="1" si="44"/>
        <v>0</v>
      </c>
      <c r="AE35" s="138">
        <f t="shared" ca="1" si="44"/>
        <v>0</v>
      </c>
      <c r="AF35" s="138">
        <f t="shared" ca="1" si="44"/>
        <v>0</v>
      </c>
      <c r="AG35" s="138">
        <f t="shared" ca="1" si="44"/>
        <v>0</v>
      </c>
      <c r="AH35" s="138">
        <f t="shared" ca="1" si="44"/>
        <v>0</v>
      </c>
      <c r="AI35" s="138">
        <f t="shared" ca="1" si="44"/>
        <v>0</v>
      </c>
      <c r="AJ35" s="138">
        <f t="shared" ca="1" si="44"/>
        <v>0</v>
      </c>
      <c r="AK35" s="138">
        <f t="shared" ca="1" si="44"/>
        <v>0</v>
      </c>
      <c r="AL35" s="138">
        <f t="shared" ca="1" si="45"/>
        <v>0</v>
      </c>
      <c r="AM35" s="138">
        <f t="shared" ca="1" si="45"/>
        <v>0</v>
      </c>
      <c r="AN35" s="138">
        <f t="shared" ca="1" si="45"/>
        <v>0</v>
      </c>
      <c r="AO35" s="138">
        <f t="shared" ca="1" si="45"/>
        <v>0</v>
      </c>
      <c r="AP35" s="138">
        <f t="shared" ca="1" si="45"/>
        <v>0</v>
      </c>
      <c r="AQ35" s="138">
        <f t="shared" ca="1" si="45"/>
        <v>0</v>
      </c>
      <c r="AR35" s="138">
        <f t="shared" ca="1" si="45"/>
        <v>0</v>
      </c>
      <c r="AS35" s="138">
        <f t="shared" ca="1" si="45"/>
        <v>0</v>
      </c>
      <c r="AT35" s="138">
        <f t="shared" ca="1" si="45"/>
        <v>0</v>
      </c>
      <c r="AU35" s="138">
        <f t="shared" ca="1" si="45"/>
        <v>0</v>
      </c>
      <c r="AV35" s="138">
        <f t="shared" ca="1" si="46"/>
        <v>0</v>
      </c>
      <c r="AW35" s="138">
        <f t="shared" ca="1" si="46"/>
        <v>0</v>
      </c>
      <c r="AX35" s="138">
        <f t="shared" ca="1" si="46"/>
        <v>0</v>
      </c>
      <c r="AY35" s="138">
        <f t="shared" ca="1" si="46"/>
        <v>0</v>
      </c>
      <c r="AZ35" s="138">
        <f t="shared" ca="1" si="46"/>
        <v>0</v>
      </c>
      <c r="BA35" s="138">
        <f t="shared" ca="1" si="46"/>
        <v>0</v>
      </c>
      <c r="BB35" s="138">
        <f t="shared" ca="1" si="46"/>
        <v>0</v>
      </c>
      <c r="BC35" s="138">
        <f t="shared" ca="1" si="46"/>
        <v>0</v>
      </c>
      <c r="BD35" s="138">
        <f t="shared" ca="1" si="46"/>
        <v>0</v>
      </c>
      <c r="BE35" s="138">
        <f t="shared" ca="1" si="46"/>
        <v>0</v>
      </c>
      <c r="BF35" s="138">
        <f t="shared" ca="1" si="47"/>
        <v>0</v>
      </c>
      <c r="BG35" s="138">
        <f t="shared" ca="1" si="47"/>
        <v>0</v>
      </c>
      <c r="BH35" s="138">
        <f t="shared" ca="1" si="47"/>
        <v>0</v>
      </c>
      <c r="BI35" s="138">
        <f t="shared" ca="1" si="47"/>
        <v>0</v>
      </c>
      <c r="BJ35" s="138">
        <f t="shared" ca="1" si="47"/>
        <v>0</v>
      </c>
      <c r="BK35" s="138">
        <f t="shared" ca="1" si="47"/>
        <v>0</v>
      </c>
      <c r="BL35" s="138">
        <f t="shared" ca="1" si="47"/>
        <v>0</v>
      </c>
      <c r="BM35" s="138">
        <f t="shared" ca="1" si="47"/>
        <v>0</v>
      </c>
      <c r="BN35" s="138">
        <f t="shared" ca="1" si="47"/>
        <v>0</v>
      </c>
      <c r="BO35" s="138">
        <f t="shared" ca="1" si="47"/>
        <v>0</v>
      </c>
      <c r="BP35" s="138">
        <f t="shared" ca="1" si="48"/>
        <v>0</v>
      </c>
      <c r="BQ35" s="138">
        <f t="shared" ca="1" si="48"/>
        <v>0</v>
      </c>
      <c r="BR35" s="138">
        <f t="shared" ca="1" si="48"/>
        <v>0</v>
      </c>
      <c r="BS35" s="138">
        <f t="shared" ca="1" si="48"/>
        <v>0</v>
      </c>
      <c r="BT35" s="138">
        <f t="shared" ca="1" si="48"/>
        <v>0</v>
      </c>
      <c r="BU35" s="138">
        <f t="shared" ca="1" si="48"/>
        <v>0</v>
      </c>
      <c r="BV35" s="138">
        <f t="shared" ca="1" si="48"/>
        <v>0</v>
      </c>
      <c r="BW35" s="138">
        <f t="shared" ca="1" si="48"/>
        <v>0</v>
      </c>
      <c r="BX35" s="138">
        <f t="shared" ca="1" si="48"/>
        <v>0</v>
      </c>
      <c r="BY35" s="138">
        <f t="shared" ca="1" si="48"/>
        <v>0</v>
      </c>
      <c r="BZ35" s="138">
        <f t="shared" ca="1" si="49"/>
        <v>0</v>
      </c>
      <c r="CA35" s="138">
        <f t="shared" ca="1" si="49"/>
        <v>0</v>
      </c>
      <c r="CB35" s="138">
        <f t="shared" ca="1" si="49"/>
        <v>0</v>
      </c>
      <c r="CC35" s="138">
        <f t="shared" ca="1" si="49"/>
        <v>0</v>
      </c>
      <c r="CD35" s="138">
        <f t="shared" ca="1" si="49"/>
        <v>0</v>
      </c>
      <c r="CE35" s="138">
        <f t="shared" ca="1" si="49"/>
        <v>0</v>
      </c>
      <c r="CF35" s="138">
        <f t="shared" ca="1" si="49"/>
        <v>0</v>
      </c>
      <c r="CG35" s="138">
        <f t="shared" ca="1" si="49"/>
        <v>0</v>
      </c>
      <c r="CH35" s="138">
        <f t="shared" ca="1" si="49"/>
        <v>0</v>
      </c>
      <c r="CI35" s="138">
        <f t="shared" ca="1" si="49"/>
        <v>0</v>
      </c>
      <c r="CJ35" s="138">
        <f t="shared" ca="1" si="50"/>
        <v>0</v>
      </c>
      <c r="CK35" s="138">
        <f t="shared" ca="1" si="50"/>
        <v>0</v>
      </c>
      <c r="CL35" s="138">
        <f t="shared" ca="1" si="50"/>
        <v>0</v>
      </c>
      <c r="CM35" s="138">
        <f t="shared" ca="1" si="50"/>
        <v>0</v>
      </c>
      <c r="CN35" s="138">
        <f t="shared" ca="1" si="50"/>
        <v>0</v>
      </c>
      <c r="CO35" s="138">
        <f t="shared" ca="1" si="50"/>
        <v>0</v>
      </c>
      <c r="CP35" s="138">
        <f t="shared" ca="1" si="50"/>
        <v>0</v>
      </c>
      <c r="CQ35" s="138">
        <f t="shared" ca="1" si="50"/>
        <v>0</v>
      </c>
      <c r="CR35" s="138">
        <f t="shared" ca="1" si="50"/>
        <v>0</v>
      </c>
      <c r="CS35" s="138">
        <f t="shared" ca="1" si="50"/>
        <v>0</v>
      </c>
      <c r="CT35" s="138">
        <f t="shared" ca="1" si="51"/>
        <v>0</v>
      </c>
      <c r="CU35" s="138">
        <f t="shared" ca="1" si="51"/>
        <v>0</v>
      </c>
      <c r="CV35" s="138">
        <f t="shared" ca="1" si="51"/>
        <v>0</v>
      </c>
      <c r="CW35" s="138">
        <f t="shared" ca="1" si="51"/>
        <v>0</v>
      </c>
      <c r="CX35" s="138">
        <f t="shared" ca="1" si="51"/>
        <v>0</v>
      </c>
      <c r="CY35" s="138">
        <f t="shared" ca="1" si="51"/>
        <v>0</v>
      </c>
      <c r="CZ35" s="138">
        <f t="shared" ca="1" si="51"/>
        <v>0</v>
      </c>
      <c r="DA35" s="138">
        <f t="shared" ca="1" si="51"/>
        <v>0</v>
      </c>
      <c r="DB35" s="138">
        <f t="shared" ca="1" si="51"/>
        <v>0</v>
      </c>
      <c r="DC35" s="138">
        <f t="shared" ca="1" si="51"/>
        <v>0</v>
      </c>
      <c r="DE35" s="254" t="str">
        <f t="shared" ca="1" si="25"/>
        <v>D.3.2.</v>
      </c>
      <c r="DF35">
        <v>1</v>
      </c>
      <c r="DG35">
        <f t="shared" ca="1" si="52"/>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42"/>
        <v>0</v>
      </c>
      <c r="I36" s="138">
        <f t="shared" ca="1" si="42"/>
        <v>0</v>
      </c>
      <c r="J36" s="138">
        <f t="shared" ca="1" si="42"/>
        <v>0</v>
      </c>
      <c r="K36" s="138">
        <f t="shared" ca="1" si="42"/>
        <v>0</v>
      </c>
      <c r="L36" s="138">
        <f t="shared" ca="1" si="42"/>
        <v>0</v>
      </c>
      <c r="M36" s="138">
        <f t="shared" ca="1" si="42"/>
        <v>0</v>
      </c>
      <c r="N36" s="138">
        <f t="shared" ca="1" si="42"/>
        <v>0</v>
      </c>
      <c r="O36" s="138">
        <f t="shared" ca="1" si="42"/>
        <v>0</v>
      </c>
      <c r="P36" s="138">
        <f t="shared" ca="1" si="42"/>
        <v>0</v>
      </c>
      <c r="Q36" s="138">
        <f t="shared" ca="1" si="42"/>
        <v>0</v>
      </c>
      <c r="R36" s="138">
        <f t="shared" ca="1" si="43"/>
        <v>0</v>
      </c>
      <c r="S36" s="138">
        <f t="shared" ca="1" si="43"/>
        <v>0</v>
      </c>
      <c r="T36" s="138">
        <f t="shared" ca="1" si="43"/>
        <v>0</v>
      </c>
      <c r="U36" s="138">
        <f t="shared" ca="1" si="43"/>
        <v>0</v>
      </c>
      <c r="V36" s="138">
        <f t="shared" ca="1" si="43"/>
        <v>0</v>
      </c>
      <c r="W36" s="138">
        <f t="shared" ca="1" si="43"/>
        <v>0</v>
      </c>
      <c r="X36" s="138">
        <f t="shared" ca="1" si="43"/>
        <v>0</v>
      </c>
      <c r="Y36" s="138">
        <f t="shared" ca="1" si="43"/>
        <v>0</v>
      </c>
      <c r="Z36" s="138">
        <f t="shared" ca="1" si="43"/>
        <v>0</v>
      </c>
      <c r="AA36" s="138">
        <f t="shared" ca="1" si="43"/>
        <v>0</v>
      </c>
      <c r="AB36" s="138">
        <f t="shared" ca="1" si="44"/>
        <v>0</v>
      </c>
      <c r="AC36" s="138">
        <f t="shared" ca="1" si="44"/>
        <v>0</v>
      </c>
      <c r="AD36" s="138">
        <f t="shared" ca="1" si="44"/>
        <v>0</v>
      </c>
      <c r="AE36" s="138">
        <f t="shared" ca="1" si="44"/>
        <v>0</v>
      </c>
      <c r="AF36" s="138">
        <f t="shared" ca="1" si="44"/>
        <v>0</v>
      </c>
      <c r="AG36" s="138">
        <f t="shared" ca="1" si="44"/>
        <v>0</v>
      </c>
      <c r="AH36" s="138">
        <f t="shared" ca="1" si="44"/>
        <v>0</v>
      </c>
      <c r="AI36" s="138">
        <f t="shared" ca="1" si="44"/>
        <v>0</v>
      </c>
      <c r="AJ36" s="138">
        <f t="shared" ca="1" si="44"/>
        <v>0</v>
      </c>
      <c r="AK36" s="138">
        <f t="shared" ca="1" si="44"/>
        <v>0</v>
      </c>
      <c r="AL36" s="138">
        <f t="shared" ca="1" si="45"/>
        <v>0</v>
      </c>
      <c r="AM36" s="138">
        <f t="shared" ca="1" si="45"/>
        <v>0</v>
      </c>
      <c r="AN36" s="138">
        <f t="shared" ca="1" si="45"/>
        <v>0</v>
      </c>
      <c r="AO36" s="138">
        <f t="shared" ca="1" si="45"/>
        <v>0</v>
      </c>
      <c r="AP36" s="138">
        <f t="shared" ca="1" si="45"/>
        <v>0</v>
      </c>
      <c r="AQ36" s="138">
        <f t="shared" ca="1" si="45"/>
        <v>0</v>
      </c>
      <c r="AR36" s="138">
        <f t="shared" ca="1" si="45"/>
        <v>0</v>
      </c>
      <c r="AS36" s="138">
        <f t="shared" ca="1" si="45"/>
        <v>0</v>
      </c>
      <c r="AT36" s="138">
        <f t="shared" ca="1" si="45"/>
        <v>0</v>
      </c>
      <c r="AU36" s="138">
        <f t="shared" ca="1" si="45"/>
        <v>0</v>
      </c>
      <c r="AV36" s="138">
        <f t="shared" ca="1" si="46"/>
        <v>0</v>
      </c>
      <c r="AW36" s="138">
        <f t="shared" ca="1" si="46"/>
        <v>0</v>
      </c>
      <c r="AX36" s="138">
        <f t="shared" ca="1" si="46"/>
        <v>0</v>
      </c>
      <c r="AY36" s="138">
        <f t="shared" ca="1" si="46"/>
        <v>0</v>
      </c>
      <c r="AZ36" s="138">
        <f t="shared" ca="1" si="46"/>
        <v>0</v>
      </c>
      <c r="BA36" s="138">
        <f t="shared" ca="1" si="46"/>
        <v>0</v>
      </c>
      <c r="BB36" s="138">
        <f t="shared" ca="1" si="46"/>
        <v>0</v>
      </c>
      <c r="BC36" s="138">
        <f t="shared" ca="1" si="46"/>
        <v>0</v>
      </c>
      <c r="BD36" s="138">
        <f t="shared" ca="1" si="46"/>
        <v>0</v>
      </c>
      <c r="BE36" s="138">
        <f t="shared" ca="1" si="46"/>
        <v>0</v>
      </c>
      <c r="BF36" s="138">
        <f t="shared" ca="1" si="47"/>
        <v>0</v>
      </c>
      <c r="BG36" s="138">
        <f t="shared" ca="1" si="47"/>
        <v>0</v>
      </c>
      <c r="BH36" s="138">
        <f t="shared" ca="1" si="47"/>
        <v>0</v>
      </c>
      <c r="BI36" s="138">
        <f t="shared" ca="1" si="47"/>
        <v>0</v>
      </c>
      <c r="BJ36" s="138">
        <f t="shared" ca="1" si="47"/>
        <v>0</v>
      </c>
      <c r="BK36" s="138">
        <f t="shared" ca="1" si="47"/>
        <v>0</v>
      </c>
      <c r="BL36" s="138">
        <f t="shared" ca="1" si="47"/>
        <v>0</v>
      </c>
      <c r="BM36" s="138">
        <f t="shared" ca="1" si="47"/>
        <v>0</v>
      </c>
      <c r="BN36" s="138">
        <f t="shared" ca="1" si="47"/>
        <v>0</v>
      </c>
      <c r="BO36" s="138">
        <f t="shared" ca="1" si="47"/>
        <v>0</v>
      </c>
      <c r="BP36" s="138">
        <f t="shared" ca="1" si="48"/>
        <v>0</v>
      </c>
      <c r="BQ36" s="138">
        <f t="shared" ca="1" si="48"/>
        <v>0</v>
      </c>
      <c r="BR36" s="138">
        <f t="shared" ca="1" si="48"/>
        <v>0</v>
      </c>
      <c r="BS36" s="138">
        <f t="shared" ca="1" si="48"/>
        <v>0</v>
      </c>
      <c r="BT36" s="138">
        <f t="shared" ca="1" si="48"/>
        <v>0</v>
      </c>
      <c r="BU36" s="138">
        <f t="shared" ca="1" si="48"/>
        <v>0</v>
      </c>
      <c r="BV36" s="138">
        <f t="shared" ca="1" si="48"/>
        <v>0</v>
      </c>
      <c r="BW36" s="138">
        <f t="shared" ca="1" si="48"/>
        <v>0</v>
      </c>
      <c r="BX36" s="138">
        <f t="shared" ca="1" si="48"/>
        <v>0</v>
      </c>
      <c r="BY36" s="138">
        <f t="shared" ca="1" si="48"/>
        <v>0</v>
      </c>
      <c r="BZ36" s="138">
        <f t="shared" ca="1" si="49"/>
        <v>0</v>
      </c>
      <c r="CA36" s="138">
        <f t="shared" ca="1" si="49"/>
        <v>0</v>
      </c>
      <c r="CB36" s="138">
        <f t="shared" ca="1" si="49"/>
        <v>0</v>
      </c>
      <c r="CC36" s="138">
        <f t="shared" ca="1" si="49"/>
        <v>0</v>
      </c>
      <c r="CD36" s="138">
        <f t="shared" ca="1" si="49"/>
        <v>0</v>
      </c>
      <c r="CE36" s="138">
        <f t="shared" ca="1" si="49"/>
        <v>0</v>
      </c>
      <c r="CF36" s="138">
        <f t="shared" ca="1" si="49"/>
        <v>0</v>
      </c>
      <c r="CG36" s="138">
        <f t="shared" ca="1" si="49"/>
        <v>0</v>
      </c>
      <c r="CH36" s="138">
        <f t="shared" ca="1" si="49"/>
        <v>0</v>
      </c>
      <c r="CI36" s="138">
        <f t="shared" ca="1" si="49"/>
        <v>0</v>
      </c>
      <c r="CJ36" s="138">
        <f t="shared" ca="1" si="50"/>
        <v>0</v>
      </c>
      <c r="CK36" s="138">
        <f t="shared" ca="1" si="50"/>
        <v>0</v>
      </c>
      <c r="CL36" s="138">
        <f t="shared" ca="1" si="50"/>
        <v>0</v>
      </c>
      <c r="CM36" s="138">
        <f t="shared" ca="1" si="50"/>
        <v>0</v>
      </c>
      <c r="CN36" s="138">
        <f t="shared" ca="1" si="50"/>
        <v>0</v>
      </c>
      <c r="CO36" s="138">
        <f t="shared" ca="1" si="50"/>
        <v>0</v>
      </c>
      <c r="CP36" s="138">
        <f t="shared" ca="1" si="50"/>
        <v>0</v>
      </c>
      <c r="CQ36" s="138">
        <f t="shared" ca="1" si="50"/>
        <v>0</v>
      </c>
      <c r="CR36" s="138">
        <f t="shared" ca="1" si="50"/>
        <v>0</v>
      </c>
      <c r="CS36" s="138">
        <f t="shared" ca="1" si="50"/>
        <v>0</v>
      </c>
      <c r="CT36" s="138">
        <f t="shared" ca="1" si="51"/>
        <v>0</v>
      </c>
      <c r="CU36" s="138">
        <f t="shared" ca="1" si="51"/>
        <v>0</v>
      </c>
      <c r="CV36" s="138">
        <f t="shared" ca="1" si="51"/>
        <v>0</v>
      </c>
      <c r="CW36" s="138">
        <f t="shared" ca="1" si="51"/>
        <v>0</v>
      </c>
      <c r="CX36" s="138">
        <f t="shared" ca="1" si="51"/>
        <v>0</v>
      </c>
      <c r="CY36" s="138">
        <f t="shared" ca="1" si="51"/>
        <v>0</v>
      </c>
      <c r="CZ36" s="138">
        <f t="shared" ca="1" si="51"/>
        <v>0</v>
      </c>
      <c r="DA36" s="138">
        <f t="shared" ca="1" si="51"/>
        <v>0</v>
      </c>
      <c r="DB36" s="138">
        <f t="shared" ca="1" si="51"/>
        <v>0</v>
      </c>
      <c r="DC36" s="138">
        <f t="shared" ca="1" si="51"/>
        <v>0</v>
      </c>
      <c r="DE36" s="254" t="str">
        <f t="shared" ca="1" si="25"/>
        <v>D.3.3.</v>
      </c>
      <c r="DF36">
        <v>1</v>
      </c>
      <c r="DG36">
        <f t="shared" ca="1" si="52"/>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42"/>
        <v>0</v>
      </c>
      <c r="I37" s="138">
        <f t="shared" ca="1" si="42"/>
        <v>0</v>
      </c>
      <c r="J37" s="138">
        <f t="shared" ca="1" si="42"/>
        <v>0</v>
      </c>
      <c r="K37" s="138">
        <f t="shared" ca="1" si="42"/>
        <v>0</v>
      </c>
      <c r="L37" s="138">
        <f t="shared" ca="1" si="42"/>
        <v>0</v>
      </c>
      <c r="M37" s="138">
        <f t="shared" ca="1" si="42"/>
        <v>0</v>
      </c>
      <c r="N37" s="138">
        <f t="shared" ca="1" si="42"/>
        <v>0</v>
      </c>
      <c r="O37" s="138">
        <f t="shared" ca="1" si="42"/>
        <v>0</v>
      </c>
      <c r="P37" s="138">
        <f t="shared" ca="1" si="42"/>
        <v>0</v>
      </c>
      <c r="Q37" s="138">
        <f t="shared" ca="1" si="42"/>
        <v>0</v>
      </c>
      <c r="R37" s="138">
        <f t="shared" ca="1" si="43"/>
        <v>0</v>
      </c>
      <c r="S37" s="138">
        <f t="shared" ca="1" si="43"/>
        <v>0</v>
      </c>
      <c r="T37" s="138">
        <f t="shared" ca="1" si="43"/>
        <v>0</v>
      </c>
      <c r="U37" s="138">
        <f t="shared" ca="1" si="43"/>
        <v>0</v>
      </c>
      <c r="V37" s="138">
        <f t="shared" ca="1" si="43"/>
        <v>0</v>
      </c>
      <c r="W37" s="138">
        <f t="shared" ca="1" si="43"/>
        <v>0</v>
      </c>
      <c r="X37" s="138">
        <f t="shared" ca="1" si="43"/>
        <v>0</v>
      </c>
      <c r="Y37" s="138">
        <f t="shared" ca="1" si="43"/>
        <v>0</v>
      </c>
      <c r="Z37" s="138">
        <f t="shared" ca="1" si="43"/>
        <v>0</v>
      </c>
      <c r="AA37" s="138">
        <f t="shared" ca="1" si="43"/>
        <v>0</v>
      </c>
      <c r="AB37" s="138">
        <f t="shared" ca="1" si="44"/>
        <v>0</v>
      </c>
      <c r="AC37" s="138">
        <f t="shared" ca="1" si="44"/>
        <v>0</v>
      </c>
      <c r="AD37" s="138">
        <f t="shared" ca="1" si="44"/>
        <v>0</v>
      </c>
      <c r="AE37" s="138">
        <f t="shared" ca="1" si="44"/>
        <v>0</v>
      </c>
      <c r="AF37" s="138">
        <f t="shared" ca="1" si="44"/>
        <v>0</v>
      </c>
      <c r="AG37" s="138">
        <f t="shared" ca="1" si="44"/>
        <v>0</v>
      </c>
      <c r="AH37" s="138">
        <f t="shared" ca="1" si="44"/>
        <v>0</v>
      </c>
      <c r="AI37" s="138">
        <f t="shared" ca="1" si="44"/>
        <v>0</v>
      </c>
      <c r="AJ37" s="138">
        <f t="shared" ca="1" si="44"/>
        <v>0</v>
      </c>
      <c r="AK37" s="138">
        <f t="shared" ca="1" si="44"/>
        <v>0</v>
      </c>
      <c r="AL37" s="138">
        <f t="shared" ca="1" si="45"/>
        <v>0</v>
      </c>
      <c r="AM37" s="138">
        <f t="shared" ca="1" si="45"/>
        <v>0</v>
      </c>
      <c r="AN37" s="138">
        <f t="shared" ca="1" si="45"/>
        <v>0</v>
      </c>
      <c r="AO37" s="138">
        <f t="shared" ca="1" si="45"/>
        <v>0</v>
      </c>
      <c r="AP37" s="138">
        <f t="shared" ca="1" si="45"/>
        <v>0</v>
      </c>
      <c r="AQ37" s="138">
        <f t="shared" ca="1" si="45"/>
        <v>0</v>
      </c>
      <c r="AR37" s="138">
        <f t="shared" ca="1" si="45"/>
        <v>0</v>
      </c>
      <c r="AS37" s="138">
        <f t="shared" ca="1" si="45"/>
        <v>0</v>
      </c>
      <c r="AT37" s="138">
        <f t="shared" ca="1" si="45"/>
        <v>0</v>
      </c>
      <c r="AU37" s="138">
        <f t="shared" ca="1" si="45"/>
        <v>0</v>
      </c>
      <c r="AV37" s="138">
        <f t="shared" ca="1" si="46"/>
        <v>0</v>
      </c>
      <c r="AW37" s="138">
        <f t="shared" ca="1" si="46"/>
        <v>0</v>
      </c>
      <c r="AX37" s="138">
        <f t="shared" ca="1" si="46"/>
        <v>0</v>
      </c>
      <c r="AY37" s="138">
        <f t="shared" ca="1" si="46"/>
        <v>0</v>
      </c>
      <c r="AZ37" s="138">
        <f t="shared" ca="1" si="46"/>
        <v>0</v>
      </c>
      <c r="BA37" s="138">
        <f t="shared" ca="1" si="46"/>
        <v>0</v>
      </c>
      <c r="BB37" s="138">
        <f t="shared" ca="1" si="46"/>
        <v>0</v>
      </c>
      <c r="BC37" s="138">
        <f t="shared" ca="1" si="46"/>
        <v>0</v>
      </c>
      <c r="BD37" s="138">
        <f t="shared" ca="1" si="46"/>
        <v>0</v>
      </c>
      <c r="BE37" s="138">
        <f t="shared" ca="1" si="46"/>
        <v>0</v>
      </c>
      <c r="BF37" s="138">
        <f t="shared" ca="1" si="47"/>
        <v>0</v>
      </c>
      <c r="BG37" s="138">
        <f t="shared" ca="1" si="47"/>
        <v>0</v>
      </c>
      <c r="BH37" s="138">
        <f t="shared" ca="1" si="47"/>
        <v>0</v>
      </c>
      <c r="BI37" s="138">
        <f t="shared" ca="1" si="47"/>
        <v>0</v>
      </c>
      <c r="BJ37" s="138">
        <f t="shared" ca="1" si="47"/>
        <v>0</v>
      </c>
      <c r="BK37" s="138">
        <f t="shared" ca="1" si="47"/>
        <v>0</v>
      </c>
      <c r="BL37" s="138">
        <f t="shared" ca="1" si="47"/>
        <v>0</v>
      </c>
      <c r="BM37" s="138">
        <f t="shared" ca="1" si="47"/>
        <v>0</v>
      </c>
      <c r="BN37" s="138">
        <f t="shared" ca="1" si="47"/>
        <v>0</v>
      </c>
      <c r="BO37" s="138">
        <f t="shared" ca="1" si="47"/>
        <v>0</v>
      </c>
      <c r="BP37" s="138">
        <f t="shared" ca="1" si="48"/>
        <v>0</v>
      </c>
      <c r="BQ37" s="138">
        <f t="shared" ca="1" si="48"/>
        <v>0</v>
      </c>
      <c r="BR37" s="138">
        <f t="shared" ca="1" si="48"/>
        <v>0</v>
      </c>
      <c r="BS37" s="138">
        <f t="shared" ca="1" si="48"/>
        <v>0</v>
      </c>
      <c r="BT37" s="138">
        <f t="shared" ca="1" si="48"/>
        <v>0</v>
      </c>
      <c r="BU37" s="138">
        <f t="shared" ca="1" si="48"/>
        <v>0</v>
      </c>
      <c r="BV37" s="138">
        <f t="shared" ca="1" si="48"/>
        <v>0</v>
      </c>
      <c r="BW37" s="138">
        <f t="shared" ca="1" si="48"/>
        <v>0</v>
      </c>
      <c r="BX37" s="138">
        <f t="shared" ca="1" si="48"/>
        <v>0</v>
      </c>
      <c r="BY37" s="138">
        <f t="shared" ca="1" si="48"/>
        <v>0</v>
      </c>
      <c r="BZ37" s="138">
        <f t="shared" ca="1" si="49"/>
        <v>0</v>
      </c>
      <c r="CA37" s="138">
        <f t="shared" ca="1" si="49"/>
        <v>0</v>
      </c>
      <c r="CB37" s="138">
        <f t="shared" ca="1" si="49"/>
        <v>0</v>
      </c>
      <c r="CC37" s="138">
        <f t="shared" ca="1" si="49"/>
        <v>0</v>
      </c>
      <c r="CD37" s="138">
        <f t="shared" ca="1" si="49"/>
        <v>0</v>
      </c>
      <c r="CE37" s="138">
        <f t="shared" ca="1" si="49"/>
        <v>0</v>
      </c>
      <c r="CF37" s="138">
        <f t="shared" ca="1" si="49"/>
        <v>0</v>
      </c>
      <c r="CG37" s="138">
        <f t="shared" ca="1" si="49"/>
        <v>0</v>
      </c>
      <c r="CH37" s="138">
        <f t="shared" ca="1" si="49"/>
        <v>0</v>
      </c>
      <c r="CI37" s="138">
        <f t="shared" ca="1" si="49"/>
        <v>0</v>
      </c>
      <c r="CJ37" s="138">
        <f t="shared" ca="1" si="50"/>
        <v>0</v>
      </c>
      <c r="CK37" s="138">
        <f t="shared" ca="1" si="50"/>
        <v>0</v>
      </c>
      <c r="CL37" s="138">
        <f t="shared" ca="1" si="50"/>
        <v>0</v>
      </c>
      <c r="CM37" s="138">
        <f t="shared" ca="1" si="50"/>
        <v>0</v>
      </c>
      <c r="CN37" s="138">
        <f t="shared" ca="1" si="50"/>
        <v>0</v>
      </c>
      <c r="CO37" s="138">
        <f t="shared" ca="1" si="50"/>
        <v>0</v>
      </c>
      <c r="CP37" s="138">
        <f t="shared" ca="1" si="50"/>
        <v>0</v>
      </c>
      <c r="CQ37" s="138">
        <f t="shared" ca="1" si="50"/>
        <v>0</v>
      </c>
      <c r="CR37" s="138">
        <f t="shared" ca="1" si="50"/>
        <v>0</v>
      </c>
      <c r="CS37" s="138">
        <f t="shared" ca="1" si="50"/>
        <v>0</v>
      </c>
      <c r="CT37" s="138">
        <f t="shared" ca="1" si="51"/>
        <v>0</v>
      </c>
      <c r="CU37" s="138">
        <f t="shared" ca="1" si="51"/>
        <v>0</v>
      </c>
      <c r="CV37" s="138">
        <f t="shared" ca="1" si="51"/>
        <v>0</v>
      </c>
      <c r="CW37" s="138">
        <f t="shared" ca="1" si="51"/>
        <v>0</v>
      </c>
      <c r="CX37" s="138">
        <f t="shared" ca="1" si="51"/>
        <v>0</v>
      </c>
      <c r="CY37" s="138">
        <f t="shared" ca="1" si="51"/>
        <v>0</v>
      </c>
      <c r="CZ37" s="138">
        <f t="shared" ca="1" si="51"/>
        <v>0</v>
      </c>
      <c r="DA37" s="138">
        <f t="shared" ca="1" si="51"/>
        <v>0</v>
      </c>
      <c r="DB37" s="138">
        <f t="shared" ca="1" si="51"/>
        <v>0</v>
      </c>
      <c r="DC37" s="138">
        <f t="shared" ca="1" si="51"/>
        <v>0</v>
      </c>
      <c r="DE37" s="254" t="str">
        <f t="shared" ca="1" si="25"/>
        <v>D.3.4.</v>
      </c>
      <c r="DF37">
        <v>1</v>
      </c>
      <c r="DG37">
        <f t="shared" ca="1" si="52"/>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42"/>
        <v>0</v>
      </c>
      <c r="I38" s="138">
        <f t="shared" ca="1" si="42"/>
        <v>0</v>
      </c>
      <c r="J38" s="138">
        <f t="shared" ca="1" si="42"/>
        <v>0</v>
      </c>
      <c r="K38" s="138">
        <f t="shared" ca="1" si="42"/>
        <v>0</v>
      </c>
      <c r="L38" s="138">
        <f t="shared" ca="1" si="42"/>
        <v>0</v>
      </c>
      <c r="M38" s="138">
        <f t="shared" ca="1" si="42"/>
        <v>0</v>
      </c>
      <c r="N38" s="138">
        <f t="shared" ca="1" si="42"/>
        <v>0</v>
      </c>
      <c r="O38" s="138">
        <f t="shared" ca="1" si="42"/>
        <v>0</v>
      </c>
      <c r="P38" s="138">
        <f t="shared" ca="1" si="42"/>
        <v>0</v>
      </c>
      <c r="Q38" s="138">
        <f t="shared" ca="1" si="42"/>
        <v>0</v>
      </c>
      <c r="R38" s="138">
        <f t="shared" ca="1" si="43"/>
        <v>0</v>
      </c>
      <c r="S38" s="138">
        <f t="shared" ca="1" si="43"/>
        <v>0</v>
      </c>
      <c r="T38" s="138">
        <f t="shared" ca="1" si="43"/>
        <v>0</v>
      </c>
      <c r="U38" s="138">
        <f t="shared" ca="1" si="43"/>
        <v>0</v>
      </c>
      <c r="V38" s="138">
        <f t="shared" ca="1" si="43"/>
        <v>0</v>
      </c>
      <c r="W38" s="138">
        <f t="shared" ca="1" si="43"/>
        <v>0</v>
      </c>
      <c r="X38" s="138">
        <f t="shared" ca="1" si="43"/>
        <v>0</v>
      </c>
      <c r="Y38" s="138">
        <f t="shared" ca="1" si="43"/>
        <v>0</v>
      </c>
      <c r="Z38" s="138">
        <f t="shared" ca="1" si="43"/>
        <v>0</v>
      </c>
      <c r="AA38" s="138">
        <f t="shared" ca="1" si="43"/>
        <v>0</v>
      </c>
      <c r="AB38" s="138">
        <f t="shared" ca="1" si="44"/>
        <v>0</v>
      </c>
      <c r="AC38" s="138">
        <f t="shared" ca="1" si="44"/>
        <v>0</v>
      </c>
      <c r="AD38" s="138">
        <f t="shared" ca="1" si="44"/>
        <v>0</v>
      </c>
      <c r="AE38" s="138">
        <f t="shared" ca="1" si="44"/>
        <v>0</v>
      </c>
      <c r="AF38" s="138">
        <f t="shared" ca="1" si="44"/>
        <v>0</v>
      </c>
      <c r="AG38" s="138">
        <f t="shared" ca="1" si="44"/>
        <v>0</v>
      </c>
      <c r="AH38" s="138">
        <f t="shared" ca="1" si="44"/>
        <v>0</v>
      </c>
      <c r="AI38" s="138">
        <f t="shared" ca="1" si="44"/>
        <v>0</v>
      </c>
      <c r="AJ38" s="138">
        <f t="shared" ca="1" si="44"/>
        <v>0</v>
      </c>
      <c r="AK38" s="138">
        <f t="shared" ca="1" si="44"/>
        <v>0</v>
      </c>
      <c r="AL38" s="138">
        <f t="shared" ca="1" si="45"/>
        <v>0</v>
      </c>
      <c r="AM38" s="138">
        <f t="shared" ca="1" si="45"/>
        <v>0</v>
      </c>
      <c r="AN38" s="138">
        <f t="shared" ca="1" si="45"/>
        <v>0</v>
      </c>
      <c r="AO38" s="138">
        <f t="shared" ca="1" si="45"/>
        <v>0</v>
      </c>
      <c r="AP38" s="138">
        <f t="shared" ca="1" si="45"/>
        <v>0</v>
      </c>
      <c r="AQ38" s="138">
        <f t="shared" ca="1" si="45"/>
        <v>0</v>
      </c>
      <c r="AR38" s="138">
        <f t="shared" ca="1" si="45"/>
        <v>0</v>
      </c>
      <c r="AS38" s="138">
        <f t="shared" ca="1" si="45"/>
        <v>0</v>
      </c>
      <c r="AT38" s="138">
        <f t="shared" ca="1" si="45"/>
        <v>0</v>
      </c>
      <c r="AU38" s="138">
        <f t="shared" ca="1" si="45"/>
        <v>0</v>
      </c>
      <c r="AV38" s="138">
        <f t="shared" ca="1" si="46"/>
        <v>0</v>
      </c>
      <c r="AW38" s="138">
        <f t="shared" ca="1" si="46"/>
        <v>0</v>
      </c>
      <c r="AX38" s="138">
        <f t="shared" ca="1" si="46"/>
        <v>0</v>
      </c>
      <c r="AY38" s="138">
        <f t="shared" ca="1" si="46"/>
        <v>0</v>
      </c>
      <c r="AZ38" s="138">
        <f t="shared" ca="1" si="46"/>
        <v>0</v>
      </c>
      <c r="BA38" s="138">
        <f t="shared" ca="1" si="46"/>
        <v>0</v>
      </c>
      <c r="BB38" s="138">
        <f t="shared" ca="1" si="46"/>
        <v>0</v>
      </c>
      <c r="BC38" s="138">
        <f t="shared" ca="1" si="46"/>
        <v>0</v>
      </c>
      <c r="BD38" s="138">
        <f t="shared" ca="1" si="46"/>
        <v>0</v>
      </c>
      <c r="BE38" s="138">
        <f t="shared" ca="1" si="46"/>
        <v>0</v>
      </c>
      <c r="BF38" s="138">
        <f t="shared" ca="1" si="47"/>
        <v>0</v>
      </c>
      <c r="BG38" s="138">
        <f t="shared" ca="1" si="47"/>
        <v>0</v>
      </c>
      <c r="BH38" s="138">
        <f t="shared" ca="1" si="47"/>
        <v>0</v>
      </c>
      <c r="BI38" s="138">
        <f t="shared" ca="1" si="47"/>
        <v>0</v>
      </c>
      <c r="BJ38" s="138">
        <f t="shared" ca="1" si="47"/>
        <v>0</v>
      </c>
      <c r="BK38" s="138">
        <f t="shared" ca="1" si="47"/>
        <v>0</v>
      </c>
      <c r="BL38" s="138">
        <f t="shared" ca="1" si="47"/>
        <v>0</v>
      </c>
      <c r="BM38" s="138">
        <f t="shared" ca="1" si="47"/>
        <v>0</v>
      </c>
      <c r="BN38" s="138">
        <f t="shared" ca="1" si="47"/>
        <v>0</v>
      </c>
      <c r="BO38" s="138">
        <f t="shared" ca="1" si="47"/>
        <v>0</v>
      </c>
      <c r="BP38" s="138">
        <f t="shared" ca="1" si="48"/>
        <v>0</v>
      </c>
      <c r="BQ38" s="138">
        <f t="shared" ca="1" si="48"/>
        <v>0</v>
      </c>
      <c r="BR38" s="138">
        <f t="shared" ca="1" si="48"/>
        <v>0</v>
      </c>
      <c r="BS38" s="138">
        <f t="shared" ca="1" si="48"/>
        <v>0</v>
      </c>
      <c r="BT38" s="138">
        <f t="shared" ca="1" si="48"/>
        <v>0</v>
      </c>
      <c r="BU38" s="138">
        <f t="shared" ca="1" si="48"/>
        <v>0</v>
      </c>
      <c r="BV38" s="138">
        <f t="shared" ca="1" si="48"/>
        <v>0</v>
      </c>
      <c r="BW38" s="138">
        <f t="shared" ca="1" si="48"/>
        <v>0</v>
      </c>
      <c r="BX38" s="138">
        <f t="shared" ca="1" si="48"/>
        <v>0</v>
      </c>
      <c r="BY38" s="138">
        <f t="shared" ca="1" si="48"/>
        <v>0</v>
      </c>
      <c r="BZ38" s="138">
        <f t="shared" ca="1" si="49"/>
        <v>0</v>
      </c>
      <c r="CA38" s="138">
        <f t="shared" ca="1" si="49"/>
        <v>0</v>
      </c>
      <c r="CB38" s="138">
        <f t="shared" ca="1" si="49"/>
        <v>0</v>
      </c>
      <c r="CC38" s="138">
        <f t="shared" ca="1" si="49"/>
        <v>0</v>
      </c>
      <c r="CD38" s="138">
        <f t="shared" ca="1" si="49"/>
        <v>0</v>
      </c>
      <c r="CE38" s="138">
        <f t="shared" ca="1" si="49"/>
        <v>0</v>
      </c>
      <c r="CF38" s="138">
        <f t="shared" ca="1" si="49"/>
        <v>0</v>
      </c>
      <c r="CG38" s="138">
        <f t="shared" ca="1" si="49"/>
        <v>0</v>
      </c>
      <c r="CH38" s="138">
        <f t="shared" ca="1" si="49"/>
        <v>0</v>
      </c>
      <c r="CI38" s="138">
        <f t="shared" ca="1" si="49"/>
        <v>0</v>
      </c>
      <c r="CJ38" s="138">
        <f t="shared" ca="1" si="50"/>
        <v>0</v>
      </c>
      <c r="CK38" s="138">
        <f t="shared" ca="1" si="50"/>
        <v>0</v>
      </c>
      <c r="CL38" s="138">
        <f t="shared" ca="1" si="50"/>
        <v>0</v>
      </c>
      <c r="CM38" s="138">
        <f t="shared" ca="1" si="50"/>
        <v>0</v>
      </c>
      <c r="CN38" s="138">
        <f t="shared" ca="1" si="50"/>
        <v>0</v>
      </c>
      <c r="CO38" s="138">
        <f t="shared" ca="1" si="50"/>
        <v>0</v>
      </c>
      <c r="CP38" s="138">
        <f t="shared" ca="1" si="50"/>
        <v>0</v>
      </c>
      <c r="CQ38" s="138">
        <f t="shared" ca="1" si="50"/>
        <v>0</v>
      </c>
      <c r="CR38" s="138">
        <f t="shared" ca="1" si="50"/>
        <v>0</v>
      </c>
      <c r="CS38" s="138">
        <f t="shared" ca="1" si="50"/>
        <v>0</v>
      </c>
      <c r="CT38" s="138">
        <f t="shared" ca="1" si="51"/>
        <v>0</v>
      </c>
      <c r="CU38" s="138">
        <f t="shared" ca="1" si="51"/>
        <v>0</v>
      </c>
      <c r="CV38" s="138">
        <f t="shared" ca="1" si="51"/>
        <v>0</v>
      </c>
      <c r="CW38" s="138">
        <f t="shared" ca="1" si="51"/>
        <v>0</v>
      </c>
      <c r="CX38" s="138">
        <f t="shared" ca="1" si="51"/>
        <v>0</v>
      </c>
      <c r="CY38" s="138">
        <f t="shared" ca="1" si="51"/>
        <v>0</v>
      </c>
      <c r="CZ38" s="138">
        <f t="shared" ca="1" si="51"/>
        <v>0</v>
      </c>
      <c r="DA38" s="138">
        <f t="shared" ca="1" si="51"/>
        <v>0</v>
      </c>
      <c r="DB38" s="138">
        <f t="shared" ca="1" si="51"/>
        <v>0</v>
      </c>
      <c r="DC38" s="138">
        <f t="shared" ca="1" si="51"/>
        <v>0</v>
      </c>
      <c r="DE38" s="254" t="str">
        <f t="shared" ca="1" si="25"/>
        <v>D.3.5.</v>
      </c>
      <c r="DF38">
        <v>1</v>
      </c>
      <c r="DG38">
        <f t="shared" ca="1" si="52"/>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42"/>
        <v>0</v>
      </c>
      <c r="I39" s="138">
        <f t="shared" ca="1" si="42"/>
        <v>0</v>
      </c>
      <c r="J39" s="138">
        <f t="shared" ca="1" si="42"/>
        <v>0</v>
      </c>
      <c r="K39" s="138">
        <f t="shared" ca="1" si="42"/>
        <v>0</v>
      </c>
      <c r="L39" s="138">
        <f t="shared" ca="1" si="42"/>
        <v>0</v>
      </c>
      <c r="M39" s="138">
        <f t="shared" ca="1" si="42"/>
        <v>0</v>
      </c>
      <c r="N39" s="138">
        <f t="shared" ca="1" si="42"/>
        <v>0</v>
      </c>
      <c r="O39" s="138">
        <f t="shared" ca="1" si="42"/>
        <v>0</v>
      </c>
      <c r="P39" s="138">
        <f t="shared" ca="1" si="42"/>
        <v>0</v>
      </c>
      <c r="Q39" s="138">
        <f t="shared" ca="1" si="42"/>
        <v>0</v>
      </c>
      <c r="R39" s="138">
        <f t="shared" ca="1" si="43"/>
        <v>0</v>
      </c>
      <c r="S39" s="138">
        <f t="shared" ca="1" si="43"/>
        <v>0</v>
      </c>
      <c r="T39" s="138">
        <f t="shared" ca="1" si="43"/>
        <v>0</v>
      </c>
      <c r="U39" s="138">
        <f t="shared" ca="1" si="43"/>
        <v>0</v>
      </c>
      <c r="V39" s="138">
        <f t="shared" ca="1" si="43"/>
        <v>0</v>
      </c>
      <c r="W39" s="138">
        <f t="shared" ca="1" si="43"/>
        <v>0</v>
      </c>
      <c r="X39" s="138">
        <f t="shared" ca="1" si="43"/>
        <v>0</v>
      </c>
      <c r="Y39" s="138">
        <f t="shared" ca="1" si="43"/>
        <v>0</v>
      </c>
      <c r="Z39" s="138">
        <f t="shared" ca="1" si="43"/>
        <v>0</v>
      </c>
      <c r="AA39" s="138">
        <f t="shared" ca="1" si="43"/>
        <v>0</v>
      </c>
      <c r="AB39" s="138">
        <f t="shared" ca="1" si="44"/>
        <v>0</v>
      </c>
      <c r="AC39" s="138">
        <f t="shared" ca="1" si="44"/>
        <v>0</v>
      </c>
      <c r="AD39" s="138">
        <f t="shared" ca="1" si="44"/>
        <v>0</v>
      </c>
      <c r="AE39" s="138">
        <f t="shared" ca="1" si="44"/>
        <v>0</v>
      </c>
      <c r="AF39" s="138">
        <f t="shared" ca="1" si="44"/>
        <v>0</v>
      </c>
      <c r="AG39" s="138">
        <f t="shared" ca="1" si="44"/>
        <v>0</v>
      </c>
      <c r="AH39" s="138">
        <f t="shared" ca="1" si="44"/>
        <v>0</v>
      </c>
      <c r="AI39" s="138">
        <f t="shared" ca="1" si="44"/>
        <v>0</v>
      </c>
      <c r="AJ39" s="138">
        <f t="shared" ca="1" si="44"/>
        <v>0</v>
      </c>
      <c r="AK39" s="138">
        <f t="shared" ca="1" si="44"/>
        <v>0</v>
      </c>
      <c r="AL39" s="138">
        <f t="shared" ca="1" si="45"/>
        <v>0</v>
      </c>
      <c r="AM39" s="138">
        <f t="shared" ca="1" si="45"/>
        <v>0</v>
      </c>
      <c r="AN39" s="138">
        <f t="shared" ca="1" si="45"/>
        <v>0</v>
      </c>
      <c r="AO39" s="138">
        <f t="shared" ca="1" si="45"/>
        <v>0</v>
      </c>
      <c r="AP39" s="138">
        <f t="shared" ca="1" si="45"/>
        <v>0</v>
      </c>
      <c r="AQ39" s="138">
        <f t="shared" ca="1" si="45"/>
        <v>0</v>
      </c>
      <c r="AR39" s="138">
        <f t="shared" ca="1" si="45"/>
        <v>0</v>
      </c>
      <c r="AS39" s="138">
        <f t="shared" ca="1" si="45"/>
        <v>0</v>
      </c>
      <c r="AT39" s="138">
        <f t="shared" ca="1" si="45"/>
        <v>0</v>
      </c>
      <c r="AU39" s="138">
        <f t="shared" ca="1" si="45"/>
        <v>0</v>
      </c>
      <c r="AV39" s="138">
        <f t="shared" ca="1" si="46"/>
        <v>0</v>
      </c>
      <c r="AW39" s="138">
        <f t="shared" ca="1" si="46"/>
        <v>0</v>
      </c>
      <c r="AX39" s="138">
        <f t="shared" ca="1" si="46"/>
        <v>0</v>
      </c>
      <c r="AY39" s="138">
        <f t="shared" ca="1" si="46"/>
        <v>0</v>
      </c>
      <c r="AZ39" s="138">
        <f t="shared" ca="1" si="46"/>
        <v>0</v>
      </c>
      <c r="BA39" s="138">
        <f t="shared" ca="1" si="46"/>
        <v>0</v>
      </c>
      <c r="BB39" s="138">
        <f t="shared" ca="1" si="46"/>
        <v>0</v>
      </c>
      <c r="BC39" s="138">
        <f t="shared" ca="1" si="46"/>
        <v>0</v>
      </c>
      <c r="BD39" s="138">
        <f t="shared" ca="1" si="46"/>
        <v>0</v>
      </c>
      <c r="BE39" s="138">
        <f t="shared" ca="1" si="46"/>
        <v>0</v>
      </c>
      <c r="BF39" s="138">
        <f t="shared" ca="1" si="47"/>
        <v>0</v>
      </c>
      <c r="BG39" s="138">
        <f t="shared" ca="1" si="47"/>
        <v>0</v>
      </c>
      <c r="BH39" s="138">
        <f t="shared" ca="1" si="47"/>
        <v>0</v>
      </c>
      <c r="BI39" s="138">
        <f t="shared" ca="1" si="47"/>
        <v>0</v>
      </c>
      <c r="BJ39" s="138">
        <f t="shared" ca="1" si="47"/>
        <v>0</v>
      </c>
      <c r="BK39" s="138">
        <f t="shared" ca="1" si="47"/>
        <v>0</v>
      </c>
      <c r="BL39" s="138">
        <f t="shared" ca="1" si="47"/>
        <v>0</v>
      </c>
      <c r="BM39" s="138">
        <f t="shared" ca="1" si="47"/>
        <v>0</v>
      </c>
      <c r="BN39" s="138">
        <f t="shared" ca="1" si="47"/>
        <v>0</v>
      </c>
      <c r="BO39" s="138">
        <f t="shared" ca="1" si="47"/>
        <v>0</v>
      </c>
      <c r="BP39" s="138">
        <f t="shared" ca="1" si="48"/>
        <v>0</v>
      </c>
      <c r="BQ39" s="138">
        <f t="shared" ca="1" si="48"/>
        <v>0</v>
      </c>
      <c r="BR39" s="138">
        <f t="shared" ca="1" si="48"/>
        <v>0</v>
      </c>
      <c r="BS39" s="138">
        <f t="shared" ca="1" si="48"/>
        <v>0</v>
      </c>
      <c r="BT39" s="138">
        <f t="shared" ca="1" si="48"/>
        <v>0</v>
      </c>
      <c r="BU39" s="138">
        <f t="shared" ca="1" si="48"/>
        <v>0</v>
      </c>
      <c r="BV39" s="138">
        <f t="shared" ca="1" si="48"/>
        <v>0</v>
      </c>
      <c r="BW39" s="138">
        <f t="shared" ca="1" si="48"/>
        <v>0</v>
      </c>
      <c r="BX39" s="138">
        <f t="shared" ca="1" si="48"/>
        <v>0</v>
      </c>
      <c r="BY39" s="138">
        <f t="shared" ca="1" si="48"/>
        <v>0</v>
      </c>
      <c r="BZ39" s="138">
        <f t="shared" ca="1" si="49"/>
        <v>0</v>
      </c>
      <c r="CA39" s="138">
        <f t="shared" ca="1" si="49"/>
        <v>0</v>
      </c>
      <c r="CB39" s="138">
        <f t="shared" ca="1" si="49"/>
        <v>0</v>
      </c>
      <c r="CC39" s="138">
        <f t="shared" ca="1" si="49"/>
        <v>0</v>
      </c>
      <c r="CD39" s="138">
        <f t="shared" ca="1" si="49"/>
        <v>0</v>
      </c>
      <c r="CE39" s="138">
        <f t="shared" ca="1" si="49"/>
        <v>0</v>
      </c>
      <c r="CF39" s="138">
        <f t="shared" ca="1" si="49"/>
        <v>0</v>
      </c>
      <c r="CG39" s="138">
        <f t="shared" ca="1" si="49"/>
        <v>0</v>
      </c>
      <c r="CH39" s="138">
        <f t="shared" ca="1" si="49"/>
        <v>0</v>
      </c>
      <c r="CI39" s="138">
        <f t="shared" ca="1" si="49"/>
        <v>0</v>
      </c>
      <c r="CJ39" s="138">
        <f t="shared" ca="1" si="50"/>
        <v>0</v>
      </c>
      <c r="CK39" s="138">
        <f t="shared" ca="1" si="50"/>
        <v>0</v>
      </c>
      <c r="CL39" s="138">
        <f t="shared" ca="1" si="50"/>
        <v>0</v>
      </c>
      <c r="CM39" s="138">
        <f t="shared" ca="1" si="50"/>
        <v>0</v>
      </c>
      <c r="CN39" s="138">
        <f t="shared" ca="1" si="50"/>
        <v>0</v>
      </c>
      <c r="CO39" s="138">
        <f t="shared" ca="1" si="50"/>
        <v>0</v>
      </c>
      <c r="CP39" s="138">
        <f t="shared" ca="1" si="50"/>
        <v>0</v>
      </c>
      <c r="CQ39" s="138">
        <f t="shared" ca="1" si="50"/>
        <v>0</v>
      </c>
      <c r="CR39" s="138">
        <f t="shared" ca="1" si="50"/>
        <v>0</v>
      </c>
      <c r="CS39" s="138">
        <f t="shared" ca="1" si="50"/>
        <v>0</v>
      </c>
      <c r="CT39" s="138">
        <f t="shared" ca="1" si="51"/>
        <v>0</v>
      </c>
      <c r="CU39" s="138">
        <f t="shared" ca="1" si="51"/>
        <v>0</v>
      </c>
      <c r="CV39" s="138">
        <f t="shared" ca="1" si="51"/>
        <v>0</v>
      </c>
      <c r="CW39" s="138">
        <f t="shared" ca="1" si="51"/>
        <v>0</v>
      </c>
      <c r="CX39" s="138">
        <f t="shared" ca="1" si="51"/>
        <v>0</v>
      </c>
      <c r="CY39" s="138">
        <f t="shared" ca="1" si="51"/>
        <v>0</v>
      </c>
      <c r="CZ39" s="138">
        <f t="shared" ca="1" si="51"/>
        <v>0</v>
      </c>
      <c r="DA39" s="138">
        <f t="shared" ca="1" si="51"/>
        <v>0</v>
      </c>
      <c r="DB39" s="138">
        <f t="shared" ca="1" si="51"/>
        <v>0</v>
      </c>
      <c r="DC39" s="138">
        <f t="shared" ca="1" si="51"/>
        <v>0</v>
      </c>
      <c r="DE39" s="254" t="str">
        <f t="shared" ca="1" si="25"/>
        <v>D.3.6.</v>
      </c>
      <c r="DF39">
        <v>1</v>
      </c>
      <c r="DG39">
        <f t="shared" ca="1" si="52"/>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42"/>
        <v>0</v>
      </c>
      <c r="I40" s="138">
        <f t="shared" ca="1" si="42"/>
        <v>0</v>
      </c>
      <c r="J40" s="138">
        <f t="shared" ca="1" si="42"/>
        <v>0</v>
      </c>
      <c r="K40" s="138">
        <f t="shared" ca="1" si="42"/>
        <v>0</v>
      </c>
      <c r="L40" s="138">
        <f t="shared" ca="1" si="42"/>
        <v>0</v>
      </c>
      <c r="M40" s="138">
        <f t="shared" ca="1" si="42"/>
        <v>0</v>
      </c>
      <c r="N40" s="138">
        <f t="shared" ca="1" si="42"/>
        <v>0</v>
      </c>
      <c r="O40" s="138">
        <f t="shared" ca="1" si="42"/>
        <v>0</v>
      </c>
      <c r="P40" s="138">
        <f t="shared" ca="1" si="42"/>
        <v>0</v>
      </c>
      <c r="Q40" s="138">
        <f t="shared" ca="1" si="42"/>
        <v>0</v>
      </c>
      <c r="R40" s="138">
        <f t="shared" ca="1" si="43"/>
        <v>0</v>
      </c>
      <c r="S40" s="138">
        <f t="shared" ca="1" si="43"/>
        <v>0</v>
      </c>
      <c r="T40" s="138">
        <f t="shared" ca="1" si="43"/>
        <v>0</v>
      </c>
      <c r="U40" s="138">
        <f t="shared" ca="1" si="43"/>
        <v>0</v>
      </c>
      <c r="V40" s="138">
        <f t="shared" ca="1" si="43"/>
        <v>0</v>
      </c>
      <c r="W40" s="138">
        <f t="shared" ca="1" si="43"/>
        <v>0</v>
      </c>
      <c r="X40" s="138">
        <f t="shared" ca="1" si="43"/>
        <v>0</v>
      </c>
      <c r="Y40" s="138">
        <f t="shared" ca="1" si="43"/>
        <v>0</v>
      </c>
      <c r="Z40" s="138">
        <f t="shared" ca="1" si="43"/>
        <v>0</v>
      </c>
      <c r="AA40" s="138">
        <f t="shared" ca="1" si="43"/>
        <v>0</v>
      </c>
      <c r="AB40" s="138">
        <f t="shared" ca="1" si="44"/>
        <v>0</v>
      </c>
      <c r="AC40" s="138">
        <f t="shared" ca="1" si="44"/>
        <v>0</v>
      </c>
      <c r="AD40" s="138">
        <f t="shared" ca="1" si="44"/>
        <v>0</v>
      </c>
      <c r="AE40" s="138">
        <f t="shared" ca="1" si="44"/>
        <v>0</v>
      </c>
      <c r="AF40" s="138">
        <f t="shared" ca="1" si="44"/>
        <v>0</v>
      </c>
      <c r="AG40" s="138">
        <f t="shared" ca="1" si="44"/>
        <v>0</v>
      </c>
      <c r="AH40" s="138">
        <f t="shared" ca="1" si="44"/>
        <v>0</v>
      </c>
      <c r="AI40" s="138">
        <f t="shared" ca="1" si="44"/>
        <v>0</v>
      </c>
      <c r="AJ40" s="138">
        <f t="shared" ca="1" si="44"/>
        <v>0</v>
      </c>
      <c r="AK40" s="138">
        <f t="shared" ca="1" si="44"/>
        <v>0</v>
      </c>
      <c r="AL40" s="138">
        <f t="shared" ca="1" si="45"/>
        <v>0</v>
      </c>
      <c r="AM40" s="138">
        <f t="shared" ca="1" si="45"/>
        <v>0</v>
      </c>
      <c r="AN40" s="138">
        <f t="shared" ca="1" si="45"/>
        <v>0</v>
      </c>
      <c r="AO40" s="138">
        <f t="shared" ca="1" si="45"/>
        <v>0</v>
      </c>
      <c r="AP40" s="138">
        <f t="shared" ca="1" si="45"/>
        <v>0</v>
      </c>
      <c r="AQ40" s="138">
        <f t="shared" ca="1" si="45"/>
        <v>0</v>
      </c>
      <c r="AR40" s="138">
        <f t="shared" ca="1" si="45"/>
        <v>0</v>
      </c>
      <c r="AS40" s="138">
        <f t="shared" ca="1" si="45"/>
        <v>0</v>
      </c>
      <c r="AT40" s="138">
        <f t="shared" ca="1" si="45"/>
        <v>0</v>
      </c>
      <c r="AU40" s="138">
        <f t="shared" ca="1" si="45"/>
        <v>0</v>
      </c>
      <c r="AV40" s="138">
        <f t="shared" ca="1" si="46"/>
        <v>0</v>
      </c>
      <c r="AW40" s="138">
        <f t="shared" ca="1" si="46"/>
        <v>0</v>
      </c>
      <c r="AX40" s="138">
        <f t="shared" ca="1" si="46"/>
        <v>0</v>
      </c>
      <c r="AY40" s="138">
        <f t="shared" ca="1" si="46"/>
        <v>0</v>
      </c>
      <c r="AZ40" s="138">
        <f t="shared" ca="1" si="46"/>
        <v>0</v>
      </c>
      <c r="BA40" s="138">
        <f t="shared" ca="1" si="46"/>
        <v>0</v>
      </c>
      <c r="BB40" s="138">
        <f t="shared" ca="1" si="46"/>
        <v>0</v>
      </c>
      <c r="BC40" s="138">
        <f t="shared" ca="1" si="46"/>
        <v>0</v>
      </c>
      <c r="BD40" s="138">
        <f t="shared" ca="1" si="46"/>
        <v>0</v>
      </c>
      <c r="BE40" s="138">
        <f t="shared" ca="1" si="46"/>
        <v>0</v>
      </c>
      <c r="BF40" s="138">
        <f t="shared" ca="1" si="47"/>
        <v>0</v>
      </c>
      <c r="BG40" s="138">
        <f t="shared" ca="1" si="47"/>
        <v>0</v>
      </c>
      <c r="BH40" s="138">
        <f t="shared" ca="1" si="47"/>
        <v>0</v>
      </c>
      <c r="BI40" s="138">
        <f t="shared" ca="1" si="47"/>
        <v>0</v>
      </c>
      <c r="BJ40" s="138">
        <f t="shared" ca="1" si="47"/>
        <v>0</v>
      </c>
      <c r="BK40" s="138">
        <f t="shared" ca="1" si="47"/>
        <v>0</v>
      </c>
      <c r="BL40" s="138">
        <f t="shared" ca="1" si="47"/>
        <v>0</v>
      </c>
      <c r="BM40" s="138">
        <f t="shared" ca="1" si="47"/>
        <v>0</v>
      </c>
      <c r="BN40" s="138">
        <f t="shared" ca="1" si="47"/>
        <v>0</v>
      </c>
      <c r="BO40" s="138">
        <f t="shared" ca="1" si="47"/>
        <v>0</v>
      </c>
      <c r="BP40" s="138">
        <f t="shared" ca="1" si="48"/>
        <v>0</v>
      </c>
      <c r="BQ40" s="138">
        <f t="shared" ca="1" si="48"/>
        <v>0</v>
      </c>
      <c r="BR40" s="138">
        <f t="shared" ca="1" si="48"/>
        <v>0</v>
      </c>
      <c r="BS40" s="138">
        <f t="shared" ca="1" si="48"/>
        <v>0</v>
      </c>
      <c r="BT40" s="138">
        <f t="shared" ca="1" si="48"/>
        <v>0</v>
      </c>
      <c r="BU40" s="138">
        <f t="shared" ca="1" si="48"/>
        <v>0</v>
      </c>
      <c r="BV40" s="138">
        <f t="shared" ca="1" si="48"/>
        <v>0</v>
      </c>
      <c r="BW40" s="138">
        <f t="shared" ca="1" si="48"/>
        <v>0</v>
      </c>
      <c r="BX40" s="138">
        <f t="shared" ca="1" si="48"/>
        <v>0</v>
      </c>
      <c r="BY40" s="138">
        <f t="shared" ca="1" si="48"/>
        <v>0</v>
      </c>
      <c r="BZ40" s="138">
        <f t="shared" ca="1" si="49"/>
        <v>0</v>
      </c>
      <c r="CA40" s="138">
        <f t="shared" ca="1" si="49"/>
        <v>0</v>
      </c>
      <c r="CB40" s="138">
        <f t="shared" ca="1" si="49"/>
        <v>0</v>
      </c>
      <c r="CC40" s="138">
        <f t="shared" ca="1" si="49"/>
        <v>0</v>
      </c>
      <c r="CD40" s="138">
        <f t="shared" ca="1" si="49"/>
        <v>0</v>
      </c>
      <c r="CE40" s="138">
        <f t="shared" ca="1" si="49"/>
        <v>0</v>
      </c>
      <c r="CF40" s="138">
        <f t="shared" ca="1" si="49"/>
        <v>0</v>
      </c>
      <c r="CG40" s="138">
        <f t="shared" ca="1" si="49"/>
        <v>0</v>
      </c>
      <c r="CH40" s="138">
        <f t="shared" ca="1" si="49"/>
        <v>0</v>
      </c>
      <c r="CI40" s="138">
        <f t="shared" ca="1" si="49"/>
        <v>0</v>
      </c>
      <c r="CJ40" s="138">
        <f t="shared" ca="1" si="50"/>
        <v>0</v>
      </c>
      <c r="CK40" s="138">
        <f t="shared" ca="1" si="50"/>
        <v>0</v>
      </c>
      <c r="CL40" s="138">
        <f t="shared" ca="1" si="50"/>
        <v>0</v>
      </c>
      <c r="CM40" s="138">
        <f t="shared" ca="1" si="50"/>
        <v>0</v>
      </c>
      <c r="CN40" s="138">
        <f t="shared" ca="1" si="50"/>
        <v>0</v>
      </c>
      <c r="CO40" s="138">
        <f t="shared" ca="1" si="50"/>
        <v>0</v>
      </c>
      <c r="CP40" s="138">
        <f t="shared" ca="1" si="50"/>
        <v>0</v>
      </c>
      <c r="CQ40" s="138">
        <f t="shared" ca="1" si="50"/>
        <v>0</v>
      </c>
      <c r="CR40" s="138">
        <f t="shared" ca="1" si="50"/>
        <v>0</v>
      </c>
      <c r="CS40" s="138">
        <f t="shared" ca="1" si="50"/>
        <v>0</v>
      </c>
      <c r="CT40" s="138">
        <f t="shared" ca="1" si="51"/>
        <v>0</v>
      </c>
      <c r="CU40" s="138">
        <f t="shared" ca="1" si="51"/>
        <v>0</v>
      </c>
      <c r="CV40" s="138">
        <f t="shared" ca="1" si="51"/>
        <v>0</v>
      </c>
      <c r="CW40" s="138">
        <f t="shared" ca="1" si="51"/>
        <v>0</v>
      </c>
      <c r="CX40" s="138">
        <f t="shared" ca="1" si="51"/>
        <v>0</v>
      </c>
      <c r="CY40" s="138">
        <f t="shared" ca="1" si="51"/>
        <v>0</v>
      </c>
      <c r="CZ40" s="138">
        <f t="shared" ca="1" si="51"/>
        <v>0</v>
      </c>
      <c r="DA40" s="138">
        <f t="shared" ca="1" si="51"/>
        <v>0</v>
      </c>
      <c r="DB40" s="138">
        <f t="shared" ca="1" si="51"/>
        <v>0</v>
      </c>
      <c r="DC40" s="138">
        <f t="shared" ca="1" si="51"/>
        <v>0</v>
      </c>
      <c r="DE40" s="254" t="str">
        <f t="shared" ca="1" si="25"/>
        <v>D.3.7.</v>
      </c>
      <c r="DF40">
        <v>1</v>
      </c>
      <c r="DG40">
        <f t="shared" ca="1" si="52"/>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42"/>
        <v>0</v>
      </c>
      <c r="I41" s="138">
        <f t="shared" ca="1" si="42"/>
        <v>0</v>
      </c>
      <c r="J41" s="138">
        <f t="shared" ca="1" si="42"/>
        <v>0</v>
      </c>
      <c r="K41" s="138">
        <f t="shared" ca="1" si="42"/>
        <v>0</v>
      </c>
      <c r="L41" s="138">
        <f t="shared" ca="1" si="42"/>
        <v>0</v>
      </c>
      <c r="M41" s="138">
        <f t="shared" ca="1" si="42"/>
        <v>0</v>
      </c>
      <c r="N41" s="138">
        <f t="shared" ca="1" si="42"/>
        <v>0</v>
      </c>
      <c r="O41" s="138">
        <f t="shared" ca="1" si="42"/>
        <v>0</v>
      </c>
      <c r="P41" s="138">
        <f t="shared" ca="1" si="42"/>
        <v>0</v>
      </c>
      <c r="Q41" s="138">
        <f t="shared" ca="1" si="42"/>
        <v>0</v>
      </c>
      <c r="R41" s="138">
        <f t="shared" ca="1" si="43"/>
        <v>0</v>
      </c>
      <c r="S41" s="138">
        <f t="shared" ca="1" si="43"/>
        <v>0</v>
      </c>
      <c r="T41" s="138">
        <f t="shared" ca="1" si="43"/>
        <v>0</v>
      </c>
      <c r="U41" s="138">
        <f t="shared" ca="1" si="43"/>
        <v>0</v>
      </c>
      <c r="V41" s="138">
        <f t="shared" ca="1" si="43"/>
        <v>0</v>
      </c>
      <c r="W41" s="138">
        <f t="shared" ca="1" si="43"/>
        <v>0</v>
      </c>
      <c r="X41" s="138">
        <f t="shared" ca="1" si="43"/>
        <v>0</v>
      </c>
      <c r="Y41" s="138">
        <f t="shared" ca="1" si="43"/>
        <v>0</v>
      </c>
      <c r="Z41" s="138">
        <f t="shared" ca="1" si="43"/>
        <v>0</v>
      </c>
      <c r="AA41" s="138">
        <f t="shared" ca="1" si="43"/>
        <v>0</v>
      </c>
      <c r="AB41" s="138">
        <f t="shared" ca="1" si="44"/>
        <v>0</v>
      </c>
      <c r="AC41" s="138">
        <f t="shared" ca="1" si="44"/>
        <v>0</v>
      </c>
      <c r="AD41" s="138">
        <f t="shared" ca="1" si="44"/>
        <v>0</v>
      </c>
      <c r="AE41" s="138">
        <f t="shared" ca="1" si="44"/>
        <v>0</v>
      </c>
      <c r="AF41" s="138">
        <f t="shared" ca="1" si="44"/>
        <v>0</v>
      </c>
      <c r="AG41" s="138">
        <f t="shared" ca="1" si="44"/>
        <v>0</v>
      </c>
      <c r="AH41" s="138">
        <f t="shared" ca="1" si="44"/>
        <v>0</v>
      </c>
      <c r="AI41" s="138">
        <f t="shared" ca="1" si="44"/>
        <v>0</v>
      </c>
      <c r="AJ41" s="138">
        <f t="shared" ca="1" si="44"/>
        <v>0</v>
      </c>
      <c r="AK41" s="138">
        <f t="shared" ca="1" si="44"/>
        <v>0</v>
      </c>
      <c r="AL41" s="138">
        <f t="shared" ca="1" si="45"/>
        <v>0</v>
      </c>
      <c r="AM41" s="138">
        <f t="shared" ca="1" si="45"/>
        <v>0</v>
      </c>
      <c r="AN41" s="138">
        <f t="shared" ca="1" si="45"/>
        <v>0</v>
      </c>
      <c r="AO41" s="138">
        <f t="shared" ca="1" si="45"/>
        <v>0</v>
      </c>
      <c r="AP41" s="138">
        <f t="shared" ca="1" si="45"/>
        <v>0</v>
      </c>
      <c r="AQ41" s="138">
        <f t="shared" ca="1" si="45"/>
        <v>0</v>
      </c>
      <c r="AR41" s="138">
        <f t="shared" ca="1" si="45"/>
        <v>0</v>
      </c>
      <c r="AS41" s="138">
        <f t="shared" ca="1" si="45"/>
        <v>0</v>
      </c>
      <c r="AT41" s="138">
        <f t="shared" ca="1" si="45"/>
        <v>0</v>
      </c>
      <c r="AU41" s="138">
        <f t="shared" ca="1" si="45"/>
        <v>0</v>
      </c>
      <c r="AV41" s="138">
        <f t="shared" ca="1" si="46"/>
        <v>0</v>
      </c>
      <c r="AW41" s="138">
        <f t="shared" ca="1" si="46"/>
        <v>0</v>
      </c>
      <c r="AX41" s="138">
        <f t="shared" ca="1" si="46"/>
        <v>0</v>
      </c>
      <c r="AY41" s="138">
        <f t="shared" ca="1" si="46"/>
        <v>0</v>
      </c>
      <c r="AZ41" s="138">
        <f t="shared" ca="1" si="46"/>
        <v>0</v>
      </c>
      <c r="BA41" s="138">
        <f t="shared" ca="1" si="46"/>
        <v>0</v>
      </c>
      <c r="BB41" s="138">
        <f t="shared" ca="1" si="46"/>
        <v>0</v>
      </c>
      <c r="BC41" s="138">
        <f t="shared" ca="1" si="46"/>
        <v>0</v>
      </c>
      <c r="BD41" s="138">
        <f t="shared" ca="1" si="46"/>
        <v>0</v>
      </c>
      <c r="BE41" s="138">
        <f t="shared" ca="1" si="46"/>
        <v>0</v>
      </c>
      <c r="BF41" s="138">
        <f t="shared" ca="1" si="47"/>
        <v>0</v>
      </c>
      <c r="BG41" s="138">
        <f t="shared" ca="1" si="47"/>
        <v>0</v>
      </c>
      <c r="BH41" s="138">
        <f t="shared" ca="1" si="47"/>
        <v>0</v>
      </c>
      <c r="BI41" s="138">
        <f t="shared" ca="1" si="47"/>
        <v>0</v>
      </c>
      <c r="BJ41" s="138">
        <f t="shared" ca="1" si="47"/>
        <v>0</v>
      </c>
      <c r="BK41" s="138">
        <f t="shared" ca="1" si="47"/>
        <v>0</v>
      </c>
      <c r="BL41" s="138">
        <f t="shared" ca="1" si="47"/>
        <v>0</v>
      </c>
      <c r="BM41" s="138">
        <f t="shared" ca="1" si="47"/>
        <v>0</v>
      </c>
      <c r="BN41" s="138">
        <f t="shared" ca="1" si="47"/>
        <v>0</v>
      </c>
      <c r="BO41" s="138">
        <f t="shared" ca="1" si="47"/>
        <v>0</v>
      </c>
      <c r="BP41" s="138">
        <f t="shared" ca="1" si="48"/>
        <v>0</v>
      </c>
      <c r="BQ41" s="138">
        <f t="shared" ca="1" si="48"/>
        <v>0</v>
      </c>
      <c r="BR41" s="138">
        <f t="shared" ca="1" si="48"/>
        <v>0</v>
      </c>
      <c r="BS41" s="138">
        <f t="shared" ca="1" si="48"/>
        <v>0</v>
      </c>
      <c r="BT41" s="138">
        <f t="shared" ca="1" si="48"/>
        <v>0</v>
      </c>
      <c r="BU41" s="138">
        <f t="shared" ca="1" si="48"/>
        <v>0</v>
      </c>
      <c r="BV41" s="138">
        <f t="shared" ca="1" si="48"/>
        <v>0</v>
      </c>
      <c r="BW41" s="138">
        <f t="shared" ca="1" si="48"/>
        <v>0</v>
      </c>
      <c r="BX41" s="138">
        <f t="shared" ca="1" si="48"/>
        <v>0</v>
      </c>
      <c r="BY41" s="138">
        <f t="shared" ca="1" si="48"/>
        <v>0</v>
      </c>
      <c r="BZ41" s="138">
        <f t="shared" ca="1" si="49"/>
        <v>0</v>
      </c>
      <c r="CA41" s="138">
        <f t="shared" ca="1" si="49"/>
        <v>0</v>
      </c>
      <c r="CB41" s="138">
        <f t="shared" ca="1" si="49"/>
        <v>0</v>
      </c>
      <c r="CC41" s="138">
        <f t="shared" ca="1" si="49"/>
        <v>0</v>
      </c>
      <c r="CD41" s="138">
        <f t="shared" ca="1" si="49"/>
        <v>0</v>
      </c>
      <c r="CE41" s="138">
        <f t="shared" ca="1" si="49"/>
        <v>0</v>
      </c>
      <c r="CF41" s="138">
        <f t="shared" ca="1" si="49"/>
        <v>0</v>
      </c>
      <c r="CG41" s="138">
        <f t="shared" ca="1" si="49"/>
        <v>0</v>
      </c>
      <c r="CH41" s="138">
        <f t="shared" ca="1" si="49"/>
        <v>0</v>
      </c>
      <c r="CI41" s="138">
        <f t="shared" ca="1" si="49"/>
        <v>0</v>
      </c>
      <c r="CJ41" s="138">
        <f t="shared" ca="1" si="50"/>
        <v>0</v>
      </c>
      <c r="CK41" s="138">
        <f t="shared" ca="1" si="50"/>
        <v>0</v>
      </c>
      <c r="CL41" s="138">
        <f t="shared" ca="1" si="50"/>
        <v>0</v>
      </c>
      <c r="CM41" s="138">
        <f t="shared" ca="1" si="50"/>
        <v>0</v>
      </c>
      <c r="CN41" s="138">
        <f t="shared" ca="1" si="50"/>
        <v>0</v>
      </c>
      <c r="CO41" s="138">
        <f t="shared" ca="1" si="50"/>
        <v>0</v>
      </c>
      <c r="CP41" s="138">
        <f t="shared" ca="1" si="50"/>
        <v>0</v>
      </c>
      <c r="CQ41" s="138">
        <f t="shared" ca="1" si="50"/>
        <v>0</v>
      </c>
      <c r="CR41" s="138">
        <f t="shared" ca="1" si="50"/>
        <v>0</v>
      </c>
      <c r="CS41" s="138">
        <f t="shared" ca="1" si="50"/>
        <v>0</v>
      </c>
      <c r="CT41" s="138">
        <f t="shared" ca="1" si="51"/>
        <v>0</v>
      </c>
      <c r="CU41" s="138">
        <f t="shared" ca="1" si="51"/>
        <v>0</v>
      </c>
      <c r="CV41" s="138">
        <f t="shared" ca="1" si="51"/>
        <v>0</v>
      </c>
      <c r="CW41" s="138">
        <f t="shared" ca="1" si="51"/>
        <v>0</v>
      </c>
      <c r="CX41" s="138">
        <f t="shared" ca="1" si="51"/>
        <v>0</v>
      </c>
      <c r="CY41" s="138">
        <f t="shared" ca="1" si="51"/>
        <v>0</v>
      </c>
      <c r="CZ41" s="138">
        <f t="shared" ca="1" si="51"/>
        <v>0</v>
      </c>
      <c r="DA41" s="138">
        <f t="shared" ca="1" si="51"/>
        <v>0</v>
      </c>
      <c r="DB41" s="138">
        <f t="shared" ca="1" si="51"/>
        <v>0</v>
      </c>
      <c r="DC41" s="138">
        <f t="shared" ca="1" si="51"/>
        <v>0</v>
      </c>
      <c r="DE41" s="254" t="str">
        <f t="shared" ca="1" si="25"/>
        <v>D.3.8.</v>
      </c>
      <c r="DF41">
        <v>1</v>
      </c>
      <c r="DG41">
        <f t="shared" ca="1" si="52"/>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42"/>
        <v>0</v>
      </c>
      <c r="I42" s="138">
        <f t="shared" ca="1" si="42"/>
        <v>0</v>
      </c>
      <c r="J42" s="138">
        <f t="shared" ca="1" si="42"/>
        <v>0</v>
      </c>
      <c r="K42" s="138">
        <f t="shared" ca="1" si="42"/>
        <v>0</v>
      </c>
      <c r="L42" s="138">
        <f t="shared" ca="1" si="42"/>
        <v>0</v>
      </c>
      <c r="M42" s="138">
        <f t="shared" ca="1" si="42"/>
        <v>0</v>
      </c>
      <c r="N42" s="138">
        <f t="shared" ca="1" si="42"/>
        <v>0</v>
      </c>
      <c r="O42" s="138">
        <f t="shared" ca="1" si="42"/>
        <v>0</v>
      </c>
      <c r="P42" s="138">
        <f t="shared" ca="1" si="42"/>
        <v>0</v>
      </c>
      <c r="Q42" s="138">
        <f t="shared" ca="1" si="42"/>
        <v>0</v>
      </c>
      <c r="R42" s="138">
        <f t="shared" ca="1" si="43"/>
        <v>0</v>
      </c>
      <c r="S42" s="138">
        <f t="shared" ca="1" si="43"/>
        <v>0</v>
      </c>
      <c r="T42" s="138">
        <f t="shared" ca="1" si="43"/>
        <v>0</v>
      </c>
      <c r="U42" s="138">
        <f t="shared" ca="1" si="43"/>
        <v>0</v>
      </c>
      <c r="V42" s="138">
        <f t="shared" ca="1" si="43"/>
        <v>0</v>
      </c>
      <c r="W42" s="138">
        <f t="shared" ca="1" si="43"/>
        <v>0</v>
      </c>
      <c r="X42" s="138">
        <f t="shared" ca="1" si="43"/>
        <v>0</v>
      </c>
      <c r="Y42" s="138">
        <f t="shared" ca="1" si="43"/>
        <v>0</v>
      </c>
      <c r="Z42" s="138">
        <f t="shared" ca="1" si="43"/>
        <v>0</v>
      </c>
      <c r="AA42" s="138">
        <f t="shared" ca="1" si="43"/>
        <v>0</v>
      </c>
      <c r="AB42" s="138">
        <f t="shared" ca="1" si="44"/>
        <v>0</v>
      </c>
      <c r="AC42" s="138">
        <f t="shared" ca="1" si="44"/>
        <v>0</v>
      </c>
      <c r="AD42" s="138">
        <f t="shared" ca="1" si="44"/>
        <v>0</v>
      </c>
      <c r="AE42" s="138">
        <f t="shared" ca="1" si="44"/>
        <v>0</v>
      </c>
      <c r="AF42" s="138">
        <f t="shared" ca="1" si="44"/>
        <v>0</v>
      </c>
      <c r="AG42" s="138">
        <f t="shared" ca="1" si="44"/>
        <v>0</v>
      </c>
      <c r="AH42" s="138">
        <f t="shared" ca="1" si="44"/>
        <v>0</v>
      </c>
      <c r="AI42" s="138">
        <f t="shared" ca="1" si="44"/>
        <v>0</v>
      </c>
      <c r="AJ42" s="138">
        <f t="shared" ca="1" si="44"/>
        <v>0</v>
      </c>
      <c r="AK42" s="138">
        <f t="shared" ca="1" si="44"/>
        <v>0</v>
      </c>
      <c r="AL42" s="138">
        <f t="shared" ca="1" si="45"/>
        <v>0</v>
      </c>
      <c r="AM42" s="138">
        <f t="shared" ca="1" si="45"/>
        <v>0</v>
      </c>
      <c r="AN42" s="138">
        <f t="shared" ca="1" si="45"/>
        <v>0</v>
      </c>
      <c r="AO42" s="138">
        <f t="shared" ca="1" si="45"/>
        <v>0</v>
      </c>
      <c r="AP42" s="138">
        <f t="shared" ca="1" si="45"/>
        <v>0</v>
      </c>
      <c r="AQ42" s="138">
        <f t="shared" ca="1" si="45"/>
        <v>0</v>
      </c>
      <c r="AR42" s="138">
        <f t="shared" ca="1" si="45"/>
        <v>0</v>
      </c>
      <c r="AS42" s="138">
        <f t="shared" ca="1" si="45"/>
        <v>0</v>
      </c>
      <c r="AT42" s="138">
        <f t="shared" ca="1" si="45"/>
        <v>0</v>
      </c>
      <c r="AU42" s="138">
        <f t="shared" ca="1" si="45"/>
        <v>0</v>
      </c>
      <c r="AV42" s="138">
        <f t="shared" ca="1" si="46"/>
        <v>0</v>
      </c>
      <c r="AW42" s="138">
        <f t="shared" ca="1" si="46"/>
        <v>0</v>
      </c>
      <c r="AX42" s="138">
        <f t="shared" ca="1" si="46"/>
        <v>0</v>
      </c>
      <c r="AY42" s="138">
        <f t="shared" ca="1" si="46"/>
        <v>0</v>
      </c>
      <c r="AZ42" s="138">
        <f t="shared" ca="1" si="46"/>
        <v>0</v>
      </c>
      <c r="BA42" s="138">
        <f t="shared" ca="1" si="46"/>
        <v>0</v>
      </c>
      <c r="BB42" s="138">
        <f t="shared" ca="1" si="46"/>
        <v>0</v>
      </c>
      <c r="BC42" s="138">
        <f t="shared" ca="1" si="46"/>
        <v>0</v>
      </c>
      <c r="BD42" s="138">
        <f t="shared" ca="1" si="46"/>
        <v>0</v>
      </c>
      <c r="BE42" s="138">
        <f t="shared" ca="1" si="46"/>
        <v>0</v>
      </c>
      <c r="BF42" s="138">
        <f t="shared" ca="1" si="47"/>
        <v>0</v>
      </c>
      <c r="BG42" s="138">
        <f t="shared" ca="1" si="47"/>
        <v>0</v>
      </c>
      <c r="BH42" s="138">
        <f t="shared" ca="1" si="47"/>
        <v>0</v>
      </c>
      <c r="BI42" s="138">
        <f t="shared" ca="1" si="47"/>
        <v>0</v>
      </c>
      <c r="BJ42" s="138">
        <f t="shared" ca="1" si="47"/>
        <v>0</v>
      </c>
      <c r="BK42" s="138">
        <f t="shared" ca="1" si="47"/>
        <v>0</v>
      </c>
      <c r="BL42" s="138">
        <f t="shared" ca="1" si="47"/>
        <v>0</v>
      </c>
      <c r="BM42" s="138">
        <f t="shared" ca="1" si="47"/>
        <v>0</v>
      </c>
      <c r="BN42" s="138">
        <f t="shared" ca="1" si="47"/>
        <v>0</v>
      </c>
      <c r="BO42" s="138">
        <f t="shared" ca="1" si="47"/>
        <v>0</v>
      </c>
      <c r="BP42" s="138">
        <f t="shared" ca="1" si="48"/>
        <v>0</v>
      </c>
      <c r="BQ42" s="138">
        <f t="shared" ca="1" si="48"/>
        <v>0</v>
      </c>
      <c r="BR42" s="138">
        <f t="shared" ca="1" si="48"/>
        <v>0</v>
      </c>
      <c r="BS42" s="138">
        <f t="shared" ca="1" si="48"/>
        <v>0</v>
      </c>
      <c r="BT42" s="138">
        <f t="shared" ca="1" si="48"/>
        <v>0</v>
      </c>
      <c r="BU42" s="138">
        <f t="shared" ca="1" si="48"/>
        <v>0</v>
      </c>
      <c r="BV42" s="138">
        <f t="shared" ca="1" si="48"/>
        <v>0</v>
      </c>
      <c r="BW42" s="138">
        <f t="shared" ca="1" si="48"/>
        <v>0</v>
      </c>
      <c r="BX42" s="138">
        <f t="shared" ca="1" si="48"/>
        <v>0</v>
      </c>
      <c r="BY42" s="138">
        <f t="shared" ca="1" si="48"/>
        <v>0</v>
      </c>
      <c r="BZ42" s="138">
        <f t="shared" ca="1" si="49"/>
        <v>0</v>
      </c>
      <c r="CA42" s="138">
        <f t="shared" ca="1" si="49"/>
        <v>0</v>
      </c>
      <c r="CB42" s="138">
        <f t="shared" ca="1" si="49"/>
        <v>0</v>
      </c>
      <c r="CC42" s="138">
        <f t="shared" ca="1" si="49"/>
        <v>0</v>
      </c>
      <c r="CD42" s="138">
        <f t="shared" ca="1" si="49"/>
        <v>0</v>
      </c>
      <c r="CE42" s="138">
        <f t="shared" ca="1" si="49"/>
        <v>0</v>
      </c>
      <c r="CF42" s="138">
        <f t="shared" ca="1" si="49"/>
        <v>0</v>
      </c>
      <c r="CG42" s="138">
        <f t="shared" ca="1" si="49"/>
        <v>0</v>
      </c>
      <c r="CH42" s="138">
        <f t="shared" ca="1" si="49"/>
        <v>0</v>
      </c>
      <c r="CI42" s="138">
        <f t="shared" ca="1" si="49"/>
        <v>0</v>
      </c>
      <c r="CJ42" s="138">
        <f t="shared" ca="1" si="50"/>
        <v>0</v>
      </c>
      <c r="CK42" s="138">
        <f t="shared" ca="1" si="50"/>
        <v>0</v>
      </c>
      <c r="CL42" s="138">
        <f t="shared" ca="1" si="50"/>
        <v>0</v>
      </c>
      <c r="CM42" s="138">
        <f t="shared" ca="1" si="50"/>
        <v>0</v>
      </c>
      <c r="CN42" s="138">
        <f t="shared" ca="1" si="50"/>
        <v>0</v>
      </c>
      <c r="CO42" s="138">
        <f t="shared" ca="1" si="50"/>
        <v>0</v>
      </c>
      <c r="CP42" s="138">
        <f t="shared" ca="1" si="50"/>
        <v>0</v>
      </c>
      <c r="CQ42" s="138">
        <f t="shared" ca="1" si="50"/>
        <v>0</v>
      </c>
      <c r="CR42" s="138">
        <f t="shared" ca="1" si="50"/>
        <v>0</v>
      </c>
      <c r="CS42" s="138">
        <f t="shared" ca="1" si="50"/>
        <v>0</v>
      </c>
      <c r="CT42" s="138">
        <f t="shared" ca="1" si="51"/>
        <v>0</v>
      </c>
      <c r="CU42" s="138">
        <f t="shared" ca="1" si="51"/>
        <v>0</v>
      </c>
      <c r="CV42" s="138">
        <f t="shared" ca="1" si="51"/>
        <v>0</v>
      </c>
      <c r="CW42" s="138">
        <f t="shared" ca="1" si="51"/>
        <v>0</v>
      </c>
      <c r="CX42" s="138">
        <f t="shared" ca="1" si="51"/>
        <v>0</v>
      </c>
      <c r="CY42" s="138">
        <f t="shared" ca="1" si="51"/>
        <v>0</v>
      </c>
      <c r="CZ42" s="138">
        <f t="shared" ca="1" si="51"/>
        <v>0</v>
      </c>
      <c r="DA42" s="138">
        <f t="shared" ca="1" si="51"/>
        <v>0</v>
      </c>
      <c r="DB42" s="138">
        <f t="shared" ca="1" si="51"/>
        <v>0</v>
      </c>
      <c r="DC42" s="138">
        <f t="shared" ca="1" si="51"/>
        <v>0</v>
      </c>
      <c r="DE42" s="254" t="str">
        <f t="shared" ca="1" si="25"/>
        <v>D.3.9.</v>
      </c>
      <c r="DF42">
        <v>1</v>
      </c>
      <c r="DG42">
        <f t="shared" ca="1" si="52"/>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42"/>
        <v>0</v>
      </c>
      <c r="I43" s="138">
        <f t="shared" ca="1" si="42"/>
        <v>0</v>
      </c>
      <c r="J43" s="138">
        <f t="shared" ca="1" si="42"/>
        <v>0</v>
      </c>
      <c r="K43" s="138">
        <f t="shared" ca="1" si="42"/>
        <v>0</v>
      </c>
      <c r="L43" s="138">
        <f t="shared" ca="1" si="42"/>
        <v>0</v>
      </c>
      <c r="M43" s="138">
        <f t="shared" ca="1" si="42"/>
        <v>0</v>
      </c>
      <c r="N43" s="138">
        <f t="shared" ca="1" si="42"/>
        <v>0</v>
      </c>
      <c r="O43" s="138">
        <f t="shared" ca="1" si="42"/>
        <v>0</v>
      </c>
      <c r="P43" s="138">
        <f t="shared" ca="1" si="42"/>
        <v>0</v>
      </c>
      <c r="Q43" s="138">
        <f t="shared" ca="1" si="42"/>
        <v>0</v>
      </c>
      <c r="R43" s="138">
        <f t="shared" ca="1" si="43"/>
        <v>0</v>
      </c>
      <c r="S43" s="138">
        <f t="shared" ca="1" si="43"/>
        <v>0</v>
      </c>
      <c r="T43" s="138">
        <f t="shared" ca="1" si="43"/>
        <v>0</v>
      </c>
      <c r="U43" s="138">
        <f t="shared" ca="1" si="43"/>
        <v>0</v>
      </c>
      <c r="V43" s="138">
        <f t="shared" ca="1" si="43"/>
        <v>0</v>
      </c>
      <c r="W43" s="138">
        <f t="shared" ca="1" si="43"/>
        <v>0</v>
      </c>
      <c r="X43" s="138">
        <f t="shared" ca="1" si="43"/>
        <v>0</v>
      </c>
      <c r="Y43" s="138">
        <f t="shared" ca="1" si="43"/>
        <v>0</v>
      </c>
      <c r="Z43" s="138">
        <f t="shared" ca="1" si="43"/>
        <v>0</v>
      </c>
      <c r="AA43" s="138">
        <f t="shared" ca="1" si="43"/>
        <v>0</v>
      </c>
      <c r="AB43" s="138">
        <f t="shared" ca="1" si="44"/>
        <v>0</v>
      </c>
      <c r="AC43" s="138">
        <f t="shared" ca="1" si="44"/>
        <v>0</v>
      </c>
      <c r="AD43" s="138">
        <f t="shared" ca="1" si="44"/>
        <v>0</v>
      </c>
      <c r="AE43" s="138">
        <f t="shared" ca="1" si="44"/>
        <v>0</v>
      </c>
      <c r="AF43" s="138">
        <f t="shared" ca="1" si="44"/>
        <v>0</v>
      </c>
      <c r="AG43" s="138">
        <f t="shared" ca="1" si="44"/>
        <v>0</v>
      </c>
      <c r="AH43" s="138">
        <f t="shared" ca="1" si="44"/>
        <v>0</v>
      </c>
      <c r="AI43" s="138">
        <f t="shared" ca="1" si="44"/>
        <v>0</v>
      </c>
      <c r="AJ43" s="138">
        <f t="shared" ca="1" si="44"/>
        <v>0</v>
      </c>
      <c r="AK43" s="138">
        <f t="shared" ca="1" si="44"/>
        <v>0</v>
      </c>
      <c r="AL43" s="138">
        <f t="shared" ca="1" si="45"/>
        <v>0</v>
      </c>
      <c r="AM43" s="138">
        <f t="shared" ca="1" si="45"/>
        <v>0</v>
      </c>
      <c r="AN43" s="138">
        <f t="shared" ca="1" si="45"/>
        <v>0</v>
      </c>
      <c r="AO43" s="138">
        <f t="shared" ca="1" si="45"/>
        <v>0</v>
      </c>
      <c r="AP43" s="138">
        <f t="shared" ca="1" si="45"/>
        <v>0</v>
      </c>
      <c r="AQ43" s="138">
        <f t="shared" ca="1" si="45"/>
        <v>0</v>
      </c>
      <c r="AR43" s="138">
        <f t="shared" ca="1" si="45"/>
        <v>0</v>
      </c>
      <c r="AS43" s="138">
        <f t="shared" ca="1" si="45"/>
        <v>0</v>
      </c>
      <c r="AT43" s="138">
        <f t="shared" ca="1" si="45"/>
        <v>0</v>
      </c>
      <c r="AU43" s="138">
        <f t="shared" ca="1" si="45"/>
        <v>0</v>
      </c>
      <c r="AV43" s="138">
        <f t="shared" ca="1" si="46"/>
        <v>0</v>
      </c>
      <c r="AW43" s="138">
        <f t="shared" ca="1" si="46"/>
        <v>0</v>
      </c>
      <c r="AX43" s="138">
        <f t="shared" ca="1" si="46"/>
        <v>0</v>
      </c>
      <c r="AY43" s="138">
        <f t="shared" ca="1" si="46"/>
        <v>0</v>
      </c>
      <c r="AZ43" s="138">
        <f t="shared" ca="1" si="46"/>
        <v>0</v>
      </c>
      <c r="BA43" s="138">
        <f t="shared" ca="1" si="46"/>
        <v>0</v>
      </c>
      <c r="BB43" s="138">
        <f t="shared" ca="1" si="46"/>
        <v>0</v>
      </c>
      <c r="BC43" s="138">
        <f t="shared" ca="1" si="46"/>
        <v>0</v>
      </c>
      <c r="BD43" s="138">
        <f t="shared" ca="1" si="46"/>
        <v>0</v>
      </c>
      <c r="BE43" s="138">
        <f t="shared" ca="1" si="46"/>
        <v>0</v>
      </c>
      <c r="BF43" s="138">
        <f t="shared" ca="1" si="47"/>
        <v>0</v>
      </c>
      <c r="BG43" s="138">
        <f t="shared" ca="1" si="47"/>
        <v>0</v>
      </c>
      <c r="BH43" s="138">
        <f t="shared" ca="1" si="47"/>
        <v>0</v>
      </c>
      <c r="BI43" s="138">
        <f t="shared" ca="1" si="47"/>
        <v>0</v>
      </c>
      <c r="BJ43" s="138">
        <f t="shared" ca="1" si="47"/>
        <v>0</v>
      </c>
      <c r="BK43" s="138">
        <f t="shared" ca="1" si="47"/>
        <v>0</v>
      </c>
      <c r="BL43" s="138">
        <f t="shared" ca="1" si="47"/>
        <v>0</v>
      </c>
      <c r="BM43" s="138">
        <f t="shared" ca="1" si="47"/>
        <v>0</v>
      </c>
      <c r="BN43" s="138">
        <f t="shared" ca="1" si="47"/>
        <v>0</v>
      </c>
      <c r="BO43" s="138">
        <f t="shared" ca="1" si="47"/>
        <v>0</v>
      </c>
      <c r="BP43" s="138">
        <f t="shared" ca="1" si="48"/>
        <v>0</v>
      </c>
      <c r="BQ43" s="138">
        <f t="shared" ca="1" si="48"/>
        <v>0</v>
      </c>
      <c r="BR43" s="138">
        <f t="shared" ca="1" si="48"/>
        <v>0</v>
      </c>
      <c r="BS43" s="138">
        <f t="shared" ca="1" si="48"/>
        <v>0</v>
      </c>
      <c r="BT43" s="138">
        <f t="shared" ca="1" si="48"/>
        <v>0</v>
      </c>
      <c r="BU43" s="138">
        <f t="shared" ca="1" si="48"/>
        <v>0</v>
      </c>
      <c r="BV43" s="138">
        <f t="shared" ca="1" si="48"/>
        <v>0</v>
      </c>
      <c r="BW43" s="138">
        <f t="shared" ca="1" si="48"/>
        <v>0</v>
      </c>
      <c r="BX43" s="138">
        <f t="shared" ca="1" si="48"/>
        <v>0</v>
      </c>
      <c r="BY43" s="138">
        <f t="shared" ca="1" si="48"/>
        <v>0</v>
      </c>
      <c r="BZ43" s="138">
        <f t="shared" ca="1" si="49"/>
        <v>0</v>
      </c>
      <c r="CA43" s="138">
        <f t="shared" ca="1" si="49"/>
        <v>0</v>
      </c>
      <c r="CB43" s="138">
        <f t="shared" ca="1" si="49"/>
        <v>0</v>
      </c>
      <c r="CC43" s="138">
        <f t="shared" ca="1" si="49"/>
        <v>0</v>
      </c>
      <c r="CD43" s="138">
        <f t="shared" ca="1" si="49"/>
        <v>0</v>
      </c>
      <c r="CE43" s="138">
        <f t="shared" ca="1" si="49"/>
        <v>0</v>
      </c>
      <c r="CF43" s="138">
        <f t="shared" ca="1" si="49"/>
        <v>0</v>
      </c>
      <c r="CG43" s="138">
        <f t="shared" ca="1" si="49"/>
        <v>0</v>
      </c>
      <c r="CH43" s="138">
        <f t="shared" ca="1" si="49"/>
        <v>0</v>
      </c>
      <c r="CI43" s="138">
        <f t="shared" ca="1" si="49"/>
        <v>0</v>
      </c>
      <c r="CJ43" s="138">
        <f t="shared" ca="1" si="50"/>
        <v>0</v>
      </c>
      <c r="CK43" s="138">
        <f t="shared" ca="1" si="50"/>
        <v>0</v>
      </c>
      <c r="CL43" s="138">
        <f t="shared" ca="1" si="50"/>
        <v>0</v>
      </c>
      <c r="CM43" s="138">
        <f t="shared" ca="1" si="50"/>
        <v>0</v>
      </c>
      <c r="CN43" s="138">
        <f t="shared" ca="1" si="50"/>
        <v>0</v>
      </c>
      <c r="CO43" s="138">
        <f t="shared" ca="1" si="50"/>
        <v>0</v>
      </c>
      <c r="CP43" s="138">
        <f t="shared" ca="1" si="50"/>
        <v>0</v>
      </c>
      <c r="CQ43" s="138">
        <f t="shared" ca="1" si="50"/>
        <v>0</v>
      </c>
      <c r="CR43" s="138">
        <f t="shared" ca="1" si="50"/>
        <v>0</v>
      </c>
      <c r="CS43" s="138">
        <f t="shared" ca="1" si="50"/>
        <v>0</v>
      </c>
      <c r="CT43" s="138">
        <f t="shared" ca="1" si="51"/>
        <v>0</v>
      </c>
      <c r="CU43" s="138">
        <f t="shared" ca="1" si="51"/>
        <v>0</v>
      </c>
      <c r="CV43" s="138">
        <f t="shared" ca="1" si="51"/>
        <v>0</v>
      </c>
      <c r="CW43" s="138">
        <f t="shared" ca="1" si="51"/>
        <v>0</v>
      </c>
      <c r="CX43" s="138">
        <f t="shared" ca="1" si="51"/>
        <v>0</v>
      </c>
      <c r="CY43" s="138">
        <f t="shared" ca="1" si="51"/>
        <v>0</v>
      </c>
      <c r="CZ43" s="138">
        <f t="shared" ca="1" si="51"/>
        <v>0</v>
      </c>
      <c r="DA43" s="138">
        <f t="shared" ca="1" si="51"/>
        <v>0</v>
      </c>
      <c r="DB43" s="138">
        <f t="shared" ca="1" si="51"/>
        <v>0</v>
      </c>
      <c r="DC43" s="138">
        <f t="shared" ca="1" si="51"/>
        <v>0</v>
      </c>
      <c r="DE43" s="254" t="str">
        <f t="shared" ca="1" si="25"/>
        <v>D.3.L.</v>
      </c>
      <c r="DF43">
        <v>1</v>
      </c>
      <c r="DG43">
        <f t="shared" ca="1" si="52"/>
        <v>21</v>
      </c>
      <c r="DH43">
        <f ca="1">DG43/(100+DG43)</f>
        <v>0.17355371900826447</v>
      </c>
    </row>
    <row r="44" spans="1:112" hidden="1">
      <c r="A44" s="124">
        <v>32</v>
      </c>
      <c r="B44" s="205" t="str">
        <f t="shared" ref="B44:B75" ca="1" si="53">OFFSET(INDIRECT("'"&amp;Opt_alt&amp;"'!B12"),$A44,0)</f>
        <v>E.</v>
      </c>
      <c r="C44" s="197" t="str">
        <f t="shared" ref="C44:C75" ca="1" si="54">IF(OFFSET(INDIRECT("'"&amp;Opt_alt&amp;"'!C12"),$A44,0)="","",OFFSET(INDIRECT("'"&amp;Opt_alt&amp;"'!C12"),$A44,0))</f>
        <v>INVESTICINĖS VEIKLOS</v>
      </c>
      <c r="D44" s="132"/>
      <c r="E44" s="233" t="str">
        <f t="shared" ref="E44:E75" ca="1" si="55">IF(OFFSET(INDIRECT("'"&amp;Opt_alt&amp;"'!E12"),$A44,0)="","",OFFSET(INDIRECT("'"&amp;Opt_alt&amp;"'!E12"),$A44,0))</f>
        <v/>
      </c>
      <c r="F44" s="141">
        <f ca="1">F45+F56+F67</f>
        <v>12338333.613047894</v>
      </c>
      <c r="G44" s="140">
        <f ca="1">SUMIF($H$5:$DC$5,"&lt;="&amp;PAL,$H44:$DC44)</f>
        <v>13460940.4630432</v>
      </c>
      <c r="H44" s="234">
        <f ca="1">H45+H56+H67</f>
        <v>1730000</v>
      </c>
      <c r="I44" s="234">
        <f t="shared" ref="I44:BT44" ca="1" si="56">I45+I56+I67</f>
        <v>3387980.7675319999</v>
      </c>
      <c r="J44" s="234">
        <f t="shared" ca="1" si="56"/>
        <v>3377730.2703541331</v>
      </c>
      <c r="K44" s="234">
        <f t="shared" ca="1" si="56"/>
        <v>4210729.4251570664</v>
      </c>
      <c r="L44" s="234">
        <f t="shared" ca="1" si="56"/>
        <v>5000</v>
      </c>
      <c r="M44" s="234">
        <f t="shared" ca="1" si="56"/>
        <v>25000</v>
      </c>
      <c r="N44" s="234">
        <f t="shared" ca="1" si="56"/>
        <v>4500</v>
      </c>
      <c r="O44" s="234">
        <f t="shared" ca="1" si="56"/>
        <v>0</v>
      </c>
      <c r="P44" s="234">
        <f t="shared" ca="1" si="56"/>
        <v>0</v>
      </c>
      <c r="Q44" s="234">
        <f t="shared" ca="1" si="56"/>
        <v>0</v>
      </c>
      <c r="R44" s="234">
        <f t="shared" ca="1" si="56"/>
        <v>120000</v>
      </c>
      <c r="S44" s="234">
        <f t="shared" ca="1" si="56"/>
        <v>240000</v>
      </c>
      <c r="T44" s="234">
        <f t="shared" ca="1" si="56"/>
        <v>120000</v>
      </c>
      <c r="U44" s="234">
        <f t="shared" ca="1" si="56"/>
        <v>240000</v>
      </c>
      <c r="V44" s="234">
        <f t="shared" ca="1" si="56"/>
        <v>0</v>
      </c>
      <c r="W44" s="234">
        <f t="shared" ca="1" si="56"/>
        <v>0</v>
      </c>
      <c r="X44" s="234">
        <f t="shared" ca="1" si="56"/>
        <v>0</v>
      </c>
      <c r="Y44" s="234">
        <f t="shared" ca="1" si="56"/>
        <v>0</v>
      </c>
      <c r="Z44" s="234">
        <f t="shared" ca="1" si="56"/>
        <v>0</v>
      </c>
      <c r="AA44" s="234">
        <f t="shared" ca="1" si="56"/>
        <v>0</v>
      </c>
      <c r="AB44" s="234">
        <f t="shared" ca="1" si="56"/>
        <v>0</v>
      </c>
      <c r="AC44" s="234">
        <f t="shared" ca="1" si="56"/>
        <v>0</v>
      </c>
      <c r="AD44" s="234">
        <f t="shared" ca="1" si="56"/>
        <v>0</v>
      </c>
      <c r="AE44" s="234">
        <f t="shared" ca="1" si="56"/>
        <v>0</v>
      </c>
      <c r="AF44" s="234">
        <f t="shared" ca="1" si="56"/>
        <v>0</v>
      </c>
      <c r="AG44" s="234">
        <f t="shared" ca="1" si="56"/>
        <v>0</v>
      </c>
      <c r="AH44" s="234">
        <f t="shared" ca="1" si="56"/>
        <v>0</v>
      </c>
      <c r="AI44" s="234">
        <f t="shared" ca="1" si="56"/>
        <v>0</v>
      </c>
      <c r="AJ44" s="234">
        <f t="shared" ca="1" si="56"/>
        <v>0</v>
      </c>
      <c r="AK44" s="234">
        <f t="shared" ca="1" si="56"/>
        <v>0</v>
      </c>
      <c r="AL44" s="234">
        <f t="shared" ca="1" si="56"/>
        <v>0</v>
      </c>
      <c r="AM44" s="234">
        <f t="shared" ca="1" si="56"/>
        <v>0</v>
      </c>
      <c r="AN44" s="234">
        <f t="shared" ca="1" si="56"/>
        <v>0</v>
      </c>
      <c r="AO44" s="234">
        <f t="shared" ca="1" si="56"/>
        <v>0</v>
      </c>
      <c r="AP44" s="234">
        <f t="shared" ca="1" si="56"/>
        <v>0</v>
      </c>
      <c r="AQ44" s="234">
        <f t="shared" ca="1" si="56"/>
        <v>0</v>
      </c>
      <c r="AR44" s="234">
        <f t="shared" ca="1" si="56"/>
        <v>0</v>
      </c>
      <c r="AS44" s="234">
        <f t="shared" ca="1" si="56"/>
        <v>0</v>
      </c>
      <c r="AT44" s="234">
        <f t="shared" ca="1" si="56"/>
        <v>0</v>
      </c>
      <c r="AU44" s="234">
        <f t="shared" ca="1" si="56"/>
        <v>0</v>
      </c>
      <c r="AV44" s="234">
        <f t="shared" ca="1" si="56"/>
        <v>0</v>
      </c>
      <c r="AW44" s="234">
        <f t="shared" ca="1" si="56"/>
        <v>0</v>
      </c>
      <c r="AX44" s="234">
        <f t="shared" ca="1" si="56"/>
        <v>0</v>
      </c>
      <c r="AY44" s="234">
        <f t="shared" ca="1" si="56"/>
        <v>0</v>
      </c>
      <c r="AZ44" s="234">
        <f t="shared" ca="1" si="56"/>
        <v>0</v>
      </c>
      <c r="BA44" s="234">
        <f t="shared" ca="1" si="56"/>
        <v>0</v>
      </c>
      <c r="BB44" s="234">
        <f t="shared" ca="1" si="56"/>
        <v>0</v>
      </c>
      <c r="BC44" s="234">
        <f t="shared" ca="1" si="56"/>
        <v>0</v>
      </c>
      <c r="BD44" s="234">
        <f t="shared" ca="1" si="56"/>
        <v>0</v>
      </c>
      <c r="BE44" s="234">
        <f t="shared" ca="1" si="56"/>
        <v>0</v>
      </c>
      <c r="BF44" s="234">
        <f t="shared" ca="1" si="56"/>
        <v>0</v>
      </c>
      <c r="BG44" s="234">
        <f t="shared" ca="1" si="56"/>
        <v>0</v>
      </c>
      <c r="BH44" s="234">
        <f t="shared" ca="1" si="56"/>
        <v>0</v>
      </c>
      <c r="BI44" s="234">
        <f t="shared" ca="1" si="56"/>
        <v>0</v>
      </c>
      <c r="BJ44" s="234">
        <f t="shared" ca="1" si="56"/>
        <v>0</v>
      </c>
      <c r="BK44" s="234">
        <f t="shared" ca="1" si="56"/>
        <v>0</v>
      </c>
      <c r="BL44" s="234">
        <f t="shared" ca="1" si="56"/>
        <v>0</v>
      </c>
      <c r="BM44" s="234">
        <f t="shared" ca="1" si="56"/>
        <v>0</v>
      </c>
      <c r="BN44" s="234">
        <f t="shared" ca="1" si="56"/>
        <v>0</v>
      </c>
      <c r="BO44" s="234">
        <f t="shared" ca="1" si="56"/>
        <v>0</v>
      </c>
      <c r="BP44" s="234">
        <f t="shared" ca="1" si="56"/>
        <v>0</v>
      </c>
      <c r="BQ44" s="234">
        <f t="shared" ca="1" si="56"/>
        <v>0</v>
      </c>
      <c r="BR44" s="234">
        <f t="shared" ca="1" si="56"/>
        <v>0</v>
      </c>
      <c r="BS44" s="234">
        <f t="shared" ca="1" si="56"/>
        <v>0</v>
      </c>
      <c r="BT44" s="234">
        <f t="shared" ca="1" si="56"/>
        <v>0</v>
      </c>
      <c r="BU44" s="234">
        <f t="shared" ref="BU44:DC44" ca="1" si="57">BU45+BU56+BU67</f>
        <v>0</v>
      </c>
      <c r="BV44" s="234">
        <f t="shared" ca="1" si="57"/>
        <v>0</v>
      </c>
      <c r="BW44" s="234">
        <f t="shared" ca="1" si="57"/>
        <v>0</v>
      </c>
      <c r="BX44" s="234">
        <f t="shared" ca="1" si="57"/>
        <v>0</v>
      </c>
      <c r="BY44" s="234">
        <f t="shared" ca="1" si="57"/>
        <v>0</v>
      </c>
      <c r="BZ44" s="234">
        <f t="shared" ca="1" si="57"/>
        <v>0</v>
      </c>
      <c r="CA44" s="234">
        <f t="shared" ca="1" si="57"/>
        <v>0</v>
      </c>
      <c r="CB44" s="234">
        <f t="shared" ca="1" si="57"/>
        <v>0</v>
      </c>
      <c r="CC44" s="234">
        <f t="shared" ca="1" si="57"/>
        <v>0</v>
      </c>
      <c r="CD44" s="234">
        <f t="shared" ca="1" si="57"/>
        <v>0</v>
      </c>
      <c r="CE44" s="234">
        <f t="shared" ca="1" si="57"/>
        <v>0</v>
      </c>
      <c r="CF44" s="234">
        <f t="shared" ca="1" si="57"/>
        <v>0</v>
      </c>
      <c r="CG44" s="234">
        <f t="shared" ca="1" si="57"/>
        <v>0</v>
      </c>
      <c r="CH44" s="234">
        <f t="shared" ca="1" si="57"/>
        <v>0</v>
      </c>
      <c r="CI44" s="234">
        <f t="shared" ca="1" si="57"/>
        <v>0</v>
      </c>
      <c r="CJ44" s="234">
        <f t="shared" ca="1" si="57"/>
        <v>0</v>
      </c>
      <c r="CK44" s="234">
        <f t="shared" ca="1" si="57"/>
        <v>0</v>
      </c>
      <c r="CL44" s="234">
        <f t="shared" ca="1" si="57"/>
        <v>0</v>
      </c>
      <c r="CM44" s="234">
        <f t="shared" ca="1" si="57"/>
        <v>0</v>
      </c>
      <c r="CN44" s="234">
        <f t="shared" ca="1" si="57"/>
        <v>0</v>
      </c>
      <c r="CO44" s="234">
        <f t="shared" ca="1" si="57"/>
        <v>0</v>
      </c>
      <c r="CP44" s="234">
        <f t="shared" ca="1" si="57"/>
        <v>0</v>
      </c>
      <c r="CQ44" s="234">
        <f t="shared" ca="1" si="57"/>
        <v>0</v>
      </c>
      <c r="CR44" s="234">
        <f t="shared" ca="1" si="57"/>
        <v>0</v>
      </c>
      <c r="CS44" s="234">
        <f t="shared" ca="1" si="57"/>
        <v>0</v>
      </c>
      <c r="CT44" s="234">
        <f t="shared" ca="1" si="57"/>
        <v>0</v>
      </c>
      <c r="CU44" s="234">
        <f t="shared" ca="1" si="57"/>
        <v>0</v>
      </c>
      <c r="CV44" s="234">
        <f t="shared" ca="1" si="57"/>
        <v>0</v>
      </c>
      <c r="CW44" s="234">
        <f t="shared" ca="1" si="57"/>
        <v>0</v>
      </c>
      <c r="CX44" s="234">
        <f t="shared" ca="1" si="57"/>
        <v>0</v>
      </c>
      <c r="CY44" s="234">
        <f t="shared" ca="1" si="57"/>
        <v>0</v>
      </c>
      <c r="CZ44" s="234">
        <f t="shared" ca="1" si="57"/>
        <v>0</v>
      </c>
      <c r="DA44" s="234">
        <f t="shared" ca="1" si="57"/>
        <v>0</v>
      </c>
      <c r="DB44" s="234">
        <f t="shared" ca="1" si="57"/>
        <v>0</v>
      </c>
      <c r="DC44" s="234">
        <f t="shared" ca="1" si="57"/>
        <v>0</v>
      </c>
      <c r="DE44" s="254"/>
      <c r="DF44">
        <v>1</v>
      </c>
    </row>
    <row r="45" spans="1:112" hidden="1">
      <c r="A45" s="124">
        <v>33</v>
      </c>
      <c r="B45" s="205" t="str">
        <f t="shared" ca="1" si="53"/>
        <v>E.1.</v>
      </c>
      <c r="C45" s="197" t="str">
        <f t="shared" ca="1" si="54"/>
        <v>Infrastruktūros vystymas</v>
      </c>
      <c r="D45" s="132"/>
      <c r="E45" s="233" t="str">
        <f t="shared" ca="1" si="55"/>
        <v/>
      </c>
      <c r="F45" s="141">
        <f ca="1">SUM(F46:F53)+F54</f>
        <v>9549283.3938790597</v>
      </c>
      <c r="G45" s="140">
        <f ca="1">SUMIF($H$5:$DC$5,"&lt;="&amp;PAL,$H45:$DC45)</f>
        <v>10400800</v>
      </c>
      <c r="H45" s="234">
        <f ca="1">SUM(H46:H54)</f>
        <v>1730000</v>
      </c>
      <c r="I45" s="234">
        <f t="shared" ref="I45:BT45" ca="1" si="58">SUM(I46:I54)</f>
        <v>3170500</v>
      </c>
      <c r="J45" s="234">
        <f t="shared" ca="1" si="58"/>
        <v>1827900</v>
      </c>
      <c r="K45" s="234">
        <f t="shared" ca="1" si="58"/>
        <v>2952399.9999999995</v>
      </c>
      <c r="L45" s="234">
        <f t="shared" ca="1" si="58"/>
        <v>0</v>
      </c>
      <c r="M45" s="234">
        <f t="shared" ca="1" si="58"/>
        <v>0</v>
      </c>
      <c r="N45" s="234">
        <f t="shared" ca="1" si="58"/>
        <v>0</v>
      </c>
      <c r="O45" s="234">
        <f t="shared" ca="1" si="58"/>
        <v>0</v>
      </c>
      <c r="P45" s="234">
        <f t="shared" ca="1" si="58"/>
        <v>0</v>
      </c>
      <c r="Q45" s="234">
        <f t="shared" ca="1" si="58"/>
        <v>0</v>
      </c>
      <c r="R45" s="234">
        <f t="shared" ca="1" si="58"/>
        <v>120000</v>
      </c>
      <c r="S45" s="234">
        <f t="shared" ca="1" si="58"/>
        <v>240000</v>
      </c>
      <c r="T45" s="234">
        <f t="shared" ca="1" si="58"/>
        <v>120000</v>
      </c>
      <c r="U45" s="234">
        <f t="shared" ca="1" si="58"/>
        <v>240000</v>
      </c>
      <c r="V45" s="234">
        <f t="shared" ca="1" si="58"/>
        <v>0</v>
      </c>
      <c r="W45" s="234">
        <f t="shared" ca="1" si="58"/>
        <v>0</v>
      </c>
      <c r="X45" s="234">
        <f t="shared" ca="1" si="58"/>
        <v>0</v>
      </c>
      <c r="Y45" s="234">
        <f t="shared" ca="1" si="58"/>
        <v>0</v>
      </c>
      <c r="Z45" s="234">
        <f t="shared" ca="1" si="58"/>
        <v>0</v>
      </c>
      <c r="AA45" s="234">
        <f t="shared" ca="1" si="58"/>
        <v>0</v>
      </c>
      <c r="AB45" s="234">
        <f t="shared" ca="1" si="58"/>
        <v>0</v>
      </c>
      <c r="AC45" s="234">
        <f t="shared" ca="1" si="58"/>
        <v>0</v>
      </c>
      <c r="AD45" s="234">
        <f t="shared" ca="1" si="58"/>
        <v>0</v>
      </c>
      <c r="AE45" s="234">
        <f t="shared" ca="1" si="58"/>
        <v>0</v>
      </c>
      <c r="AF45" s="234">
        <f t="shared" ca="1" si="58"/>
        <v>0</v>
      </c>
      <c r="AG45" s="234">
        <f t="shared" ca="1" si="58"/>
        <v>0</v>
      </c>
      <c r="AH45" s="234">
        <f t="shared" ca="1" si="58"/>
        <v>0</v>
      </c>
      <c r="AI45" s="234">
        <f t="shared" ca="1" si="58"/>
        <v>0</v>
      </c>
      <c r="AJ45" s="234">
        <f t="shared" ca="1" si="58"/>
        <v>0</v>
      </c>
      <c r="AK45" s="234">
        <f t="shared" ca="1" si="58"/>
        <v>0</v>
      </c>
      <c r="AL45" s="234">
        <f t="shared" ca="1" si="58"/>
        <v>0</v>
      </c>
      <c r="AM45" s="234">
        <f t="shared" ca="1" si="58"/>
        <v>0</v>
      </c>
      <c r="AN45" s="234">
        <f t="shared" ca="1" si="58"/>
        <v>0</v>
      </c>
      <c r="AO45" s="234">
        <f t="shared" ca="1" si="58"/>
        <v>0</v>
      </c>
      <c r="AP45" s="234">
        <f t="shared" ca="1" si="58"/>
        <v>0</v>
      </c>
      <c r="AQ45" s="234">
        <f t="shared" ca="1" si="58"/>
        <v>0</v>
      </c>
      <c r="AR45" s="234">
        <f t="shared" ca="1" si="58"/>
        <v>0</v>
      </c>
      <c r="AS45" s="234">
        <f t="shared" ca="1" si="58"/>
        <v>0</v>
      </c>
      <c r="AT45" s="234">
        <f t="shared" ca="1" si="58"/>
        <v>0</v>
      </c>
      <c r="AU45" s="234">
        <f t="shared" ca="1" si="58"/>
        <v>0</v>
      </c>
      <c r="AV45" s="234">
        <f t="shared" ca="1" si="58"/>
        <v>0</v>
      </c>
      <c r="AW45" s="234">
        <f t="shared" ca="1" si="58"/>
        <v>0</v>
      </c>
      <c r="AX45" s="234">
        <f t="shared" ca="1" si="58"/>
        <v>0</v>
      </c>
      <c r="AY45" s="234">
        <f t="shared" ca="1" si="58"/>
        <v>0</v>
      </c>
      <c r="AZ45" s="234">
        <f t="shared" ca="1" si="58"/>
        <v>0</v>
      </c>
      <c r="BA45" s="234">
        <f t="shared" ca="1" si="58"/>
        <v>0</v>
      </c>
      <c r="BB45" s="234">
        <f t="shared" ca="1" si="58"/>
        <v>0</v>
      </c>
      <c r="BC45" s="234">
        <f t="shared" ca="1" si="58"/>
        <v>0</v>
      </c>
      <c r="BD45" s="234">
        <f t="shared" ca="1" si="58"/>
        <v>0</v>
      </c>
      <c r="BE45" s="234">
        <f t="shared" ca="1" si="58"/>
        <v>0</v>
      </c>
      <c r="BF45" s="234">
        <f t="shared" ca="1" si="58"/>
        <v>0</v>
      </c>
      <c r="BG45" s="234">
        <f t="shared" ca="1" si="58"/>
        <v>0</v>
      </c>
      <c r="BH45" s="234">
        <f t="shared" ca="1" si="58"/>
        <v>0</v>
      </c>
      <c r="BI45" s="234">
        <f t="shared" ca="1" si="58"/>
        <v>0</v>
      </c>
      <c r="BJ45" s="234">
        <f t="shared" ca="1" si="58"/>
        <v>0</v>
      </c>
      <c r="BK45" s="234">
        <f t="shared" ca="1" si="58"/>
        <v>0</v>
      </c>
      <c r="BL45" s="234">
        <f t="shared" ca="1" si="58"/>
        <v>0</v>
      </c>
      <c r="BM45" s="234">
        <f t="shared" ca="1" si="58"/>
        <v>0</v>
      </c>
      <c r="BN45" s="234">
        <f t="shared" ca="1" si="58"/>
        <v>0</v>
      </c>
      <c r="BO45" s="234">
        <f t="shared" ca="1" si="58"/>
        <v>0</v>
      </c>
      <c r="BP45" s="234">
        <f t="shared" ca="1" si="58"/>
        <v>0</v>
      </c>
      <c r="BQ45" s="234">
        <f t="shared" ca="1" si="58"/>
        <v>0</v>
      </c>
      <c r="BR45" s="234">
        <f t="shared" ca="1" si="58"/>
        <v>0</v>
      </c>
      <c r="BS45" s="234">
        <f t="shared" ca="1" si="58"/>
        <v>0</v>
      </c>
      <c r="BT45" s="234">
        <f t="shared" ca="1" si="58"/>
        <v>0</v>
      </c>
      <c r="BU45" s="234">
        <f t="shared" ref="BU45:DC45" ca="1" si="59">SUM(BU46:BU54)</f>
        <v>0</v>
      </c>
      <c r="BV45" s="234">
        <f t="shared" ca="1" si="59"/>
        <v>0</v>
      </c>
      <c r="BW45" s="234">
        <f t="shared" ca="1" si="59"/>
        <v>0</v>
      </c>
      <c r="BX45" s="234">
        <f t="shared" ca="1" si="59"/>
        <v>0</v>
      </c>
      <c r="BY45" s="234">
        <f t="shared" ca="1" si="59"/>
        <v>0</v>
      </c>
      <c r="BZ45" s="234">
        <f t="shared" ca="1" si="59"/>
        <v>0</v>
      </c>
      <c r="CA45" s="234">
        <f t="shared" ca="1" si="59"/>
        <v>0</v>
      </c>
      <c r="CB45" s="234">
        <f t="shared" ca="1" si="59"/>
        <v>0</v>
      </c>
      <c r="CC45" s="234">
        <f t="shared" ca="1" si="59"/>
        <v>0</v>
      </c>
      <c r="CD45" s="234">
        <f t="shared" ca="1" si="59"/>
        <v>0</v>
      </c>
      <c r="CE45" s="234">
        <f t="shared" ca="1" si="59"/>
        <v>0</v>
      </c>
      <c r="CF45" s="234">
        <f t="shared" ca="1" si="59"/>
        <v>0</v>
      </c>
      <c r="CG45" s="234">
        <f t="shared" ca="1" si="59"/>
        <v>0</v>
      </c>
      <c r="CH45" s="234">
        <f t="shared" ca="1" si="59"/>
        <v>0</v>
      </c>
      <c r="CI45" s="234">
        <f t="shared" ca="1" si="59"/>
        <v>0</v>
      </c>
      <c r="CJ45" s="234">
        <f t="shared" ca="1" si="59"/>
        <v>0</v>
      </c>
      <c r="CK45" s="234">
        <f t="shared" ca="1" si="59"/>
        <v>0</v>
      </c>
      <c r="CL45" s="234">
        <f t="shared" ca="1" si="59"/>
        <v>0</v>
      </c>
      <c r="CM45" s="234">
        <f t="shared" ca="1" si="59"/>
        <v>0</v>
      </c>
      <c r="CN45" s="234">
        <f t="shared" ca="1" si="59"/>
        <v>0</v>
      </c>
      <c r="CO45" s="234">
        <f t="shared" ca="1" si="59"/>
        <v>0</v>
      </c>
      <c r="CP45" s="234">
        <f t="shared" ca="1" si="59"/>
        <v>0</v>
      </c>
      <c r="CQ45" s="234">
        <f t="shared" ca="1" si="59"/>
        <v>0</v>
      </c>
      <c r="CR45" s="234">
        <f t="shared" ca="1" si="59"/>
        <v>0</v>
      </c>
      <c r="CS45" s="234">
        <f t="shared" ca="1" si="59"/>
        <v>0</v>
      </c>
      <c r="CT45" s="234">
        <f t="shared" ca="1" si="59"/>
        <v>0</v>
      </c>
      <c r="CU45" s="234">
        <f t="shared" ca="1" si="59"/>
        <v>0</v>
      </c>
      <c r="CV45" s="234">
        <f t="shared" ca="1" si="59"/>
        <v>0</v>
      </c>
      <c r="CW45" s="234">
        <f t="shared" ca="1" si="59"/>
        <v>0</v>
      </c>
      <c r="CX45" s="234">
        <f t="shared" ca="1" si="59"/>
        <v>0</v>
      </c>
      <c r="CY45" s="234">
        <f t="shared" ca="1" si="59"/>
        <v>0</v>
      </c>
      <c r="CZ45" s="234">
        <f t="shared" ca="1" si="59"/>
        <v>0</v>
      </c>
      <c r="DA45" s="234">
        <f t="shared" ca="1" si="59"/>
        <v>0</v>
      </c>
      <c r="DB45" s="234">
        <f t="shared" ca="1" si="59"/>
        <v>0</v>
      </c>
      <c r="DC45" s="234">
        <f t="shared" ca="1" si="59"/>
        <v>0</v>
      </c>
      <c r="DE45" s="254"/>
      <c r="DF45">
        <v>1</v>
      </c>
    </row>
    <row r="46" spans="1:112" hidden="1">
      <c r="A46" s="124">
        <v>34</v>
      </c>
      <c r="B46" s="205" t="str">
        <f t="shared" ca="1" si="53"/>
        <v>E.1.1.</v>
      </c>
      <c r="C46" s="129" t="str">
        <f t="shared" ca="1" si="54"/>
        <v>Ambasados Singapūre įsteigimas</v>
      </c>
      <c r="D46" s="144"/>
      <c r="E46" s="148">
        <f t="shared" ca="1" si="55"/>
        <v>0</v>
      </c>
      <c r="F46" s="139">
        <f ca="1">H46+NPV(FD,I46:INDEX(I46:DC46,PAL))</f>
        <v>1730000</v>
      </c>
      <c r="G46" s="140">
        <f ca="1">SUMIF($H$5:$DC$5,"&lt;="&amp;PAL,$H46:$DC46)</f>
        <v>1730000</v>
      </c>
      <c r="H46" s="138">
        <f ca="1">OFFSET(INDIRECT("'"&amp;Opt_alt&amp;"'!H12"),$A46,H$5)*$DF46</f>
        <v>1730000</v>
      </c>
      <c r="I46" s="138">
        <f t="shared" ref="H46:Q55" ca="1" si="60">OFFSET(INDIRECT("'"&amp;Opt_alt&amp;"'!H12"),$A46,I$5)*$DF46</f>
        <v>0</v>
      </c>
      <c r="J46" s="138">
        <f t="shared" ca="1" si="60"/>
        <v>0</v>
      </c>
      <c r="K46" s="138">
        <f t="shared" ca="1" si="60"/>
        <v>0</v>
      </c>
      <c r="L46" s="138">
        <f t="shared" ca="1" si="60"/>
        <v>0</v>
      </c>
      <c r="M46" s="138">
        <f t="shared" ca="1" si="60"/>
        <v>0</v>
      </c>
      <c r="N46" s="138">
        <f t="shared" ca="1" si="60"/>
        <v>0</v>
      </c>
      <c r="O46" s="138">
        <f t="shared" ca="1" si="60"/>
        <v>0</v>
      </c>
      <c r="P46" s="138">
        <f t="shared" ca="1" si="60"/>
        <v>0</v>
      </c>
      <c r="Q46" s="138">
        <f t="shared" ca="1" si="60"/>
        <v>0</v>
      </c>
      <c r="R46" s="138">
        <f t="shared" ref="R46:AA55" ca="1" si="61">OFFSET(INDIRECT("'"&amp;Opt_alt&amp;"'!H12"),$A46,R$5)*$DF46</f>
        <v>0</v>
      </c>
      <c r="S46" s="138">
        <f t="shared" ca="1" si="61"/>
        <v>0</v>
      </c>
      <c r="T46" s="138">
        <f t="shared" ca="1" si="61"/>
        <v>0</v>
      </c>
      <c r="U46" s="138">
        <f t="shared" ca="1" si="61"/>
        <v>0</v>
      </c>
      <c r="V46" s="138">
        <f t="shared" ca="1" si="61"/>
        <v>0</v>
      </c>
      <c r="W46" s="138">
        <f t="shared" ca="1" si="61"/>
        <v>0</v>
      </c>
      <c r="X46" s="138">
        <f t="shared" ca="1" si="61"/>
        <v>0</v>
      </c>
      <c r="Y46" s="138">
        <f t="shared" ca="1" si="61"/>
        <v>0</v>
      </c>
      <c r="Z46" s="138">
        <f t="shared" ca="1" si="61"/>
        <v>0</v>
      </c>
      <c r="AA46" s="138">
        <f t="shared" ca="1" si="61"/>
        <v>0</v>
      </c>
      <c r="AB46" s="138">
        <f t="shared" ref="AB46:AK55" ca="1" si="62">OFFSET(INDIRECT("'"&amp;Opt_alt&amp;"'!H12"),$A46,AB$5)*$DF46</f>
        <v>0</v>
      </c>
      <c r="AC46" s="138">
        <f t="shared" ca="1" si="62"/>
        <v>0</v>
      </c>
      <c r="AD46" s="138">
        <f t="shared" ca="1" si="62"/>
        <v>0</v>
      </c>
      <c r="AE46" s="138">
        <f t="shared" ca="1" si="62"/>
        <v>0</v>
      </c>
      <c r="AF46" s="138">
        <f t="shared" ca="1" si="62"/>
        <v>0</v>
      </c>
      <c r="AG46" s="138">
        <f t="shared" ca="1" si="62"/>
        <v>0</v>
      </c>
      <c r="AH46" s="138">
        <f t="shared" ca="1" si="62"/>
        <v>0</v>
      </c>
      <c r="AI46" s="138">
        <f t="shared" ca="1" si="62"/>
        <v>0</v>
      </c>
      <c r="AJ46" s="138">
        <f t="shared" ca="1" si="62"/>
        <v>0</v>
      </c>
      <c r="AK46" s="138">
        <f t="shared" ca="1" si="62"/>
        <v>0</v>
      </c>
      <c r="AL46" s="138">
        <f t="shared" ref="AL46:AU55" ca="1" si="63">OFFSET(INDIRECT("'"&amp;Opt_alt&amp;"'!H12"),$A46,AL$5)*$DF46</f>
        <v>0</v>
      </c>
      <c r="AM46" s="138">
        <f t="shared" ca="1" si="63"/>
        <v>0</v>
      </c>
      <c r="AN46" s="138">
        <f t="shared" ca="1" si="63"/>
        <v>0</v>
      </c>
      <c r="AO46" s="138">
        <f t="shared" ca="1" si="63"/>
        <v>0</v>
      </c>
      <c r="AP46" s="138">
        <f t="shared" ca="1" si="63"/>
        <v>0</v>
      </c>
      <c r="AQ46" s="138">
        <f t="shared" ca="1" si="63"/>
        <v>0</v>
      </c>
      <c r="AR46" s="138">
        <f t="shared" ca="1" si="63"/>
        <v>0</v>
      </c>
      <c r="AS46" s="138">
        <f t="shared" ca="1" si="63"/>
        <v>0</v>
      </c>
      <c r="AT46" s="138">
        <f t="shared" ca="1" si="63"/>
        <v>0</v>
      </c>
      <c r="AU46" s="138">
        <f t="shared" ca="1" si="63"/>
        <v>0</v>
      </c>
      <c r="AV46" s="138">
        <f t="shared" ref="AV46:BE55" ca="1" si="64">OFFSET(INDIRECT("'"&amp;Opt_alt&amp;"'!H12"),$A46,AV$5)*$DF46</f>
        <v>0</v>
      </c>
      <c r="AW46" s="138">
        <f t="shared" ca="1" si="64"/>
        <v>0</v>
      </c>
      <c r="AX46" s="138">
        <f t="shared" ca="1" si="64"/>
        <v>0</v>
      </c>
      <c r="AY46" s="138">
        <f t="shared" ca="1" si="64"/>
        <v>0</v>
      </c>
      <c r="AZ46" s="138">
        <f t="shared" ca="1" si="64"/>
        <v>0</v>
      </c>
      <c r="BA46" s="138">
        <f t="shared" ca="1" si="64"/>
        <v>0</v>
      </c>
      <c r="BB46" s="138">
        <f t="shared" ca="1" si="64"/>
        <v>0</v>
      </c>
      <c r="BC46" s="138">
        <f t="shared" ca="1" si="64"/>
        <v>0</v>
      </c>
      <c r="BD46" s="138">
        <f t="shared" ca="1" si="64"/>
        <v>0</v>
      </c>
      <c r="BE46" s="138">
        <f t="shared" ca="1" si="64"/>
        <v>0</v>
      </c>
      <c r="BF46" s="138">
        <f t="shared" ref="BF46:BO55" ca="1" si="65">OFFSET(INDIRECT("'"&amp;Opt_alt&amp;"'!H12"),$A46,BF$5)*$DF46</f>
        <v>0</v>
      </c>
      <c r="BG46" s="138">
        <f t="shared" ca="1" si="65"/>
        <v>0</v>
      </c>
      <c r="BH46" s="138">
        <f t="shared" ca="1" si="65"/>
        <v>0</v>
      </c>
      <c r="BI46" s="138">
        <f t="shared" ca="1" si="65"/>
        <v>0</v>
      </c>
      <c r="BJ46" s="138">
        <f t="shared" ca="1" si="65"/>
        <v>0</v>
      </c>
      <c r="BK46" s="138">
        <f t="shared" ca="1" si="65"/>
        <v>0</v>
      </c>
      <c r="BL46" s="138">
        <f t="shared" ca="1" si="65"/>
        <v>0</v>
      </c>
      <c r="BM46" s="138">
        <f t="shared" ca="1" si="65"/>
        <v>0</v>
      </c>
      <c r="BN46" s="138">
        <f t="shared" ca="1" si="65"/>
        <v>0</v>
      </c>
      <c r="BO46" s="138">
        <f t="shared" ca="1" si="65"/>
        <v>0</v>
      </c>
      <c r="BP46" s="138">
        <f t="shared" ref="BP46:BY55" ca="1" si="66">OFFSET(INDIRECT("'"&amp;Opt_alt&amp;"'!H12"),$A46,BP$5)*$DF46</f>
        <v>0</v>
      </c>
      <c r="BQ46" s="138">
        <f t="shared" ca="1" si="66"/>
        <v>0</v>
      </c>
      <c r="BR46" s="138">
        <f t="shared" ca="1" si="66"/>
        <v>0</v>
      </c>
      <c r="BS46" s="138">
        <f t="shared" ca="1" si="66"/>
        <v>0</v>
      </c>
      <c r="BT46" s="138">
        <f t="shared" ca="1" si="66"/>
        <v>0</v>
      </c>
      <c r="BU46" s="138">
        <f t="shared" ca="1" si="66"/>
        <v>0</v>
      </c>
      <c r="BV46" s="138">
        <f t="shared" ca="1" si="66"/>
        <v>0</v>
      </c>
      <c r="BW46" s="138">
        <f t="shared" ca="1" si="66"/>
        <v>0</v>
      </c>
      <c r="BX46" s="138">
        <f t="shared" ca="1" si="66"/>
        <v>0</v>
      </c>
      <c r="BY46" s="138">
        <f t="shared" ca="1" si="66"/>
        <v>0</v>
      </c>
      <c r="BZ46" s="138">
        <f t="shared" ref="BZ46:CI55" ca="1" si="67">OFFSET(INDIRECT("'"&amp;Opt_alt&amp;"'!H12"),$A46,BZ$5)*$DF46</f>
        <v>0</v>
      </c>
      <c r="CA46" s="138">
        <f t="shared" ca="1" si="67"/>
        <v>0</v>
      </c>
      <c r="CB46" s="138">
        <f t="shared" ca="1" si="67"/>
        <v>0</v>
      </c>
      <c r="CC46" s="138">
        <f t="shared" ca="1" si="67"/>
        <v>0</v>
      </c>
      <c r="CD46" s="138">
        <f t="shared" ca="1" si="67"/>
        <v>0</v>
      </c>
      <c r="CE46" s="138">
        <f t="shared" ca="1" si="67"/>
        <v>0</v>
      </c>
      <c r="CF46" s="138">
        <f t="shared" ca="1" si="67"/>
        <v>0</v>
      </c>
      <c r="CG46" s="138">
        <f t="shared" ca="1" si="67"/>
        <v>0</v>
      </c>
      <c r="CH46" s="138">
        <f t="shared" ca="1" si="67"/>
        <v>0</v>
      </c>
      <c r="CI46" s="138">
        <f t="shared" ca="1" si="67"/>
        <v>0</v>
      </c>
      <c r="CJ46" s="138">
        <f t="shared" ref="CJ46:CS55" ca="1" si="68">OFFSET(INDIRECT("'"&amp;Opt_alt&amp;"'!H12"),$A46,CJ$5)*$DF46</f>
        <v>0</v>
      </c>
      <c r="CK46" s="138">
        <f t="shared" ca="1" si="68"/>
        <v>0</v>
      </c>
      <c r="CL46" s="138">
        <f t="shared" ca="1" si="68"/>
        <v>0</v>
      </c>
      <c r="CM46" s="138">
        <f t="shared" ca="1" si="68"/>
        <v>0</v>
      </c>
      <c r="CN46" s="138">
        <f t="shared" ca="1" si="68"/>
        <v>0</v>
      </c>
      <c r="CO46" s="138">
        <f t="shared" ca="1" si="68"/>
        <v>0</v>
      </c>
      <c r="CP46" s="138">
        <f t="shared" ca="1" si="68"/>
        <v>0</v>
      </c>
      <c r="CQ46" s="138">
        <f t="shared" ca="1" si="68"/>
        <v>0</v>
      </c>
      <c r="CR46" s="138">
        <f t="shared" ca="1" si="68"/>
        <v>0</v>
      </c>
      <c r="CS46" s="138">
        <f t="shared" ca="1" si="68"/>
        <v>0</v>
      </c>
      <c r="CT46" s="138">
        <f t="shared" ref="CT46:DC55" ca="1" si="69">OFFSET(INDIRECT("'"&amp;Opt_alt&amp;"'!H12"),$A46,CT$5)*$DF46</f>
        <v>0</v>
      </c>
      <c r="CU46" s="138">
        <f t="shared" ca="1" si="69"/>
        <v>0</v>
      </c>
      <c r="CV46" s="138">
        <f t="shared" ca="1" si="69"/>
        <v>0</v>
      </c>
      <c r="CW46" s="138">
        <f t="shared" ca="1" si="69"/>
        <v>0</v>
      </c>
      <c r="CX46" s="138">
        <f t="shared" ca="1" si="69"/>
        <v>0</v>
      </c>
      <c r="CY46" s="138">
        <f t="shared" ca="1" si="69"/>
        <v>0</v>
      </c>
      <c r="CZ46" s="138">
        <f t="shared" ca="1" si="69"/>
        <v>0</v>
      </c>
      <c r="DA46" s="138">
        <f t="shared" ca="1" si="69"/>
        <v>0</v>
      </c>
      <c r="DB46" s="138">
        <f t="shared" ca="1" si="69"/>
        <v>0</v>
      </c>
      <c r="DC46" s="138">
        <f t="shared" ca="1" si="69"/>
        <v>0</v>
      </c>
      <c r="DE46" s="254" t="str">
        <f t="shared" ca="1" si="25"/>
        <v>E.1.1.</v>
      </c>
      <c r="DF46">
        <v>1</v>
      </c>
      <c r="DG46">
        <f t="shared" ref="DG46:DG55" ca="1" si="70">OFFSET(INDIRECT("'"&amp;Opt_alt&amp;"'!H12"),$A46,DG$5)</f>
        <v>0</v>
      </c>
      <c r="DH46">
        <v>0</v>
      </c>
    </row>
    <row r="47" spans="1:112" hidden="1">
      <c r="A47" s="124">
        <v>35</v>
      </c>
      <c r="B47" s="205" t="str">
        <f t="shared" ca="1" si="53"/>
        <v>E.1.2.</v>
      </c>
      <c r="C47" s="129" t="str">
        <f t="shared" ca="1" si="54"/>
        <v>Ambasadų kitose užsienio valstybėse įsteigimas (politinės/ekonominės svarbos scenarijus)</v>
      </c>
      <c r="D47" s="144"/>
      <c r="E47" s="148">
        <f t="shared" ca="1" si="55"/>
        <v>0</v>
      </c>
      <c r="F47" s="139">
        <f ca="1">H47+NPV(FD,I47:INDEX(I47:DC47,PAL))</f>
        <v>6807710.7988165673</v>
      </c>
      <c r="G47" s="140">
        <f ca="1">SUMIF($H$5:$DC$5,"&lt;="&amp;PAL,$H47:$DC47)</f>
        <v>7350800</v>
      </c>
      <c r="H47" s="138">
        <f t="shared" ca="1" si="60"/>
        <v>0</v>
      </c>
      <c r="I47" s="138">
        <f t="shared" ca="1" si="60"/>
        <v>3120500</v>
      </c>
      <c r="J47" s="138">
        <f t="shared" ca="1" si="60"/>
        <v>1307900</v>
      </c>
      <c r="K47" s="138">
        <f t="shared" ca="1" si="60"/>
        <v>2922399.9999999995</v>
      </c>
      <c r="L47" s="138">
        <f t="shared" ca="1" si="60"/>
        <v>0</v>
      </c>
      <c r="M47" s="138">
        <f t="shared" ca="1" si="60"/>
        <v>0</v>
      </c>
      <c r="N47" s="138">
        <f t="shared" ca="1" si="60"/>
        <v>0</v>
      </c>
      <c r="O47" s="138">
        <f t="shared" ca="1" si="60"/>
        <v>0</v>
      </c>
      <c r="P47" s="138">
        <f t="shared" ca="1" si="60"/>
        <v>0</v>
      </c>
      <c r="Q47" s="138">
        <f t="shared" ca="1" si="60"/>
        <v>0</v>
      </c>
      <c r="R47" s="138">
        <f t="shared" ca="1" si="61"/>
        <v>0</v>
      </c>
      <c r="S47" s="138">
        <f t="shared" ca="1" si="61"/>
        <v>0</v>
      </c>
      <c r="T47" s="138">
        <f t="shared" ca="1" si="61"/>
        <v>0</v>
      </c>
      <c r="U47" s="138">
        <f t="shared" ca="1" si="61"/>
        <v>0</v>
      </c>
      <c r="V47" s="138">
        <f t="shared" ca="1" si="61"/>
        <v>0</v>
      </c>
      <c r="W47" s="138">
        <f t="shared" ca="1" si="61"/>
        <v>0</v>
      </c>
      <c r="X47" s="138">
        <f t="shared" ca="1" si="61"/>
        <v>0</v>
      </c>
      <c r="Y47" s="138">
        <f t="shared" ca="1" si="61"/>
        <v>0</v>
      </c>
      <c r="Z47" s="138">
        <f t="shared" ca="1" si="61"/>
        <v>0</v>
      </c>
      <c r="AA47" s="138">
        <f t="shared" ca="1" si="61"/>
        <v>0</v>
      </c>
      <c r="AB47" s="138">
        <f t="shared" ca="1" si="62"/>
        <v>0</v>
      </c>
      <c r="AC47" s="138">
        <f t="shared" ca="1" si="62"/>
        <v>0</v>
      </c>
      <c r="AD47" s="138">
        <f t="shared" ca="1" si="62"/>
        <v>0</v>
      </c>
      <c r="AE47" s="138">
        <f t="shared" ca="1" si="62"/>
        <v>0</v>
      </c>
      <c r="AF47" s="138">
        <f t="shared" ca="1" si="62"/>
        <v>0</v>
      </c>
      <c r="AG47" s="138">
        <f t="shared" ca="1" si="62"/>
        <v>0</v>
      </c>
      <c r="AH47" s="138">
        <f t="shared" ca="1" si="62"/>
        <v>0</v>
      </c>
      <c r="AI47" s="138">
        <f t="shared" ca="1" si="62"/>
        <v>0</v>
      </c>
      <c r="AJ47" s="138">
        <f t="shared" ca="1" si="62"/>
        <v>0</v>
      </c>
      <c r="AK47" s="138">
        <f t="shared" ca="1" si="62"/>
        <v>0</v>
      </c>
      <c r="AL47" s="138">
        <f t="shared" ca="1" si="63"/>
        <v>0</v>
      </c>
      <c r="AM47" s="138">
        <f t="shared" ca="1" si="63"/>
        <v>0</v>
      </c>
      <c r="AN47" s="138">
        <f t="shared" ca="1" si="63"/>
        <v>0</v>
      </c>
      <c r="AO47" s="138">
        <f t="shared" ca="1" si="63"/>
        <v>0</v>
      </c>
      <c r="AP47" s="138">
        <f t="shared" ca="1" si="63"/>
        <v>0</v>
      </c>
      <c r="AQ47" s="138">
        <f t="shared" ca="1" si="63"/>
        <v>0</v>
      </c>
      <c r="AR47" s="138">
        <f t="shared" ca="1" si="63"/>
        <v>0</v>
      </c>
      <c r="AS47" s="138">
        <f t="shared" ca="1" si="63"/>
        <v>0</v>
      </c>
      <c r="AT47" s="138">
        <f t="shared" ca="1" si="63"/>
        <v>0</v>
      </c>
      <c r="AU47" s="138">
        <f t="shared" ca="1" si="63"/>
        <v>0</v>
      </c>
      <c r="AV47" s="138">
        <f t="shared" ca="1" si="64"/>
        <v>0</v>
      </c>
      <c r="AW47" s="138">
        <f t="shared" ca="1" si="64"/>
        <v>0</v>
      </c>
      <c r="AX47" s="138">
        <f t="shared" ca="1" si="64"/>
        <v>0</v>
      </c>
      <c r="AY47" s="138">
        <f t="shared" ca="1" si="64"/>
        <v>0</v>
      </c>
      <c r="AZ47" s="138">
        <f t="shared" ca="1" si="64"/>
        <v>0</v>
      </c>
      <c r="BA47" s="138">
        <f t="shared" ca="1" si="64"/>
        <v>0</v>
      </c>
      <c r="BB47" s="138">
        <f t="shared" ca="1" si="64"/>
        <v>0</v>
      </c>
      <c r="BC47" s="138">
        <f t="shared" ca="1" si="64"/>
        <v>0</v>
      </c>
      <c r="BD47" s="138">
        <f t="shared" ca="1" si="64"/>
        <v>0</v>
      </c>
      <c r="BE47" s="138">
        <f t="shared" ca="1" si="64"/>
        <v>0</v>
      </c>
      <c r="BF47" s="138">
        <f t="shared" ca="1" si="65"/>
        <v>0</v>
      </c>
      <c r="BG47" s="138">
        <f t="shared" ca="1" si="65"/>
        <v>0</v>
      </c>
      <c r="BH47" s="138">
        <f t="shared" ca="1" si="65"/>
        <v>0</v>
      </c>
      <c r="BI47" s="138">
        <f t="shared" ca="1" si="65"/>
        <v>0</v>
      </c>
      <c r="BJ47" s="138">
        <f t="shared" ca="1" si="65"/>
        <v>0</v>
      </c>
      <c r="BK47" s="138">
        <f t="shared" ca="1" si="65"/>
        <v>0</v>
      </c>
      <c r="BL47" s="138">
        <f t="shared" ca="1" si="65"/>
        <v>0</v>
      </c>
      <c r="BM47" s="138">
        <f t="shared" ca="1" si="65"/>
        <v>0</v>
      </c>
      <c r="BN47" s="138">
        <f t="shared" ca="1" si="65"/>
        <v>0</v>
      </c>
      <c r="BO47" s="138">
        <f t="shared" ca="1" si="65"/>
        <v>0</v>
      </c>
      <c r="BP47" s="138">
        <f t="shared" ca="1" si="66"/>
        <v>0</v>
      </c>
      <c r="BQ47" s="138">
        <f t="shared" ca="1" si="66"/>
        <v>0</v>
      </c>
      <c r="BR47" s="138">
        <f t="shared" ca="1" si="66"/>
        <v>0</v>
      </c>
      <c r="BS47" s="138">
        <f t="shared" ca="1" si="66"/>
        <v>0</v>
      </c>
      <c r="BT47" s="138">
        <f t="shared" ca="1" si="66"/>
        <v>0</v>
      </c>
      <c r="BU47" s="138">
        <f t="shared" ca="1" si="66"/>
        <v>0</v>
      </c>
      <c r="BV47" s="138">
        <f t="shared" ca="1" si="66"/>
        <v>0</v>
      </c>
      <c r="BW47" s="138">
        <f t="shared" ca="1" si="66"/>
        <v>0</v>
      </c>
      <c r="BX47" s="138">
        <f t="shared" ca="1" si="66"/>
        <v>0</v>
      </c>
      <c r="BY47" s="138">
        <f t="shared" ca="1" si="66"/>
        <v>0</v>
      </c>
      <c r="BZ47" s="138">
        <f t="shared" ca="1" si="67"/>
        <v>0</v>
      </c>
      <c r="CA47" s="138">
        <f t="shared" ca="1" si="67"/>
        <v>0</v>
      </c>
      <c r="CB47" s="138">
        <f t="shared" ca="1" si="67"/>
        <v>0</v>
      </c>
      <c r="CC47" s="138">
        <f t="shared" ca="1" si="67"/>
        <v>0</v>
      </c>
      <c r="CD47" s="138">
        <f t="shared" ca="1" si="67"/>
        <v>0</v>
      </c>
      <c r="CE47" s="138">
        <f t="shared" ca="1" si="67"/>
        <v>0</v>
      </c>
      <c r="CF47" s="138">
        <f t="shared" ca="1" si="67"/>
        <v>0</v>
      </c>
      <c r="CG47" s="138">
        <f t="shared" ca="1" si="67"/>
        <v>0</v>
      </c>
      <c r="CH47" s="138">
        <f t="shared" ca="1" si="67"/>
        <v>0</v>
      </c>
      <c r="CI47" s="138">
        <f t="shared" ca="1" si="67"/>
        <v>0</v>
      </c>
      <c r="CJ47" s="138">
        <f t="shared" ca="1" si="68"/>
        <v>0</v>
      </c>
      <c r="CK47" s="138">
        <f t="shared" ca="1" si="68"/>
        <v>0</v>
      </c>
      <c r="CL47" s="138">
        <f t="shared" ca="1" si="68"/>
        <v>0</v>
      </c>
      <c r="CM47" s="138">
        <f t="shared" ca="1" si="68"/>
        <v>0</v>
      </c>
      <c r="CN47" s="138">
        <f t="shared" ca="1" si="68"/>
        <v>0</v>
      </c>
      <c r="CO47" s="138">
        <f t="shared" ca="1" si="68"/>
        <v>0</v>
      </c>
      <c r="CP47" s="138">
        <f t="shared" ca="1" si="68"/>
        <v>0</v>
      </c>
      <c r="CQ47" s="138">
        <f t="shared" ca="1" si="68"/>
        <v>0</v>
      </c>
      <c r="CR47" s="138">
        <f t="shared" ca="1" si="68"/>
        <v>0</v>
      </c>
      <c r="CS47" s="138">
        <f t="shared" ca="1" si="68"/>
        <v>0</v>
      </c>
      <c r="CT47" s="138">
        <f t="shared" ca="1" si="69"/>
        <v>0</v>
      </c>
      <c r="CU47" s="138">
        <f t="shared" ca="1" si="69"/>
        <v>0</v>
      </c>
      <c r="CV47" s="138">
        <f t="shared" ca="1" si="69"/>
        <v>0</v>
      </c>
      <c r="CW47" s="138">
        <f t="shared" ca="1" si="69"/>
        <v>0</v>
      </c>
      <c r="CX47" s="138">
        <f t="shared" ca="1" si="69"/>
        <v>0</v>
      </c>
      <c r="CY47" s="138">
        <f t="shared" ca="1" si="69"/>
        <v>0</v>
      </c>
      <c r="CZ47" s="138">
        <f t="shared" ca="1" si="69"/>
        <v>0</v>
      </c>
      <c r="DA47" s="138">
        <f t="shared" ca="1" si="69"/>
        <v>0</v>
      </c>
      <c r="DB47" s="138">
        <f t="shared" ca="1" si="69"/>
        <v>0</v>
      </c>
      <c r="DC47" s="138">
        <f t="shared" ca="1" si="69"/>
        <v>0</v>
      </c>
      <c r="DE47" s="254" t="str">
        <f t="shared" ca="1" si="25"/>
        <v>E.1.2.</v>
      </c>
      <c r="DF47">
        <v>1</v>
      </c>
      <c r="DG47">
        <f t="shared" ca="1" si="70"/>
        <v>0</v>
      </c>
      <c r="DH47">
        <v>0</v>
      </c>
    </row>
    <row r="48" spans="1:112" ht="28.8" hidden="1">
      <c r="A48" s="124">
        <v>36</v>
      </c>
      <c r="B48" s="205" t="str">
        <f t="shared" ca="1" si="53"/>
        <v>E.1.3.</v>
      </c>
      <c r="C48" s="129" t="str">
        <f t="shared" ca="1" si="54"/>
        <v>Valstybės veiklos tarptautinėse organizacijose pozicijų derinimo, stebėsenos sistemos sukūrimas</v>
      </c>
      <c r="D48" s="144"/>
      <c r="E48" s="148">
        <f t="shared" ca="1" si="55"/>
        <v>0.21</v>
      </c>
      <c r="F48" s="139">
        <f ca="1">H48+NPV(FD,I48:INDEX(I48:DC48,PAL))</f>
        <v>555516.04460628121</v>
      </c>
      <c r="G48" s="140">
        <f ca="1">SUMIF($H$5:$DC$5,"&lt;="&amp;PAL,$H48:$DC48)</f>
        <v>600000</v>
      </c>
      <c r="H48" s="138">
        <f t="shared" ca="1" si="60"/>
        <v>0</v>
      </c>
      <c r="I48" s="138">
        <f t="shared" ca="1" si="60"/>
        <v>50000</v>
      </c>
      <c r="J48" s="138">
        <f t="shared" ca="1" si="60"/>
        <v>520000</v>
      </c>
      <c r="K48" s="138">
        <f t="shared" ca="1" si="60"/>
        <v>30000</v>
      </c>
      <c r="L48" s="138">
        <f t="shared" ca="1" si="60"/>
        <v>0</v>
      </c>
      <c r="M48" s="138">
        <f t="shared" ca="1" si="60"/>
        <v>0</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61"/>
        <v>0</v>
      </c>
      <c r="Z48" s="138">
        <f t="shared" ca="1" si="61"/>
        <v>0</v>
      </c>
      <c r="AA48" s="138">
        <f t="shared" ca="1" si="61"/>
        <v>0</v>
      </c>
      <c r="AB48" s="138">
        <f t="shared" ca="1" si="62"/>
        <v>0</v>
      </c>
      <c r="AC48" s="138">
        <f t="shared" ca="1" si="62"/>
        <v>0</v>
      </c>
      <c r="AD48" s="138">
        <f t="shared" ca="1" si="62"/>
        <v>0</v>
      </c>
      <c r="AE48" s="138">
        <f t="shared" ca="1" si="62"/>
        <v>0</v>
      </c>
      <c r="AF48" s="138">
        <f t="shared" ca="1" si="62"/>
        <v>0</v>
      </c>
      <c r="AG48" s="138">
        <f t="shared" ca="1" si="62"/>
        <v>0</v>
      </c>
      <c r="AH48" s="138">
        <f t="shared" ca="1" si="62"/>
        <v>0</v>
      </c>
      <c r="AI48" s="138">
        <f t="shared" ca="1" si="62"/>
        <v>0</v>
      </c>
      <c r="AJ48" s="138">
        <f t="shared" ca="1" si="62"/>
        <v>0</v>
      </c>
      <c r="AK48" s="138">
        <f t="shared" ca="1" si="62"/>
        <v>0</v>
      </c>
      <c r="AL48" s="138">
        <f t="shared" ca="1" si="63"/>
        <v>0</v>
      </c>
      <c r="AM48" s="138">
        <f t="shared" ca="1" si="63"/>
        <v>0</v>
      </c>
      <c r="AN48" s="138">
        <f t="shared" ca="1" si="63"/>
        <v>0</v>
      </c>
      <c r="AO48" s="138">
        <f t="shared" ca="1" si="63"/>
        <v>0</v>
      </c>
      <c r="AP48" s="138">
        <f t="shared" ca="1" si="63"/>
        <v>0</v>
      </c>
      <c r="AQ48" s="138">
        <f t="shared" ca="1" si="63"/>
        <v>0</v>
      </c>
      <c r="AR48" s="138">
        <f t="shared" ca="1" si="63"/>
        <v>0</v>
      </c>
      <c r="AS48" s="138">
        <f t="shared" ca="1" si="63"/>
        <v>0</v>
      </c>
      <c r="AT48" s="138">
        <f t="shared" ca="1" si="63"/>
        <v>0</v>
      </c>
      <c r="AU48" s="138">
        <f t="shared" ca="1" si="63"/>
        <v>0</v>
      </c>
      <c r="AV48" s="138">
        <f t="shared" ca="1" si="64"/>
        <v>0</v>
      </c>
      <c r="AW48" s="138">
        <f t="shared" ca="1" si="64"/>
        <v>0</v>
      </c>
      <c r="AX48" s="138">
        <f t="shared" ca="1" si="64"/>
        <v>0</v>
      </c>
      <c r="AY48" s="138">
        <f t="shared" ca="1" si="64"/>
        <v>0</v>
      </c>
      <c r="AZ48" s="138">
        <f t="shared" ca="1" si="64"/>
        <v>0</v>
      </c>
      <c r="BA48" s="138">
        <f t="shared" ca="1" si="64"/>
        <v>0</v>
      </c>
      <c r="BB48" s="138">
        <f t="shared" ca="1" si="64"/>
        <v>0</v>
      </c>
      <c r="BC48" s="138">
        <f t="shared" ca="1" si="64"/>
        <v>0</v>
      </c>
      <c r="BD48" s="138">
        <f t="shared" ca="1" si="64"/>
        <v>0</v>
      </c>
      <c r="BE48" s="138">
        <f t="shared" ca="1" si="64"/>
        <v>0</v>
      </c>
      <c r="BF48" s="138">
        <f t="shared" ca="1" si="65"/>
        <v>0</v>
      </c>
      <c r="BG48" s="138">
        <f t="shared" ca="1" si="65"/>
        <v>0</v>
      </c>
      <c r="BH48" s="138">
        <f t="shared" ca="1" si="65"/>
        <v>0</v>
      </c>
      <c r="BI48" s="138">
        <f t="shared" ca="1" si="65"/>
        <v>0</v>
      </c>
      <c r="BJ48" s="138">
        <f t="shared" ca="1" si="65"/>
        <v>0</v>
      </c>
      <c r="BK48" s="138">
        <f t="shared" ca="1" si="65"/>
        <v>0</v>
      </c>
      <c r="BL48" s="138">
        <f t="shared" ca="1" si="65"/>
        <v>0</v>
      </c>
      <c r="BM48" s="138">
        <f t="shared" ca="1" si="65"/>
        <v>0</v>
      </c>
      <c r="BN48" s="138">
        <f t="shared" ca="1" si="65"/>
        <v>0</v>
      </c>
      <c r="BO48" s="138">
        <f t="shared" ca="1" si="65"/>
        <v>0</v>
      </c>
      <c r="BP48" s="138">
        <f t="shared" ca="1" si="66"/>
        <v>0</v>
      </c>
      <c r="BQ48" s="138">
        <f t="shared" ca="1" si="66"/>
        <v>0</v>
      </c>
      <c r="BR48" s="138">
        <f t="shared" ca="1" si="66"/>
        <v>0</v>
      </c>
      <c r="BS48" s="138">
        <f t="shared" ca="1" si="66"/>
        <v>0</v>
      </c>
      <c r="BT48" s="138">
        <f t="shared" ca="1" si="66"/>
        <v>0</v>
      </c>
      <c r="BU48" s="138">
        <f t="shared" ca="1" si="66"/>
        <v>0</v>
      </c>
      <c r="BV48" s="138">
        <f t="shared" ca="1" si="66"/>
        <v>0</v>
      </c>
      <c r="BW48" s="138">
        <f t="shared" ca="1" si="66"/>
        <v>0</v>
      </c>
      <c r="BX48" s="138">
        <f t="shared" ca="1" si="66"/>
        <v>0</v>
      </c>
      <c r="BY48" s="138">
        <f t="shared" ca="1" si="66"/>
        <v>0</v>
      </c>
      <c r="BZ48" s="138">
        <f t="shared" ca="1" si="67"/>
        <v>0</v>
      </c>
      <c r="CA48" s="138">
        <f t="shared" ca="1" si="67"/>
        <v>0</v>
      </c>
      <c r="CB48" s="138">
        <f t="shared" ca="1" si="67"/>
        <v>0</v>
      </c>
      <c r="CC48" s="138">
        <f t="shared" ca="1" si="67"/>
        <v>0</v>
      </c>
      <c r="CD48" s="138">
        <f t="shared" ca="1" si="67"/>
        <v>0</v>
      </c>
      <c r="CE48" s="138">
        <f t="shared" ca="1" si="67"/>
        <v>0</v>
      </c>
      <c r="CF48" s="138">
        <f t="shared" ca="1" si="67"/>
        <v>0</v>
      </c>
      <c r="CG48" s="138">
        <f t="shared" ca="1" si="67"/>
        <v>0</v>
      </c>
      <c r="CH48" s="138">
        <f t="shared" ca="1" si="67"/>
        <v>0</v>
      </c>
      <c r="CI48" s="138">
        <f t="shared" ca="1" si="67"/>
        <v>0</v>
      </c>
      <c r="CJ48" s="138">
        <f t="shared" ca="1" si="68"/>
        <v>0</v>
      </c>
      <c r="CK48" s="138">
        <f t="shared" ca="1" si="68"/>
        <v>0</v>
      </c>
      <c r="CL48" s="138">
        <f t="shared" ca="1" si="68"/>
        <v>0</v>
      </c>
      <c r="CM48" s="138">
        <f t="shared" ca="1" si="68"/>
        <v>0</v>
      </c>
      <c r="CN48" s="138">
        <f t="shared" ca="1" si="68"/>
        <v>0</v>
      </c>
      <c r="CO48" s="138">
        <f t="shared" ca="1" si="68"/>
        <v>0</v>
      </c>
      <c r="CP48" s="138">
        <f t="shared" ca="1" si="68"/>
        <v>0</v>
      </c>
      <c r="CQ48" s="138">
        <f t="shared" ca="1" si="68"/>
        <v>0</v>
      </c>
      <c r="CR48" s="138">
        <f t="shared" ca="1" si="68"/>
        <v>0</v>
      </c>
      <c r="CS48" s="138">
        <f t="shared" ca="1" si="68"/>
        <v>0</v>
      </c>
      <c r="CT48" s="138">
        <f t="shared" ca="1" si="69"/>
        <v>0</v>
      </c>
      <c r="CU48" s="138">
        <f t="shared" ca="1" si="69"/>
        <v>0</v>
      </c>
      <c r="CV48" s="138">
        <f t="shared" ca="1" si="69"/>
        <v>0</v>
      </c>
      <c r="CW48" s="138">
        <f t="shared" ca="1" si="69"/>
        <v>0</v>
      </c>
      <c r="CX48" s="138">
        <f t="shared" ca="1" si="69"/>
        <v>0</v>
      </c>
      <c r="CY48" s="138">
        <f t="shared" ca="1" si="69"/>
        <v>0</v>
      </c>
      <c r="CZ48" s="138">
        <f t="shared" ca="1" si="69"/>
        <v>0</v>
      </c>
      <c r="DA48" s="138">
        <f t="shared" ca="1" si="69"/>
        <v>0</v>
      </c>
      <c r="DB48" s="138">
        <f t="shared" ca="1" si="69"/>
        <v>0</v>
      </c>
      <c r="DC48" s="138">
        <f t="shared" ca="1" si="69"/>
        <v>0</v>
      </c>
      <c r="DE48" s="254" t="str">
        <f t="shared" ca="1" si="25"/>
        <v>E.1.3.</v>
      </c>
      <c r="DF48">
        <v>1</v>
      </c>
      <c r="DG48">
        <f t="shared" ca="1" si="70"/>
        <v>21</v>
      </c>
      <c r="DH48">
        <v>0</v>
      </c>
    </row>
    <row r="49" spans="1:112" hidden="1">
      <c r="A49" s="124">
        <v>37</v>
      </c>
      <c r="B49" s="205" t="str">
        <f t="shared" ca="1" si="53"/>
        <v>E.1.4.</v>
      </c>
      <c r="C49" s="129" t="str">
        <f t="shared" ca="1" si="54"/>
        <v/>
      </c>
      <c r="D49" s="144"/>
      <c r="E49" s="148">
        <f t="shared" ca="1" si="55"/>
        <v>0.21</v>
      </c>
      <c r="F49" s="139">
        <f ca="1">H49+NPV(FD,I49:INDEX(I49:DC49,PAL))</f>
        <v>0</v>
      </c>
      <c r="G49" s="140">
        <f ca="1">SUMIF($H$5:$DC$5,"&lt;="&amp;PAL,$H49:$DC49)</f>
        <v>0</v>
      </c>
      <c r="H49" s="138">
        <f t="shared" ca="1" si="60"/>
        <v>0</v>
      </c>
      <c r="I49" s="138">
        <f t="shared" ca="1" si="60"/>
        <v>0</v>
      </c>
      <c r="J49" s="138">
        <f t="shared" ca="1" si="60"/>
        <v>0</v>
      </c>
      <c r="K49" s="138">
        <f t="shared" ca="1" si="60"/>
        <v>0</v>
      </c>
      <c r="L49" s="138">
        <f t="shared" ca="1" si="60"/>
        <v>0</v>
      </c>
      <c r="M49" s="138">
        <f t="shared" ca="1" si="60"/>
        <v>0</v>
      </c>
      <c r="N49" s="138">
        <f t="shared" ca="1" si="60"/>
        <v>0</v>
      </c>
      <c r="O49" s="138">
        <f t="shared" ca="1" si="60"/>
        <v>0</v>
      </c>
      <c r="P49" s="138">
        <f t="shared" ca="1" si="60"/>
        <v>0</v>
      </c>
      <c r="Q49" s="138">
        <f t="shared" ca="1" si="60"/>
        <v>0</v>
      </c>
      <c r="R49" s="138">
        <f t="shared" ca="1" si="61"/>
        <v>0</v>
      </c>
      <c r="S49" s="138">
        <f t="shared" ca="1" si="61"/>
        <v>0</v>
      </c>
      <c r="T49" s="138">
        <f t="shared" ca="1" si="61"/>
        <v>0</v>
      </c>
      <c r="U49" s="138">
        <f t="shared" ca="1" si="61"/>
        <v>0</v>
      </c>
      <c r="V49" s="138">
        <f t="shared" ca="1" si="61"/>
        <v>0</v>
      </c>
      <c r="W49" s="138">
        <f t="shared" ca="1" si="61"/>
        <v>0</v>
      </c>
      <c r="X49" s="138">
        <f t="shared" ca="1" si="61"/>
        <v>0</v>
      </c>
      <c r="Y49" s="138">
        <f t="shared" ca="1" si="61"/>
        <v>0</v>
      </c>
      <c r="Z49" s="138">
        <f t="shared" ca="1" si="61"/>
        <v>0</v>
      </c>
      <c r="AA49" s="138">
        <f t="shared" ca="1" si="61"/>
        <v>0</v>
      </c>
      <c r="AB49" s="138">
        <f t="shared" ca="1" si="62"/>
        <v>0</v>
      </c>
      <c r="AC49" s="138">
        <f t="shared" ca="1" si="62"/>
        <v>0</v>
      </c>
      <c r="AD49" s="138">
        <f t="shared" ca="1" si="62"/>
        <v>0</v>
      </c>
      <c r="AE49" s="138">
        <f t="shared" ca="1" si="62"/>
        <v>0</v>
      </c>
      <c r="AF49" s="138">
        <f t="shared" ca="1" si="62"/>
        <v>0</v>
      </c>
      <c r="AG49" s="138">
        <f t="shared" ca="1" si="62"/>
        <v>0</v>
      </c>
      <c r="AH49" s="138">
        <f t="shared" ca="1" si="62"/>
        <v>0</v>
      </c>
      <c r="AI49" s="138">
        <f t="shared" ca="1" si="62"/>
        <v>0</v>
      </c>
      <c r="AJ49" s="138">
        <f t="shared" ca="1" si="62"/>
        <v>0</v>
      </c>
      <c r="AK49" s="138">
        <f t="shared" ca="1" si="62"/>
        <v>0</v>
      </c>
      <c r="AL49" s="138">
        <f t="shared" ca="1" si="63"/>
        <v>0</v>
      </c>
      <c r="AM49" s="138">
        <f t="shared" ca="1" si="63"/>
        <v>0</v>
      </c>
      <c r="AN49" s="138">
        <f t="shared" ca="1" si="63"/>
        <v>0</v>
      </c>
      <c r="AO49" s="138">
        <f t="shared" ca="1" si="63"/>
        <v>0</v>
      </c>
      <c r="AP49" s="138">
        <f t="shared" ca="1" si="63"/>
        <v>0</v>
      </c>
      <c r="AQ49" s="138">
        <f t="shared" ca="1" si="63"/>
        <v>0</v>
      </c>
      <c r="AR49" s="138">
        <f t="shared" ca="1" si="63"/>
        <v>0</v>
      </c>
      <c r="AS49" s="138">
        <f t="shared" ca="1" si="63"/>
        <v>0</v>
      </c>
      <c r="AT49" s="138">
        <f t="shared" ca="1" si="63"/>
        <v>0</v>
      </c>
      <c r="AU49" s="138">
        <f t="shared" ca="1" si="63"/>
        <v>0</v>
      </c>
      <c r="AV49" s="138">
        <f t="shared" ca="1" si="64"/>
        <v>0</v>
      </c>
      <c r="AW49" s="138">
        <f t="shared" ca="1" si="64"/>
        <v>0</v>
      </c>
      <c r="AX49" s="138">
        <f t="shared" ca="1" si="64"/>
        <v>0</v>
      </c>
      <c r="AY49" s="138">
        <f t="shared" ca="1" si="64"/>
        <v>0</v>
      </c>
      <c r="AZ49" s="138">
        <f t="shared" ca="1" si="64"/>
        <v>0</v>
      </c>
      <c r="BA49" s="138">
        <f t="shared" ca="1" si="64"/>
        <v>0</v>
      </c>
      <c r="BB49" s="138">
        <f t="shared" ca="1" si="64"/>
        <v>0</v>
      </c>
      <c r="BC49" s="138">
        <f t="shared" ca="1" si="64"/>
        <v>0</v>
      </c>
      <c r="BD49" s="138">
        <f t="shared" ca="1" si="64"/>
        <v>0</v>
      </c>
      <c r="BE49" s="138">
        <f t="shared" ca="1" si="64"/>
        <v>0</v>
      </c>
      <c r="BF49" s="138">
        <f t="shared" ca="1" si="65"/>
        <v>0</v>
      </c>
      <c r="BG49" s="138">
        <f t="shared" ca="1" si="65"/>
        <v>0</v>
      </c>
      <c r="BH49" s="138">
        <f t="shared" ca="1" si="65"/>
        <v>0</v>
      </c>
      <c r="BI49" s="138">
        <f t="shared" ca="1" si="65"/>
        <v>0</v>
      </c>
      <c r="BJ49" s="138">
        <f t="shared" ca="1" si="65"/>
        <v>0</v>
      </c>
      <c r="BK49" s="138">
        <f t="shared" ca="1" si="65"/>
        <v>0</v>
      </c>
      <c r="BL49" s="138">
        <f t="shared" ca="1" si="65"/>
        <v>0</v>
      </c>
      <c r="BM49" s="138">
        <f t="shared" ca="1" si="65"/>
        <v>0</v>
      </c>
      <c r="BN49" s="138">
        <f t="shared" ca="1" si="65"/>
        <v>0</v>
      </c>
      <c r="BO49" s="138">
        <f t="shared" ca="1" si="65"/>
        <v>0</v>
      </c>
      <c r="BP49" s="138">
        <f t="shared" ca="1" si="66"/>
        <v>0</v>
      </c>
      <c r="BQ49" s="138">
        <f t="shared" ca="1" si="66"/>
        <v>0</v>
      </c>
      <c r="BR49" s="138">
        <f t="shared" ca="1" si="66"/>
        <v>0</v>
      </c>
      <c r="BS49" s="138">
        <f t="shared" ca="1" si="66"/>
        <v>0</v>
      </c>
      <c r="BT49" s="138">
        <f t="shared" ca="1" si="66"/>
        <v>0</v>
      </c>
      <c r="BU49" s="138">
        <f t="shared" ca="1" si="66"/>
        <v>0</v>
      </c>
      <c r="BV49" s="138">
        <f t="shared" ca="1" si="66"/>
        <v>0</v>
      </c>
      <c r="BW49" s="138">
        <f t="shared" ca="1" si="66"/>
        <v>0</v>
      </c>
      <c r="BX49" s="138">
        <f t="shared" ca="1" si="66"/>
        <v>0</v>
      </c>
      <c r="BY49" s="138">
        <f t="shared" ca="1" si="66"/>
        <v>0</v>
      </c>
      <c r="BZ49" s="138">
        <f t="shared" ca="1" si="67"/>
        <v>0</v>
      </c>
      <c r="CA49" s="138">
        <f t="shared" ca="1" si="67"/>
        <v>0</v>
      </c>
      <c r="CB49" s="138">
        <f t="shared" ca="1" si="67"/>
        <v>0</v>
      </c>
      <c r="CC49" s="138">
        <f t="shared" ca="1" si="67"/>
        <v>0</v>
      </c>
      <c r="CD49" s="138">
        <f t="shared" ca="1" si="67"/>
        <v>0</v>
      </c>
      <c r="CE49" s="138">
        <f t="shared" ca="1" si="67"/>
        <v>0</v>
      </c>
      <c r="CF49" s="138">
        <f t="shared" ca="1" si="67"/>
        <v>0</v>
      </c>
      <c r="CG49" s="138">
        <f t="shared" ca="1" si="67"/>
        <v>0</v>
      </c>
      <c r="CH49" s="138">
        <f t="shared" ca="1" si="67"/>
        <v>0</v>
      </c>
      <c r="CI49" s="138">
        <f t="shared" ca="1" si="67"/>
        <v>0</v>
      </c>
      <c r="CJ49" s="138">
        <f t="shared" ca="1" si="68"/>
        <v>0</v>
      </c>
      <c r="CK49" s="138">
        <f t="shared" ca="1" si="68"/>
        <v>0</v>
      </c>
      <c r="CL49" s="138">
        <f t="shared" ca="1" si="68"/>
        <v>0</v>
      </c>
      <c r="CM49" s="138">
        <f t="shared" ca="1" si="68"/>
        <v>0</v>
      </c>
      <c r="CN49" s="138">
        <f t="shared" ca="1" si="68"/>
        <v>0</v>
      </c>
      <c r="CO49" s="138">
        <f t="shared" ca="1" si="68"/>
        <v>0</v>
      </c>
      <c r="CP49" s="138">
        <f t="shared" ca="1" si="68"/>
        <v>0</v>
      </c>
      <c r="CQ49" s="138">
        <f t="shared" ca="1" si="68"/>
        <v>0</v>
      </c>
      <c r="CR49" s="138">
        <f t="shared" ca="1" si="68"/>
        <v>0</v>
      </c>
      <c r="CS49" s="138">
        <f t="shared" ca="1" si="68"/>
        <v>0</v>
      </c>
      <c r="CT49" s="138">
        <f t="shared" ca="1" si="69"/>
        <v>0</v>
      </c>
      <c r="CU49" s="138">
        <f t="shared" ca="1" si="69"/>
        <v>0</v>
      </c>
      <c r="CV49" s="138">
        <f t="shared" ca="1" si="69"/>
        <v>0</v>
      </c>
      <c r="CW49" s="138">
        <f t="shared" ca="1" si="69"/>
        <v>0</v>
      </c>
      <c r="CX49" s="138">
        <f t="shared" ca="1" si="69"/>
        <v>0</v>
      </c>
      <c r="CY49" s="138">
        <f t="shared" ca="1" si="69"/>
        <v>0</v>
      </c>
      <c r="CZ49" s="138">
        <f t="shared" ca="1" si="69"/>
        <v>0</v>
      </c>
      <c r="DA49" s="138">
        <f t="shared" ca="1" si="69"/>
        <v>0</v>
      </c>
      <c r="DB49" s="138">
        <f t="shared" ca="1" si="69"/>
        <v>0</v>
      </c>
      <c r="DC49" s="138">
        <f t="shared" ca="1" si="69"/>
        <v>0</v>
      </c>
      <c r="DE49" s="254" t="str">
        <f t="shared" ca="1" si="25"/>
        <v>E.1.4.</v>
      </c>
      <c r="DF49">
        <v>1</v>
      </c>
      <c r="DG49">
        <f t="shared" ca="1" si="70"/>
        <v>21</v>
      </c>
      <c r="DH49">
        <v>0</v>
      </c>
    </row>
    <row r="50" spans="1:112" hidden="1">
      <c r="A50" s="124">
        <v>38</v>
      </c>
      <c r="B50" s="205" t="str">
        <f t="shared" ca="1" si="53"/>
        <v>E.1.5.</v>
      </c>
      <c r="C50" s="129" t="str">
        <f t="shared" ca="1" si="54"/>
        <v/>
      </c>
      <c r="D50" s="144"/>
      <c r="E50" s="148">
        <f t="shared" ca="1" si="55"/>
        <v>0</v>
      </c>
      <c r="F50" s="139">
        <f ca="1">H50+NPV(FD,I50:INDEX(I50:DC50,PAL))</f>
        <v>0</v>
      </c>
      <c r="G50" s="140">
        <f ca="1">SUMIF($H$5:$DC$5,"&lt;="&amp;PAL,$H50:$DC50)</f>
        <v>0</v>
      </c>
      <c r="H50" s="138">
        <f t="shared" ca="1" si="60"/>
        <v>0</v>
      </c>
      <c r="I50" s="138">
        <f t="shared" ca="1" si="60"/>
        <v>0</v>
      </c>
      <c r="J50" s="138">
        <f t="shared" ca="1" si="60"/>
        <v>0</v>
      </c>
      <c r="K50" s="138">
        <f t="shared" ca="1" si="60"/>
        <v>0</v>
      </c>
      <c r="L50" s="138">
        <f t="shared" ca="1" si="60"/>
        <v>0</v>
      </c>
      <c r="M50" s="138">
        <f t="shared" ca="1" si="60"/>
        <v>0</v>
      </c>
      <c r="N50" s="138">
        <f t="shared" ca="1" si="60"/>
        <v>0</v>
      </c>
      <c r="O50" s="138">
        <f t="shared" ca="1" si="60"/>
        <v>0</v>
      </c>
      <c r="P50" s="138">
        <f t="shared" ca="1" si="60"/>
        <v>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61"/>
        <v>0</v>
      </c>
      <c r="Z50" s="138">
        <f t="shared" ca="1" si="61"/>
        <v>0</v>
      </c>
      <c r="AA50" s="138">
        <f t="shared" ca="1" si="61"/>
        <v>0</v>
      </c>
      <c r="AB50" s="138">
        <f t="shared" ca="1" si="62"/>
        <v>0</v>
      </c>
      <c r="AC50" s="138">
        <f t="shared" ca="1" si="62"/>
        <v>0</v>
      </c>
      <c r="AD50" s="138">
        <f t="shared" ca="1" si="62"/>
        <v>0</v>
      </c>
      <c r="AE50" s="138">
        <f t="shared" ca="1" si="62"/>
        <v>0</v>
      </c>
      <c r="AF50" s="138">
        <f t="shared" ca="1" si="62"/>
        <v>0</v>
      </c>
      <c r="AG50" s="138">
        <f t="shared" ca="1" si="62"/>
        <v>0</v>
      </c>
      <c r="AH50" s="138">
        <f t="shared" ca="1" si="62"/>
        <v>0</v>
      </c>
      <c r="AI50" s="138">
        <f t="shared" ca="1" si="62"/>
        <v>0</v>
      </c>
      <c r="AJ50" s="138">
        <f t="shared" ca="1" si="62"/>
        <v>0</v>
      </c>
      <c r="AK50" s="138">
        <f t="shared" ca="1" si="62"/>
        <v>0</v>
      </c>
      <c r="AL50" s="138">
        <f t="shared" ca="1" si="63"/>
        <v>0</v>
      </c>
      <c r="AM50" s="138">
        <f t="shared" ca="1" si="63"/>
        <v>0</v>
      </c>
      <c r="AN50" s="138">
        <f t="shared" ca="1" si="63"/>
        <v>0</v>
      </c>
      <c r="AO50" s="138">
        <f t="shared" ca="1" si="63"/>
        <v>0</v>
      </c>
      <c r="AP50" s="138">
        <f t="shared" ca="1" si="63"/>
        <v>0</v>
      </c>
      <c r="AQ50" s="138">
        <f t="shared" ca="1" si="63"/>
        <v>0</v>
      </c>
      <c r="AR50" s="138">
        <f t="shared" ca="1" si="63"/>
        <v>0</v>
      </c>
      <c r="AS50" s="138">
        <f t="shared" ca="1" si="63"/>
        <v>0</v>
      </c>
      <c r="AT50" s="138">
        <f t="shared" ca="1" si="63"/>
        <v>0</v>
      </c>
      <c r="AU50" s="138">
        <f t="shared" ca="1" si="63"/>
        <v>0</v>
      </c>
      <c r="AV50" s="138">
        <f t="shared" ca="1" si="64"/>
        <v>0</v>
      </c>
      <c r="AW50" s="138">
        <f t="shared" ca="1" si="64"/>
        <v>0</v>
      </c>
      <c r="AX50" s="138">
        <f t="shared" ca="1" si="64"/>
        <v>0</v>
      </c>
      <c r="AY50" s="138">
        <f t="shared" ca="1" si="64"/>
        <v>0</v>
      </c>
      <c r="AZ50" s="138">
        <f t="shared" ca="1" si="64"/>
        <v>0</v>
      </c>
      <c r="BA50" s="138">
        <f t="shared" ca="1" si="64"/>
        <v>0</v>
      </c>
      <c r="BB50" s="138">
        <f t="shared" ca="1" si="64"/>
        <v>0</v>
      </c>
      <c r="BC50" s="138">
        <f t="shared" ca="1" si="64"/>
        <v>0</v>
      </c>
      <c r="BD50" s="138">
        <f t="shared" ca="1" si="64"/>
        <v>0</v>
      </c>
      <c r="BE50" s="138">
        <f t="shared" ca="1" si="64"/>
        <v>0</v>
      </c>
      <c r="BF50" s="138">
        <f t="shared" ca="1" si="65"/>
        <v>0</v>
      </c>
      <c r="BG50" s="138">
        <f t="shared" ca="1" si="65"/>
        <v>0</v>
      </c>
      <c r="BH50" s="138">
        <f t="shared" ca="1" si="65"/>
        <v>0</v>
      </c>
      <c r="BI50" s="138">
        <f t="shared" ca="1" si="65"/>
        <v>0</v>
      </c>
      <c r="BJ50" s="138">
        <f t="shared" ca="1" si="65"/>
        <v>0</v>
      </c>
      <c r="BK50" s="138">
        <f t="shared" ca="1" si="65"/>
        <v>0</v>
      </c>
      <c r="BL50" s="138">
        <f t="shared" ca="1" si="65"/>
        <v>0</v>
      </c>
      <c r="BM50" s="138">
        <f t="shared" ca="1" si="65"/>
        <v>0</v>
      </c>
      <c r="BN50" s="138">
        <f t="shared" ca="1" si="65"/>
        <v>0</v>
      </c>
      <c r="BO50" s="138">
        <f t="shared" ca="1" si="65"/>
        <v>0</v>
      </c>
      <c r="BP50" s="138">
        <f t="shared" ca="1" si="66"/>
        <v>0</v>
      </c>
      <c r="BQ50" s="138">
        <f t="shared" ca="1" si="66"/>
        <v>0</v>
      </c>
      <c r="BR50" s="138">
        <f t="shared" ca="1" si="66"/>
        <v>0</v>
      </c>
      <c r="BS50" s="138">
        <f t="shared" ca="1" si="66"/>
        <v>0</v>
      </c>
      <c r="BT50" s="138">
        <f t="shared" ca="1" si="66"/>
        <v>0</v>
      </c>
      <c r="BU50" s="138">
        <f t="shared" ca="1" si="66"/>
        <v>0</v>
      </c>
      <c r="BV50" s="138">
        <f t="shared" ca="1" si="66"/>
        <v>0</v>
      </c>
      <c r="BW50" s="138">
        <f t="shared" ca="1" si="66"/>
        <v>0</v>
      </c>
      <c r="BX50" s="138">
        <f t="shared" ca="1" si="66"/>
        <v>0</v>
      </c>
      <c r="BY50" s="138">
        <f t="shared" ca="1" si="66"/>
        <v>0</v>
      </c>
      <c r="BZ50" s="138">
        <f t="shared" ca="1" si="67"/>
        <v>0</v>
      </c>
      <c r="CA50" s="138">
        <f t="shared" ca="1" si="67"/>
        <v>0</v>
      </c>
      <c r="CB50" s="138">
        <f t="shared" ca="1" si="67"/>
        <v>0</v>
      </c>
      <c r="CC50" s="138">
        <f t="shared" ca="1" si="67"/>
        <v>0</v>
      </c>
      <c r="CD50" s="138">
        <f t="shared" ca="1" si="67"/>
        <v>0</v>
      </c>
      <c r="CE50" s="138">
        <f t="shared" ca="1" si="67"/>
        <v>0</v>
      </c>
      <c r="CF50" s="138">
        <f t="shared" ca="1" si="67"/>
        <v>0</v>
      </c>
      <c r="CG50" s="138">
        <f t="shared" ca="1" si="67"/>
        <v>0</v>
      </c>
      <c r="CH50" s="138">
        <f t="shared" ca="1" si="67"/>
        <v>0</v>
      </c>
      <c r="CI50" s="138">
        <f t="shared" ca="1" si="67"/>
        <v>0</v>
      </c>
      <c r="CJ50" s="138">
        <f t="shared" ca="1" si="68"/>
        <v>0</v>
      </c>
      <c r="CK50" s="138">
        <f t="shared" ca="1" si="68"/>
        <v>0</v>
      </c>
      <c r="CL50" s="138">
        <f t="shared" ca="1" si="68"/>
        <v>0</v>
      </c>
      <c r="CM50" s="138">
        <f t="shared" ca="1" si="68"/>
        <v>0</v>
      </c>
      <c r="CN50" s="138">
        <f t="shared" ca="1" si="68"/>
        <v>0</v>
      </c>
      <c r="CO50" s="138">
        <f t="shared" ca="1" si="68"/>
        <v>0</v>
      </c>
      <c r="CP50" s="138">
        <f t="shared" ca="1" si="68"/>
        <v>0</v>
      </c>
      <c r="CQ50" s="138">
        <f t="shared" ca="1" si="68"/>
        <v>0</v>
      </c>
      <c r="CR50" s="138">
        <f t="shared" ca="1" si="68"/>
        <v>0</v>
      </c>
      <c r="CS50" s="138">
        <f t="shared" ca="1" si="68"/>
        <v>0</v>
      </c>
      <c r="CT50" s="138">
        <f t="shared" ca="1" si="69"/>
        <v>0</v>
      </c>
      <c r="CU50" s="138">
        <f t="shared" ca="1" si="69"/>
        <v>0</v>
      </c>
      <c r="CV50" s="138">
        <f t="shared" ca="1" si="69"/>
        <v>0</v>
      </c>
      <c r="CW50" s="138">
        <f t="shared" ca="1" si="69"/>
        <v>0</v>
      </c>
      <c r="CX50" s="138">
        <f t="shared" ca="1" si="69"/>
        <v>0</v>
      </c>
      <c r="CY50" s="138">
        <f t="shared" ca="1" si="69"/>
        <v>0</v>
      </c>
      <c r="CZ50" s="138">
        <f t="shared" ca="1" si="69"/>
        <v>0</v>
      </c>
      <c r="DA50" s="138">
        <f t="shared" ca="1" si="69"/>
        <v>0</v>
      </c>
      <c r="DB50" s="138">
        <f t="shared" ca="1" si="69"/>
        <v>0</v>
      </c>
      <c r="DC50" s="138">
        <f t="shared" ca="1" si="69"/>
        <v>0</v>
      </c>
      <c r="DE50" s="254" t="str">
        <f t="shared" ca="1" si="25"/>
        <v>E.1.5.</v>
      </c>
      <c r="DF50">
        <v>1</v>
      </c>
      <c r="DG50">
        <f t="shared" ca="1" si="70"/>
        <v>0</v>
      </c>
      <c r="DH50">
        <v>0</v>
      </c>
    </row>
    <row r="51" spans="1:112" hidden="1">
      <c r="A51" s="124">
        <v>39</v>
      </c>
      <c r="B51" s="205" t="str">
        <f t="shared" ca="1" si="53"/>
        <v>E.1.6.</v>
      </c>
      <c r="C51" s="129" t="str">
        <f t="shared" ca="1" si="54"/>
        <v/>
      </c>
      <c r="D51" s="144"/>
      <c r="E51" s="148">
        <f t="shared" ca="1" si="55"/>
        <v>0</v>
      </c>
      <c r="F51" s="139">
        <f ca="1">H51+NPV(FD,I51:INDEX(I51:DC51,PAL))</f>
        <v>0</v>
      </c>
      <c r="G51" s="140">
        <f ca="1">SUMIF($H$5:$DC$5,"&lt;="&amp;PAL,$H51:$DC51)</f>
        <v>0</v>
      </c>
      <c r="H51" s="138">
        <f t="shared" ca="1" si="60"/>
        <v>0</v>
      </c>
      <c r="I51" s="138">
        <f t="shared" ca="1" si="60"/>
        <v>0</v>
      </c>
      <c r="J51" s="138">
        <f t="shared" ca="1" si="60"/>
        <v>0</v>
      </c>
      <c r="K51" s="138">
        <f t="shared" ca="1" si="60"/>
        <v>0</v>
      </c>
      <c r="L51" s="138">
        <f t="shared" ca="1" si="60"/>
        <v>0</v>
      </c>
      <c r="M51" s="138">
        <f t="shared" ca="1" si="60"/>
        <v>0</v>
      </c>
      <c r="N51" s="138">
        <f t="shared" ca="1" si="60"/>
        <v>0</v>
      </c>
      <c r="O51" s="138">
        <f t="shared" ca="1" si="60"/>
        <v>0</v>
      </c>
      <c r="P51" s="138">
        <f t="shared" ca="1" si="60"/>
        <v>0</v>
      </c>
      <c r="Q51" s="138">
        <f t="shared" ca="1" si="60"/>
        <v>0</v>
      </c>
      <c r="R51" s="138">
        <f t="shared" ca="1" si="61"/>
        <v>0</v>
      </c>
      <c r="S51" s="138">
        <f t="shared" ca="1" si="61"/>
        <v>0</v>
      </c>
      <c r="T51" s="138">
        <f t="shared" ca="1" si="61"/>
        <v>0</v>
      </c>
      <c r="U51" s="138">
        <f t="shared" ca="1" si="61"/>
        <v>0</v>
      </c>
      <c r="V51" s="138">
        <f t="shared" ca="1" si="61"/>
        <v>0</v>
      </c>
      <c r="W51" s="138">
        <f t="shared" ca="1" si="61"/>
        <v>0</v>
      </c>
      <c r="X51" s="138">
        <f t="shared" ca="1" si="61"/>
        <v>0</v>
      </c>
      <c r="Y51" s="138">
        <f t="shared" ca="1" si="61"/>
        <v>0</v>
      </c>
      <c r="Z51" s="138">
        <f t="shared" ca="1" si="61"/>
        <v>0</v>
      </c>
      <c r="AA51" s="138">
        <f t="shared" ca="1" si="61"/>
        <v>0</v>
      </c>
      <c r="AB51" s="138">
        <f t="shared" ca="1" si="62"/>
        <v>0</v>
      </c>
      <c r="AC51" s="138">
        <f t="shared" ca="1" si="62"/>
        <v>0</v>
      </c>
      <c r="AD51" s="138">
        <f t="shared" ca="1" si="62"/>
        <v>0</v>
      </c>
      <c r="AE51" s="138">
        <f t="shared" ca="1" si="62"/>
        <v>0</v>
      </c>
      <c r="AF51" s="138">
        <f t="shared" ca="1" si="62"/>
        <v>0</v>
      </c>
      <c r="AG51" s="138">
        <f t="shared" ca="1" si="62"/>
        <v>0</v>
      </c>
      <c r="AH51" s="138">
        <f t="shared" ca="1" si="62"/>
        <v>0</v>
      </c>
      <c r="AI51" s="138">
        <f t="shared" ca="1" si="62"/>
        <v>0</v>
      </c>
      <c r="AJ51" s="138">
        <f t="shared" ca="1" si="62"/>
        <v>0</v>
      </c>
      <c r="AK51" s="138">
        <f t="shared" ca="1" si="62"/>
        <v>0</v>
      </c>
      <c r="AL51" s="138">
        <f t="shared" ca="1" si="63"/>
        <v>0</v>
      </c>
      <c r="AM51" s="138">
        <f t="shared" ca="1" si="63"/>
        <v>0</v>
      </c>
      <c r="AN51" s="138">
        <f t="shared" ca="1" si="63"/>
        <v>0</v>
      </c>
      <c r="AO51" s="138">
        <f t="shared" ca="1" si="63"/>
        <v>0</v>
      </c>
      <c r="AP51" s="138">
        <f t="shared" ca="1" si="63"/>
        <v>0</v>
      </c>
      <c r="AQ51" s="138">
        <f t="shared" ca="1" si="63"/>
        <v>0</v>
      </c>
      <c r="AR51" s="138">
        <f t="shared" ca="1" si="63"/>
        <v>0</v>
      </c>
      <c r="AS51" s="138">
        <f t="shared" ca="1" si="63"/>
        <v>0</v>
      </c>
      <c r="AT51" s="138">
        <f t="shared" ca="1" si="63"/>
        <v>0</v>
      </c>
      <c r="AU51" s="138">
        <f t="shared" ca="1" si="63"/>
        <v>0</v>
      </c>
      <c r="AV51" s="138">
        <f t="shared" ca="1" si="64"/>
        <v>0</v>
      </c>
      <c r="AW51" s="138">
        <f t="shared" ca="1" si="64"/>
        <v>0</v>
      </c>
      <c r="AX51" s="138">
        <f t="shared" ca="1" si="64"/>
        <v>0</v>
      </c>
      <c r="AY51" s="138">
        <f t="shared" ca="1" si="64"/>
        <v>0</v>
      </c>
      <c r="AZ51" s="138">
        <f t="shared" ca="1" si="64"/>
        <v>0</v>
      </c>
      <c r="BA51" s="138">
        <f t="shared" ca="1" si="64"/>
        <v>0</v>
      </c>
      <c r="BB51" s="138">
        <f t="shared" ca="1" si="64"/>
        <v>0</v>
      </c>
      <c r="BC51" s="138">
        <f t="shared" ca="1" si="64"/>
        <v>0</v>
      </c>
      <c r="BD51" s="138">
        <f t="shared" ca="1" si="64"/>
        <v>0</v>
      </c>
      <c r="BE51" s="138">
        <f t="shared" ca="1" si="64"/>
        <v>0</v>
      </c>
      <c r="BF51" s="138">
        <f t="shared" ca="1" si="65"/>
        <v>0</v>
      </c>
      <c r="BG51" s="138">
        <f t="shared" ca="1" si="65"/>
        <v>0</v>
      </c>
      <c r="BH51" s="138">
        <f t="shared" ca="1" si="65"/>
        <v>0</v>
      </c>
      <c r="BI51" s="138">
        <f t="shared" ca="1" si="65"/>
        <v>0</v>
      </c>
      <c r="BJ51" s="138">
        <f t="shared" ca="1" si="65"/>
        <v>0</v>
      </c>
      <c r="BK51" s="138">
        <f t="shared" ca="1" si="65"/>
        <v>0</v>
      </c>
      <c r="BL51" s="138">
        <f t="shared" ca="1" si="65"/>
        <v>0</v>
      </c>
      <c r="BM51" s="138">
        <f t="shared" ca="1" si="65"/>
        <v>0</v>
      </c>
      <c r="BN51" s="138">
        <f t="shared" ca="1" si="65"/>
        <v>0</v>
      </c>
      <c r="BO51" s="138">
        <f t="shared" ca="1" si="65"/>
        <v>0</v>
      </c>
      <c r="BP51" s="138">
        <f t="shared" ca="1" si="66"/>
        <v>0</v>
      </c>
      <c r="BQ51" s="138">
        <f t="shared" ca="1" si="66"/>
        <v>0</v>
      </c>
      <c r="BR51" s="138">
        <f t="shared" ca="1" si="66"/>
        <v>0</v>
      </c>
      <c r="BS51" s="138">
        <f t="shared" ca="1" si="66"/>
        <v>0</v>
      </c>
      <c r="BT51" s="138">
        <f t="shared" ca="1" si="66"/>
        <v>0</v>
      </c>
      <c r="BU51" s="138">
        <f t="shared" ca="1" si="66"/>
        <v>0</v>
      </c>
      <c r="BV51" s="138">
        <f t="shared" ca="1" si="66"/>
        <v>0</v>
      </c>
      <c r="BW51" s="138">
        <f t="shared" ca="1" si="66"/>
        <v>0</v>
      </c>
      <c r="BX51" s="138">
        <f t="shared" ca="1" si="66"/>
        <v>0</v>
      </c>
      <c r="BY51" s="138">
        <f t="shared" ca="1" si="66"/>
        <v>0</v>
      </c>
      <c r="BZ51" s="138">
        <f t="shared" ca="1" si="67"/>
        <v>0</v>
      </c>
      <c r="CA51" s="138">
        <f t="shared" ca="1" si="67"/>
        <v>0</v>
      </c>
      <c r="CB51" s="138">
        <f t="shared" ca="1" si="67"/>
        <v>0</v>
      </c>
      <c r="CC51" s="138">
        <f t="shared" ca="1" si="67"/>
        <v>0</v>
      </c>
      <c r="CD51" s="138">
        <f t="shared" ca="1" si="67"/>
        <v>0</v>
      </c>
      <c r="CE51" s="138">
        <f t="shared" ca="1" si="67"/>
        <v>0</v>
      </c>
      <c r="CF51" s="138">
        <f t="shared" ca="1" si="67"/>
        <v>0</v>
      </c>
      <c r="CG51" s="138">
        <f t="shared" ca="1" si="67"/>
        <v>0</v>
      </c>
      <c r="CH51" s="138">
        <f t="shared" ca="1" si="67"/>
        <v>0</v>
      </c>
      <c r="CI51" s="138">
        <f t="shared" ca="1" si="67"/>
        <v>0</v>
      </c>
      <c r="CJ51" s="138">
        <f t="shared" ca="1" si="68"/>
        <v>0</v>
      </c>
      <c r="CK51" s="138">
        <f t="shared" ca="1" si="68"/>
        <v>0</v>
      </c>
      <c r="CL51" s="138">
        <f t="shared" ca="1" si="68"/>
        <v>0</v>
      </c>
      <c r="CM51" s="138">
        <f t="shared" ca="1" si="68"/>
        <v>0</v>
      </c>
      <c r="CN51" s="138">
        <f t="shared" ca="1" si="68"/>
        <v>0</v>
      </c>
      <c r="CO51" s="138">
        <f t="shared" ca="1" si="68"/>
        <v>0</v>
      </c>
      <c r="CP51" s="138">
        <f t="shared" ca="1" si="68"/>
        <v>0</v>
      </c>
      <c r="CQ51" s="138">
        <f t="shared" ca="1" si="68"/>
        <v>0</v>
      </c>
      <c r="CR51" s="138">
        <f t="shared" ca="1" si="68"/>
        <v>0</v>
      </c>
      <c r="CS51" s="138">
        <f t="shared" ca="1" si="68"/>
        <v>0</v>
      </c>
      <c r="CT51" s="138">
        <f t="shared" ca="1" si="69"/>
        <v>0</v>
      </c>
      <c r="CU51" s="138">
        <f t="shared" ca="1" si="69"/>
        <v>0</v>
      </c>
      <c r="CV51" s="138">
        <f t="shared" ca="1" si="69"/>
        <v>0</v>
      </c>
      <c r="CW51" s="138">
        <f t="shared" ca="1" si="69"/>
        <v>0</v>
      </c>
      <c r="CX51" s="138">
        <f t="shared" ca="1" si="69"/>
        <v>0</v>
      </c>
      <c r="CY51" s="138">
        <f t="shared" ca="1" si="69"/>
        <v>0</v>
      </c>
      <c r="CZ51" s="138">
        <f t="shared" ca="1" si="69"/>
        <v>0</v>
      </c>
      <c r="DA51" s="138">
        <f t="shared" ca="1" si="69"/>
        <v>0</v>
      </c>
      <c r="DB51" s="138">
        <f t="shared" ca="1" si="69"/>
        <v>0</v>
      </c>
      <c r="DC51" s="138">
        <f t="shared" ca="1" si="69"/>
        <v>0</v>
      </c>
      <c r="DE51" s="254" t="str">
        <f t="shared" ca="1" si="25"/>
        <v>E.1.6.</v>
      </c>
      <c r="DF51">
        <v>1</v>
      </c>
      <c r="DG51">
        <f t="shared" ca="1" si="70"/>
        <v>0</v>
      </c>
      <c r="DH51">
        <v>0</v>
      </c>
    </row>
    <row r="52" spans="1:112" hidden="1">
      <c r="A52" s="124">
        <v>40</v>
      </c>
      <c r="B52" s="205" t="str">
        <f t="shared" ca="1" si="53"/>
        <v>E.1.7.</v>
      </c>
      <c r="C52" s="129" t="str">
        <f t="shared" ca="1" si="54"/>
        <v/>
      </c>
      <c r="D52" s="144"/>
      <c r="E52" s="148">
        <f t="shared" ca="1" si="55"/>
        <v>0</v>
      </c>
      <c r="F52" s="139">
        <f ca="1">H52+NPV(FD,I52:INDEX(I52:DC52,PAL))</f>
        <v>0</v>
      </c>
      <c r="G52" s="140">
        <f ca="1">SUMIF($H$5:$DC$5,"&lt;="&amp;PAL,$H52:$DC52)</f>
        <v>0</v>
      </c>
      <c r="H52" s="138">
        <f t="shared" ca="1" si="60"/>
        <v>0</v>
      </c>
      <c r="I52" s="138">
        <f t="shared" ca="1" si="60"/>
        <v>0</v>
      </c>
      <c r="J52" s="138">
        <f t="shared" ca="1" si="60"/>
        <v>0</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61"/>
        <v>0</v>
      </c>
      <c r="Z52" s="138">
        <f t="shared" ca="1" si="61"/>
        <v>0</v>
      </c>
      <c r="AA52" s="138">
        <f t="shared" ca="1" si="61"/>
        <v>0</v>
      </c>
      <c r="AB52" s="138">
        <f t="shared" ca="1" si="62"/>
        <v>0</v>
      </c>
      <c r="AC52" s="138">
        <f t="shared" ca="1" si="62"/>
        <v>0</v>
      </c>
      <c r="AD52" s="138">
        <f t="shared" ca="1" si="62"/>
        <v>0</v>
      </c>
      <c r="AE52" s="138">
        <f t="shared" ca="1" si="62"/>
        <v>0</v>
      </c>
      <c r="AF52" s="138">
        <f t="shared" ca="1" si="62"/>
        <v>0</v>
      </c>
      <c r="AG52" s="138">
        <f t="shared" ca="1" si="62"/>
        <v>0</v>
      </c>
      <c r="AH52" s="138">
        <f t="shared" ca="1" si="62"/>
        <v>0</v>
      </c>
      <c r="AI52" s="138">
        <f t="shared" ca="1" si="62"/>
        <v>0</v>
      </c>
      <c r="AJ52" s="138">
        <f t="shared" ca="1" si="62"/>
        <v>0</v>
      </c>
      <c r="AK52" s="138">
        <f t="shared" ca="1" si="62"/>
        <v>0</v>
      </c>
      <c r="AL52" s="138">
        <f t="shared" ca="1" si="63"/>
        <v>0</v>
      </c>
      <c r="AM52" s="138">
        <f t="shared" ca="1" si="63"/>
        <v>0</v>
      </c>
      <c r="AN52" s="138">
        <f t="shared" ca="1" si="63"/>
        <v>0</v>
      </c>
      <c r="AO52" s="138">
        <f t="shared" ca="1" si="63"/>
        <v>0</v>
      </c>
      <c r="AP52" s="138">
        <f t="shared" ca="1" si="63"/>
        <v>0</v>
      </c>
      <c r="AQ52" s="138">
        <f t="shared" ca="1" si="63"/>
        <v>0</v>
      </c>
      <c r="AR52" s="138">
        <f t="shared" ca="1" si="63"/>
        <v>0</v>
      </c>
      <c r="AS52" s="138">
        <f t="shared" ca="1" si="63"/>
        <v>0</v>
      </c>
      <c r="AT52" s="138">
        <f t="shared" ca="1" si="63"/>
        <v>0</v>
      </c>
      <c r="AU52" s="138">
        <f t="shared" ca="1" si="63"/>
        <v>0</v>
      </c>
      <c r="AV52" s="138">
        <f t="shared" ca="1" si="64"/>
        <v>0</v>
      </c>
      <c r="AW52" s="138">
        <f t="shared" ca="1" si="64"/>
        <v>0</v>
      </c>
      <c r="AX52" s="138">
        <f t="shared" ca="1" si="64"/>
        <v>0</v>
      </c>
      <c r="AY52" s="138">
        <f t="shared" ca="1" si="64"/>
        <v>0</v>
      </c>
      <c r="AZ52" s="138">
        <f t="shared" ca="1" si="64"/>
        <v>0</v>
      </c>
      <c r="BA52" s="138">
        <f t="shared" ca="1" si="64"/>
        <v>0</v>
      </c>
      <c r="BB52" s="138">
        <f t="shared" ca="1" si="64"/>
        <v>0</v>
      </c>
      <c r="BC52" s="138">
        <f t="shared" ca="1" si="64"/>
        <v>0</v>
      </c>
      <c r="BD52" s="138">
        <f t="shared" ca="1" si="64"/>
        <v>0</v>
      </c>
      <c r="BE52" s="138">
        <f t="shared" ca="1" si="64"/>
        <v>0</v>
      </c>
      <c r="BF52" s="138">
        <f t="shared" ca="1" si="65"/>
        <v>0</v>
      </c>
      <c r="BG52" s="138">
        <f t="shared" ca="1" si="65"/>
        <v>0</v>
      </c>
      <c r="BH52" s="138">
        <f t="shared" ca="1" si="65"/>
        <v>0</v>
      </c>
      <c r="BI52" s="138">
        <f t="shared" ca="1" si="65"/>
        <v>0</v>
      </c>
      <c r="BJ52" s="138">
        <f t="shared" ca="1" si="65"/>
        <v>0</v>
      </c>
      <c r="BK52" s="138">
        <f t="shared" ca="1" si="65"/>
        <v>0</v>
      </c>
      <c r="BL52" s="138">
        <f t="shared" ca="1" si="65"/>
        <v>0</v>
      </c>
      <c r="BM52" s="138">
        <f t="shared" ca="1" si="65"/>
        <v>0</v>
      </c>
      <c r="BN52" s="138">
        <f t="shared" ca="1" si="65"/>
        <v>0</v>
      </c>
      <c r="BO52" s="138">
        <f t="shared" ca="1" si="65"/>
        <v>0</v>
      </c>
      <c r="BP52" s="138">
        <f t="shared" ca="1" si="66"/>
        <v>0</v>
      </c>
      <c r="BQ52" s="138">
        <f t="shared" ca="1" si="66"/>
        <v>0</v>
      </c>
      <c r="BR52" s="138">
        <f t="shared" ca="1" si="66"/>
        <v>0</v>
      </c>
      <c r="BS52" s="138">
        <f t="shared" ca="1" si="66"/>
        <v>0</v>
      </c>
      <c r="BT52" s="138">
        <f t="shared" ca="1" si="66"/>
        <v>0</v>
      </c>
      <c r="BU52" s="138">
        <f t="shared" ca="1" si="66"/>
        <v>0</v>
      </c>
      <c r="BV52" s="138">
        <f t="shared" ca="1" si="66"/>
        <v>0</v>
      </c>
      <c r="BW52" s="138">
        <f t="shared" ca="1" si="66"/>
        <v>0</v>
      </c>
      <c r="BX52" s="138">
        <f t="shared" ca="1" si="66"/>
        <v>0</v>
      </c>
      <c r="BY52" s="138">
        <f t="shared" ca="1" si="66"/>
        <v>0</v>
      </c>
      <c r="BZ52" s="138">
        <f t="shared" ca="1" si="67"/>
        <v>0</v>
      </c>
      <c r="CA52" s="138">
        <f t="shared" ca="1" si="67"/>
        <v>0</v>
      </c>
      <c r="CB52" s="138">
        <f t="shared" ca="1" si="67"/>
        <v>0</v>
      </c>
      <c r="CC52" s="138">
        <f t="shared" ca="1" si="67"/>
        <v>0</v>
      </c>
      <c r="CD52" s="138">
        <f t="shared" ca="1" si="67"/>
        <v>0</v>
      </c>
      <c r="CE52" s="138">
        <f t="shared" ca="1" si="67"/>
        <v>0</v>
      </c>
      <c r="CF52" s="138">
        <f t="shared" ca="1" si="67"/>
        <v>0</v>
      </c>
      <c r="CG52" s="138">
        <f t="shared" ca="1" si="67"/>
        <v>0</v>
      </c>
      <c r="CH52" s="138">
        <f t="shared" ca="1" si="67"/>
        <v>0</v>
      </c>
      <c r="CI52" s="138">
        <f t="shared" ca="1" si="67"/>
        <v>0</v>
      </c>
      <c r="CJ52" s="138">
        <f t="shared" ca="1" si="68"/>
        <v>0</v>
      </c>
      <c r="CK52" s="138">
        <f t="shared" ca="1" si="68"/>
        <v>0</v>
      </c>
      <c r="CL52" s="138">
        <f t="shared" ca="1" si="68"/>
        <v>0</v>
      </c>
      <c r="CM52" s="138">
        <f t="shared" ca="1" si="68"/>
        <v>0</v>
      </c>
      <c r="CN52" s="138">
        <f t="shared" ca="1" si="68"/>
        <v>0</v>
      </c>
      <c r="CO52" s="138">
        <f t="shared" ca="1" si="68"/>
        <v>0</v>
      </c>
      <c r="CP52" s="138">
        <f t="shared" ca="1" si="68"/>
        <v>0</v>
      </c>
      <c r="CQ52" s="138">
        <f t="shared" ca="1" si="68"/>
        <v>0</v>
      </c>
      <c r="CR52" s="138">
        <f t="shared" ca="1" si="68"/>
        <v>0</v>
      </c>
      <c r="CS52" s="138">
        <f t="shared" ca="1" si="68"/>
        <v>0</v>
      </c>
      <c r="CT52" s="138">
        <f t="shared" ca="1" si="69"/>
        <v>0</v>
      </c>
      <c r="CU52" s="138">
        <f t="shared" ca="1" si="69"/>
        <v>0</v>
      </c>
      <c r="CV52" s="138">
        <f t="shared" ca="1" si="69"/>
        <v>0</v>
      </c>
      <c r="CW52" s="138">
        <f t="shared" ca="1" si="69"/>
        <v>0</v>
      </c>
      <c r="CX52" s="138">
        <f t="shared" ca="1" si="69"/>
        <v>0</v>
      </c>
      <c r="CY52" s="138">
        <f t="shared" ca="1" si="69"/>
        <v>0</v>
      </c>
      <c r="CZ52" s="138">
        <f t="shared" ca="1" si="69"/>
        <v>0</v>
      </c>
      <c r="DA52" s="138">
        <f t="shared" ca="1" si="69"/>
        <v>0</v>
      </c>
      <c r="DB52" s="138">
        <f t="shared" ca="1" si="69"/>
        <v>0</v>
      </c>
      <c r="DC52" s="138">
        <f t="shared" ca="1" si="69"/>
        <v>0</v>
      </c>
      <c r="DE52" s="254" t="str">
        <f t="shared" ca="1" si="25"/>
        <v>E.1.7.</v>
      </c>
      <c r="DF52">
        <v>1</v>
      </c>
      <c r="DG52">
        <f t="shared" ca="1" si="70"/>
        <v>0</v>
      </c>
      <c r="DH52">
        <v>0</v>
      </c>
    </row>
    <row r="53" spans="1:112" hidden="1">
      <c r="A53" s="124">
        <v>41</v>
      </c>
      <c r="B53" s="205" t="str">
        <f t="shared" ca="1" si="53"/>
        <v>E.1.8.</v>
      </c>
      <c r="C53" s="129" t="str">
        <f t="shared" ca="1" si="54"/>
        <v>Veikla</v>
      </c>
      <c r="D53" s="144"/>
      <c r="E53" s="148">
        <f t="shared" ca="1" si="55"/>
        <v>0.21</v>
      </c>
      <c r="F53" s="139">
        <f ca="1">H53+NPV(FD,I53:INDEX(I53:DC53,PAL))</f>
        <v>0</v>
      </c>
      <c r="G53" s="140">
        <f ca="1">SUMIF($H$5:$DC$5,"&lt;="&amp;PAL,$H53:$DC53)</f>
        <v>0</v>
      </c>
      <c r="H53" s="138">
        <f t="shared" ca="1" si="60"/>
        <v>0</v>
      </c>
      <c r="I53" s="138">
        <f t="shared" ca="1" si="60"/>
        <v>0</v>
      </c>
      <c r="J53" s="138">
        <f t="shared" ca="1" si="60"/>
        <v>0</v>
      </c>
      <c r="K53" s="138">
        <f t="shared" ca="1" si="60"/>
        <v>0</v>
      </c>
      <c r="L53" s="138">
        <f t="shared" ca="1" si="60"/>
        <v>0</v>
      </c>
      <c r="M53" s="138">
        <f t="shared" ca="1" si="60"/>
        <v>0</v>
      </c>
      <c r="N53" s="138">
        <f t="shared" ca="1" si="60"/>
        <v>0</v>
      </c>
      <c r="O53" s="138">
        <f t="shared" ca="1" si="60"/>
        <v>0</v>
      </c>
      <c r="P53" s="138">
        <f t="shared" ca="1" si="60"/>
        <v>0</v>
      </c>
      <c r="Q53" s="138">
        <f t="shared" ca="1" si="60"/>
        <v>0</v>
      </c>
      <c r="R53" s="138">
        <f t="shared" ca="1" si="61"/>
        <v>0</v>
      </c>
      <c r="S53" s="138">
        <f t="shared" ca="1" si="61"/>
        <v>0</v>
      </c>
      <c r="T53" s="138">
        <f t="shared" ca="1" si="61"/>
        <v>0</v>
      </c>
      <c r="U53" s="138">
        <f t="shared" ca="1" si="61"/>
        <v>0</v>
      </c>
      <c r="V53" s="138">
        <f t="shared" ca="1" si="61"/>
        <v>0</v>
      </c>
      <c r="W53" s="138">
        <f t="shared" ca="1" si="61"/>
        <v>0</v>
      </c>
      <c r="X53" s="138">
        <f t="shared" ca="1" si="61"/>
        <v>0</v>
      </c>
      <c r="Y53" s="138">
        <f t="shared" ca="1" si="61"/>
        <v>0</v>
      </c>
      <c r="Z53" s="138">
        <f t="shared" ca="1" si="61"/>
        <v>0</v>
      </c>
      <c r="AA53" s="138">
        <f t="shared" ca="1" si="61"/>
        <v>0</v>
      </c>
      <c r="AB53" s="138">
        <f t="shared" ca="1" si="62"/>
        <v>0</v>
      </c>
      <c r="AC53" s="138">
        <f t="shared" ca="1" si="62"/>
        <v>0</v>
      </c>
      <c r="AD53" s="138">
        <f t="shared" ca="1" si="62"/>
        <v>0</v>
      </c>
      <c r="AE53" s="138">
        <f t="shared" ca="1" si="62"/>
        <v>0</v>
      </c>
      <c r="AF53" s="138">
        <f t="shared" ca="1" si="62"/>
        <v>0</v>
      </c>
      <c r="AG53" s="138">
        <f t="shared" ca="1" si="62"/>
        <v>0</v>
      </c>
      <c r="AH53" s="138">
        <f t="shared" ca="1" si="62"/>
        <v>0</v>
      </c>
      <c r="AI53" s="138">
        <f t="shared" ca="1" si="62"/>
        <v>0</v>
      </c>
      <c r="AJ53" s="138">
        <f t="shared" ca="1" si="62"/>
        <v>0</v>
      </c>
      <c r="AK53" s="138">
        <f t="shared" ca="1" si="62"/>
        <v>0</v>
      </c>
      <c r="AL53" s="138">
        <f t="shared" ca="1" si="63"/>
        <v>0</v>
      </c>
      <c r="AM53" s="138">
        <f t="shared" ca="1" si="63"/>
        <v>0</v>
      </c>
      <c r="AN53" s="138">
        <f t="shared" ca="1" si="63"/>
        <v>0</v>
      </c>
      <c r="AO53" s="138">
        <f t="shared" ca="1" si="63"/>
        <v>0</v>
      </c>
      <c r="AP53" s="138">
        <f t="shared" ca="1" si="63"/>
        <v>0</v>
      </c>
      <c r="AQ53" s="138">
        <f t="shared" ca="1" si="63"/>
        <v>0</v>
      </c>
      <c r="AR53" s="138">
        <f t="shared" ca="1" si="63"/>
        <v>0</v>
      </c>
      <c r="AS53" s="138">
        <f t="shared" ca="1" si="63"/>
        <v>0</v>
      </c>
      <c r="AT53" s="138">
        <f t="shared" ca="1" si="63"/>
        <v>0</v>
      </c>
      <c r="AU53" s="138">
        <f t="shared" ca="1" si="63"/>
        <v>0</v>
      </c>
      <c r="AV53" s="138">
        <f t="shared" ca="1" si="64"/>
        <v>0</v>
      </c>
      <c r="AW53" s="138">
        <f t="shared" ca="1" si="64"/>
        <v>0</v>
      </c>
      <c r="AX53" s="138">
        <f t="shared" ca="1" si="64"/>
        <v>0</v>
      </c>
      <c r="AY53" s="138">
        <f t="shared" ca="1" si="64"/>
        <v>0</v>
      </c>
      <c r="AZ53" s="138">
        <f t="shared" ca="1" si="64"/>
        <v>0</v>
      </c>
      <c r="BA53" s="138">
        <f t="shared" ca="1" si="64"/>
        <v>0</v>
      </c>
      <c r="BB53" s="138">
        <f t="shared" ca="1" si="64"/>
        <v>0</v>
      </c>
      <c r="BC53" s="138">
        <f t="shared" ca="1" si="64"/>
        <v>0</v>
      </c>
      <c r="BD53" s="138">
        <f t="shared" ca="1" si="64"/>
        <v>0</v>
      </c>
      <c r="BE53" s="138">
        <f t="shared" ca="1" si="64"/>
        <v>0</v>
      </c>
      <c r="BF53" s="138">
        <f t="shared" ca="1" si="65"/>
        <v>0</v>
      </c>
      <c r="BG53" s="138">
        <f t="shared" ca="1" si="65"/>
        <v>0</v>
      </c>
      <c r="BH53" s="138">
        <f t="shared" ca="1" si="65"/>
        <v>0</v>
      </c>
      <c r="BI53" s="138">
        <f t="shared" ca="1" si="65"/>
        <v>0</v>
      </c>
      <c r="BJ53" s="138">
        <f t="shared" ca="1" si="65"/>
        <v>0</v>
      </c>
      <c r="BK53" s="138">
        <f t="shared" ca="1" si="65"/>
        <v>0</v>
      </c>
      <c r="BL53" s="138">
        <f t="shared" ca="1" si="65"/>
        <v>0</v>
      </c>
      <c r="BM53" s="138">
        <f t="shared" ca="1" si="65"/>
        <v>0</v>
      </c>
      <c r="BN53" s="138">
        <f t="shared" ca="1" si="65"/>
        <v>0</v>
      </c>
      <c r="BO53" s="138">
        <f t="shared" ca="1" si="65"/>
        <v>0</v>
      </c>
      <c r="BP53" s="138">
        <f t="shared" ca="1" si="66"/>
        <v>0</v>
      </c>
      <c r="BQ53" s="138">
        <f t="shared" ca="1" si="66"/>
        <v>0</v>
      </c>
      <c r="BR53" s="138">
        <f t="shared" ca="1" si="66"/>
        <v>0</v>
      </c>
      <c r="BS53" s="138">
        <f t="shared" ca="1" si="66"/>
        <v>0</v>
      </c>
      <c r="BT53" s="138">
        <f t="shared" ca="1" si="66"/>
        <v>0</v>
      </c>
      <c r="BU53" s="138">
        <f t="shared" ca="1" si="66"/>
        <v>0</v>
      </c>
      <c r="BV53" s="138">
        <f t="shared" ca="1" si="66"/>
        <v>0</v>
      </c>
      <c r="BW53" s="138">
        <f t="shared" ca="1" si="66"/>
        <v>0</v>
      </c>
      <c r="BX53" s="138">
        <f t="shared" ca="1" si="66"/>
        <v>0</v>
      </c>
      <c r="BY53" s="138">
        <f t="shared" ca="1" si="66"/>
        <v>0</v>
      </c>
      <c r="BZ53" s="138">
        <f t="shared" ca="1" si="67"/>
        <v>0</v>
      </c>
      <c r="CA53" s="138">
        <f t="shared" ca="1" si="67"/>
        <v>0</v>
      </c>
      <c r="CB53" s="138">
        <f t="shared" ca="1" si="67"/>
        <v>0</v>
      </c>
      <c r="CC53" s="138">
        <f t="shared" ca="1" si="67"/>
        <v>0</v>
      </c>
      <c r="CD53" s="138">
        <f t="shared" ca="1" si="67"/>
        <v>0</v>
      </c>
      <c r="CE53" s="138">
        <f t="shared" ca="1" si="67"/>
        <v>0</v>
      </c>
      <c r="CF53" s="138">
        <f t="shared" ca="1" si="67"/>
        <v>0</v>
      </c>
      <c r="CG53" s="138">
        <f t="shared" ca="1" si="67"/>
        <v>0</v>
      </c>
      <c r="CH53" s="138">
        <f t="shared" ca="1" si="67"/>
        <v>0</v>
      </c>
      <c r="CI53" s="138">
        <f t="shared" ca="1" si="67"/>
        <v>0</v>
      </c>
      <c r="CJ53" s="138">
        <f t="shared" ca="1" si="68"/>
        <v>0</v>
      </c>
      <c r="CK53" s="138">
        <f t="shared" ca="1" si="68"/>
        <v>0</v>
      </c>
      <c r="CL53" s="138">
        <f t="shared" ca="1" si="68"/>
        <v>0</v>
      </c>
      <c r="CM53" s="138">
        <f t="shared" ca="1" si="68"/>
        <v>0</v>
      </c>
      <c r="CN53" s="138">
        <f t="shared" ca="1" si="68"/>
        <v>0</v>
      </c>
      <c r="CO53" s="138">
        <f t="shared" ca="1" si="68"/>
        <v>0</v>
      </c>
      <c r="CP53" s="138">
        <f t="shared" ca="1" si="68"/>
        <v>0</v>
      </c>
      <c r="CQ53" s="138">
        <f t="shared" ca="1" si="68"/>
        <v>0</v>
      </c>
      <c r="CR53" s="138">
        <f t="shared" ca="1" si="68"/>
        <v>0</v>
      </c>
      <c r="CS53" s="138">
        <f t="shared" ca="1" si="68"/>
        <v>0</v>
      </c>
      <c r="CT53" s="138">
        <f t="shared" ca="1" si="69"/>
        <v>0</v>
      </c>
      <c r="CU53" s="138">
        <f t="shared" ca="1" si="69"/>
        <v>0</v>
      </c>
      <c r="CV53" s="138">
        <f t="shared" ca="1" si="69"/>
        <v>0</v>
      </c>
      <c r="CW53" s="138">
        <f t="shared" ca="1" si="69"/>
        <v>0</v>
      </c>
      <c r="CX53" s="138">
        <f t="shared" ca="1" si="69"/>
        <v>0</v>
      </c>
      <c r="CY53" s="138">
        <f t="shared" ca="1" si="69"/>
        <v>0</v>
      </c>
      <c r="CZ53" s="138">
        <f t="shared" ca="1" si="69"/>
        <v>0</v>
      </c>
      <c r="DA53" s="138">
        <f t="shared" ca="1" si="69"/>
        <v>0</v>
      </c>
      <c r="DB53" s="138">
        <f t="shared" ca="1" si="69"/>
        <v>0</v>
      </c>
      <c r="DC53" s="138">
        <f t="shared" ca="1" si="69"/>
        <v>0</v>
      </c>
      <c r="DE53" s="254" t="str">
        <f t="shared" ca="1" si="25"/>
        <v>E.1.8.</v>
      </c>
      <c r="DF53">
        <v>1</v>
      </c>
      <c r="DG53">
        <f t="shared" ca="1" si="70"/>
        <v>21</v>
      </c>
      <c r="DH53">
        <v>0</v>
      </c>
    </row>
    <row r="54" spans="1:112" hidden="1">
      <c r="A54" s="124">
        <v>42</v>
      </c>
      <c r="B54" s="205" t="str">
        <f t="shared" ca="1" si="53"/>
        <v>E.1.9.</v>
      </c>
      <c r="C54" s="129" t="str">
        <f t="shared" ca="1" si="54"/>
        <v>Reinvesticijos (po priemonės įgyvendinimo)</v>
      </c>
      <c r="D54" s="114"/>
      <c r="E54" s="148">
        <f t="shared" ca="1" si="55"/>
        <v>0.21</v>
      </c>
      <c r="F54" s="139">
        <f ca="1">H54+NPV(FD,I54:INDEX(I54:DC54,PAL))</f>
        <v>456056.55045621062</v>
      </c>
      <c r="G54" s="140">
        <f ca="1">SUMIF($H$5:$DC$5,"&lt;="&amp;PAL,$H54:$DC54)</f>
        <v>720000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120000</v>
      </c>
      <c r="S54" s="138">
        <f t="shared" ca="1" si="61"/>
        <v>240000</v>
      </c>
      <c r="T54" s="138">
        <f t="shared" ca="1" si="61"/>
        <v>120000</v>
      </c>
      <c r="U54" s="138">
        <f t="shared" ca="1" si="61"/>
        <v>240000</v>
      </c>
      <c r="V54" s="138">
        <f t="shared" ca="1" si="61"/>
        <v>0</v>
      </c>
      <c r="W54" s="138">
        <f t="shared" ca="1" si="61"/>
        <v>0</v>
      </c>
      <c r="X54" s="138">
        <f t="shared" ca="1" si="61"/>
        <v>0</v>
      </c>
      <c r="Y54" s="138">
        <f t="shared" ca="1" si="61"/>
        <v>0</v>
      </c>
      <c r="Z54" s="138">
        <f t="shared" ca="1" si="61"/>
        <v>0</v>
      </c>
      <c r="AA54" s="138">
        <f t="shared" ca="1" si="61"/>
        <v>0</v>
      </c>
      <c r="AB54" s="138">
        <f t="shared" ca="1" si="62"/>
        <v>0</v>
      </c>
      <c r="AC54" s="138">
        <f t="shared" ca="1" si="62"/>
        <v>0</v>
      </c>
      <c r="AD54" s="138">
        <f t="shared" ca="1" si="62"/>
        <v>0</v>
      </c>
      <c r="AE54" s="138">
        <f t="shared" ca="1" si="62"/>
        <v>0</v>
      </c>
      <c r="AF54" s="138">
        <f t="shared" ca="1" si="62"/>
        <v>0</v>
      </c>
      <c r="AG54" s="138">
        <f t="shared" ca="1" si="62"/>
        <v>0</v>
      </c>
      <c r="AH54" s="138">
        <f t="shared" ca="1" si="62"/>
        <v>0</v>
      </c>
      <c r="AI54" s="138">
        <f t="shared" ca="1" si="62"/>
        <v>0</v>
      </c>
      <c r="AJ54" s="138">
        <f t="shared" ca="1" si="62"/>
        <v>0</v>
      </c>
      <c r="AK54" s="138">
        <f t="shared" ca="1" si="62"/>
        <v>0</v>
      </c>
      <c r="AL54" s="138">
        <f t="shared" ca="1" si="63"/>
        <v>0</v>
      </c>
      <c r="AM54" s="138">
        <f t="shared" ca="1" si="63"/>
        <v>0</v>
      </c>
      <c r="AN54" s="138">
        <f t="shared" ca="1" si="63"/>
        <v>0</v>
      </c>
      <c r="AO54" s="138">
        <f t="shared" ca="1" si="63"/>
        <v>0</v>
      </c>
      <c r="AP54" s="138">
        <f t="shared" ca="1" si="63"/>
        <v>0</v>
      </c>
      <c r="AQ54" s="138">
        <f t="shared" ca="1" si="63"/>
        <v>0</v>
      </c>
      <c r="AR54" s="138">
        <f t="shared" ca="1" si="63"/>
        <v>0</v>
      </c>
      <c r="AS54" s="138">
        <f t="shared" ca="1" si="63"/>
        <v>0</v>
      </c>
      <c r="AT54" s="138">
        <f t="shared" ca="1" si="63"/>
        <v>0</v>
      </c>
      <c r="AU54" s="138">
        <f t="shared" ca="1" si="63"/>
        <v>0</v>
      </c>
      <c r="AV54" s="138">
        <f t="shared" ca="1" si="64"/>
        <v>0</v>
      </c>
      <c r="AW54" s="138">
        <f t="shared" ca="1" si="64"/>
        <v>0</v>
      </c>
      <c r="AX54" s="138">
        <f t="shared" ca="1" si="64"/>
        <v>0</v>
      </c>
      <c r="AY54" s="138">
        <f t="shared" ca="1" si="64"/>
        <v>0</v>
      </c>
      <c r="AZ54" s="138">
        <f t="shared" ca="1" si="64"/>
        <v>0</v>
      </c>
      <c r="BA54" s="138">
        <f t="shared" ca="1" si="64"/>
        <v>0</v>
      </c>
      <c r="BB54" s="138">
        <f t="shared" ca="1" si="64"/>
        <v>0</v>
      </c>
      <c r="BC54" s="138">
        <f t="shared" ca="1" si="64"/>
        <v>0</v>
      </c>
      <c r="BD54" s="138">
        <f t="shared" ca="1" si="64"/>
        <v>0</v>
      </c>
      <c r="BE54" s="138">
        <f t="shared" ca="1" si="64"/>
        <v>0</v>
      </c>
      <c r="BF54" s="138">
        <f t="shared" ca="1" si="65"/>
        <v>0</v>
      </c>
      <c r="BG54" s="138">
        <f t="shared" ca="1" si="65"/>
        <v>0</v>
      </c>
      <c r="BH54" s="138">
        <f t="shared" ca="1" si="65"/>
        <v>0</v>
      </c>
      <c r="BI54" s="138">
        <f t="shared" ca="1" si="65"/>
        <v>0</v>
      </c>
      <c r="BJ54" s="138">
        <f t="shared" ca="1" si="65"/>
        <v>0</v>
      </c>
      <c r="BK54" s="138">
        <f t="shared" ca="1" si="65"/>
        <v>0</v>
      </c>
      <c r="BL54" s="138">
        <f t="shared" ca="1" si="65"/>
        <v>0</v>
      </c>
      <c r="BM54" s="138">
        <f t="shared" ca="1" si="65"/>
        <v>0</v>
      </c>
      <c r="BN54" s="138">
        <f t="shared" ca="1" si="65"/>
        <v>0</v>
      </c>
      <c r="BO54" s="138">
        <f t="shared" ca="1" si="65"/>
        <v>0</v>
      </c>
      <c r="BP54" s="138">
        <f t="shared" ca="1" si="66"/>
        <v>0</v>
      </c>
      <c r="BQ54" s="138">
        <f t="shared" ca="1" si="66"/>
        <v>0</v>
      </c>
      <c r="BR54" s="138">
        <f t="shared" ca="1" si="66"/>
        <v>0</v>
      </c>
      <c r="BS54" s="138">
        <f t="shared" ca="1" si="66"/>
        <v>0</v>
      </c>
      <c r="BT54" s="138">
        <f t="shared" ca="1" si="66"/>
        <v>0</v>
      </c>
      <c r="BU54" s="138">
        <f t="shared" ca="1" si="66"/>
        <v>0</v>
      </c>
      <c r="BV54" s="138">
        <f t="shared" ca="1" si="66"/>
        <v>0</v>
      </c>
      <c r="BW54" s="138">
        <f t="shared" ca="1" si="66"/>
        <v>0</v>
      </c>
      <c r="BX54" s="138">
        <f t="shared" ca="1" si="66"/>
        <v>0</v>
      </c>
      <c r="BY54" s="138">
        <f t="shared" ca="1" si="66"/>
        <v>0</v>
      </c>
      <c r="BZ54" s="138">
        <f t="shared" ca="1" si="67"/>
        <v>0</v>
      </c>
      <c r="CA54" s="138">
        <f t="shared" ca="1" si="67"/>
        <v>0</v>
      </c>
      <c r="CB54" s="138">
        <f t="shared" ca="1" si="67"/>
        <v>0</v>
      </c>
      <c r="CC54" s="138">
        <f t="shared" ca="1" si="67"/>
        <v>0</v>
      </c>
      <c r="CD54" s="138">
        <f t="shared" ca="1" si="67"/>
        <v>0</v>
      </c>
      <c r="CE54" s="138">
        <f t="shared" ca="1" si="67"/>
        <v>0</v>
      </c>
      <c r="CF54" s="138">
        <f t="shared" ca="1" si="67"/>
        <v>0</v>
      </c>
      <c r="CG54" s="138">
        <f t="shared" ca="1" si="67"/>
        <v>0</v>
      </c>
      <c r="CH54" s="138">
        <f t="shared" ca="1" si="67"/>
        <v>0</v>
      </c>
      <c r="CI54" s="138">
        <f t="shared" ca="1" si="67"/>
        <v>0</v>
      </c>
      <c r="CJ54" s="138">
        <f t="shared" ca="1" si="68"/>
        <v>0</v>
      </c>
      <c r="CK54" s="138">
        <f t="shared" ca="1" si="68"/>
        <v>0</v>
      </c>
      <c r="CL54" s="138">
        <f t="shared" ca="1" si="68"/>
        <v>0</v>
      </c>
      <c r="CM54" s="138">
        <f t="shared" ca="1" si="68"/>
        <v>0</v>
      </c>
      <c r="CN54" s="138">
        <f t="shared" ca="1" si="68"/>
        <v>0</v>
      </c>
      <c r="CO54" s="138">
        <f t="shared" ca="1" si="68"/>
        <v>0</v>
      </c>
      <c r="CP54" s="138">
        <f t="shared" ca="1" si="68"/>
        <v>0</v>
      </c>
      <c r="CQ54" s="138">
        <f t="shared" ca="1" si="68"/>
        <v>0</v>
      </c>
      <c r="CR54" s="138">
        <f t="shared" ca="1" si="68"/>
        <v>0</v>
      </c>
      <c r="CS54" s="138">
        <f t="shared" ca="1" si="68"/>
        <v>0</v>
      </c>
      <c r="CT54" s="138">
        <f t="shared" ca="1" si="69"/>
        <v>0</v>
      </c>
      <c r="CU54" s="138">
        <f t="shared" ca="1" si="69"/>
        <v>0</v>
      </c>
      <c r="CV54" s="138">
        <f t="shared" ca="1" si="69"/>
        <v>0</v>
      </c>
      <c r="CW54" s="138">
        <f t="shared" ca="1" si="69"/>
        <v>0</v>
      </c>
      <c r="CX54" s="138">
        <f t="shared" ca="1" si="69"/>
        <v>0</v>
      </c>
      <c r="CY54" s="138">
        <f t="shared" ca="1" si="69"/>
        <v>0</v>
      </c>
      <c r="CZ54" s="138">
        <f t="shared" ca="1" si="69"/>
        <v>0</v>
      </c>
      <c r="DA54" s="138">
        <f t="shared" ca="1" si="69"/>
        <v>0</v>
      </c>
      <c r="DB54" s="138">
        <f t="shared" ca="1" si="69"/>
        <v>0</v>
      </c>
      <c r="DC54" s="138">
        <f t="shared" ca="1" si="69"/>
        <v>0</v>
      </c>
      <c r="DE54" s="254" t="str">
        <f t="shared" ca="1" si="25"/>
        <v>E.1.9.</v>
      </c>
      <c r="DF54">
        <v>1</v>
      </c>
      <c r="DG54">
        <f t="shared" ca="1" si="70"/>
        <v>21</v>
      </c>
      <c r="DH54">
        <v>0</v>
      </c>
    </row>
    <row r="55" spans="1:112" hidden="1">
      <c r="A55" s="124">
        <v>43</v>
      </c>
      <c r="B55" s="205" t="str">
        <f t="shared" ca="1" si="53"/>
        <v>E.1.L.</v>
      </c>
      <c r="C55" s="129" t="str">
        <f t="shared" ca="1" si="54"/>
        <v>Likutinė vertė</v>
      </c>
      <c r="D55" s="114"/>
      <c r="E55" s="148">
        <f t="shared" ca="1" si="55"/>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61"/>
        <v>0</v>
      </c>
      <c r="Z55" s="138">
        <f t="shared" ca="1" si="61"/>
        <v>0</v>
      </c>
      <c r="AA55" s="138">
        <f t="shared" ca="1" si="61"/>
        <v>0</v>
      </c>
      <c r="AB55" s="138">
        <f t="shared" ca="1" si="62"/>
        <v>0</v>
      </c>
      <c r="AC55" s="138">
        <f t="shared" ca="1" si="62"/>
        <v>0</v>
      </c>
      <c r="AD55" s="138">
        <f t="shared" ca="1" si="62"/>
        <v>0</v>
      </c>
      <c r="AE55" s="138">
        <f t="shared" ca="1" si="62"/>
        <v>0</v>
      </c>
      <c r="AF55" s="138">
        <f t="shared" ca="1" si="62"/>
        <v>0</v>
      </c>
      <c r="AG55" s="138">
        <f t="shared" ca="1" si="62"/>
        <v>0</v>
      </c>
      <c r="AH55" s="138">
        <f t="shared" ca="1" si="62"/>
        <v>0</v>
      </c>
      <c r="AI55" s="138">
        <f t="shared" ca="1" si="62"/>
        <v>0</v>
      </c>
      <c r="AJ55" s="138">
        <f t="shared" ca="1" si="62"/>
        <v>0</v>
      </c>
      <c r="AK55" s="138">
        <f t="shared" ca="1" si="62"/>
        <v>0</v>
      </c>
      <c r="AL55" s="138">
        <f t="shared" ca="1" si="63"/>
        <v>0</v>
      </c>
      <c r="AM55" s="138">
        <f t="shared" ca="1" si="63"/>
        <v>0</v>
      </c>
      <c r="AN55" s="138">
        <f t="shared" ca="1" si="63"/>
        <v>0</v>
      </c>
      <c r="AO55" s="138">
        <f t="shared" ca="1" si="63"/>
        <v>0</v>
      </c>
      <c r="AP55" s="138">
        <f t="shared" ca="1" si="63"/>
        <v>0</v>
      </c>
      <c r="AQ55" s="138">
        <f t="shared" ca="1" si="63"/>
        <v>0</v>
      </c>
      <c r="AR55" s="138">
        <f t="shared" ca="1" si="63"/>
        <v>0</v>
      </c>
      <c r="AS55" s="138">
        <f t="shared" ca="1" si="63"/>
        <v>0</v>
      </c>
      <c r="AT55" s="138">
        <f t="shared" ca="1" si="63"/>
        <v>0</v>
      </c>
      <c r="AU55" s="138">
        <f t="shared" ca="1" si="63"/>
        <v>0</v>
      </c>
      <c r="AV55" s="138">
        <f t="shared" ca="1" si="64"/>
        <v>0</v>
      </c>
      <c r="AW55" s="138">
        <f t="shared" ca="1" si="64"/>
        <v>0</v>
      </c>
      <c r="AX55" s="138">
        <f t="shared" ca="1" si="64"/>
        <v>0</v>
      </c>
      <c r="AY55" s="138">
        <f t="shared" ca="1" si="64"/>
        <v>0</v>
      </c>
      <c r="AZ55" s="138">
        <f t="shared" ca="1" si="64"/>
        <v>0</v>
      </c>
      <c r="BA55" s="138">
        <f t="shared" ca="1" si="64"/>
        <v>0</v>
      </c>
      <c r="BB55" s="138">
        <f t="shared" ca="1" si="64"/>
        <v>0</v>
      </c>
      <c r="BC55" s="138">
        <f t="shared" ca="1" si="64"/>
        <v>0</v>
      </c>
      <c r="BD55" s="138">
        <f t="shared" ca="1" si="64"/>
        <v>0</v>
      </c>
      <c r="BE55" s="138">
        <f t="shared" ca="1" si="64"/>
        <v>0</v>
      </c>
      <c r="BF55" s="138">
        <f t="shared" ca="1" si="65"/>
        <v>0</v>
      </c>
      <c r="BG55" s="138">
        <f t="shared" ca="1" si="65"/>
        <v>0</v>
      </c>
      <c r="BH55" s="138">
        <f t="shared" ca="1" si="65"/>
        <v>0</v>
      </c>
      <c r="BI55" s="138">
        <f t="shared" ca="1" si="65"/>
        <v>0</v>
      </c>
      <c r="BJ55" s="138">
        <f t="shared" ca="1" si="65"/>
        <v>0</v>
      </c>
      <c r="BK55" s="138">
        <f t="shared" ca="1" si="65"/>
        <v>0</v>
      </c>
      <c r="BL55" s="138">
        <f t="shared" ca="1" si="65"/>
        <v>0</v>
      </c>
      <c r="BM55" s="138">
        <f t="shared" ca="1" si="65"/>
        <v>0</v>
      </c>
      <c r="BN55" s="138">
        <f t="shared" ca="1" si="65"/>
        <v>0</v>
      </c>
      <c r="BO55" s="138">
        <f t="shared" ca="1" si="65"/>
        <v>0</v>
      </c>
      <c r="BP55" s="138">
        <f t="shared" ca="1" si="66"/>
        <v>0</v>
      </c>
      <c r="BQ55" s="138">
        <f t="shared" ca="1" si="66"/>
        <v>0</v>
      </c>
      <c r="BR55" s="138">
        <f t="shared" ca="1" si="66"/>
        <v>0</v>
      </c>
      <c r="BS55" s="138">
        <f t="shared" ca="1" si="66"/>
        <v>0</v>
      </c>
      <c r="BT55" s="138">
        <f t="shared" ca="1" si="66"/>
        <v>0</v>
      </c>
      <c r="BU55" s="138">
        <f t="shared" ca="1" si="66"/>
        <v>0</v>
      </c>
      <c r="BV55" s="138">
        <f t="shared" ca="1" si="66"/>
        <v>0</v>
      </c>
      <c r="BW55" s="138">
        <f t="shared" ca="1" si="66"/>
        <v>0</v>
      </c>
      <c r="BX55" s="138">
        <f t="shared" ca="1" si="66"/>
        <v>0</v>
      </c>
      <c r="BY55" s="138">
        <f t="shared" ca="1" si="66"/>
        <v>0</v>
      </c>
      <c r="BZ55" s="138">
        <f t="shared" ca="1" si="67"/>
        <v>0</v>
      </c>
      <c r="CA55" s="138">
        <f t="shared" ca="1" si="67"/>
        <v>0</v>
      </c>
      <c r="CB55" s="138">
        <f t="shared" ca="1" si="67"/>
        <v>0</v>
      </c>
      <c r="CC55" s="138">
        <f t="shared" ca="1" si="67"/>
        <v>0</v>
      </c>
      <c r="CD55" s="138">
        <f t="shared" ca="1" si="67"/>
        <v>0</v>
      </c>
      <c r="CE55" s="138">
        <f t="shared" ca="1" si="67"/>
        <v>0</v>
      </c>
      <c r="CF55" s="138">
        <f t="shared" ca="1" si="67"/>
        <v>0</v>
      </c>
      <c r="CG55" s="138">
        <f t="shared" ca="1" si="67"/>
        <v>0</v>
      </c>
      <c r="CH55" s="138">
        <f t="shared" ca="1" si="67"/>
        <v>0</v>
      </c>
      <c r="CI55" s="138">
        <f t="shared" ca="1" si="67"/>
        <v>0</v>
      </c>
      <c r="CJ55" s="138">
        <f t="shared" ca="1" si="68"/>
        <v>0</v>
      </c>
      <c r="CK55" s="138">
        <f t="shared" ca="1" si="68"/>
        <v>0</v>
      </c>
      <c r="CL55" s="138">
        <f t="shared" ca="1" si="68"/>
        <v>0</v>
      </c>
      <c r="CM55" s="138">
        <f t="shared" ca="1" si="68"/>
        <v>0</v>
      </c>
      <c r="CN55" s="138">
        <f t="shared" ca="1" si="68"/>
        <v>0</v>
      </c>
      <c r="CO55" s="138">
        <f t="shared" ca="1" si="68"/>
        <v>0</v>
      </c>
      <c r="CP55" s="138">
        <f t="shared" ca="1" si="68"/>
        <v>0</v>
      </c>
      <c r="CQ55" s="138">
        <f t="shared" ca="1" si="68"/>
        <v>0</v>
      </c>
      <c r="CR55" s="138">
        <f t="shared" ca="1" si="68"/>
        <v>0</v>
      </c>
      <c r="CS55" s="138">
        <f t="shared" ca="1" si="68"/>
        <v>0</v>
      </c>
      <c r="CT55" s="138">
        <f t="shared" ca="1" si="69"/>
        <v>0</v>
      </c>
      <c r="CU55" s="138">
        <f t="shared" ca="1" si="69"/>
        <v>0</v>
      </c>
      <c r="CV55" s="138">
        <f t="shared" ca="1" si="69"/>
        <v>0</v>
      </c>
      <c r="CW55" s="138">
        <f t="shared" ca="1" si="69"/>
        <v>0</v>
      </c>
      <c r="CX55" s="138">
        <f t="shared" ca="1" si="69"/>
        <v>0</v>
      </c>
      <c r="CY55" s="138">
        <f t="shared" ca="1" si="69"/>
        <v>0</v>
      </c>
      <c r="CZ55" s="138">
        <f t="shared" ca="1" si="69"/>
        <v>0</v>
      </c>
      <c r="DA55" s="138">
        <f t="shared" ca="1" si="69"/>
        <v>0</v>
      </c>
      <c r="DB55" s="138">
        <f t="shared" ca="1" si="69"/>
        <v>0</v>
      </c>
      <c r="DC55" s="138">
        <f t="shared" ca="1" si="69"/>
        <v>0</v>
      </c>
      <c r="DE55" s="254" t="str">
        <f t="shared" ca="1" si="25"/>
        <v>E.1.L.</v>
      </c>
      <c r="DF55">
        <v>1</v>
      </c>
      <c r="DG55">
        <f t="shared" ca="1" si="70"/>
        <v>21</v>
      </c>
      <c r="DH55">
        <f ca="1">DG55/(100+DG55)</f>
        <v>0.17355371900826447</v>
      </c>
    </row>
    <row r="56" spans="1:112" hidden="1">
      <c r="A56" s="124">
        <v>44</v>
      </c>
      <c r="B56" s="205" t="str">
        <f t="shared" ca="1" si="53"/>
        <v>E.2.</v>
      </c>
      <c r="C56" s="197" t="str">
        <f t="shared" ca="1" si="54"/>
        <v>Paslaugų teikimas</v>
      </c>
      <c r="D56" s="132"/>
      <c r="E56" s="233" t="str">
        <f t="shared" ca="1" si="55"/>
        <v/>
      </c>
      <c r="F56" s="141">
        <f ca="1">SUM(F57:F64)+F65</f>
        <v>29267.18041748699</v>
      </c>
      <c r="G56" s="140">
        <f ca="1">SUMIF($H$5:$DC$5,"&lt;="&amp;PAL,$H56:$DC56)</f>
        <v>35000</v>
      </c>
      <c r="H56" s="234">
        <f ca="1">SUM(H57:H65)</f>
        <v>0</v>
      </c>
      <c r="I56" s="234">
        <f t="shared" ref="I56:BT56" ca="1" si="71">SUM(I57:I65)</f>
        <v>0</v>
      </c>
      <c r="J56" s="234">
        <f t="shared" ca="1" si="71"/>
        <v>0</v>
      </c>
      <c r="K56" s="234">
        <f t="shared" ca="1" si="71"/>
        <v>5000</v>
      </c>
      <c r="L56" s="234">
        <f t="shared" ca="1" si="71"/>
        <v>5000</v>
      </c>
      <c r="M56" s="234">
        <f t="shared" ca="1" si="71"/>
        <v>25000</v>
      </c>
      <c r="N56" s="234">
        <f t="shared" ca="1" si="71"/>
        <v>0</v>
      </c>
      <c r="O56" s="234">
        <f t="shared" ca="1" si="71"/>
        <v>0</v>
      </c>
      <c r="P56" s="234">
        <f t="shared" ca="1" si="71"/>
        <v>0</v>
      </c>
      <c r="Q56" s="234">
        <f t="shared" ca="1" si="71"/>
        <v>0</v>
      </c>
      <c r="R56" s="234">
        <f t="shared" ca="1" si="71"/>
        <v>0</v>
      </c>
      <c r="S56" s="234">
        <f t="shared" ca="1" si="71"/>
        <v>0</v>
      </c>
      <c r="T56" s="234">
        <f t="shared" ca="1" si="71"/>
        <v>0</v>
      </c>
      <c r="U56" s="234">
        <f t="shared" ca="1" si="71"/>
        <v>0</v>
      </c>
      <c r="V56" s="234">
        <f t="shared" ca="1" si="71"/>
        <v>0</v>
      </c>
      <c r="W56" s="234">
        <f t="shared" ca="1" si="71"/>
        <v>0</v>
      </c>
      <c r="X56" s="234">
        <f t="shared" ca="1" si="71"/>
        <v>0</v>
      </c>
      <c r="Y56" s="234">
        <f t="shared" ca="1" si="71"/>
        <v>0</v>
      </c>
      <c r="Z56" s="234">
        <f t="shared" ca="1" si="71"/>
        <v>0</v>
      </c>
      <c r="AA56" s="234">
        <f t="shared" ca="1" si="71"/>
        <v>0</v>
      </c>
      <c r="AB56" s="234">
        <f t="shared" ca="1" si="71"/>
        <v>0</v>
      </c>
      <c r="AC56" s="234">
        <f t="shared" ca="1" si="71"/>
        <v>0</v>
      </c>
      <c r="AD56" s="234">
        <f t="shared" ca="1" si="71"/>
        <v>0</v>
      </c>
      <c r="AE56" s="234">
        <f t="shared" ca="1" si="71"/>
        <v>0</v>
      </c>
      <c r="AF56" s="234">
        <f t="shared" ca="1" si="71"/>
        <v>0</v>
      </c>
      <c r="AG56" s="234">
        <f t="shared" ca="1" si="71"/>
        <v>0</v>
      </c>
      <c r="AH56" s="234">
        <f t="shared" ca="1" si="71"/>
        <v>0</v>
      </c>
      <c r="AI56" s="234">
        <f t="shared" ca="1" si="71"/>
        <v>0</v>
      </c>
      <c r="AJ56" s="234">
        <f t="shared" ca="1" si="71"/>
        <v>0</v>
      </c>
      <c r="AK56" s="234">
        <f t="shared" ca="1" si="71"/>
        <v>0</v>
      </c>
      <c r="AL56" s="234">
        <f t="shared" ca="1" si="71"/>
        <v>0</v>
      </c>
      <c r="AM56" s="234">
        <f t="shared" ca="1" si="71"/>
        <v>0</v>
      </c>
      <c r="AN56" s="234">
        <f t="shared" ca="1" si="71"/>
        <v>0</v>
      </c>
      <c r="AO56" s="234">
        <f t="shared" ca="1" si="71"/>
        <v>0</v>
      </c>
      <c r="AP56" s="234">
        <f t="shared" ca="1" si="71"/>
        <v>0</v>
      </c>
      <c r="AQ56" s="234">
        <f t="shared" ca="1" si="71"/>
        <v>0</v>
      </c>
      <c r="AR56" s="234">
        <f t="shared" ca="1" si="71"/>
        <v>0</v>
      </c>
      <c r="AS56" s="234">
        <f t="shared" ca="1" si="71"/>
        <v>0</v>
      </c>
      <c r="AT56" s="234">
        <f t="shared" ca="1" si="71"/>
        <v>0</v>
      </c>
      <c r="AU56" s="234">
        <f t="shared" ca="1" si="71"/>
        <v>0</v>
      </c>
      <c r="AV56" s="234">
        <f t="shared" ca="1" si="71"/>
        <v>0</v>
      </c>
      <c r="AW56" s="234">
        <f t="shared" ca="1" si="71"/>
        <v>0</v>
      </c>
      <c r="AX56" s="234">
        <f t="shared" ca="1" si="71"/>
        <v>0</v>
      </c>
      <c r="AY56" s="234">
        <f t="shared" ca="1" si="71"/>
        <v>0</v>
      </c>
      <c r="AZ56" s="234">
        <f t="shared" ca="1" si="71"/>
        <v>0</v>
      </c>
      <c r="BA56" s="234">
        <f t="shared" ca="1" si="71"/>
        <v>0</v>
      </c>
      <c r="BB56" s="234">
        <f t="shared" ca="1" si="71"/>
        <v>0</v>
      </c>
      <c r="BC56" s="234">
        <f t="shared" ca="1" si="71"/>
        <v>0</v>
      </c>
      <c r="BD56" s="234">
        <f t="shared" ca="1" si="71"/>
        <v>0</v>
      </c>
      <c r="BE56" s="234">
        <f t="shared" ca="1" si="71"/>
        <v>0</v>
      </c>
      <c r="BF56" s="234">
        <f t="shared" ca="1" si="71"/>
        <v>0</v>
      </c>
      <c r="BG56" s="234">
        <f t="shared" ca="1" si="71"/>
        <v>0</v>
      </c>
      <c r="BH56" s="234">
        <f t="shared" ca="1" si="71"/>
        <v>0</v>
      </c>
      <c r="BI56" s="234">
        <f t="shared" ca="1" si="71"/>
        <v>0</v>
      </c>
      <c r="BJ56" s="234">
        <f t="shared" ca="1" si="71"/>
        <v>0</v>
      </c>
      <c r="BK56" s="234">
        <f t="shared" ca="1" si="71"/>
        <v>0</v>
      </c>
      <c r="BL56" s="234">
        <f t="shared" ca="1" si="71"/>
        <v>0</v>
      </c>
      <c r="BM56" s="234">
        <f t="shared" ca="1" si="71"/>
        <v>0</v>
      </c>
      <c r="BN56" s="234">
        <f t="shared" ca="1" si="71"/>
        <v>0</v>
      </c>
      <c r="BO56" s="234">
        <f t="shared" ca="1" si="71"/>
        <v>0</v>
      </c>
      <c r="BP56" s="234">
        <f t="shared" ca="1" si="71"/>
        <v>0</v>
      </c>
      <c r="BQ56" s="234">
        <f t="shared" ca="1" si="71"/>
        <v>0</v>
      </c>
      <c r="BR56" s="234">
        <f t="shared" ca="1" si="71"/>
        <v>0</v>
      </c>
      <c r="BS56" s="234">
        <f t="shared" ca="1" si="71"/>
        <v>0</v>
      </c>
      <c r="BT56" s="234">
        <f t="shared" ca="1" si="71"/>
        <v>0</v>
      </c>
      <c r="BU56" s="234">
        <f t="shared" ref="BU56:DC56" ca="1" si="72">SUM(BU57:BU65)</f>
        <v>0</v>
      </c>
      <c r="BV56" s="234">
        <f t="shared" ca="1" si="72"/>
        <v>0</v>
      </c>
      <c r="BW56" s="234">
        <f t="shared" ca="1" si="72"/>
        <v>0</v>
      </c>
      <c r="BX56" s="234">
        <f t="shared" ca="1" si="72"/>
        <v>0</v>
      </c>
      <c r="BY56" s="234">
        <f t="shared" ca="1" si="72"/>
        <v>0</v>
      </c>
      <c r="BZ56" s="234">
        <f t="shared" ca="1" si="72"/>
        <v>0</v>
      </c>
      <c r="CA56" s="234">
        <f t="shared" ca="1" si="72"/>
        <v>0</v>
      </c>
      <c r="CB56" s="234">
        <f t="shared" ca="1" si="72"/>
        <v>0</v>
      </c>
      <c r="CC56" s="234">
        <f t="shared" ca="1" si="72"/>
        <v>0</v>
      </c>
      <c r="CD56" s="234">
        <f t="shared" ca="1" si="72"/>
        <v>0</v>
      </c>
      <c r="CE56" s="234">
        <f t="shared" ca="1" si="72"/>
        <v>0</v>
      </c>
      <c r="CF56" s="234">
        <f t="shared" ca="1" si="72"/>
        <v>0</v>
      </c>
      <c r="CG56" s="234">
        <f t="shared" ca="1" si="72"/>
        <v>0</v>
      </c>
      <c r="CH56" s="234">
        <f t="shared" ca="1" si="72"/>
        <v>0</v>
      </c>
      <c r="CI56" s="234">
        <f t="shared" ca="1" si="72"/>
        <v>0</v>
      </c>
      <c r="CJ56" s="234">
        <f t="shared" ca="1" si="72"/>
        <v>0</v>
      </c>
      <c r="CK56" s="234">
        <f t="shared" ca="1" si="72"/>
        <v>0</v>
      </c>
      <c r="CL56" s="234">
        <f t="shared" ca="1" si="72"/>
        <v>0</v>
      </c>
      <c r="CM56" s="234">
        <f t="shared" ca="1" si="72"/>
        <v>0</v>
      </c>
      <c r="CN56" s="234">
        <f t="shared" ca="1" si="72"/>
        <v>0</v>
      </c>
      <c r="CO56" s="234">
        <f t="shared" ca="1" si="72"/>
        <v>0</v>
      </c>
      <c r="CP56" s="234">
        <f t="shared" ca="1" si="72"/>
        <v>0</v>
      </c>
      <c r="CQ56" s="234">
        <f t="shared" ca="1" si="72"/>
        <v>0</v>
      </c>
      <c r="CR56" s="234">
        <f t="shared" ca="1" si="72"/>
        <v>0</v>
      </c>
      <c r="CS56" s="234">
        <f t="shared" ca="1" si="72"/>
        <v>0</v>
      </c>
      <c r="CT56" s="234">
        <f t="shared" ca="1" si="72"/>
        <v>0</v>
      </c>
      <c r="CU56" s="234">
        <f t="shared" ca="1" si="72"/>
        <v>0</v>
      </c>
      <c r="CV56" s="234">
        <f t="shared" ca="1" si="72"/>
        <v>0</v>
      </c>
      <c r="CW56" s="234">
        <f t="shared" ca="1" si="72"/>
        <v>0</v>
      </c>
      <c r="CX56" s="234">
        <f t="shared" ca="1" si="72"/>
        <v>0</v>
      </c>
      <c r="CY56" s="234">
        <f t="shared" ca="1" si="72"/>
        <v>0</v>
      </c>
      <c r="CZ56" s="234">
        <f t="shared" ca="1" si="72"/>
        <v>0</v>
      </c>
      <c r="DA56" s="234">
        <f t="shared" ca="1" si="72"/>
        <v>0</v>
      </c>
      <c r="DB56" s="234">
        <f t="shared" ca="1" si="72"/>
        <v>0</v>
      </c>
      <c r="DC56" s="234">
        <f t="shared" ca="1" si="72"/>
        <v>0</v>
      </c>
      <c r="DE56" s="254"/>
      <c r="DF56">
        <v>1</v>
      </c>
    </row>
    <row r="57" spans="1:112" ht="28.8" hidden="1">
      <c r="A57" s="124">
        <v>45</v>
      </c>
      <c r="B57" s="205" t="str">
        <f t="shared" ca="1" si="53"/>
        <v>E.2.1.</v>
      </c>
      <c r="C57" s="129" t="str">
        <f t="shared" ca="1" si="54"/>
        <v>Indijos–Ramiojo vandenynų regiono politikos studijų programos/-ų parengimas Lietuvos universitetuose</v>
      </c>
      <c r="D57" s="144"/>
      <c r="E57" s="148">
        <f t="shared" ca="1" si="55"/>
        <v>0.21</v>
      </c>
      <c r="F57" s="139">
        <f ca="1">H57+NPV(FD,I57:INDEX(I57:DC57,PAL))</f>
        <v>29267.18041748699</v>
      </c>
      <c r="G57" s="140">
        <f ca="1">SUMIF($H$5:$DC$5,"&lt;="&amp;PAL,$H57:$DC57)</f>
        <v>35000</v>
      </c>
      <c r="H57" s="138">
        <f t="shared" ref="H57:Q66" ca="1" si="73">OFFSET(INDIRECT("'"&amp;Opt_alt&amp;"'!H12"),$A57,H$5)*$DF57</f>
        <v>0</v>
      </c>
      <c r="I57" s="138">
        <f t="shared" ca="1" si="73"/>
        <v>0</v>
      </c>
      <c r="J57" s="138">
        <f t="shared" ca="1" si="73"/>
        <v>0</v>
      </c>
      <c r="K57" s="138">
        <f t="shared" ca="1" si="73"/>
        <v>5000</v>
      </c>
      <c r="L57" s="138">
        <f t="shared" ca="1" si="73"/>
        <v>5000</v>
      </c>
      <c r="M57" s="138">
        <f t="shared" ca="1" si="73"/>
        <v>25000</v>
      </c>
      <c r="N57" s="138">
        <f t="shared" ca="1" si="73"/>
        <v>0</v>
      </c>
      <c r="O57" s="138">
        <f t="shared" ca="1" si="73"/>
        <v>0</v>
      </c>
      <c r="P57" s="138">
        <f t="shared" ca="1" si="73"/>
        <v>0</v>
      </c>
      <c r="Q57" s="138">
        <f t="shared" ca="1" si="73"/>
        <v>0</v>
      </c>
      <c r="R57" s="138">
        <f t="shared" ref="R57:AA66" ca="1" si="74">OFFSET(INDIRECT("'"&amp;Opt_alt&amp;"'!H12"),$A57,R$5)*$DF57</f>
        <v>0</v>
      </c>
      <c r="S57" s="138">
        <f t="shared" ca="1" si="74"/>
        <v>0</v>
      </c>
      <c r="T57" s="138">
        <f t="shared" ca="1" si="74"/>
        <v>0</v>
      </c>
      <c r="U57" s="138">
        <f t="shared" ca="1" si="74"/>
        <v>0</v>
      </c>
      <c r="V57" s="138">
        <f t="shared" ca="1" si="74"/>
        <v>0</v>
      </c>
      <c r="W57" s="138">
        <f t="shared" ca="1" si="74"/>
        <v>0</v>
      </c>
      <c r="X57" s="138">
        <f t="shared" ca="1" si="74"/>
        <v>0</v>
      </c>
      <c r="Y57" s="138">
        <f t="shared" ca="1" si="74"/>
        <v>0</v>
      </c>
      <c r="Z57" s="138">
        <f t="shared" ca="1" si="74"/>
        <v>0</v>
      </c>
      <c r="AA57" s="138">
        <f t="shared" ca="1" si="74"/>
        <v>0</v>
      </c>
      <c r="AB57" s="138">
        <f t="shared" ref="AB57:AK66" ca="1" si="75">OFFSET(INDIRECT("'"&amp;Opt_alt&amp;"'!H12"),$A57,AB$5)*$DF57</f>
        <v>0</v>
      </c>
      <c r="AC57" s="138">
        <f t="shared" ca="1" si="75"/>
        <v>0</v>
      </c>
      <c r="AD57" s="138">
        <f t="shared" ca="1" si="75"/>
        <v>0</v>
      </c>
      <c r="AE57" s="138">
        <f t="shared" ca="1" si="75"/>
        <v>0</v>
      </c>
      <c r="AF57" s="138">
        <f t="shared" ca="1" si="75"/>
        <v>0</v>
      </c>
      <c r="AG57" s="138">
        <f t="shared" ca="1" si="75"/>
        <v>0</v>
      </c>
      <c r="AH57" s="138">
        <f t="shared" ca="1" si="75"/>
        <v>0</v>
      </c>
      <c r="AI57" s="138">
        <f t="shared" ca="1" si="75"/>
        <v>0</v>
      </c>
      <c r="AJ57" s="138">
        <f t="shared" ca="1" si="75"/>
        <v>0</v>
      </c>
      <c r="AK57" s="138">
        <f t="shared" ca="1" si="75"/>
        <v>0</v>
      </c>
      <c r="AL57" s="138">
        <f t="shared" ref="AL57:AU66" ca="1" si="76">OFFSET(INDIRECT("'"&amp;Opt_alt&amp;"'!H12"),$A57,AL$5)*$DF57</f>
        <v>0</v>
      </c>
      <c r="AM57" s="138">
        <f t="shared" ca="1" si="76"/>
        <v>0</v>
      </c>
      <c r="AN57" s="138">
        <f t="shared" ca="1" si="76"/>
        <v>0</v>
      </c>
      <c r="AO57" s="138">
        <f t="shared" ca="1" si="76"/>
        <v>0</v>
      </c>
      <c r="AP57" s="138">
        <f t="shared" ca="1" si="76"/>
        <v>0</v>
      </c>
      <c r="AQ57" s="138">
        <f t="shared" ca="1" si="76"/>
        <v>0</v>
      </c>
      <c r="AR57" s="138">
        <f t="shared" ca="1" si="76"/>
        <v>0</v>
      </c>
      <c r="AS57" s="138">
        <f t="shared" ca="1" si="76"/>
        <v>0</v>
      </c>
      <c r="AT57" s="138">
        <f t="shared" ca="1" si="76"/>
        <v>0</v>
      </c>
      <c r="AU57" s="138">
        <f t="shared" ca="1" si="76"/>
        <v>0</v>
      </c>
      <c r="AV57" s="138">
        <f t="shared" ref="AV57:BE66" ca="1" si="77">OFFSET(INDIRECT("'"&amp;Opt_alt&amp;"'!H12"),$A57,AV$5)*$DF57</f>
        <v>0</v>
      </c>
      <c r="AW57" s="138">
        <f t="shared" ca="1" si="77"/>
        <v>0</v>
      </c>
      <c r="AX57" s="138">
        <f t="shared" ca="1" si="77"/>
        <v>0</v>
      </c>
      <c r="AY57" s="138">
        <f t="shared" ca="1" si="77"/>
        <v>0</v>
      </c>
      <c r="AZ57" s="138">
        <f t="shared" ca="1" si="77"/>
        <v>0</v>
      </c>
      <c r="BA57" s="138">
        <f t="shared" ca="1" si="77"/>
        <v>0</v>
      </c>
      <c r="BB57" s="138">
        <f t="shared" ca="1" si="77"/>
        <v>0</v>
      </c>
      <c r="BC57" s="138">
        <f t="shared" ca="1" si="77"/>
        <v>0</v>
      </c>
      <c r="BD57" s="138">
        <f t="shared" ca="1" si="77"/>
        <v>0</v>
      </c>
      <c r="BE57" s="138">
        <f t="shared" ca="1" si="77"/>
        <v>0</v>
      </c>
      <c r="BF57" s="138">
        <f t="shared" ref="BF57:BO66" ca="1" si="78">OFFSET(INDIRECT("'"&amp;Opt_alt&amp;"'!H12"),$A57,BF$5)*$DF57</f>
        <v>0</v>
      </c>
      <c r="BG57" s="138">
        <f t="shared" ca="1" si="78"/>
        <v>0</v>
      </c>
      <c r="BH57" s="138">
        <f t="shared" ca="1" si="78"/>
        <v>0</v>
      </c>
      <c r="BI57" s="138">
        <f t="shared" ca="1" si="78"/>
        <v>0</v>
      </c>
      <c r="BJ57" s="138">
        <f t="shared" ca="1" si="78"/>
        <v>0</v>
      </c>
      <c r="BK57" s="138">
        <f t="shared" ca="1" si="78"/>
        <v>0</v>
      </c>
      <c r="BL57" s="138">
        <f t="shared" ca="1" si="78"/>
        <v>0</v>
      </c>
      <c r="BM57" s="138">
        <f t="shared" ca="1" si="78"/>
        <v>0</v>
      </c>
      <c r="BN57" s="138">
        <f t="shared" ca="1" si="78"/>
        <v>0</v>
      </c>
      <c r="BO57" s="138">
        <f t="shared" ca="1" si="78"/>
        <v>0</v>
      </c>
      <c r="BP57" s="138">
        <f t="shared" ref="BP57:BY66" ca="1" si="79">OFFSET(INDIRECT("'"&amp;Opt_alt&amp;"'!H12"),$A57,BP$5)*$DF57</f>
        <v>0</v>
      </c>
      <c r="BQ57" s="138">
        <f t="shared" ca="1" si="79"/>
        <v>0</v>
      </c>
      <c r="BR57" s="138">
        <f t="shared" ca="1" si="79"/>
        <v>0</v>
      </c>
      <c r="BS57" s="138">
        <f t="shared" ca="1" si="79"/>
        <v>0</v>
      </c>
      <c r="BT57" s="138">
        <f t="shared" ca="1" si="79"/>
        <v>0</v>
      </c>
      <c r="BU57" s="138">
        <f t="shared" ca="1" si="79"/>
        <v>0</v>
      </c>
      <c r="BV57" s="138">
        <f t="shared" ca="1" si="79"/>
        <v>0</v>
      </c>
      <c r="BW57" s="138">
        <f t="shared" ca="1" si="79"/>
        <v>0</v>
      </c>
      <c r="BX57" s="138">
        <f t="shared" ca="1" si="79"/>
        <v>0</v>
      </c>
      <c r="BY57" s="138">
        <f t="shared" ca="1" si="79"/>
        <v>0</v>
      </c>
      <c r="BZ57" s="138">
        <f t="shared" ref="BZ57:CI66" ca="1" si="80">OFFSET(INDIRECT("'"&amp;Opt_alt&amp;"'!H12"),$A57,BZ$5)*$DF57</f>
        <v>0</v>
      </c>
      <c r="CA57" s="138">
        <f t="shared" ca="1" si="80"/>
        <v>0</v>
      </c>
      <c r="CB57" s="138">
        <f t="shared" ca="1" si="80"/>
        <v>0</v>
      </c>
      <c r="CC57" s="138">
        <f t="shared" ca="1" si="80"/>
        <v>0</v>
      </c>
      <c r="CD57" s="138">
        <f t="shared" ca="1" si="80"/>
        <v>0</v>
      </c>
      <c r="CE57" s="138">
        <f t="shared" ca="1" si="80"/>
        <v>0</v>
      </c>
      <c r="CF57" s="138">
        <f t="shared" ca="1" si="80"/>
        <v>0</v>
      </c>
      <c r="CG57" s="138">
        <f t="shared" ca="1" si="80"/>
        <v>0</v>
      </c>
      <c r="CH57" s="138">
        <f t="shared" ca="1" si="80"/>
        <v>0</v>
      </c>
      <c r="CI57" s="138">
        <f t="shared" ca="1" si="80"/>
        <v>0</v>
      </c>
      <c r="CJ57" s="138">
        <f t="shared" ref="CJ57:CS66" ca="1" si="81">OFFSET(INDIRECT("'"&amp;Opt_alt&amp;"'!H12"),$A57,CJ$5)*$DF57</f>
        <v>0</v>
      </c>
      <c r="CK57" s="138">
        <f t="shared" ca="1" si="81"/>
        <v>0</v>
      </c>
      <c r="CL57" s="138">
        <f t="shared" ca="1" si="81"/>
        <v>0</v>
      </c>
      <c r="CM57" s="138">
        <f t="shared" ca="1" si="81"/>
        <v>0</v>
      </c>
      <c r="CN57" s="138">
        <f t="shared" ca="1" si="81"/>
        <v>0</v>
      </c>
      <c r="CO57" s="138">
        <f t="shared" ca="1" si="81"/>
        <v>0</v>
      </c>
      <c r="CP57" s="138">
        <f t="shared" ca="1" si="81"/>
        <v>0</v>
      </c>
      <c r="CQ57" s="138">
        <f t="shared" ca="1" si="81"/>
        <v>0</v>
      </c>
      <c r="CR57" s="138">
        <f t="shared" ca="1" si="81"/>
        <v>0</v>
      </c>
      <c r="CS57" s="138">
        <f t="shared" ca="1" si="81"/>
        <v>0</v>
      </c>
      <c r="CT57" s="138">
        <f t="shared" ref="CT57:DC66" ca="1" si="82">OFFSET(INDIRECT("'"&amp;Opt_alt&amp;"'!H12"),$A57,CT$5)*$DF57</f>
        <v>0</v>
      </c>
      <c r="CU57" s="138">
        <f t="shared" ca="1" si="82"/>
        <v>0</v>
      </c>
      <c r="CV57" s="138">
        <f t="shared" ca="1" si="82"/>
        <v>0</v>
      </c>
      <c r="CW57" s="138">
        <f t="shared" ca="1" si="82"/>
        <v>0</v>
      </c>
      <c r="CX57" s="138">
        <f t="shared" ca="1" si="82"/>
        <v>0</v>
      </c>
      <c r="CY57" s="138">
        <f t="shared" ca="1" si="82"/>
        <v>0</v>
      </c>
      <c r="CZ57" s="138">
        <f t="shared" ca="1" si="82"/>
        <v>0</v>
      </c>
      <c r="DA57" s="138">
        <f t="shared" ca="1" si="82"/>
        <v>0</v>
      </c>
      <c r="DB57" s="138">
        <f t="shared" ca="1" si="82"/>
        <v>0</v>
      </c>
      <c r="DC57" s="138">
        <f t="shared" ca="1" si="82"/>
        <v>0</v>
      </c>
      <c r="DE57" s="254" t="str">
        <f t="shared" ca="1" si="25"/>
        <v>E.2.1.</v>
      </c>
      <c r="DF57">
        <v>1</v>
      </c>
      <c r="DG57">
        <f t="shared" ref="DG57:DG66" ca="1" si="83">OFFSET(INDIRECT("'"&amp;Opt_alt&amp;"'!H12"),$A57,DG$5)</f>
        <v>21</v>
      </c>
      <c r="DH57">
        <v>0</v>
      </c>
    </row>
    <row r="58" spans="1:112" hidden="1">
      <c r="A58" s="124">
        <v>46</v>
      </c>
      <c r="B58" s="205" t="str">
        <f t="shared" ca="1" si="53"/>
        <v>E.2.2.</v>
      </c>
      <c r="C58" s="129" t="str">
        <f t="shared" ca="1" si="54"/>
        <v>Veikla</v>
      </c>
      <c r="D58" s="144"/>
      <c r="E58" s="148">
        <f t="shared" ca="1" si="55"/>
        <v>0.21</v>
      </c>
      <c r="F58" s="139">
        <f ca="1">H58+NPV(FD,I58:INDEX(I58:DC58,PAL))</f>
        <v>0</v>
      </c>
      <c r="G58" s="140">
        <f ca="1">SUMIF($H$5:$DC$5,"&lt;="&amp;PAL,$H58:$DC58)</f>
        <v>0</v>
      </c>
      <c r="H58" s="138">
        <f t="shared" ca="1" si="73"/>
        <v>0</v>
      </c>
      <c r="I58" s="138">
        <f t="shared" ca="1" si="73"/>
        <v>0</v>
      </c>
      <c r="J58" s="138">
        <f t="shared" ca="1" si="73"/>
        <v>0</v>
      </c>
      <c r="K58" s="138">
        <f t="shared" ca="1" si="73"/>
        <v>0</v>
      </c>
      <c r="L58" s="138">
        <f t="shared" ca="1" si="73"/>
        <v>0</v>
      </c>
      <c r="M58" s="138">
        <f t="shared" ca="1" si="73"/>
        <v>0</v>
      </c>
      <c r="N58" s="138">
        <f t="shared" ca="1" si="73"/>
        <v>0</v>
      </c>
      <c r="O58" s="138">
        <f t="shared" ca="1" si="73"/>
        <v>0</v>
      </c>
      <c r="P58" s="138">
        <f t="shared" ca="1" si="73"/>
        <v>0</v>
      </c>
      <c r="Q58" s="138">
        <f t="shared" ca="1" si="73"/>
        <v>0</v>
      </c>
      <c r="R58" s="138">
        <f t="shared" ca="1" si="74"/>
        <v>0</v>
      </c>
      <c r="S58" s="138">
        <f t="shared" ca="1" si="74"/>
        <v>0</v>
      </c>
      <c r="T58" s="138">
        <f t="shared" ca="1" si="74"/>
        <v>0</v>
      </c>
      <c r="U58" s="138">
        <f t="shared" ca="1" si="74"/>
        <v>0</v>
      </c>
      <c r="V58" s="138">
        <f t="shared" ca="1" si="74"/>
        <v>0</v>
      </c>
      <c r="W58" s="138">
        <f t="shared" ca="1" si="74"/>
        <v>0</v>
      </c>
      <c r="X58" s="138">
        <f t="shared" ca="1" si="74"/>
        <v>0</v>
      </c>
      <c r="Y58" s="138">
        <f t="shared" ca="1" si="74"/>
        <v>0</v>
      </c>
      <c r="Z58" s="138">
        <f t="shared" ca="1" si="74"/>
        <v>0</v>
      </c>
      <c r="AA58" s="138">
        <f t="shared" ca="1" si="74"/>
        <v>0</v>
      </c>
      <c r="AB58" s="138">
        <f t="shared" ca="1" si="75"/>
        <v>0</v>
      </c>
      <c r="AC58" s="138">
        <f t="shared" ca="1" si="75"/>
        <v>0</v>
      </c>
      <c r="AD58" s="138">
        <f t="shared" ca="1" si="75"/>
        <v>0</v>
      </c>
      <c r="AE58" s="138">
        <f t="shared" ca="1" si="75"/>
        <v>0</v>
      </c>
      <c r="AF58" s="138">
        <f t="shared" ca="1" si="75"/>
        <v>0</v>
      </c>
      <c r="AG58" s="138">
        <f t="shared" ca="1" si="75"/>
        <v>0</v>
      </c>
      <c r="AH58" s="138">
        <f t="shared" ca="1" si="75"/>
        <v>0</v>
      </c>
      <c r="AI58" s="138">
        <f t="shared" ca="1" si="75"/>
        <v>0</v>
      </c>
      <c r="AJ58" s="138">
        <f t="shared" ca="1" si="75"/>
        <v>0</v>
      </c>
      <c r="AK58" s="138">
        <f t="shared" ca="1" si="75"/>
        <v>0</v>
      </c>
      <c r="AL58" s="138">
        <f t="shared" ca="1" si="76"/>
        <v>0</v>
      </c>
      <c r="AM58" s="138">
        <f t="shared" ca="1" si="76"/>
        <v>0</v>
      </c>
      <c r="AN58" s="138">
        <f t="shared" ca="1" si="76"/>
        <v>0</v>
      </c>
      <c r="AO58" s="138">
        <f t="shared" ca="1" si="76"/>
        <v>0</v>
      </c>
      <c r="AP58" s="138">
        <f t="shared" ca="1" si="76"/>
        <v>0</v>
      </c>
      <c r="AQ58" s="138">
        <f t="shared" ca="1" si="76"/>
        <v>0</v>
      </c>
      <c r="AR58" s="138">
        <f t="shared" ca="1" si="76"/>
        <v>0</v>
      </c>
      <c r="AS58" s="138">
        <f t="shared" ca="1" si="76"/>
        <v>0</v>
      </c>
      <c r="AT58" s="138">
        <f t="shared" ca="1" si="76"/>
        <v>0</v>
      </c>
      <c r="AU58" s="138">
        <f t="shared" ca="1" si="76"/>
        <v>0</v>
      </c>
      <c r="AV58" s="138">
        <f t="shared" ca="1" si="77"/>
        <v>0</v>
      </c>
      <c r="AW58" s="138">
        <f t="shared" ca="1" si="77"/>
        <v>0</v>
      </c>
      <c r="AX58" s="138">
        <f t="shared" ca="1" si="77"/>
        <v>0</v>
      </c>
      <c r="AY58" s="138">
        <f t="shared" ca="1" si="77"/>
        <v>0</v>
      </c>
      <c r="AZ58" s="138">
        <f t="shared" ca="1" si="77"/>
        <v>0</v>
      </c>
      <c r="BA58" s="138">
        <f t="shared" ca="1" si="77"/>
        <v>0</v>
      </c>
      <c r="BB58" s="138">
        <f t="shared" ca="1" si="77"/>
        <v>0</v>
      </c>
      <c r="BC58" s="138">
        <f t="shared" ca="1" si="77"/>
        <v>0</v>
      </c>
      <c r="BD58" s="138">
        <f t="shared" ca="1" si="77"/>
        <v>0</v>
      </c>
      <c r="BE58" s="138">
        <f t="shared" ca="1" si="77"/>
        <v>0</v>
      </c>
      <c r="BF58" s="138">
        <f t="shared" ca="1" si="78"/>
        <v>0</v>
      </c>
      <c r="BG58" s="138">
        <f t="shared" ca="1" si="78"/>
        <v>0</v>
      </c>
      <c r="BH58" s="138">
        <f t="shared" ca="1" si="78"/>
        <v>0</v>
      </c>
      <c r="BI58" s="138">
        <f t="shared" ca="1" si="78"/>
        <v>0</v>
      </c>
      <c r="BJ58" s="138">
        <f t="shared" ca="1" si="78"/>
        <v>0</v>
      </c>
      <c r="BK58" s="138">
        <f t="shared" ca="1" si="78"/>
        <v>0</v>
      </c>
      <c r="BL58" s="138">
        <f t="shared" ca="1" si="78"/>
        <v>0</v>
      </c>
      <c r="BM58" s="138">
        <f t="shared" ca="1" si="78"/>
        <v>0</v>
      </c>
      <c r="BN58" s="138">
        <f t="shared" ca="1" si="78"/>
        <v>0</v>
      </c>
      <c r="BO58" s="138">
        <f t="shared" ca="1" si="78"/>
        <v>0</v>
      </c>
      <c r="BP58" s="138">
        <f t="shared" ca="1" si="79"/>
        <v>0</v>
      </c>
      <c r="BQ58" s="138">
        <f t="shared" ca="1" si="79"/>
        <v>0</v>
      </c>
      <c r="BR58" s="138">
        <f t="shared" ca="1" si="79"/>
        <v>0</v>
      </c>
      <c r="BS58" s="138">
        <f t="shared" ca="1" si="79"/>
        <v>0</v>
      </c>
      <c r="BT58" s="138">
        <f t="shared" ca="1" si="79"/>
        <v>0</v>
      </c>
      <c r="BU58" s="138">
        <f t="shared" ca="1" si="79"/>
        <v>0</v>
      </c>
      <c r="BV58" s="138">
        <f t="shared" ca="1" si="79"/>
        <v>0</v>
      </c>
      <c r="BW58" s="138">
        <f t="shared" ca="1" si="79"/>
        <v>0</v>
      </c>
      <c r="BX58" s="138">
        <f t="shared" ca="1" si="79"/>
        <v>0</v>
      </c>
      <c r="BY58" s="138">
        <f t="shared" ca="1" si="79"/>
        <v>0</v>
      </c>
      <c r="BZ58" s="138">
        <f t="shared" ca="1" si="80"/>
        <v>0</v>
      </c>
      <c r="CA58" s="138">
        <f t="shared" ca="1" si="80"/>
        <v>0</v>
      </c>
      <c r="CB58" s="138">
        <f t="shared" ca="1" si="80"/>
        <v>0</v>
      </c>
      <c r="CC58" s="138">
        <f t="shared" ca="1" si="80"/>
        <v>0</v>
      </c>
      <c r="CD58" s="138">
        <f t="shared" ca="1" si="80"/>
        <v>0</v>
      </c>
      <c r="CE58" s="138">
        <f t="shared" ca="1" si="80"/>
        <v>0</v>
      </c>
      <c r="CF58" s="138">
        <f t="shared" ca="1" si="80"/>
        <v>0</v>
      </c>
      <c r="CG58" s="138">
        <f t="shared" ca="1" si="80"/>
        <v>0</v>
      </c>
      <c r="CH58" s="138">
        <f t="shared" ca="1" si="80"/>
        <v>0</v>
      </c>
      <c r="CI58" s="138">
        <f t="shared" ca="1" si="80"/>
        <v>0</v>
      </c>
      <c r="CJ58" s="138">
        <f t="shared" ca="1" si="81"/>
        <v>0</v>
      </c>
      <c r="CK58" s="138">
        <f t="shared" ca="1" si="81"/>
        <v>0</v>
      </c>
      <c r="CL58" s="138">
        <f t="shared" ca="1" si="81"/>
        <v>0</v>
      </c>
      <c r="CM58" s="138">
        <f t="shared" ca="1" si="81"/>
        <v>0</v>
      </c>
      <c r="CN58" s="138">
        <f t="shared" ca="1" si="81"/>
        <v>0</v>
      </c>
      <c r="CO58" s="138">
        <f t="shared" ca="1" si="81"/>
        <v>0</v>
      </c>
      <c r="CP58" s="138">
        <f t="shared" ca="1" si="81"/>
        <v>0</v>
      </c>
      <c r="CQ58" s="138">
        <f t="shared" ca="1" si="81"/>
        <v>0</v>
      </c>
      <c r="CR58" s="138">
        <f t="shared" ca="1" si="81"/>
        <v>0</v>
      </c>
      <c r="CS58" s="138">
        <f t="shared" ca="1" si="81"/>
        <v>0</v>
      </c>
      <c r="CT58" s="138">
        <f t="shared" ca="1" si="82"/>
        <v>0</v>
      </c>
      <c r="CU58" s="138">
        <f t="shared" ca="1" si="82"/>
        <v>0</v>
      </c>
      <c r="CV58" s="138">
        <f t="shared" ca="1" si="82"/>
        <v>0</v>
      </c>
      <c r="CW58" s="138">
        <f t="shared" ca="1" si="82"/>
        <v>0</v>
      </c>
      <c r="CX58" s="138">
        <f t="shared" ca="1" si="82"/>
        <v>0</v>
      </c>
      <c r="CY58" s="138">
        <f t="shared" ca="1" si="82"/>
        <v>0</v>
      </c>
      <c r="CZ58" s="138">
        <f t="shared" ca="1" si="82"/>
        <v>0</v>
      </c>
      <c r="DA58" s="138">
        <f t="shared" ca="1" si="82"/>
        <v>0</v>
      </c>
      <c r="DB58" s="138">
        <f t="shared" ca="1" si="82"/>
        <v>0</v>
      </c>
      <c r="DC58" s="138">
        <f t="shared" ca="1" si="82"/>
        <v>0</v>
      </c>
      <c r="DE58" s="254" t="str">
        <f t="shared" ca="1" si="25"/>
        <v>E.2.2.</v>
      </c>
      <c r="DF58">
        <v>1</v>
      </c>
      <c r="DG58">
        <f t="shared" ca="1" si="83"/>
        <v>21</v>
      </c>
      <c r="DH58">
        <v>0</v>
      </c>
    </row>
    <row r="59" spans="1:112" hidden="1">
      <c r="A59" s="124">
        <v>47</v>
      </c>
      <c r="B59" s="205" t="str">
        <f t="shared" ca="1" si="53"/>
        <v>E.2.3.</v>
      </c>
      <c r="C59" s="129" t="str">
        <f t="shared" ca="1" si="54"/>
        <v>Veikla</v>
      </c>
      <c r="D59" s="144"/>
      <c r="E59" s="148">
        <f t="shared" ca="1" si="55"/>
        <v>0.21</v>
      </c>
      <c r="F59" s="139">
        <f ca="1">H59+NPV(FD,I59:INDEX(I59:DC59,PAL))</f>
        <v>0</v>
      </c>
      <c r="G59" s="140">
        <f ca="1">SUMIF($H$5:$DC$5,"&lt;="&amp;PAL,$H59:$DC59)</f>
        <v>0</v>
      </c>
      <c r="H59" s="138">
        <f t="shared" ca="1" si="73"/>
        <v>0</v>
      </c>
      <c r="I59" s="138">
        <f t="shared" ca="1" si="73"/>
        <v>0</v>
      </c>
      <c r="J59" s="138">
        <f t="shared" ca="1" si="73"/>
        <v>0</v>
      </c>
      <c r="K59" s="138">
        <f t="shared" ca="1" si="73"/>
        <v>0</v>
      </c>
      <c r="L59" s="138">
        <f t="shared" ca="1" si="73"/>
        <v>0</v>
      </c>
      <c r="M59" s="138">
        <f t="shared" ca="1" si="73"/>
        <v>0</v>
      </c>
      <c r="N59" s="138">
        <f t="shared" ca="1" si="73"/>
        <v>0</v>
      </c>
      <c r="O59" s="138">
        <f t="shared" ca="1" si="73"/>
        <v>0</v>
      </c>
      <c r="P59" s="138">
        <f t="shared" ca="1" si="73"/>
        <v>0</v>
      </c>
      <c r="Q59" s="138">
        <f t="shared" ca="1" si="73"/>
        <v>0</v>
      </c>
      <c r="R59" s="138">
        <f t="shared" ca="1" si="74"/>
        <v>0</v>
      </c>
      <c r="S59" s="138">
        <f t="shared" ca="1" si="74"/>
        <v>0</v>
      </c>
      <c r="T59" s="138">
        <f t="shared" ca="1" si="74"/>
        <v>0</v>
      </c>
      <c r="U59" s="138">
        <f t="shared" ca="1" si="74"/>
        <v>0</v>
      </c>
      <c r="V59" s="138">
        <f t="shared" ca="1" si="74"/>
        <v>0</v>
      </c>
      <c r="W59" s="138">
        <f t="shared" ca="1" si="74"/>
        <v>0</v>
      </c>
      <c r="X59" s="138">
        <f t="shared" ca="1" si="74"/>
        <v>0</v>
      </c>
      <c r="Y59" s="138">
        <f t="shared" ca="1" si="74"/>
        <v>0</v>
      </c>
      <c r="Z59" s="138">
        <f t="shared" ca="1" si="74"/>
        <v>0</v>
      </c>
      <c r="AA59" s="138">
        <f t="shared" ca="1" si="74"/>
        <v>0</v>
      </c>
      <c r="AB59" s="138">
        <f t="shared" ca="1" si="75"/>
        <v>0</v>
      </c>
      <c r="AC59" s="138">
        <f t="shared" ca="1" si="75"/>
        <v>0</v>
      </c>
      <c r="AD59" s="138">
        <f t="shared" ca="1" si="75"/>
        <v>0</v>
      </c>
      <c r="AE59" s="138">
        <f t="shared" ca="1" si="75"/>
        <v>0</v>
      </c>
      <c r="AF59" s="138">
        <f t="shared" ca="1" si="75"/>
        <v>0</v>
      </c>
      <c r="AG59" s="138">
        <f t="shared" ca="1" si="75"/>
        <v>0</v>
      </c>
      <c r="AH59" s="138">
        <f t="shared" ca="1" si="75"/>
        <v>0</v>
      </c>
      <c r="AI59" s="138">
        <f t="shared" ca="1" si="75"/>
        <v>0</v>
      </c>
      <c r="AJ59" s="138">
        <f t="shared" ca="1" si="75"/>
        <v>0</v>
      </c>
      <c r="AK59" s="138">
        <f t="shared" ca="1" si="75"/>
        <v>0</v>
      </c>
      <c r="AL59" s="138">
        <f t="shared" ca="1" si="76"/>
        <v>0</v>
      </c>
      <c r="AM59" s="138">
        <f t="shared" ca="1" si="76"/>
        <v>0</v>
      </c>
      <c r="AN59" s="138">
        <f t="shared" ca="1" si="76"/>
        <v>0</v>
      </c>
      <c r="AO59" s="138">
        <f t="shared" ca="1" si="76"/>
        <v>0</v>
      </c>
      <c r="AP59" s="138">
        <f t="shared" ca="1" si="76"/>
        <v>0</v>
      </c>
      <c r="AQ59" s="138">
        <f t="shared" ca="1" si="76"/>
        <v>0</v>
      </c>
      <c r="AR59" s="138">
        <f t="shared" ca="1" si="76"/>
        <v>0</v>
      </c>
      <c r="AS59" s="138">
        <f t="shared" ca="1" si="76"/>
        <v>0</v>
      </c>
      <c r="AT59" s="138">
        <f t="shared" ca="1" si="76"/>
        <v>0</v>
      </c>
      <c r="AU59" s="138">
        <f t="shared" ca="1" si="76"/>
        <v>0</v>
      </c>
      <c r="AV59" s="138">
        <f t="shared" ca="1" si="77"/>
        <v>0</v>
      </c>
      <c r="AW59" s="138">
        <f t="shared" ca="1" si="77"/>
        <v>0</v>
      </c>
      <c r="AX59" s="138">
        <f t="shared" ca="1" si="77"/>
        <v>0</v>
      </c>
      <c r="AY59" s="138">
        <f t="shared" ca="1" si="77"/>
        <v>0</v>
      </c>
      <c r="AZ59" s="138">
        <f t="shared" ca="1" si="77"/>
        <v>0</v>
      </c>
      <c r="BA59" s="138">
        <f t="shared" ca="1" si="77"/>
        <v>0</v>
      </c>
      <c r="BB59" s="138">
        <f t="shared" ca="1" si="77"/>
        <v>0</v>
      </c>
      <c r="BC59" s="138">
        <f t="shared" ca="1" si="77"/>
        <v>0</v>
      </c>
      <c r="BD59" s="138">
        <f t="shared" ca="1" si="77"/>
        <v>0</v>
      </c>
      <c r="BE59" s="138">
        <f t="shared" ca="1" si="77"/>
        <v>0</v>
      </c>
      <c r="BF59" s="138">
        <f t="shared" ca="1" si="78"/>
        <v>0</v>
      </c>
      <c r="BG59" s="138">
        <f t="shared" ca="1" si="78"/>
        <v>0</v>
      </c>
      <c r="BH59" s="138">
        <f t="shared" ca="1" si="78"/>
        <v>0</v>
      </c>
      <c r="BI59" s="138">
        <f t="shared" ca="1" si="78"/>
        <v>0</v>
      </c>
      <c r="BJ59" s="138">
        <f t="shared" ca="1" si="78"/>
        <v>0</v>
      </c>
      <c r="BK59" s="138">
        <f t="shared" ca="1" si="78"/>
        <v>0</v>
      </c>
      <c r="BL59" s="138">
        <f t="shared" ca="1" si="78"/>
        <v>0</v>
      </c>
      <c r="BM59" s="138">
        <f t="shared" ca="1" si="78"/>
        <v>0</v>
      </c>
      <c r="BN59" s="138">
        <f t="shared" ca="1" si="78"/>
        <v>0</v>
      </c>
      <c r="BO59" s="138">
        <f t="shared" ca="1" si="78"/>
        <v>0</v>
      </c>
      <c r="BP59" s="138">
        <f t="shared" ca="1" si="79"/>
        <v>0</v>
      </c>
      <c r="BQ59" s="138">
        <f t="shared" ca="1" si="79"/>
        <v>0</v>
      </c>
      <c r="BR59" s="138">
        <f t="shared" ca="1" si="79"/>
        <v>0</v>
      </c>
      <c r="BS59" s="138">
        <f t="shared" ca="1" si="79"/>
        <v>0</v>
      </c>
      <c r="BT59" s="138">
        <f t="shared" ca="1" si="79"/>
        <v>0</v>
      </c>
      <c r="BU59" s="138">
        <f t="shared" ca="1" si="79"/>
        <v>0</v>
      </c>
      <c r="BV59" s="138">
        <f t="shared" ca="1" si="79"/>
        <v>0</v>
      </c>
      <c r="BW59" s="138">
        <f t="shared" ca="1" si="79"/>
        <v>0</v>
      </c>
      <c r="BX59" s="138">
        <f t="shared" ca="1" si="79"/>
        <v>0</v>
      </c>
      <c r="BY59" s="138">
        <f t="shared" ca="1" si="79"/>
        <v>0</v>
      </c>
      <c r="BZ59" s="138">
        <f t="shared" ca="1" si="80"/>
        <v>0</v>
      </c>
      <c r="CA59" s="138">
        <f t="shared" ca="1" si="80"/>
        <v>0</v>
      </c>
      <c r="CB59" s="138">
        <f t="shared" ca="1" si="80"/>
        <v>0</v>
      </c>
      <c r="CC59" s="138">
        <f t="shared" ca="1" si="80"/>
        <v>0</v>
      </c>
      <c r="CD59" s="138">
        <f t="shared" ca="1" si="80"/>
        <v>0</v>
      </c>
      <c r="CE59" s="138">
        <f t="shared" ca="1" si="80"/>
        <v>0</v>
      </c>
      <c r="CF59" s="138">
        <f t="shared" ca="1" si="80"/>
        <v>0</v>
      </c>
      <c r="CG59" s="138">
        <f t="shared" ca="1" si="80"/>
        <v>0</v>
      </c>
      <c r="CH59" s="138">
        <f t="shared" ca="1" si="80"/>
        <v>0</v>
      </c>
      <c r="CI59" s="138">
        <f t="shared" ca="1" si="80"/>
        <v>0</v>
      </c>
      <c r="CJ59" s="138">
        <f t="shared" ca="1" si="81"/>
        <v>0</v>
      </c>
      <c r="CK59" s="138">
        <f t="shared" ca="1" si="81"/>
        <v>0</v>
      </c>
      <c r="CL59" s="138">
        <f t="shared" ca="1" si="81"/>
        <v>0</v>
      </c>
      <c r="CM59" s="138">
        <f t="shared" ca="1" si="81"/>
        <v>0</v>
      </c>
      <c r="CN59" s="138">
        <f t="shared" ca="1" si="81"/>
        <v>0</v>
      </c>
      <c r="CO59" s="138">
        <f t="shared" ca="1" si="81"/>
        <v>0</v>
      </c>
      <c r="CP59" s="138">
        <f t="shared" ca="1" si="81"/>
        <v>0</v>
      </c>
      <c r="CQ59" s="138">
        <f t="shared" ca="1" si="81"/>
        <v>0</v>
      </c>
      <c r="CR59" s="138">
        <f t="shared" ca="1" si="81"/>
        <v>0</v>
      </c>
      <c r="CS59" s="138">
        <f t="shared" ca="1" si="81"/>
        <v>0</v>
      </c>
      <c r="CT59" s="138">
        <f t="shared" ca="1" si="82"/>
        <v>0</v>
      </c>
      <c r="CU59" s="138">
        <f t="shared" ca="1" si="82"/>
        <v>0</v>
      </c>
      <c r="CV59" s="138">
        <f t="shared" ca="1" si="82"/>
        <v>0</v>
      </c>
      <c r="CW59" s="138">
        <f t="shared" ca="1" si="82"/>
        <v>0</v>
      </c>
      <c r="CX59" s="138">
        <f t="shared" ca="1" si="82"/>
        <v>0</v>
      </c>
      <c r="CY59" s="138">
        <f t="shared" ca="1" si="82"/>
        <v>0</v>
      </c>
      <c r="CZ59" s="138">
        <f t="shared" ca="1" si="82"/>
        <v>0</v>
      </c>
      <c r="DA59" s="138">
        <f t="shared" ca="1" si="82"/>
        <v>0</v>
      </c>
      <c r="DB59" s="138">
        <f t="shared" ca="1" si="82"/>
        <v>0</v>
      </c>
      <c r="DC59" s="138">
        <f t="shared" ca="1" si="82"/>
        <v>0</v>
      </c>
      <c r="DE59" s="254" t="str">
        <f t="shared" ca="1" si="25"/>
        <v>E.2.3.</v>
      </c>
      <c r="DF59">
        <v>1</v>
      </c>
      <c r="DG59">
        <f t="shared" ca="1" si="83"/>
        <v>21</v>
      </c>
      <c r="DH59">
        <v>0</v>
      </c>
    </row>
    <row r="60" spans="1:112" hidden="1">
      <c r="A60" s="124">
        <v>48</v>
      </c>
      <c r="B60" s="205" t="str">
        <f t="shared" ca="1" si="53"/>
        <v>E.2.4.</v>
      </c>
      <c r="C60" s="129" t="str">
        <f t="shared" ca="1" si="54"/>
        <v>Veikla</v>
      </c>
      <c r="D60" s="144"/>
      <c r="E60" s="148">
        <f t="shared" ca="1" si="55"/>
        <v>0.21</v>
      </c>
      <c r="F60" s="139">
        <f ca="1">H60+NPV(FD,I60:INDEX(I60:DC60,PAL))</f>
        <v>0</v>
      </c>
      <c r="G60" s="140">
        <f ca="1">SUMIF($H$5:$DC$5,"&lt;="&amp;PAL,$H60:$DC60)</f>
        <v>0</v>
      </c>
      <c r="H60" s="138">
        <f t="shared" ca="1" si="73"/>
        <v>0</v>
      </c>
      <c r="I60" s="138">
        <f t="shared" ca="1" si="73"/>
        <v>0</v>
      </c>
      <c r="J60" s="138">
        <f t="shared" ca="1" si="73"/>
        <v>0</v>
      </c>
      <c r="K60" s="138">
        <f t="shared" ca="1" si="73"/>
        <v>0</v>
      </c>
      <c r="L60" s="138">
        <f t="shared" ca="1" si="73"/>
        <v>0</v>
      </c>
      <c r="M60" s="138">
        <f t="shared" ca="1" si="73"/>
        <v>0</v>
      </c>
      <c r="N60" s="138">
        <f t="shared" ca="1" si="73"/>
        <v>0</v>
      </c>
      <c r="O60" s="138">
        <f t="shared" ca="1" si="73"/>
        <v>0</v>
      </c>
      <c r="P60" s="138">
        <f t="shared" ca="1" si="73"/>
        <v>0</v>
      </c>
      <c r="Q60" s="138">
        <f t="shared" ca="1" si="73"/>
        <v>0</v>
      </c>
      <c r="R60" s="138">
        <f t="shared" ca="1" si="74"/>
        <v>0</v>
      </c>
      <c r="S60" s="138">
        <f t="shared" ca="1" si="74"/>
        <v>0</v>
      </c>
      <c r="T60" s="138">
        <f t="shared" ca="1" si="74"/>
        <v>0</v>
      </c>
      <c r="U60" s="138">
        <f t="shared" ca="1" si="74"/>
        <v>0</v>
      </c>
      <c r="V60" s="138">
        <f t="shared" ca="1" si="74"/>
        <v>0</v>
      </c>
      <c r="W60" s="138">
        <f t="shared" ca="1" si="74"/>
        <v>0</v>
      </c>
      <c r="X60" s="138">
        <f t="shared" ca="1" si="74"/>
        <v>0</v>
      </c>
      <c r="Y60" s="138">
        <f t="shared" ca="1" si="74"/>
        <v>0</v>
      </c>
      <c r="Z60" s="138">
        <f t="shared" ca="1" si="74"/>
        <v>0</v>
      </c>
      <c r="AA60" s="138">
        <f t="shared" ca="1" si="74"/>
        <v>0</v>
      </c>
      <c r="AB60" s="138">
        <f t="shared" ca="1" si="75"/>
        <v>0</v>
      </c>
      <c r="AC60" s="138">
        <f t="shared" ca="1" si="75"/>
        <v>0</v>
      </c>
      <c r="AD60" s="138">
        <f t="shared" ca="1" si="75"/>
        <v>0</v>
      </c>
      <c r="AE60" s="138">
        <f t="shared" ca="1" si="75"/>
        <v>0</v>
      </c>
      <c r="AF60" s="138">
        <f t="shared" ca="1" si="75"/>
        <v>0</v>
      </c>
      <c r="AG60" s="138">
        <f t="shared" ca="1" si="75"/>
        <v>0</v>
      </c>
      <c r="AH60" s="138">
        <f t="shared" ca="1" si="75"/>
        <v>0</v>
      </c>
      <c r="AI60" s="138">
        <f t="shared" ca="1" si="75"/>
        <v>0</v>
      </c>
      <c r="AJ60" s="138">
        <f t="shared" ca="1" si="75"/>
        <v>0</v>
      </c>
      <c r="AK60" s="138">
        <f t="shared" ca="1" si="75"/>
        <v>0</v>
      </c>
      <c r="AL60" s="138">
        <f t="shared" ca="1" si="76"/>
        <v>0</v>
      </c>
      <c r="AM60" s="138">
        <f t="shared" ca="1" si="76"/>
        <v>0</v>
      </c>
      <c r="AN60" s="138">
        <f t="shared" ca="1" si="76"/>
        <v>0</v>
      </c>
      <c r="AO60" s="138">
        <f t="shared" ca="1" si="76"/>
        <v>0</v>
      </c>
      <c r="AP60" s="138">
        <f t="shared" ca="1" si="76"/>
        <v>0</v>
      </c>
      <c r="AQ60" s="138">
        <f t="shared" ca="1" si="76"/>
        <v>0</v>
      </c>
      <c r="AR60" s="138">
        <f t="shared" ca="1" si="76"/>
        <v>0</v>
      </c>
      <c r="AS60" s="138">
        <f t="shared" ca="1" si="76"/>
        <v>0</v>
      </c>
      <c r="AT60" s="138">
        <f t="shared" ca="1" si="76"/>
        <v>0</v>
      </c>
      <c r="AU60" s="138">
        <f t="shared" ca="1" si="76"/>
        <v>0</v>
      </c>
      <c r="AV60" s="138">
        <f t="shared" ca="1" si="77"/>
        <v>0</v>
      </c>
      <c r="AW60" s="138">
        <f t="shared" ca="1" si="77"/>
        <v>0</v>
      </c>
      <c r="AX60" s="138">
        <f t="shared" ca="1" si="77"/>
        <v>0</v>
      </c>
      <c r="AY60" s="138">
        <f t="shared" ca="1" si="77"/>
        <v>0</v>
      </c>
      <c r="AZ60" s="138">
        <f t="shared" ca="1" si="77"/>
        <v>0</v>
      </c>
      <c r="BA60" s="138">
        <f t="shared" ca="1" si="77"/>
        <v>0</v>
      </c>
      <c r="BB60" s="138">
        <f t="shared" ca="1" si="77"/>
        <v>0</v>
      </c>
      <c r="BC60" s="138">
        <f t="shared" ca="1" si="77"/>
        <v>0</v>
      </c>
      <c r="BD60" s="138">
        <f t="shared" ca="1" si="77"/>
        <v>0</v>
      </c>
      <c r="BE60" s="138">
        <f t="shared" ca="1" si="77"/>
        <v>0</v>
      </c>
      <c r="BF60" s="138">
        <f t="shared" ca="1" si="78"/>
        <v>0</v>
      </c>
      <c r="BG60" s="138">
        <f t="shared" ca="1" si="78"/>
        <v>0</v>
      </c>
      <c r="BH60" s="138">
        <f t="shared" ca="1" si="78"/>
        <v>0</v>
      </c>
      <c r="BI60" s="138">
        <f t="shared" ca="1" si="78"/>
        <v>0</v>
      </c>
      <c r="BJ60" s="138">
        <f t="shared" ca="1" si="78"/>
        <v>0</v>
      </c>
      <c r="BK60" s="138">
        <f t="shared" ca="1" si="78"/>
        <v>0</v>
      </c>
      <c r="BL60" s="138">
        <f t="shared" ca="1" si="78"/>
        <v>0</v>
      </c>
      <c r="BM60" s="138">
        <f t="shared" ca="1" si="78"/>
        <v>0</v>
      </c>
      <c r="BN60" s="138">
        <f t="shared" ca="1" si="78"/>
        <v>0</v>
      </c>
      <c r="BO60" s="138">
        <f t="shared" ca="1" si="78"/>
        <v>0</v>
      </c>
      <c r="BP60" s="138">
        <f t="shared" ca="1" si="79"/>
        <v>0</v>
      </c>
      <c r="BQ60" s="138">
        <f t="shared" ca="1" si="79"/>
        <v>0</v>
      </c>
      <c r="BR60" s="138">
        <f t="shared" ca="1" si="79"/>
        <v>0</v>
      </c>
      <c r="BS60" s="138">
        <f t="shared" ca="1" si="79"/>
        <v>0</v>
      </c>
      <c r="BT60" s="138">
        <f t="shared" ca="1" si="79"/>
        <v>0</v>
      </c>
      <c r="BU60" s="138">
        <f t="shared" ca="1" si="79"/>
        <v>0</v>
      </c>
      <c r="BV60" s="138">
        <f t="shared" ca="1" si="79"/>
        <v>0</v>
      </c>
      <c r="BW60" s="138">
        <f t="shared" ca="1" si="79"/>
        <v>0</v>
      </c>
      <c r="BX60" s="138">
        <f t="shared" ca="1" si="79"/>
        <v>0</v>
      </c>
      <c r="BY60" s="138">
        <f t="shared" ca="1" si="79"/>
        <v>0</v>
      </c>
      <c r="BZ60" s="138">
        <f t="shared" ca="1" si="80"/>
        <v>0</v>
      </c>
      <c r="CA60" s="138">
        <f t="shared" ca="1" si="80"/>
        <v>0</v>
      </c>
      <c r="CB60" s="138">
        <f t="shared" ca="1" si="80"/>
        <v>0</v>
      </c>
      <c r="CC60" s="138">
        <f t="shared" ca="1" si="80"/>
        <v>0</v>
      </c>
      <c r="CD60" s="138">
        <f t="shared" ca="1" si="80"/>
        <v>0</v>
      </c>
      <c r="CE60" s="138">
        <f t="shared" ca="1" si="80"/>
        <v>0</v>
      </c>
      <c r="CF60" s="138">
        <f t="shared" ca="1" si="80"/>
        <v>0</v>
      </c>
      <c r="CG60" s="138">
        <f t="shared" ca="1" si="80"/>
        <v>0</v>
      </c>
      <c r="CH60" s="138">
        <f t="shared" ca="1" si="80"/>
        <v>0</v>
      </c>
      <c r="CI60" s="138">
        <f t="shared" ca="1" si="80"/>
        <v>0</v>
      </c>
      <c r="CJ60" s="138">
        <f t="shared" ca="1" si="81"/>
        <v>0</v>
      </c>
      <c r="CK60" s="138">
        <f t="shared" ca="1" si="81"/>
        <v>0</v>
      </c>
      <c r="CL60" s="138">
        <f t="shared" ca="1" si="81"/>
        <v>0</v>
      </c>
      <c r="CM60" s="138">
        <f t="shared" ca="1" si="81"/>
        <v>0</v>
      </c>
      <c r="CN60" s="138">
        <f t="shared" ca="1" si="81"/>
        <v>0</v>
      </c>
      <c r="CO60" s="138">
        <f t="shared" ca="1" si="81"/>
        <v>0</v>
      </c>
      <c r="CP60" s="138">
        <f t="shared" ca="1" si="81"/>
        <v>0</v>
      </c>
      <c r="CQ60" s="138">
        <f t="shared" ca="1" si="81"/>
        <v>0</v>
      </c>
      <c r="CR60" s="138">
        <f t="shared" ca="1" si="81"/>
        <v>0</v>
      </c>
      <c r="CS60" s="138">
        <f t="shared" ca="1" si="81"/>
        <v>0</v>
      </c>
      <c r="CT60" s="138">
        <f t="shared" ca="1" si="82"/>
        <v>0</v>
      </c>
      <c r="CU60" s="138">
        <f t="shared" ca="1" si="82"/>
        <v>0</v>
      </c>
      <c r="CV60" s="138">
        <f t="shared" ca="1" si="82"/>
        <v>0</v>
      </c>
      <c r="CW60" s="138">
        <f t="shared" ca="1" si="82"/>
        <v>0</v>
      </c>
      <c r="CX60" s="138">
        <f t="shared" ca="1" si="82"/>
        <v>0</v>
      </c>
      <c r="CY60" s="138">
        <f t="shared" ca="1" si="82"/>
        <v>0</v>
      </c>
      <c r="CZ60" s="138">
        <f t="shared" ca="1" si="82"/>
        <v>0</v>
      </c>
      <c r="DA60" s="138">
        <f t="shared" ca="1" si="82"/>
        <v>0</v>
      </c>
      <c r="DB60" s="138">
        <f t="shared" ca="1" si="82"/>
        <v>0</v>
      </c>
      <c r="DC60" s="138">
        <f t="shared" ca="1" si="82"/>
        <v>0</v>
      </c>
      <c r="DE60" s="254" t="str">
        <f t="shared" ca="1" si="25"/>
        <v>E.2.4.</v>
      </c>
      <c r="DF60">
        <v>1</v>
      </c>
      <c r="DG60">
        <f t="shared" ca="1" si="83"/>
        <v>21</v>
      </c>
      <c r="DH60">
        <v>0</v>
      </c>
    </row>
    <row r="61" spans="1:112" hidden="1">
      <c r="A61" s="124">
        <v>49</v>
      </c>
      <c r="B61" s="205" t="str">
        <f t="shared" ca="1" si="53"/>
        <v>E.2.5.</v>
      </c>
      <c r="C61" s="129" t="str">
        <f t="shared" ca="1" si="54"/>
        <v>Veikla</v>
      </c>
      <c r="D61" s="144"/>
      <c r="E61" s="148">
        <f t="shared" ca="1" si="55"/>
        <v>0.21</v>
      </c>
      <c r="F61" s="139">
        <f ca="1">H61+NPV(FD,I61:INDEX(I61:DC61,PAL))</f>
        <v>0</v>
      </c>
      <c r="G61" s="140">
        <f ca="1">SUMIF($H$5:$DC$5,"&lt;="&amp;PAL,$H61:$DC61)</f>
        <v>0</v>
      </c>
      <c r="H61" s="138">
        <f t="shared" ca="1" si="73"/>
        <v>0</v>
      </c>
      <c r="I61" s="138">
        <f t="shared" ca="1" si="73"/>
        <v>0</v>
      </c>
      <c r="J61" s="138">
        <f t="shared" ca="1" si="73"/>
        <v>0</v>
      </c>
      <c r="K61" s="138">
        <f t="shared" ca="1" si="73"/>
        <v>0</v>
      </c>
      <c r="L61" s="138">
        <f t="shared" ca="1" si="73"/>
        <v>0</v>
      </c>
      <c r="M61" s="138">
        <f t="shared" ca="1" si="73"/>
        <v>0</v>
      </c>
      <c r="N61" s="138">
        <f t="shared" ca="1" si="73"/>
        <v>0</v>
      </c>
      <c r="O61" s="138">
        <f t="shared" ca="1" si="73"/>
        <v>0</v>
      </c>
      <c r="P61" s="138">
        <f t="shared" ca="1" si="73"/>
        <v>0</v>
      </c>
      <c r="Q61" s="138">
        <f t="shared" ca="1" si="73"/>
        <v>0</v>
      </c>
      <c r="R61" s="138">
        <f t="shared" ca="1" si="74"/>
        <v>0</v>
      </c>
      <c r="S61" s="138">
        <f t="shared" ca="1" si="74"/>
        <v>0</v>
      </c>
      <c r="T61" s="138">
        <f t="shared" ca="1" si="74"/>
        <v>0</v>
      </c>
      <c r="U61" s="138">
        <f t="shared" ca="1" si="74"/>
        <v>0</v>
      </c>
      <c r="V61" s="138">
        <f t="shared" ca="1" si="74"/>
        <v>0</v>
      </c>
      <c r="W61" s="138">
        <f t="shared" ca="1" si="74"/>
        <v>0</v>
      </c>
      <c r="X61" s="138">
        <f t="shared" ca="1" si="74"/>
        <v>0</v>
      </c>
      <c r="Y61" s="138">
        <f t="shared" ca="1" si="74"/>
        <v>0</v>
      </c>
      <c r="Z61" s="138">
        <f t="shared" ca="1" si="74"/>
        <v>0</v>
      </c>
      <c r="AA61" s="138">
        <f t="shared" ca="1" si="74"/>
        <v>0</v>
      </c>
      <c r="AB61" s="138">
        <f t="shared" ca="1" si="75"/>
        <v>0</v>
      </c>
      <c r="AC61" s="138">
        <f t="shared" ca="1" si="75"/>
        <v>0</v>
      </c>
      <c r="AD61" s="138">
        <f t="shared" ca="1" si="75"/>
        <v>0</v>
      </c>
      <c r="AE61" s="138">
        <f t="shared" ca="1" si="75"/>
        <v>0</v>
      </c>
      <c r="AF61" s="138">
        <f t="shared" ca="1" si="75"/>
        <v>0</v>
      </c>
      <c r="AG61" s="138">
        <f t="shared" ca="1" si="75"/>
        <v>0</v>
      </c>
      <c r="AH61" s="138">
        <f t="shared" ca="1" si="75"/>
        <v>0</v>
      </c>
      <c r="AI61" s="138">
        <f t="shared" ca="1" si="75"/>
        <v>0</v>
      </c>
      <c r="AJ61" s="138">
        <f t="shared" ca="1" si="75"/>
        <v>0</v>
      </c>
      <c r="AK61" s="138">
        <f t="shared" ca="1" si="75"/>
        <v>0</v>
      </c>
      <c r="AL61" s="138">
        <f t="shared" ca="1" si="76"/>
        <v>0</v>
      </c>
      <c r="AM61" s="138">
        <f t="shared" ca="1" si="76"/>
        <v>0</v>
      </c>
      <c r="AN61" s="138">
        <f t="shared" ca="1" si="76"/>
        <v>0</v>
      </c>
      <c r="AO61" s="138">
        <f t="shared" ca="1" si="76"/>
        <v>0</v>
      </c>
      <c r="AP61" s="138">
        <f t="shared" ca="1" si="76"/>
        <v>0</v>
      </c>
      <c r="AQ61" s="138">
        <f t="shared" ca="1" si="76"/>
        <v>0</v>
      </c>
      <c r="AR61" s="138">
        <f t="shared" ca="1" si="76"/>
        <v>0</v>
      </c>
      <c r="AS61" s="138">
        <f t="shared" ca="1" si="76"/>
        <v>0</v>
      </c>
      <c r="AT61" s="138">
        <f t="shared" ca="1" si="76"/>
        <v>0</v>
      </c>
      <c r="AU61" s="138">
        <f t="shared" ca="1" si="76"/>
        <v>0</v>
      </c>
      <c r="AV61" s="138">
        <f t="shared" ca="1" si="77"/>
        <v>0</v>
      </c>
      <c r="AW61" s="138">
        <f t="shared" ca="1" si="77"/>
        <v>0</v>
      </c>
      <c r="AX61" s="138">
        <f t="shared" ca="1" si="77"/>
        <v>0</v>
      </c>
      <c r="AY61" s="138">
        <f t="shared" ca="1" si="77"/>
        <v>0</v>
      </c>
      <c r="AZ61" s="138">
        <f t="shared" ca="1" si="77"/>
        <v>0</v>
      </c>
      <c r="BA61" s="138">
        <f t="shared" ca="1" si="77"/>
        <v>0</v>
      </c>
      <c r="BB61" s="138">
        <f t="shared" ca="1" si="77"/>
        <v>0</v>
      </c>
      <c r="BC61" s="138">
        <f t="shared" ca="1" si="77"/>
        <v>0</v>
      </c>
      <c r="BD61" s="138">
        <f t="shared" ca="1" si="77"/>
        <v>0</v>
      </c>
      <c r="BE61" s="138">
        <f t="shared" ca="1" si="77"/>
        <v>0</v>
      </c>
      <c r="BF61" s="138">
        <f t="shared" ca="1" si="78"/>
        <v>0</v>
      </c>
      <c r="BG61" s="138">
        <f t="shared" ca="1" si="78"/>
        <v>0</v>
      </c>
      <c r="BH61" s="138">
        <f t="shared" ca="1" si="78"/>
        <v>0</v>
      </c>
      <c r="BI61" s="138">
        <f t="shared" ca="1" si="78"/>
        <v>0</v>
      </c>
      <c r="BJ61" s="138">
        <f t="shared" ca="1" si="78"/>
        <v>0</v>
      </c>
      <c r="BK61" s="138">
        <f t="shared" ca="1" si="78"/>
        <v>0</v>
      </c>
      <c r="BL61" s="138">
        <f t="shared" ca="1" si="78"/>
        <v>0</v>
      </c>
      <c r="BM61" s="138">
        <f t="shared" ca="1" si="78"/>
        <v>0</v>
      </c>
      <c r="BN61" s="138">
        <f t="shared" ca="1" si="78"/>
        <v>0</v>
      </c>
      <c r="BO61" s="138">
        <f t="shared" ca="1" si="78"/>
        <v>0</v>
      </c>
      <c r="BP61" s="138">
        <f t="shared" ca="1" si="79"/>
        <v>0</v>
      </c>
      <c r="BQ61" s="138">
        <f t="shared" ca="1" si="79"/>
        <v>0</v>
      </c>
      <c r="BR61" s="138">
        <f t="shared" ca="1" si="79"/>
        <v>0</v>
      </c>
      <c r="BS61" s="138">
        <f t="shared" ca="1" si="79"/>
        <v>0</v>
      </c>
      <c r="BT61" s="138">
        <f t="shared" ca="1" si="79"/>
        <v>0</v>
      </c>
      <c r="BU61" s="138">
        <f t="shared" ca="1" si="79"/>
        <v>0</v>
      </c>
      <c r="BV61" s="138">
        <f t="shared" ca="1" si="79"/>
        <v>0</v>
      </c>
      <c r="BW61" s="138">
        <f t="shared" ca="1" si="79"/>
        <v>0</v>
      </c>
      <c r="BX61" s="138">
        <f t="shared" ca="1" si="79"/>
        <v>0</v>
      </c>
      <c r="BY61" s="138">
        <f t="shared" ca="1" si="79"/>
        <v>0</v>
      </c>
      <c r="BZ61" s="138">
        <f t="shared" ca="1" si="80"/>
        <v>0</v>
      </c>
      <c r="CA61" s="138">
        <f t="shared" ca="1" si="80"/>
        <v>0</v>
      </c>
      <c r="CB61" s="138">
        <f t="shared" ca="1" si="80"/>
        <v>0</v>
      </c>
      <c r="CC61" s="138">
        <f t="shared" ca="1" si="80"/>
        <v>0</v>
      </c>
      <c r="CD61" s="138">
        <f t="shared" ca="1" si="80"/>
        <v>0</v>
      </c>
      <c r="CE61" s="138">
        <f t="shared" ca="1" si="80"/>
        <v>0</v>
      </c>
      <c r="CF61" s="138">
        <f t="shared" ca="1" si="80"/>
        <v>0</v>
      </c>
      <c r="CG61" s="138">
        <f t="shared" ca="1" si="80"/>
        <v>0</v>
      </c>
      <c r="CH61" s="138">
        <f t="shared" ca="1" si="80"/>
        <v>0</v>
      </c>
      <c r="CI61" s="138">
        <f t="shared" ca="1" si="80"/>
        <v>0</v>
      </c>
      <c r="CJ61" s="138">
        <f t="shared" ca="1" si="81"/>
        <v>0</v>
      </c>
      <c r="CK61" s="138">
        <f t="shared" ca="1" si="81"/>
        <v>0</v>
      </c>
      <c r="CL61" s="138">
        <f t="shared" ca="1" si="81"/>
        <v>0</v>
      </c>
      <c r="CM61" s="138">
        <f t="shared" ca="1" si="81"/>
        <v>0</v>
      </c>
      <c r="CN61" s="138">
        <f t="shared" ca="1" si="81"/>
        <v>0</v>
      </c>
      <c r="CO61" s="138">
        <f t="shared" ca="1" si="81"/>
        <v>0</v>
      </c>
      <c r="CP61" s="138">
        <f t="shared" ca="1" si="81"/>
        <v>0</v>
      </c>
      <c r="CQ61" s="138">
        <f t="shared" ca="1" si="81"/>
        <v>0</v>
      </c>
      <c r="CR61" s="138">
        <f t="shared" ca="1" si="81"/>
        <v>0</v>
      </c>
      <c r="CS61" s="138">
        <f t="shared" ca="1" si="81"/>
        <v>0</v>
      </c>
      <c r="CT61" s="138">
        <f t="shared" ca="1" si="82"/>
        <v>0</v>
      </c>
      <c r="CU61" s="138">
        <f t="shared" ca="1" si="82"/>
        <v>0</v>
      </c>
      <c r="CV61" s="138">
        <f t="shared" ca="1" si="82"/>
        <v>0</v>
      </c>
      <c r="CW61" s="138">
        <f t="shared" ca="1" si="82"/>
        <v>0</v>
      </c>
      <c r="CX61" s="138">
        <f t="shared" ca="1" si="82"/>
        <v>0</v>
      </c>
      <c r="CY61" s="138">
        <f t="shared" ca="1" si="82"/>
        <v>0</v>
      </c>
      <c r="CZ61" s="138">
        <f t="shared" ca="1" si="82"/>
        <v>0</v>
      </c>
      <c r="DA61" s="138">
        <f t="shared" ca="1" si="82"/>
        <v>0</v>
      </c>
      <c r="DB61" s="138">
        <f t="shared" ca="1" si="82"/>
        <v>0</v>
      </c>
      <c r="DC61" s="138">
        <f t="shared" ca="1" si="82"/>
        <v>0</v>
      </c>
      <c r="DE61" s="254" t="str">
        <f t="shared" ca="1" si="25"/>
        <v>E.2.5.</v>
      </c>
      <c r="DF61">
        <v>1</v>
      </c>
      <c r="DG61">
        <f t="shared" ca="1" si="83"/>
        <v>21</v>
      </c>
      <c r="DH61">
        <v>0</v>
      </c>
    </row>
    <row r="62" spans="1:112" hidden="1">
      <c r="A62" s="124">
        <v>50</v>
      </c>
      <c r="B62" s="205" t="str">
        <f t="shared" ca="1" si="53"/>
        <v>E.2.6.</v>
      </c>
      <c r="C62" s="129" t="str">
        <f t="shared" ca="1" si="54"/>
        <v>Veikla</v>
      </c>
      <c r="D62" s="144"/>
      <c r="E62" s="148">
        <f t="shared" ca="1" si="55"/>
        <v>0.21</v>
      </c>
      <c r="F62" s="139">
        <f ca="1">H62+NPV(FD,I62:INDEX(I62:DC62,PAL))</f>
        <v>0</v>
      </c>
      <c r="G62" s="140">
        <f ca="1">SUMIF($H$5:$DC$5,"&lt;="&amp;PAL,$H62:$DC62)</f>
        <v>0</v>
      </c>
      <c r="H62" s="138">
        <f t="shared" ca="1" si="73"/>
        <v>0</v>
      </c>
      <c r="I62" s="138">
        <f t="shared" ca="1" si="73"/>
        <v>0</v>
      </c>
      <c r="J62" s="138">
        <f t="shared" ca="1" si="73"/>
        <v>0</v>
      </c>
      <c r="K62" s="138">
        <f t="shared" ca="1" si="73"/>
        <v>0</v>
      </c>
      <c r="L62" s="138">
        <f t="shared" ca="1" si="73"/>
        <v>0</v>
      </c>
      <c r="M62" s="138">
        <f t="shared" ca="1" si="73"/>
        <v>0</v>
      </c>
      <c r="N62" s="138">
        <f t="shared" ca="1" si="73"/>
        <v>0</v>
      </c>
      <c r="O62" s="138">
        <f t="shared" ca="1" si="73"/>
        <v>0</v>
      </c>
      <c r="P62" s="138">
        <f t="shared" ca="1" si="73"/>
        <v>0</v>
      </c>
      <c r="Q62" s="138">
        <f t="shared" ca="1" si="73"/>
        <v>0</v>
      </c>
      <c r="R62" s="138">
        <f t="shared" ca="1" si="74"/>
        <v>0</v>
      </c>
      <c r="S62" s="138">
        <f t="shared" ca="1" si="74"/>
        <v>0</v>
      </c>
      <c r="T62" s="138">
        <f t="shared" ca="1" si="74"/>
        <v>0</v>
      </c>
      <c r="U62" s="138">
        <f t="shared" ca="1" si="74"/>
        <v>0</v>
      </c>
      <c r="V62" s="138">
        <f t="shared" ca="1" si="74"/>
        <v>0</v>
      </c>
      <c r="W62" s="138">
        <f t="shared" ca="1" si="74"/>
        <v>0</v>
      </c>
      <c r="X62" s="138">
        <f t="shared" ca="1" si="74"/>
        <v>0</v>
      </c>
      <c r="Y62" s="138">
        <f t="shared" ca="1" si="74"/>
        <v>0</v>
      </c>
      <c r="Z62" s="138">
        <f t="shared" ca="1" si="74"/>
        <v>0</v>
      </c>
      <c r="AA62" s="138">
        <f t="shared" ca="1" si="74"/>
        <v>0</v>
      </c>
      <c r="AB62" s="138">
        <f t="shared" ca="1" si="75"/>
        <v>0</v>
      </c>
      <c r="AC62" s="138">
        <f t="shared" ca="1" si="75"/>
        <v>0</v>
      </c>
      <c r="AD62" s="138">
        <f t="shared" ca="1" si="75"/>
        <v>0</v>
      </c>
      <c r="AE62" s="138">
        <f t="shared" ca="1" si="75"/>
        <v>0</v>
      </c>
      <c r="AF62" s="138">
        <f t="shared" ca="1" si="75"/>
        <v>0</v>
      </c>
      <c r="AG62" s="138">
        <f t="shared" ca="1" si="75"/>
        <v>0</v>
      </c>
      <c r="AH62" s="138">
        <f t="shared" ca="1" si="75"/>
        <v>0</v>
      </c>
      <c r="AI62" s="138">
        <f t="shared" ca="1" si="75"/>
        <v>0</v>
      </c>
      <c r="AJ62" s="138">
        <f t="shared" ca="1" si="75"/>
        <v>0</v>
      </c>
      <c r="AK62" s="138">
        <f t="shared" ca="1" si="75"/>
        <v>0</v>
      </c>
      <c r="AL62" s="138">
        <f t="shared" ca="1" si="76"/>
        <v>0</v>
      </c>
      <c r="AM62" s="138">
        <f t="shared" ca="1" si="76"/>
        <v>0</v>
      </c>
      <c r="AN62" s="138">
        <f t="shared" ca="1" si="76"/>
        <v>0</v>
      </c>
      <c r="AO62" s="138">
        <f t="shared" ca="1" si="76"/>
        <v>0</v>
      </c>
      <c r="AP62" s="138">
        <f t="shared" ca="1" si="76"/>
        <v>0</v>
      </c>
      <c r="AQ62" s="138">
        <f t="shared" ca="1" si="76"/>
        <v>0</v>
      </c>
      <c r="AR62" s="138">
        <f t="shared" ca="1" si="76"/>
        <v>0</v>
      </c>
      <c r="AS62" s="138">
        <f t="shared" ca="1" si="76"/>
        <v>0</v>
      </c>
      <c r="AT62" s="138">
        <f t="shared" ca="1" si="76"/>
        <v>0</v>
      </c>
      <c r="AU62" s="138">
        <f t="shared" ca="1" si="76"/>
        <v>0</v>
      </c>
      <c r="AV62" s="138">
        <f t="shared" ca="1" si="77"/>
        <v>0</v>
      </c>
      <c r="AW62" s="138">
        <f t="shared" ca="1" si="77"/>
        <v>0</v>
      </c>
      <c r="AX62" s="138">
        <f t="shared" ca="1" si="77"/>
        <v>0</v>
      </c>
      <c r="AY62" s="138">
        <f t="shared" ca="1" si="77"/>
        <v>0</v>
      </c>
      <c r="AZ62" s="138">
        <f t="shared" ca="1" si="77"/>
        <v>0</v>
      </c>
      <c r="BA62" s="138">
        <f t="shared" ca="1" si="77"/>
        <v>0</v>
      </c>
      <c r="BB62" s="138">
        <f t="shared" ca="1" si="77"/>
        <v>0</v>
      </c>
      <c r="BC62" s="138">
        <f t="shared" ca="1" si="77"/>
        <v>0</v>
      </c>
      <c r="BD62" s="138">
        <f t="shared" ca="1" si="77"/>
        <v>0</v>
      </c>
      <c r="BE62" s="138">
        <f t="shared" ca="1" si="77"/>
        <v>0</v>
      </c>
      <c r="BF62" s="138">
        <f t="shared" ca="1" si="78"/>
        <v>0</v>
      </c>
      <c r="BG62" s="138">
        <f t="shared" ca="1" si="78"/>
        <v>0</v>
      </c>
      <c r="BH62" s="138">
        <f t="shared" ca="1" si="78"/>
        <v>0</v>
      </c>
      <c r="BI62" s="138">
        <f t="shared" ca="1" si="78"/>
        <v>0</v>
      </c>
      <c r="BJ62" s="138">
        <f t="shared" ca="1" si="78"/>
        <v>0</v>
      </c>
      <c r="BK62" s="138">
        <f t="shared" ca="1" si="78"/>
        <v>0</v>
      </c>
      <c r="BL62" s="138">
        <f t="shared" ca="1" si="78"/>
        <v>0</v>
      </c>
      <c r="BM62" s="138">
        <f t="shared" ca="1" si="78"/>
        <v>0</v>
      </c>
      <c r="BN62" s="138">
        <f t="shared" ca="1" si="78"/>
        <v>0</v>
      </c>
      <c r="BO62" s="138">
        <f t="shared" ca="1" si="78"/>
        <v>0</v>
      </c>
      <c r="BP62" s="138">
        <f t="shared" ca="1" si="79"/>
        <v>0</v>
      </c>
      <c r="BQ62" s="138">
        <f t="shared" ca="1" si="79"/>
        <v>0</v>
      </c>
      <c r="BR62" s="138">
        <f t="shared" ca="1" si="79"/>
        <v>0</v>
      </c>
      <c r="BS62" s="138">
        <f t="shared" ca="1" si="79"/>
        <v>0</v>
      </c>
      <c r="BT62" s="138">
        <f t="shared" ca="1" si="79"/>
        <v>0</v>
      </c>
      <c r="BU62" s="138">
        <f t="shared" ca="1" si="79"/>
        <v>0</v>
      </c>
      <c r="BV62" s="138">
        <f t="shared" ca="1" si="79"/>
        <v>0</v>
      </c>
      <c r="BW62" s="138">
        <f t="shared" ca="1" si="79"/>
        <v>0</v>
      </c>
      <c r="BX62" s="138">
        <f t="shared" ca="1" si="79"/>
        <v>0</v>
      </c>
      <c r="BY62" s="138">
        <f t="shared" ca="1" si="79"/>
        <v>0</v>
      </c>
      <c r="BZ62" s="138">
        <f t="shared" ca="1" si="80"/>
        <v>0</v>
      </c>
      <c r="CA62" s="138">
        <f t="shared" ca="1" si="80"/>
        <v>0</v>
      </c>
      <c r="CB62" s="138">
        <f t="shared" ca="1" si="80"/>
        <v>0</v>
      </c>
      <c r="CC62" s="138">
        <f t="shared" ca="1" si="80"/>
        <v>0</v>
      </c>
      <c r="CD62" s="138">
        <f t="shared" ca="1" si="80"/>
        <v>0</v>
      </c>
      <c r="CE62" s="138">
        <f t="shared" ca="1" si="80"/>
        <v>0</v>
      </c>
      <c r="CF62" s="138">
        <f t="shared" ca="1" si="80"/>
        <v>0</v>
      </c>
      <c r="CG62" s="138">
        <f t="shared" ca="1" si="80"/>
        <v>0</v>
      </c>
      <c r="CH62" s="138">
        <f t="shared" ca="1" si="80"/>
        <v>0</v>
      </c>
      <c r="CI62" s="138">
        <f t="shared" ca="1" si="80"/>
        <v>0</v>
      </c>
      <c r="CJ62" s="138">
        <f t="shared" ca="1" si="81"/>
        <v>0</v>
      </c>
      <c r="CK62" s="138">
        <f t="shared" ca="1" si="81"/>
        <v>0</v>
      </c>
      <c r="CL62" s="138">
        <f t="shared" ca="1" si="81"/>
        <v>0</v>
      </c>
      <c r="CM62" s="138">
        <f t="shared" ca="1" si="81"/>
        <v>0</v>
      </c>
      <c r="CN62" s="138">
        <f t="shared" ca="1" si="81"/>
        <v>0</v>
      </c>
      <c r="CO62" s="138">
        <f t="shared" ca="1" si="81"/>
        <v>0</v>
      </c>
      <c r="CP62" s="138">
        <f t="shared" ca="1" si="81"/>
        <v>0</v>
      </c>
      <c r="CQ62" s="138">
        <f t="shared" ca="1" si="81"/>
        <v>0</v>
      </c>
      <c r="CR62" s="138">
        <f t="shared" ca="1" si="81"/>
        <v>0</v>
      </c>
      <c r="CS62" s="138">
        <f t="shared" ca="1" si="81"/>
        <v>0</v>
      </c>
      <c r="CT62" s="138">
        <f t="shared" ca="1" si="82"/>
        <v>0</v>
      </c>
      <c r="CU62" s="138">
        <f t="shared" ca="1" si="82"/>
        <v>0</v>
      </c>
      <c r="CV62" s="138">
        <f t="shared" ca="1" si="82"/>
        <v>0</v>
      </c>
      <c r="CW62" s="138">
        <f t="shared" ca="1" si="82"/>
        <v>0</v>
      </c>
      <c r="CX62" s="138">
        <f t="shared" ca="1" si="82"/>
        <v>0</v>
      </c>
      <c r="CY62" s="138">
        <f t="shared" ca="1" si="82"/>
        <v>0</v>
      </c>
      <c r="CZ62" s="138">
        <f t="shared" ca="1" si="82"/>
        <v>0</v>
      </c>
      <c r="DA62" s="138">
        <f t="shared" ca="1" si="82"/>
        <v>0</v>
      </c>
      <c r="DB62" s="138">
        <f t="shared" ca="1" si="82"/>
        <v>0</v>
      </c>
      <c r="DC62" s="138">
        <f t="shared" ca="1" si="82"/>
        <v>0</v>
      </c>
      <c r="DE62" s="254" t="str">
        <f t="shared" ca="1" si="25"/>
        <v>E.2.6.</v>
      </c>
      <c r="DF62">
        <v>1</v>
      </c>
      <c r="DG62">
        <f t="shared" ca="1" si="83"/>
        <v>21</v>
      </c>
      <c r="DH62">
        <v>0</v>
      </c>
    </row>
    <row r="63" spans="1:112" hidden="1">
      <c r="A63" s="124">
        <v>51</v>
      </c>
      <c r="B63" s="205" t="str">
        <f t="shared" ca="1" si="53"/>
        <v>E.2.7.</v>
      </c>
      <c r="C63" s="129" t="str">
        <f t="shared" ca="1" si="54"/>
        <v>Veikla</v>
      </c>
      <c r="D63" s="144"/>
      <c r="E63" s="148">
        <f t="shared" ca="1" si="55"/>
        <v>0.21</v>
      </c>
      <c r="F63" s="139">
        <f ca="1">H63+NPV(FD,I63:INDEX(I63:DC63,PAL))</f>
        <v>0</v>
      </c>
      <c r="G63" s="140">
        <f ca="1">SUMIF($H$5:$DC$5,"&lt;="&amp;PAL,$H63:$DC63)</f>
        <v>0</v>
      </c>
      <c r="H63" s="138">
        <f t="shared" ca="1" si="73"/>
        <v>0</v>
      </c>
      <c r="I63" s="138">
        <f t="shared" ca="1" si="73"/>
        <v>0</v>
      </c>
      <c r="J63" s="138">
        <f t="shared" ca="1" si="73"/>
        <v>0</v>
      </c>
      <c r="K63" s="138">
        <f t="shared" ca="1" si="73"/>
        <v>0</v>
      </c>
      <c r="L63" s="138">
        <f t="shared" ca="1" si="73"/>
        <v>0</v>
      </c>
      <c r="M63" s="138">
        <f t="shared" ca="1" si="73"/>
        <v>0</v>
      </c>
      <c r="N63" s="138">
        <f t="shared" ca="1" si="73"/>
        <v>0</v>
      </c>
      <c r="O63" s="138">
        <f t="shared" ca="1" si="73"/>
        <v>0</v>
      </c>
      <c r="P63" s="138">
        <f t="shared" ca="1" si="73"/>
        <v>0</v>
      </c>
      <c r="Q63" s="138">
        <f t="shared" ca="1" si="73"/>
        <v>0</v>
      </c>
      <c r="R63" s="138">
        <f t="shared" ca="1" si="74"/>
        <v>0</v>
      </c>
      <c r="S63" s="138">
        <f t="shared" ca="1" si="74"/>
        <v>0</v>
      </c>
      <c r="T63" s="138">
        <f t="shared" ca="1" si="74"/>
        <v>0</v>
      </c>
      <c r="U63" s="138">
        <f t="shared" ca="1" si="74"/>
        <v>0</v>
      </c>
      <c r="V63" s="138">
        <f t="shared" ca="1" si="74"/>
        <v>0</v>
      </c>
      <c r="W63" s="138">
        <f t="shared" ca="1" si="74"/>
        <v>0</v>
      </c>
      <c r="X63" s="138">
        <f t="shared" ca="1" si="74"/>
        <v>0</v>
      </c>
      <c r="Y63" s="138">
        <f t="shared" ca="1" si="74"/>
        <v>0</v>
      </c>
      <c r="Z63" s="138">
        <f t="shared" ca="1" si="74"/>
        <v>0</v>
      </c>
      <c r="AA63" s="138">
        <f t="shared" ca="1" si="74"/>
        <v>0</v>
      </c>
      <c r="AB63" s="138">
        <f t="shared" ca="1" si="75"/>
        <v>0</v>
      </c>
      <c r="AC63" s="138">
        <f t="shared" ca="1" si="75"/>
        <v>0</v>
      </c>
      <c r="AD63" s="138">
        <f t="shared" ca="1" si="75"/>
        <v>0</v>
      </c>
      <c r="AE63" s="138">
        <f t="shared" ca="1" si="75"/>
        <v>0</v>
      </c>
      <c r="AF63" s="138">
        <f t="shared" ca="1" si="75"/>
        <v>0</v>
      </c>
      <c r="AG63" s="138">
        <f t="shared" ca="1" si="75"/>
        <v>0</v>
      </c>
      <c r="AH63" s="138">
        <f t="shared" ca="1" si="75"/>
        <v>0</v>
      </c>
      <c r="AI63" s="138">
        <f t="shared" ca="1" si="75"/>
        <v>0</v>
      </c>
      <c r="AJ63" s="138">
        <f t="shared" ca="1" si="75"/>
        <v>0</v>
      </c>
      <c r="AK63" s="138">
        <f t="shared" ca="1" si="75"/>
        <v>0</v>
      </c>
      <c r="AL63" s="138">
        <f t="shared" ca="1" si="76"/>
        <v>0</v>
      </c>
      <c r="AM63" s="138">
        <f t="shared" ca="1" si="76"/>
        <v>0</v>
      </c>
      <c r="AN63" s="138">
        <f t="shared" ca="1" si="76"/>
        <v>0</v>
      </c>
      <c r="AO63" s="138">
        <f t="shared" ca="1" si="76"/>
        <v>0</v>
      </c>
      <c r="AP63" s="138">
        <f t="shared" ca="1" si="76"/>
        <v>0</v>
      </c>
      <c r="AQ63" s="138">
        <f t="shared" ca="1" si="76"/>
        <v>0</v>
      </c>
      <c r="AR63" s="138">
        <f t="shared" ca="1" si="76"/>
        <v>0</v>
      </c>
      <c r="AS63" s="138">
        <f t="shared" ca="1" si="76"/>
        <v>0</v>
      </c>
      <c r="AT63" s="138">
        <f t="shared" ca="1" si="76"/>
        <v>0</v>
      </c>
      <c r="AU63" s="138">
        <f t="shared" ca="1" si="76"/>
        <v>0</v>
      </c>
      <c r="AV63" s="138">
        <f t="shared" ca="1" si="77"/>
        <v>0</v>
      </c>
      <c r="AW63" s="138">
        <f t="shared" ca="1" si="77"/>
        <v>0</v>
      </c>
      <c r="AX63" s="138">
        <f t="shared" ca="1" si="77"/>
        <v>0</v>
      </c>
      <c r="AY63" s="138">
        <f t="shared" ca="1" si="77"/>
        <v>0</v>
      </c>
      <c r="AZ63" s="138">
        <f t="shared" ca="1" si="77"/>
        <v>0</v>
      </c>
      <c r="BA63" s="138">
        <f t="shared" ca="1" si="77"/>
        <v>0</v>
      </c>
      <c r="BB63" s="138">
        <f t="shared" ca="1" si="77"/>
        <v>0</v>
      </c>
      <c r="BC63" s="138">
        <f t="shared" ca="1" si="77"/>
        <v>0</v>
      </c>
      <c r="BD63" s="138">
        <f t="shared" ca="1" si="77"/>
        <v>0</v>
      </c>
      <c r="BE63" s="138">
        <f t="shared" ca="1" si="77"/>
        <v>0</v>
      </c>
      <c r="BF63" s="138">
        <f t="shared" ca="1" si="78"/>
        <v>0</v>
      </c>
      <c r="BG63" s="138">
        <f t="shared" ca="1" si="78"/>
        <v>0</v>
      </c>
      <c r="BH63" s="138">
        <f t="shared" ca="1" si="78"/>
        <v>0</v>
      </c>
      <c r="BI63" s="138">
        <f t="shared" ca="1" si="78"/>
        <v>0</v>
      </c>
      <c r="BJ63" s="138">
        <f t="shared" ca="1" si="78"/>
        <v>0</v>
      </c>
      <c r="BK63" s="138">
        <f t="shared" ca="1" si="78"/>
        <v>0</v>
      </c>
      <c r="BL63" s="138">
        <f t="shared" ca="1" si="78"/>
        <v>0</v>
      </c>
      <c r="BM63" s="138">
        <f t="shared" ca="1" si="78"/>
        <v>0</v>
      </c>
      <c r="BN63" s="138">
        <f t="shared" ca="1" si="78"/>
        <v>0</v>
      </c>
      <c r="BO63" s="138">
        <f t="shared" ca="1" si="78"/>
        <v>0</v>
      </c>
      <c r="BP63" s="138">
        <f t="shared" ca="1" si="79"/>
        <v>0</v>
      </c>
      <c r="BQ63" s="138">
        <f t="shared" ca="1" si="79"/>
        <v>0</v>
      </c>
      <c r="BR63" s="138">
        <f t="shared" ca="1" si="79"/>
        <v>0</v>
      </c>
      <c r="BS63" s="138">
        <f t="shared" ca="1" si="79"/>
        <v>0</v>
      </c>
      <c r="BT63" s="138">
        <f t="shared" ca="1" si="79"/>
        <v>0</v>
      </c>
      <c r="BU63" s="138">
        <f t="shared" ca="1" si="79"/>
        <v>0</v>
      </c>
      <c r="BV63" s="138">
        <f t="shared" ca="1" si="79"/>
        <v>0</v>
      </c>
      <c r="BW63" s="138">
        <f t="shared" ca="1" si="79"/>
        <v>0</v>
      </c>
      <c r="BX63" s="138">
        <f t="shared" ca="1" si="79"/>
        <v>0</v>
      </c>
      <c r="BY63" s="138">
        <f t="shared" ca="1" si="79"/>
        <v>0</v>
      </c>
      <c r="BZ63" s="138">
        <f t="shared" ca="1" si="80"/>
        <v>0</v>
      </c>
      <c r="CA63" s="138">
        <f t="shared" ca="1" si="80"/>
        <v>0</v>
      </c>
      <c r="CB63" s="138">
        <f t="shared" ca="1" si="80"/>
        <v>0</v>
      </c>
      <c r="CC63" s="138">
        <f t="shared" ca="1" si="80"/>
        <v>0</v>
      </c>
      <c r="CD63" s="138">
        <f t="shared" ca="1" si="80"/>
        <v>0</v>
      </c>
      <c r="CE63" s="138">
        <f t="shared" ca="1" si="80"/>
        <v>0</v>
      </c>
      <c r="CF63" s="138">
        <f t="shared" ca="1" si="80"/>
        <v>0</v>
      </c>
      <c r="CG63" s="138">
        <f t="shared" ca="1" si="80"/>
        <v>0</v>
      </c>
      <c r="CH63" s="138">
        <f t="shared" ca="1" si="80"/>
        <v>0</v>
      </c>
      <c r="CI63" s="138">
        <f t="shared" ca="1" si="80"/>
        <v>0</v>
      </c>
      <c r="CJ63" s="138">
        <f t="shared" ca="1" si="81"/>
        <v>0</v>
      </c>
      <c r="CK63" s="138">
        <f t="shared" ca="1" si="81"/>
        <v>0</v>
      </c>
      <c r="CL63" s="138">
        <f t="shared" ca="1" si="81"/>
        <v>0</v>
      </c>
      <c r="CM63" s="138">
        <f t="shared" ca="1" si="81"/>
        <v>0</v>
      </c>
      <c r="CN63" s="138">
        <f t="shared" ca="1" si="81"/>
        <v>0</v>
      </c>
      <c r="CO63" s="138">
        <f t="shared" ca="1" si="81"/>
        <v>0</v>
      </c>
      <c r="CP63" s="138">
        <f t="shared" ca="1" si="81"/>
        <v>0</v>
      </c>
      <c r="CQ63" s="138">
        <f t="shared" ca="1" si="81"/>
        <v>0</v>
      </c>
      <c r="CR63" s="138">
        <f t="shared" ca="1" si="81"/>
        <v>0</v>
      </c>
      <c r="CS63" s="138">
        <f t="shared" ca="1" si="81"/>
        <v>0</v>
      </c>
      <c r="CT63" s="138">
        <f t="shared" ca="1" si="82"/>
        <v>0</v>
      </c>
      <c r="CU63" s="138">
        <f t="shared" ca="1" si="82"/>
        <v>0</v>
      </c>
      <c r="CV63" s="138">
        <f t="shared" ca="1" si="82"/>
        <v>0</v>
      </c>
      <c r="CW63" s="138">
        <f t="shared" ca="1" si="82"/>
        <v>0</v>
      </c>
      <c r="CX63" s="138">
        <f t="shared" ca="1" si="82"/>
        <v>0</v>
      </c>
      <c r="CY63" s="138">
        <f t="shared" ca="1" si="82"/>
        <v>0</v>
      </c>
      <c r="CZ63" s="138">
        <f t="shared" ca="1" si="82"/>
        <v>0</v>
      </c>
      <c r="DA63" s="138">
        <f t="shared" ca="1" si="82"/>
        <v>0</v>
      </c>
      <c r="DB63" s="138">
        <f t="shared" ca="1" si="82"/>
        <v>0</v>
      </c>
      <c r="DC63" s="138">
        <f t="shared" ca="1" si="82"/>
        <v>0</v>
      </c>
      <c r="DE63" s="254" t="str">
        <f t="shared" ca="1" si="25"/>
        <v>E.2.7.</v>
      </c>
      <c r="DF63">
        <v>1</v>
      </c>
      <c r="DG63">
        <f t="shared" ca="1" si="83"/>
        <v>21</v>
      </c>
      <c r="DH63">
        <v>0</v>
      </c>
    </row>
    <row r="64" spans="1:112" hidden="1">
      <c r="A64" s="124">
        <v>52</v>
      </c>
      <c r="B64" s="205" t="str">
        <f t="shared" ca="1" si="53"/>
        <v>E.2.8.</v>
      </c>
      <c r="C64" s="129" t="str">
        <f t="shared" ca="1" si="54"/>
        <v>Veikla</v>
      </c>
      <c r="D64" s="144"/>
      <c r="E64" s="148">
        <f t="shared" ca="1" si="55"/>
        <v>0.21</v>
      </c>
      <c r="F64" s="139">
        <f ca="1">H64+NPV(FD,I64:INDEX(I64:DC64,PAL))</f>
        <v>0</v>
      </c>
      <c r="G64" s="140">
        <f ca="1">SUMIF($H$5:$DC$5,"&lt;="&amp;PAL,$H64:$DC64)</f>
        <v>0</v>
      </c>
      <c r="H64" s="138">
        <f t="shared" ca="1" si="73"/>
        <v>0</v>
      </c>
      <c r="I64" s="138">
        <f t="shared" ca="1" si="73"/>
        <v>0</v>
      </c>
      <c r="J64" s="138">
        <f t="shared" ca="1" si="73"/>
        <v>0</v>
      </c>
      <c r="K64" s="138">
        <f t="shared" ca="1" si="73"/>
        <v>0</v>
      </c>
      <c r="L64" s="138">
        <f t="shared" ca="1" si="73"/>
        <v>0</v>
      </c>
      <c r="M64" s="138">
        <f t="shared" ca="1" si="73"/>
        <v>0</v>
      </c>
      <c r="N64" s="138">
        <f t="shared" ca="1" si="73"/>
        <v>0</v>
      </c>
      <c r="O64" s="138">
        <f t="shared" ca="1" si="73"/>
        <v>0</v>
      </c>
      <c r="P64" s="138">
        <f t="shared" ca="1" si="73"/>
        <v>0</v>
      </c>
      <c r="Q64" s="138">
        <f t="shared" ca="1" si="73"/>
        <v>0</v>
      </c>
      <c r="R64" s="138">
        <f t="shared" ca="1" si="74"/>
        <v>0</v>
      </c>
      <c r="S64" s="138">
        <f t="shared" ca="1" si="74"/>
        <v>0</v>
      </c>
      <c r="T64" s="138">
        <f t="shared" ca="1" si="74"/>
        <v>0</v>
      </c>
      <c r="U64" s="138">
        <f t="shared" ca="1" si="74"/>
        <v>0</v>
      </c>
      <c r="V64" s="138">
        <f t="shared" ca="1" si="74"/>
        <v>0</v>
      </c>
      <c r="W64" s="138">
        <f t="shared" ca="1" si="74"/>
        <v>0</v>
      </c>
      <c r="X64" s="138">
        <f t="shared" ca="1" si="74"/>
        <v>0</v>
      </c>
      <c r="Y64" s="138">
        <f t="shared" ca="1" si="74"/>
        <v>0</v>
      </c>
      <c r="Z64" s="138">
        <f t="shared" ca="1" si="74"/>
        <v>0</v>
      </c>
      <c r="AA64" s="138">
        <f t="shared" ca="1" si="74"/>
        <v>0</v>
      </c>
      <c r="AB64" s="138">
        <f t="shared" ca="1" si="75"/>
        <v>0</v>
      </c>
      <c r="AC64" s="138">
        <f t="shared" ca="1" si="75"/>
        <v>0</v>
      </c>
      <c r="AD64" s="138">
        <f t="shared" ca="1" si="75"/>
        <v>0</v>
      </c>
      <c r="AE64" s="138">
        <f t="shared" ca="1" si="75"/>
        <v>0</v>
      </c>
      <c r="AF64" s="138">
        <f t="shared" ca="1" si="75"/>
        <v>0</v>
      </c>
      <c r="AG64" s="138">
        <f t="shared" ca="1" si="75"/>
        <v>0</v>
      </c>
      <c r="AH64" s="138">
        <f t="shared" ca="1" si="75"/>
        <v>0</v>
      </c>
      <c r="AI64" s="138">
        <f t="shared" ca="1" si="75"/>
        <v>0</v>
      </c>
      <c r="AJ64" s="138">
        <f t="shared" ca="1" si="75"/>
        <v>0</v>
      </c>
      <c r="AK64" s="138">
        <f t="shared" ca="1" si="75"/>
        <v>0</v>
      </c>
      <c r="AL64" s="138">
        <f t="shared" ca="1" si="76"/>
        <v>0</v>
      </c>
      <c r="AM64" s="138">
        <f t="shared" ca="1" si="76"/>
        <v>0</v>
      </c>
      <c r="AN64" s="138">
        <f t="shared" ca="1" si="76"/>
        <v>0</v>
      </c>
      <c r="AO64" s="138">
        <f t="shared" ca="1" si="76"/>
        <v>0</v>
      </c>
      <c r="AP64" s="138">
        <f t="shared" ca="1" si="76"/>
        <v>0</v>
      </c>
      <c r="AQ64" s="138">
        <f t="shared" ca="1" si="76"/>
        <v>0</v>
      </c>
      <c r="AR64" s="138">
        <f t="shared" ca="1" si="76"/>
        <v>0</v>
      </c>
      <c r="AS64" s="138">
        <f t="shared" ca="1" si="76"/>
        <v>0</v>
      </c>
      <c r="AT64" s="138">
        <f t="shared" ca="1" si="76"/>
        <v>0</v>
      </c>
      <c r="AU64" s="138">
        <f t="shared" ca="1" si="76"/>
        <v>0</v>
      </c>
      <c r="AV64" s="138">
        <f t="shared" ca="1" si="77"/>
        <v>0</v>
      </c>
      <c r="AW64" s="138">
        <f t="shared" ca="1" si="77"/>
        <v>0</v>
      </c>
      <c r="AX64" s="138">
        <f t="shared" ca="1" si="77"/>
        <v>0</v>
      </c>
      <c r="AY64" s="138">
        <f t="shared" ca="1" si="77"/>
        <v>0</v>
      </c>
      <c r="AZ64" s="138">
        <f t="shared" ca="1" si="77"/>
        <v>0</v>
      </c>
      <c r="BA64" s="138">
        <f t="shared" ca="1" si="77"/>
        <v>0</v>
      </c>
      <c r="BB64" s="138">
        <f t="shared" ca="1" si="77"/>
        <v>0</v>
      </c>
      <c r="BC64" s="138">
        <f t="shared" ca="1" si="77"/>
        <v>0</v>
      </c>
      <c r="BD64" s="138">
        <f t="shared" ca="1" si="77"/>
        <v>0</v>
      </c>
      <c r="BE64" s="138">
        <f t="shared" ca="1" si="77"/>
        <v>0</v>
      </c>
      <c r="BF64" s="138">
        <f t="shared" ca="1" si="78"/>
        <v>0</v>
      </c>
      <c r="BG64" s="138">
        <f t="shared" ca="1" si="78"/>
        <v>0</v>
      </c>
      <c r="BH64" s="138">
        <f t="shared" ca="1" si="78"/>
        <v>0</v>
      </c>
      <c r="BI64" s="138">
        <f t="shared" ca="1" si="78"/>
        <v>0</v>
      </c>
      <c r="BJ64" s="138">
        <f t="shared" ca="1" si="78"/>
        <v>0</v>
      </c>
      <c r="BK64" s="138">
        <f t="shared" ca="1" si="78"/>
        <v>0</v>
      </c>
      <c r="BL64" s="138">
        <f t="shared" ca="1" si="78"/>
        <v>0</v>
      </c>
      <c r="BM64" s="138">
        <f t="shared" ca="1" si="78"/>
        <v>0</v>
      </c>
      <c r="BN64" s="138">
        <f t="shared" ca="1" si="78"/>
        <v>0</v>
      </c>
      <c r="BO64" s="138">
        <f t="shared" ca="1" si="78"/>
        <v>0</v>
      </c>
      <c r="BP64" s="138">
        <f t="shared" ca="1" si="79"/>
        <v>0</v>
      </c>
      <c r="BQ64" s="138">
        <f t="shared" ca="1" si="79"/>
        <v>0</v>
      </c>
      <c r="BR64" s="138">
        <f t="shared" ca="1" si="79"/>
        <v>0</v>
      </c>
      <c r="BS64" s="138">
        <f t="shared" ca="1" si="79"/>
        <v>0</v>
      </c>
      <c r="BT64" s="138">
        <f t="shared" ca="1" si="79"/>
        <v>0</v>
      </c>
      <c r="BU64" s="138">
        <f t="shared" ca="1" si="79"/>
        <v>0</v>
      </c>
      <c r="BV64" s="138">
        <f t="shared" ca="1" si="79"/>
        <v>0</v>
      </c>
      <c r="BW64" s="138">
        <f t="shared" ca="1" si="79"/>
        <v>0</v>
      </c>
      <c r="BX64" s="138">
        <f t="shared" ca="1" si="79"/>
        <v>0</v>
      </c>
      <c r="BY64" s="138">
        <f t="shared" ca="1" si="79"/>
        <v>0</v>
      </c>
      <c r="BZ64" s="138">
        <f t="shared" ca="1" si="80"/>
        <v>0</v>
      </c>
      <c r="CA64" s="138">
        <f t="shared" ca="1" si="80"/>
        <v>0</v>
      </c>
      <c r="CB64" s="138">
        <f t="shared" ca="1" si="80"/>
        <v>0</v>
      </c>
      <c r="CC64" s="138">
        <f t="shared" ca="1" si="80"/>
        <v>0</v>
      </c>
      <c r="CD64" s="138">
        <f t="shared" ca="1" si="80"/>
        <v>0</v>
      </c>
      <c r="CE64" s="138">
        <f t="shared" ca="1" si="80"/>
        <v>0</v>
      </c>
      <c r="CF64" s="138">
        <f t="shared" ca="1" si="80"/>
        <v>0</v>
      </c>
      <c r="CG64" s="138">
        <f t="shared" ca="1" si="80"/>
        <v>0</v>
      </c>
      <c r="CH64" s="138">
        <f t="shared" ca="1" si="80"/>
        <v>0</v>
      </c>
      <c r="CI64" s="138">
        <f t="shared" ca="1" si="80"/>
        <v>0</v>
      </c>
      <c r="CJ64" s="138">
        <f t="shared" ca="1" si="81"/>
        <v>0</v>
      </c>
      <c r="CK64" s="138">
        <f t="shared" ca="1" si="81"/>
        <v>0</v>
      </c>
      <c r="CL64" s="138">
        <f t="shared" ca="1" si="81"/>
        <v>0</v>
      </c>
      <c r="CM64" s="138">
        <f t="shared" ca="1" si="81"/>
        <v>0</v>
      </c>
      <c r="CN64" s="138">
        <f t="shared" ca="1" si="81"/>
        <v>0</v>
      </c>
      <c r="CO64" s="138">
        <f t="shared" ca="1" si="81"/>
        <v>0</v>
      </c>
      <c r="CP64" s="138">
        <f t="shared" ca="1" si="81"/>
        <v>0</v>
      </c>
      <c r="CQ64" s="138">
        <f t="shared" ca="1" si="81"/>
        <v>0</v>
      </c>
      <c r="CR64" s="138">
        <f t="shared" ca="1" si="81"/>
        <v>0</v>
      </c>
      <c r="CS64" s="138">
        <f t="shared" ca="1" si="81"/>
        <v>0</v>
      </c>
      <c r="CT64" s="138">
        <f t="shared" ca="1" si="82"/>
        <v>0</v>
      </c>
      <c r="CU64" s="138">
        <f t="shared" ca="1" si="82"/>
        <v>0</v>
      </c>
      <c r="CV64" s="138">
        <f t="shared" ca="1" si="82"/>
        <v>0</v>
      </c>
      <c r="CW64" s="138">
        <f t="shared" ca="1" si="82"/>
        <v>0</v>
      </c>
      <c r="CX64" s="138">
        <f t="shared" ca="1" si="82"/>
        <v>0</v>
      </c>
      <c r="CY64" s="138">
        <f t="shared" ca="1" si="82"/>
        <v>0</v>
      </c>
      <c r="CZ64" s="138">
        <f t="shared" ca="1" si="82"/>
        <v>0</v>
      </c>
      <c r="DA64" s="138">
        <f t="shared" ca="1" si="82"/>
        <v>0</v>
      </c>
      <c r="DB64" s="138">
        <f t="shared" ca="1" si="82"/>
        <v>0</v>
      </c>
      <c r="DC64" s="138">
        <f t="shared" ca="1" si="82"/>
        <v>0</v>
      </c>
      <c r="DE64" s="254" t="str">
        <f t="shared" ca="1" si="25"/>
        <v>E.2.8.</v>
      </c>
      <c r="DF64">
        <v>1</v>
      </c>
      <c r="DG64">
        <f t="shared" ca="1" si="83"/>
        <v>21</v>
      </c>
      <c r="DH64">
        <v>0</v>
      </c>
    </row>
    <row r="65" spans="1:112" hidden="1">
      <c r="A65" s="124">
        <v>53</v>
      </c>
      <c r="B65" s="205" t="str">
        <f t="shared" ca="1" si="53"/>
        <v>E.2.9.</v>
      </c>
      <c r="C65" s="129" t="str">
        <f t="shared" ca="1" si="54"/>
        <v>Reinvesticijos (po priemonės įgyvendinimo)</v>
      </c>
      <c r="D65" s="114"/>
      <c r="E65" s="148">
        <f t="shared" ca="1" si="55"/>
        <v>0.21</v>
      </c>
      <c r="F65" s="139">
        <f ca="1">H65+NPV(FD,I65:INDEX(I65:DC65,PAL))</f>
        <v>0</v>
      </c>
      <c r="G65" s="140">
        <f ca="1">SUMIF($H$5:$DC$5,"&lt;="&amp;PAL,$H65:$DC65)</f>
        <v>0</v>
      </c>
      <c r="H65" s="138">
        <f t="shared" ca="1" si="73"/>
        <v>0</v>
      </c>
      <c r="I65" s="138">
        <f t="shared" ca="1" si="73"/>
        <v>0</v>
      </c>
      <c r="J65" s="138">
        <f t="shared" ca="1" si="73"/>
        <v>0</v>
      </c>
      <c r="K65" s="138">
        <f t="shared" ca="1" si="73"/>
        <v>0</v>
      </c>
      <c r="L65" s="138">
        <f t="shared" ca="1" si="73"/>
        <v>0</v>
      </c>
      <c r="M65" s="138">
        <f t="shared" ca="1" si="73"/>
        <v>0</v>
      </c>
      <c r="N65" s="138">
        <f t="shared" ca="1" si="73"/>
        <v>0</v>
      </c>
      <c r="O65" s="138">
        <f t="shared" ca="1" si="73"/>
        <v>0</v>
      </c>
      <c r="P65" s="138">
        <f t="shared" ca="1" si="73"/>
        <v>0</v>
      </c>
      <c r="Q65" s="138">
        <f t="shared" ca="1" si="73"/>
        <v>0</v>
      </c>
      <c r="R65" s="138">
        <f t="shared" ca="1" si="74"/>
        <v>0</v>
      </c>
      <c r="S65" s="138">
        <f t="shared" ca="1" si="74"/>
        <v>0</v>
      </c>
      <c r="T65" s="138">
        <f t="shared" ca="1" si="74"/>
        <v>0</v>
      </c>
      <c r="U65" s="138">
        <f t="shared" ca="1" si="74"/>
        <v>0</v>
      </c>
      <c r="V65" s="138">
        <f t="shared" ca="1" si="74"/>
        <v>0</v>
      </c>
      <c r="W65" s="138">
        <f t="shared" ca="1" si="74"/>
        <v>0</v>
      </c>
      <c r="X65" s="138">
        <f t="shared" ca="1" si="74"/>
        <v>0</v>
      </c>
      <c r="Y65" s="138">
        <f t="shared" ca="1" si="74"/>
        <v>0</v>
      </c>
      <c r="Z65" s="138">
        <f t="shared" ca="1" si="74"/>
        <v>0</v>
      </c>
      <c r="AA65" s="138">
        <f t="shared" ca="1" si="74"/>
        <v>0</v>
      </c>
      <c r="AB65" s="138">
        <f t="shared" ca="1" si="75"/>
        <v>0</v>
      </c>
      <c r="AC65" s="138">
        <f t="shared" ca="1" si="75"/>
        <v>0</v>
      </c>
      <c r="AD65" s="138">
        <f t="shared" ca="1" si="75"/>
        <v>0</v>
      </c>
      <c r="AE65" s="138">
        <f t="shared" ca="1" si="75"/>
        <v>0</v>
      </c>
      <c r="AF65" s="138">
        <f t="shared" ca="1" si="75"/>
        <v>0</v>
      </c>
      <c r="AG65" s="138">
        <f t="shared" ca="1" si="75"/>
        <v>0</v>
      </c>
      <c r="AH65" s="138">
        <f t="shared" ca="1" si="75"/>
        <v>0</v>
      </c>
      <c r="AI65" s="138">
        <f t="shared" ca="1" si="75"/>
        <v>0</v>
      </c>
      <c r="AJ65" s="138">
        <f t="shared" ca="1" si="75"/>
        <v>0</v>
      </c>
      <c r="AK65" s="138">
        <f t="shared" ca="1" si="75"/>
        <v>0</v>
      </c>
      <c r="AL65" s="138">
        <f t="shared" ca="1" si="76"/>
        <v>0</v>
      </c>
      <c r="AM65" s="138">
        <f t="shared" ca="1" si="76"/>
        <v>0</v>
      </c>
      <c r="AN65" s="138">
        <f t="shared" ca="1" si="76"/>
        <v>0</v>
      </c>
      <c r="AO65" s="138">
        <f t="shared" ca="1" si="76"/>
        <v>0</v>
      </c>
      <c r="AP65" s="138">
        <f t="shared" ca="1" si="76"/>
        <v>0</v>
      </c>
      <c r="AQ65" s="138">
        <f t="shared" ca="1" si="76"/>
        <v>0</v>
      </c>
      <c r="AR65" s="138">
        <f t="shared" ca="1" si="76"/>
        <v>0</v>
      </c>
      <c r="AS65" s="138">
        <f t="shared" ca="1" si="76"/>
        <v>0</v>
      </c>
      <c r="AT65" s="138">
        <f t="shared" ca="1" si="76"/>
        <v>0</v>
      </c>
      <c r="AU65" s="138">
        <f t="shared" ca="1" si="76"/>
        <v>0</v>
      </c>
      <c r="AV65" s="138">
        <f t="shared" ca="1" si="77"/>
        <v>0</v>
      </c>
      <c r="AW65" s="138">
        <f t="shared" ca="1" si="77"/>
        <v>0</v>
      </c>
      <c r="AX65" s="138">
        <f t="shared" ca="1" si="77"/>
        <v>0</v>
      </c>
      <c r="AY65" s="138">
        <f t="shared" ca="1" si="77"/>
        <v>0</v>
      </c>
      <c r="AZ65" s="138">
        <f t="shared" ca="1" si="77"/>
        <v>0</v>
      </c>
      <c r="BA65" s="138">
        <f t="shared" ca="1" si="77"/>
        <v>0</v>
      </c>
      <c r="BB65" s="138">
        <f t="shared" ca="1" si="77"/>
        <v>0</v>
      </c>
      <c r="BC65" s="138">
        <f t="shared" ca="1" si="77"/>
        <v>0</v>
      </c>
      <c r="BD65" s="138">
        <f t="shared" ca="1" si="77"/>
        <v>0</v>
      </c>
      <c r="BE65" s="138">
        <f t="shared" ca="1" si="77"/>
        <v>0</v>
      </c>
      <c r="BF65" s="138">
        <f t="shared" ca="1" si="78"/>
        <v>0</v>
      </c>
      <c r="BG65" s="138">
        <f t="shared" ca="1" si="78"/>
        <v>0</v>
      </c>
      <c r="BH65" s="138">
        <f t="shared" ca="1" si="78"/>
        <v>0</v>
      </c>
      <c r="BI65" s="138">
        <f t="shared" ca="1" si="78"/>
        <v>0</v>
      </c>
      <c r="BJ65" s="138">
        <f t="shared" ca="1" si="78"/>
        <v>0</v>
      </c>
      <c r="BK65" s="138">
        <f t="shared" ca="1" si="78"/>
        <v>0</v>
      </c>
      <c r="BL65" s="138">
        <f t="shared" ca="1" si="78"/>
        <v>0</v>
      </c>
      <c r="BM65" s="138">
        <f t="shared" ca="1" si="78"/>
        <v>0</v>
      </c>
      <c r="BN65" s="138">
        <f t="shared" ca="1" si="78"/>
        <v>0</v>
      </c>
      <c r="BO65" s="138">
        <f t="shared" ca="1" si="78"/>
        <v>0</v>
      </c>
      <c r="BP65" s="138">
        <f t="shared" ca="1" si="79"/>
        <v>0</v>
      </c>
      <c r="BQ65" s="138">
        <f t="shared" ca="1" si="79"/>
        <v>0</v>
      </c>
      <c r="BR65" s="138">
        <f t="shared" ca="1" si="79"/>
        <v>0</v>
      </c>
      <c r="BS65" s="138">
        <f t="shared" ca="1" si="79"/>
        <v>0</v>
      </c>
      <c r="BT65" s="138">
        <f t="shared" ca="1" si="79"/>
        <v>0</v>
      </c>
      <c r="BU65" s="138">
        <f t="shared" ca="1" si="79"/>
        <v>0</v>
      </c>
      <c r="BV65" s="138">
        <f t="shared" ca="1" si="79"/>
        <v>0</v>
      </c>
      <c r="BW65" s="138">
        <f t="shared" ca="1" si="79"/>
        <v>0</v>
      </c>
      <c r="BX65" s="138">
        <f t="shared" ca="1" si="79"/>
        <v>0</v>
      </c>
      <c r="BY65" s="138">
        <f t="shared" ca="1" si="79"/>
        <v>0</v>
      </c>
      <c r="BZ65" s="138">
        <f t="shared" ca="1" si="80"/>
        <v>0</v>
      </c>
      <c r="CA65" s="138">
        <f t="shared" ca="1" si="80"/>
        <v>0</v>
      </c>
      <c r="CB65" s="138">
        <f t="shared" ca="1" si="80"/>
        <v>0</v>
      </c>
      <c r="CC65" s="138">
        <f t="shared" ca="1" si="80"/>
        <v>0</v>
      </c>
      <c r="CD65" s="138">
        <f t="shared" ca="1" si="80"/>
        <v>0</v>
      </c>
      <c r="CE65" s="138">
        <f t="shared" ca="1" si="80"/>
        <v>0</v>
      </c>
      <c r="CF65" s="138">
        <f t="shared" ca="1" si="80"/>
        <v>0</v>
      </c>
      <c r="CG65" s="138">
        <f t="shared" ca="1" si="80"/>
        <v>0</v>
      </c>
      <c r="CH65" s="138">
        <f t="shared" ca="1" si="80"/>
        <v>0</v>
      </c>
      <c r="CI65" s="138">
        <f t="shared" ca="1" si="80"/>
        <v>0</v>
      </c>
      <c r="CJ65" s="138">
        <f t="shared" ca="1" si="81"/>
        <v>0</v>
      </c>
      <c r="CK65" s="138">
        <f t="shared" ca="1" si="81"/>
        <v>0</v>
      </c>
      <c r="CL65" s="138">
        <f t="shared" ca="1" si="81"/>
        <v>0</v>
      </c>
      <c r="CM65" s="138">
        <f t="shared" ca="1" si="81"/>
        <v>0</v>
      </c>
      <c r="CN65" s="138">
        <f t="shared" ca="1" si="81"/>
        <v>0</v>
      </c>
      <c r="CO65" s="138">
        <f t="shared" ca="1" si="81"/>
        <v>0</v>
      </c>
      <c r="CP65" s="138">
        <f t="shared" ca="1" si="81"/>
        <v>0</v>
      </c>
      <c r="CQ65" s="138">
        <f t="shared" ca="1" si="81"/>
        <v>0</v>
      </c>
      <c r="CR65" s="138">
        <f t="shared" ca="1" si="81"/>
        <v>0</v>
      </c>
      <c r="CS65" s="138">
        <f t="shared" ca="1" si="81"/>
        <v>0</v>
      </c>
      <c r="CT65" s="138">
        <f t="shared" ca="1" si="82"/>
        <v>0</v>
      </c>
      <c r="CU65" s="138">
        <f t="shared" ca="1" si="82"/>
        <v>0</v>
      </c>
      <c r="CV65" s="138">
        <f t="shared" ca="1" si="82"/>
        <v>0</v>
      </c>
      <c r="CW65" s="138">
        <f t="shared" ca="1" si="82"/>
        <v>0</v>
      </c>
      <c r="CX65" s="138">
        <f t="shared" ca="1" si="82"/>
        <v>0</v>
      </c>
      <c r="CY65" s="138">
        <f t="shared" ca="1" si="82"/>
        <v>0</v>
      </c>
      <c r="CZ65" s="138">
        <f t="shared" ca="1" si="82"/>
        <v>0</v>
      </c>
      <c r="DA65" s="138">
        <f t="shared" ca="1" si="82"/>
        <v>0</v>
      </c>
      <c r="DB65" s="138">
        <f t="shared" ca="1" si="82"/>
        <v>0</v>
      </c>
      <c r="DC65" s="138">
        <f t="shared" ca="1" si="82"/>
        <v>0</v>
      </c>
      <c r="DE65" s="254" t="str">
        <f t="shared" ca="1" si="25"/>
        <v>E.2.9.</v>
      </c>
      <c r="DF65">
        <v>1</v>
      </c>
      <c r="DG65">
        <f t="shared" ca="1" si="83"/>
        <v>21</v>
      </c>
      <c r="DH65">
        <v>0</v>
      </c>
    </row>
    <row r="66" spans="1:112" hidden="1">
      <c r="A66" s="124">
        <v>54</v>
      </c>
      <c r="B66" s="205" t="str">
        <f t="shared" ca="1" si="53"/>
        <v>E.2.L.</v>
      </c>
      <c r="C66" s="129" t="str">
        <f t="shared" ca="1" si="54"/>
        <v>Likutinė vertė</v>
      </c>
      <c r="D66" s="114"/>
      <c r="E66" s="148">
        <f t="shared" ca="1" si="55"/>
        <v>0.21</v>
      </c>
      <c r="F66" s="139">
        <f ca="1">H66+NPV(FD,I66:INDEX(I66:DC66,PAL))</f>
        <v>0</v>
      </c>
      <c r="G66" s="140">
        <f ca="1">SUMIF($H$5:$DC$5,"&lt;="&amp;PAL,$H66:$DC66)</f>
        <v>0</v>
      </c>
      <c r="H66" s="138">
        <f t="shared" ca="1" si="73"/>
        <v>0</v>
      </c>
      <c r="I66" s="138">
        <f t="shared" ca="1" si="73"/>
        <v>0</v>
      </c>
      <c r="J66" s="138">
        <f t="shared" ca="1" si="73"/>
        <v>0</v>
      </c>
      <c r="K66" s="138">
        <f t="shared" ca="1" si="73"/>
        <v>0</v>
      </c>
      <c r="L66" s="138">
        <f t="shared" ca="1" si="73"/>
        <v>0</v>
      </c>
      <c r="M66" s="138">
        <f t="shared" ca="1" si="73"/>
        <v>0</v>
      </c>
      <c r="N66" s="138">
        <f t="shared" ca="1" si="73"/>
        <v>0</v>
      </c>
      <c r="O66" s="138">
        <f t="shared" ca="1" si="73"/>
        <v>0</v>
      </c>
      <c r="P66" s="138">
        <f t="shared" ca="1" si="73"/>
        <v>0</v>
      </c>
      <c r="Q66" s="138">
        <f t="shared" ca="1" si="73"/>
        <v>0</v>
      </c>
      <c r="R66" s="138">
        <f t="shared" ca="1" si="74"/>
        <v>0</v>
      </c>
      <c r="S66" s="138">
        <f t="shared" ca="1" si="74"/>
        <v>0</v>
      </c>
      <c r="T66" s="138">
        <f t="shared" ca="1" si="74"/>
        <v>0</v>
      </c>
      <c r="U66" s="138">
        <f t="shared" ca="1" si="74"/>
        <v>0</v>
      </c>
      <c r="V66" s="138">
        <f t="shared" ca="1" si="74"/>
        <v>0</v>
      </c>
      <c r="W66" s="138">
        <f t="shared" ca="1" si="74"/>
        <v>0</v>
      </c>
      <c r="X66" s="138">
        <f t="shared" ca="1" si="74"/>
        <v>0</v>
      </c>
      <c r="Y66" s="138">
        <f t="shared" ca="1" si="74"/>
        <v>0</v>
      </c>
      <c r="Z66" s="138">
        <f t="shared" ca="1" si="74"/>
        <v>0</v>
      </c>
      <c r="AA66" s="138">
        <f t="shared" ca="1" si="74"/>
        <v>0</v>
      </c>
      <c r="AB66" s="138">
        <f t="shared" ca="1" si="75"/>
        <v>0</v>
      </c>
      <c r="AC66" s="138">
        <f t="shared" ca="1" si="75"/>
        <v>0</v>
      </c>
      <c r="AD66" s="138">
        <f t="shared" ca="1" si="75"/>
        <v>0</v>
      </c>
      <c r="AE66" s="138">
        <f t="shared" ca="1" si="75"/>
        <v>0</v>
      </c>
      <c r="AF66" s="138">
        <f t="shared" ca="1" si="75"/>
        <v>0</v>
      </c>
      <c r="AG66" s="138">
        <f t="shared" ca="1" si="75"/>
        <v>0</v>
      </c>
      <c r="AH66" s="138">
        <f t="shared" ca="1" si="75"/>
        <v>0</v>
      </c>
      <c r="AI66" s="138">
        <f t="shared" ca="1" si="75"/>
        <v>0</v>
      </c>
      <c r="AJ66" s="138">
        <f t="shared" ca="1" si="75"/>
        <v>0</v>
      </c>
      <c r="AK66" s="138">
        <f t="shared" ca="1" si="75"/>
        <v>0</v>
      </c>
      <c r="AL66" s="138">
        <f t="shared" ca="1" si="76"/>
        <v>0</v>
      </c>
      <c r="AM66" s="138">
        <f t="shared" ca="1" si="76"/>
        <v>0</v>
      </c>
      <c r="AN66" s="138">
        <f t="shared" ca="1" si="76"/>
        <v>0</v>
      </c>
      <c r="AO66" s="138">
        <f t="shared" ca="1" si="76"/>
        <v>0</v>
      </c>
      <c r="AP66" s="138">
        <f t="shared" ca="1" si="76"/>
        <v>0</v>
      </c>
      <c r="AQ66" s="138">
        <f t="shared" ca="1" si="76"/>
        <v>0</v>
      </c>
      <c r="AR66" s="138">
        <f t="shared" ca="1" si="76"/>
        <v>0</v>
      </c>
      <c r="AS66" s="138">
        <f t="shared" ca="1" si="76"/>
        <v>0</v>
      </c>
      <c r="AT66" s="138">
        <f t="shared" ca="1" si="76"/>
        <v>0</v>
      </c>
      <c r="AU66" s="138">
        <f t="shared" ca="1" si="76"/>
        <v>0</v>
      </c>
      <c r="AV66" s="138">
        <f t="shared" ca="1" si="77"/>
        <v>0</v>
      </c>
      <c r="AW66" s="138">
        <f t="shared" ca="1" si="77"/>
        <v>0</v>
      </c>
      <c r="AX66" s="138">
        <f t="shared" ca="1" si="77"/>
        <v>0</v>
      </c>
      <c r="AY66" s="138">
        <f t="shared" ca="1" si="77"/>
        <v>0</v>
      </c>
      <c r="AZ66" s="138">
        <f t="shared" ca="1" si="77"/>
        <v>0</v>
      </c>
      <c r="BA66" s="138">
        <f t="shared" ca="1" si="77"/>
        <v>0</v>
      </c>
      <c r="BB66" s="138">
        <f t="shared" ca="1" si="77"/>
        <v>0</v>
      </c>
      <c r="BC66" s="138">
        <f t="shared" ca="1" si="77"/>
        <v>0</v>
      </c>
      <c r="BD66" s="138">
        <f t="shared" ca="1" si="77"/>
        <v>0</v>
      </c>
      <c r="BE66" s="138">
        <f t="shared" ca="1" si="77"/>
        <v>0</v>
      </c>
      <c r="BF66" s="138">
        <f t="shared" ca="1" si="78"/>
        <v>0</v>
      </c>
      <c r="BG66" s="138">
        <f t="shared" ca="1" si="78"/>
        <v>0</v>
      </c>
      <c r="BH66" s="138">
        <f t="shared" ca="1" si="78"/>
        <v>0</v>
      </c>
      <c r="BI66" s="138">
        <f t="shared" ca="1" si="78"/>
        <v>0</v>
      </c>
      <c r="BJ66" s="138">
        <f t="shared" ca="1" si="78"/>
        <v>0</v>
      </c>
      <c r="BK66" s="138">
        <f t="shared" ca="1" si="78"/>
        <v>0</v>
      </c>
      <c r="BL66" s="138">
        <f t="shared" ca="1" si="78"/>
        <v>0</v>
      </c>
      <c r="BM66" s="138">
        <f t="shared" ca="1" si="78"/>
        <v>0</v>
      </c>
      <c r="BN66" s="138">
        <f t="shared" ca="1" si="78"/>
        <v>0</v>
      </c>
      <c r="BO66" s="138">
        <f t="shared" ca="1" si="78"/>
        <v>0</v>
      </c>
      <c r="BP66" s="138">
        <f t="shared" ca="1" si="79"/>
        <v>0</v>
      </c>
      <c r="BQ66" s="138">
        <f t="shared" ca="1" si="79"/>
        <v>0</v>
      </c>
      <c r="BR66" s="138">
        <f t="shared" ca="1" si="79"/>
        <v>0</v>
      </c>
      <c r="BS66" s="138">
        <f t="shared" ca="1" si="79"/>
        <v>0</v>
      </c>
      <c r="BT66" s="138">
        <f t="shared" ca="1" si="79"/>
        <v>0</v>
      </c>
      <c r="BU66" s="138">
        <f t="shared" ca="1" si="79"/>
        <v>0</v>
      </c>
      <c r="BV66" s="138">
        <f t="shared" ca="1" si="79"/>
        <v>0</v>
      </c>
      <c r="BW66" s="138">
        <f t="shared" ca="1" si="79"/>
        <v>0</v>
      </c>
      <c r="BX66" s="138">
        <f t="shared" ca="1" si="79"/>
        <v>0</v>
      </c>
      <c r="BY66" s="138">
        <f t="shared" ca="1" si="79"/>
        <v>0</v>
      </c>
      <c r="BZ66" s="138">
        <f t="shared" ca="1" si="80"/>
        <v>0</v>
      </c>
      <c r="CA66" s="138">
        <f t="shared" ca="1" si="80"/>
        <v>0</v>
      </c>
      <c r="CB66" s="138">
        <f t="shared" ca="1" si="80"/>
        <v>0</v>
      </c>
      <c r="CC66" s="138">
        <f t="shared" ca="1" si="80"/>
        <v>0</v>
      </c>
      <c r="CD66" s="138">
        <f t="shared" ca="1" si="80"/>
        <v>0</v>
      </c>
      <c r="CE66" s="138">
        <f t="shared" ca="1" si="80"/>
        <v>0</v>
      </c>
      <c r="CF66" s="138">
        <f t="shared" ca="1" si="80"/>
        <v>0</v>
      </c>
      <c r="CG66" s="138">
        <f t="shared" ca="1" si="80"/>
        <v>0</v>
      </c>
      <c r="CH66" s="138">
        <f t="shared" ca="1" si="80"/>
        <v>0</v>
      </c>
      <c r="CI66" s="138">
        <f t="shared" ca="1" si="80"/>
        <v>0</v>
      </c>
      <c r="CJ66" s="138">
        <f t="shared" ca="1" si="81"/>
        <v>0</v>
      </c>
      <c r="CK66" s="138">
        <f t="shared" ca="1" si="81"/>
        <v>0</v>
      </c>
      <c r="CL66" s="138">
        <f t="shared" ca="1" si="81"/>
        <v>0</v>
      </c>
      <c r="CM66" s="138">
        <f t="shared" ca="1" si="81"/>
        <v>0</v>
      </c>
      <c r="CN66" s="138">
        <f t="shared" ca="1" si="81"/>
        <v>0</v>
      </c>
      <c r="CO66" s="138">
        <f t="shared" ca="1" si="81"/>
        <v>0</v>
      </c>
      <c r="CP66" s="138">
        <f t="shared" ca="1" si="81"/>
        <v>0</v>
      </c>
      <c r="CQ66" s="138">
        <f t="shared" ca="1" si="81"/>
        <v>0</v>
      </c>
      <c r="CR66" s="138">
        <f t="shared" ca="1" si="81"/>
        <v>0</v>
      </c>
      <c r="CS66" s="138">
        <f t="shared" ca="1" si="81"/>
        <v>0</v>
      </c>
      <c r="CT66" s="138">
        <f t="shared" ca="1" si="82"/>
        <v>0</v>
      </c>
      <c r="CU66" s="138">
        <f t="shared" ca="1" si="82"/>
        <v>0</v>
      </c>
      <c r="CV66" s="138">
        <f t="shared" ca="1" si="82"/>
        <v>0</v>
      </c>
      <c r="CW66" s="138">
        <f t="shared" ca="1" si="82"/>
        <v>0</v>
      </c>
      <c r="CX66" s="138">
        <f t="shared" ca="1" si="82"/>
        <v>0</v>
      </c>
      <c r="CY66" s="138">
        <f t="shared" ca="1" si="82"/>
        <v>0</v>
      </c>
      <c r="CZ66" s="138">
        <f t="shared" ca="1" si="82"/>
        <v>0</v>
      </c>
      <c r="DA66" s="138">
        <f t="shared" ca="1" si="82"/>
        <v>0</v>
      </c>
      <c r="DB66" s="138">
        <f t="shared" ca="1" si="82"/>
        <v>0</v>
      </c>
      <c r="DC66" s="138">
        <f t="shared" ca="1" si="82"/>
        <v>0</v>
      </c>
      <c r="DE66" s="254" t="str">
        <f t="shared" ca="1" si="25"/>
        <v>E.2.L.</v>
      </c>
      <c r="DF66">
        <v>1</v>
      </c>
      <c r="DG66">
        <f t="shared" ca="1" si="83"/>
        <v>21</v>
      </c>
      <c r="DH66">
        <f ca="1">DG66/(100+DG66)</f>
        <v>0.17355371900826447</v>
      </c>
    </row>
    <row r="67" spans="1:112" hidden="1">
      <c r="A67" s="124">
        <v>55</v>
      </c>
      <c r="B67" s="205" t="str">
        <f t="shared" ca="1" si="53"/>
        <v>E.3.</v>
      </c>
      <c r="C67" s="197" t="str">
        <f t="shared" ca="1" si="54"/>
        <v>Investicijos į žinias ir žmogiškuosius išteklius</v>
      </c>
      <c r="D67" s="132"/>
      <c r="E67" s="233" t="str">
        <f t="shared" ca="1" si="55"/>
        <v/>
      </c>
      <c r="F67" s="141">
        <f ca="1">SUM(F68:F75)+F76</f>
        <v>2759783.0387513479</v>
      </c>
      <c r="G67" s="140">
        <f ca="1">SUMIF($H$5:$DC$5,"&lt;="&amp;PAL,$H67:$DC67)</f>
        <v>3025140.4630431999</v>
      </c>
      <c r="H67" s="234">
        <f ca="1">SUM(H68:H76)</f>
        <v>0</v>
      </c>
      <c r="I67" s="234">
        <f t="shared" ref="I67:BT67" ca="1" si="84">SUM(I68:I76)</f>
        <v>217480.76753200003</v>
      </c>
      <c r="J67" s="234">
        <f t="shared" ca="1" si="84"/>
        <v>1549830.2703541333</v>
      </c>
      <c r="K67" s="234">
        <f t="shared" ca="1" si="84"/>
        <v>1253329.4251570667</v>
      </c>
      <c r="L67" s="234">
        <f t="shared" ca="1" si="84"/>
        <v>0</v>
      </c>
      <c r="M67" s="234">
        <f t="shared" ca="1" si="84"/>
        <v>0</v>
      </c>
      <c r="N67" s="234">
        <f t="shared" ca="1" si="84"/>
        <v>4500</v>
      </c>
      <c r="O67" s="234">
        <f t="shared" ca="1" si="84"/>
        <v>0</v>
      </c>
      <c r="P67" s="234">
        <f t="shared" ca="1" si="84"/>
        <v>0</v>
      </c>
      <c r="Q67" s="234">
        <f t="shared" ca="1" si="84"/>
        <v>0</v>
      </c>
      <c r="R67" s="234">
        <f t="shared" ca="1" si="84"/>
        <v>0</v>
      </c>
      <c r="S67" s="234">
        <f t="shared" ca="1" si="84"/>
        <v>0</v>
      </c>
      <c r="T67" s="234">
        <f t="shared" ca="1" si="84"/>
        <v>0</v>
      </c>
      <c r="U67" s="234">
        <f t="shared" ca="1" si="84"/>
        <v>0</v>
      </c>
      <c r="V67" s="234">
        <f t="shared" ca="1" si="84"/>
        <v>0</v>
      </c>
      <c r="W67" s="234">
        <f t="shared" ca="1" si="84"/>
        <v>0</v>
      </c>
      <c r="X67" s="234">
        <f t="shared" ca="1" si="84"/>
        <v>0</v>
      </c>
      <c r="Y67" s="234">
        <f t="shared" ca="1" si="84"/>
        <v>0</v>
      </c>
      <c r="Z67" s="234">
        <f t="shared" ca="1" si="84"/>
        <v>0</v>
      </c>
      <c r="AA67" s="234">
        <f t="shared" ca="1" si="84"/>
        <v>0</v>
      </c>
      <c r="AB67" s="234">
        <f t="shared" ca="1" si="84"/>
        <v>0</v>
      </c>
      <c r="AC67" s="234">
        <f t="shared" ca="1" si="84"/>
        <v>0</v>
      </c>
      <c r="AD67" s="234">
        <f t="shared" ca="1" si="84"/>
        <v>0</v>
      </c>
      <c r="AE67" s="234">
        <f t="shared" ca="1" si="84"/>
        <v>0</v>
      </c>
      <c r="AF67" s="234">
        <f t="shared" ca="1" si="84"/>
        <v>0</v>
      </c>
      <c r="AG67" s="234">
        <f t="shared" ca="1" si="84"/>
        <v>0</v>
      </c>
      <c r="AH67" s="234">
        <f t="shared" ca="1" si="84"/>
        <v>0</v>
      </c>
      <c r="AI67" s="234">
        <f t="shared" ca="1" si="84"/>
        <v>0</v>
      </c>
      <c r="AJ67" s="234">
        <f t="shared" ca="1" si="84"/>
        <v>0</v>
      </c>
      <c r="AK67" s="234">
        <f t="shared" ca="1" si="84"/>
        <v>0</v>
      </c>
      <c r="AL67" s="234">
        <f t="shared" ca="1" si="84"/>
        <v>0</v>
      </c>
      <c r="AM67" s="234">
        <f t="shared" ca="1" si="84"/>
        <v>0</v>
      </c>
      <c r="AN67" s="234">
        <f t="shared" ca="1" si="84"/>
        <v>0</v>
      </c>
      <c r="AO67" s="234">
        <f t="shared" ca="1" si="84"/>
        <v>0</v>
      </c>
      <c r="AP67" s="234">
        <f t="shared" ca="1" si="84"/>
        <v>0</v>
      </c>
      <c r="AQ67" s="234">
        <f t="shared" ca="1" si="84"/>
        <v>0</v>
      </c>
      <c r="AR67" s="234">
        <f t="shared" ca="1" si="84"/>
        <v>0</v>
      </c>
      <c r="AS67" s="234">
        <f t="shared" ca="1" si="84"/>
        <v>0</v>
      </c>
      <c r="AT67" s="234">
        <f t="shared" ca="1" si="84"/>
        <v>0</v>
      </c>
      <c r="AU67" s="234">
        <f t="shared" ca="1" si="84"/>
        <v>0</v>
      </c>
      <c r="AV67" s="234">
        <f t="shared" ca="1" si="84"/>
        <v>0</v>
      </c>
      <c r="AW67" s="234">
        <f t="shared" ca="1" si="84"/>
        <v>0</v>
      </c>
      <c r="AX67" s="234">
        <f t="shared" ca="1" si="84"/>
        <v>0</v>
      </c>
      <c r="AY67" s="234">
        <f t="shared" ca="1" si="84"/>
        <v>0</v>
      </c>
      <c r="AZ67" s="234">
        <f t="shared" ca="1" si="84"/>
        <v>0</v>
      </c>
      <c r="BA67" s="234">
        <f t="shared" ca="1" si="84"/>
        <v>0</v>
      </c>
      <c r="BB67" s="234">
        <f t="shared" ca="1" si="84"/>
        <v>0</v>
      </c>
      <c r="BC67" s="234">
        <f t="shared" ca="1" si="84"/>
        <v>0</v>
      </c>
      <c r="BD67" s="234">
        <f t="shared" ca="1" si="84"/>
        <v>0</v>
      </c>
      <c r="BE67" s="234">
        <f t="shared" ca="1" si="84"/>
        <v>0</v>
      </c>
      <c r="BF67" s="234">
        <f t="shared" ca="1" si="84"/>
        <v>0</v>
      </c>
      <c r="BG67" s="234">
        <f t="shared" ca="1" si="84"/>
        <v>0</v>
      </c>
      <c r="BH67" s="234">
        <f t="shared" ca="1" si="84"/>
        <v>0</v>
      </c>
      <c r="BI67" s="234">
        <f t="shared" ca="1" si="84"/>
        <v>0</v>
      </c>
      <c r="BJ67" s="234">
        <f t="shared" ca="1" si="84"/>
        <v>0</v>
      </c>
      <c r="BK67" s="234">
        <f t="shared" ca="1" si="84"/>
        <v>0</v>
      </c>
      <c r="BL67" s="234">
        <f t="shared" ca="1" si="84"/>
        <v>0</v>
      </c>
      <c r="BM67" s="234">
        <f t="shared" ca="1" si="84"/>
        <v>0</v>
      </c>
      <c r="BN67" s="234">
        <f t="shared" ca="1" si="84"/>
        <v>0</v>
      </c>
      <c r="BO67" s="234">
        <f t="shared" ca="1" si="84"/>
        <v>0</v>
      </c>
      <c r="BP67" s="234">
        <f t="shared" ca="1" si="84"/>
        <v>0</v>
      </c>
      <c r="BQ67" s="234">
        <f t="shared" ca="1" si="84"/>
        <v>0</v>
      </c>
      <c r="BR67" s="234">
        <f t="shared" ca="1" si="84"/>
        <v>0</v>
      </c>
      <c r="BS67" s="234">
        <f t="shared" ca="1" si="84"/>
        <v>0</v>
      </c>
      <c r="BT67" s="234">
        <f t="shared" ca="1" si="84"/>
        <v>0</v>
      </c>
      <c r="BU67" s="234">
        <f t="shared" ref="BU67:DC67" ca="1" si="85">SUM(BU68:BU76)</f>
        <v>0</v>
      </c>
      <c r="BV67" s="234">
        <f t="shared" ca="1" si="85"/>
        <v>0</v>
      </c>
      <c r="BW67" s="234">
        <f t="shared" ca="1" si="85"/>
        <v>0</v>
      </c>
      <c r="BX67" s="234">
        <f t="shared" ca="1" si="85"/>
        <v>0</v>
      </c>
      <c r="BY67" s="234">
        <f t="shared" ca="1" si="85"/>
        <v>0</v>
      </c>
      <c r="BZ67" s="234">
        <f t="shared" ca="1" si="85"/>
        <v>0</v>
      </c>
      <c r="CA67" s="234">
        <f t="shared" ca="1" si="85"/>
        <v>0</v>
      </c>
      <c r="CB67" s="234">
        <f t="shared" ca="1" si="85"/>
        <v>0</v>
      </c>
      <c r="CC67" s="234">
        <f t="shared" ca="1" si="85"/>
        <v>0</v>
      </c>
      <c r="CD67" s="234">
        <f t="shared" ca="1" si="85"/>
        <v>0</v>
      </c>
      <c r="CE67" s="234">
        <f t="shared" ca="1" si="85"/>
        <v>0</v>
      </c>
      <c r="CF67" s="234">
        <f t="shared" ca="1" si="85"/>
        <v>0</v>
      </c>
      <c r="CG67" s="234">
        <f t="shared" ca="1" si="85"/>
        <v>0</v>
      </c>
      <c r="CH67" s="234">
        <f t="shared" ca="1" si="85"/>
        <v>0</v>
      </c>
      <c r="CI67" s="234">
        <f t="shared" ca="1" si="85"/>
        <v>0</v>
      </c>
      <c r="CJ67" s="234">
        <f t="shared" ca="1" si="85"/>
        <v>0</v>
      </c>
      <c r="CK67" s="234">
        <f t="shared" ca="1" si="85"/>
        <v>0</v>
      </c>
      <c r="CL67" s="234">
        <f t="shared" ca="1" si="85"/>
        <v>0</v>
      </c>
      <c r="CM67" s="234">
        <f t="shared" ca="1" si="85"/>
        <v>0</v>
      </c>
      <c r="CN67" s="234">
        <f t="shared" ca="1" si="85"/>
        <v>0</v>
      </c>
      <c r="CO67" s="234">
        <f t="shared" ca="1" si="85"/>
        <v>0</v>
      </c>
      <c r="CP67" s="234">
        <f t="shared" ca="1" si="85"/>
        <v>0</v>
      </c>
      <c r="CQ67" s="234">
        <f t="shared" ca="1" si="85"/>
        <v>0</v>
      </c>
      <c r="CR67" s="234">
        <f t="shared" ca="1" si="85"/>
        <v>0</v>
      </c>
      <c r="CS67" s="234">
        <f t="shared" ca="1" si="85"/>
        <v>0</v>
      </c>
      <c r="CT67" s="234">
        <f t="shared" ca="1" si="85"/>
        <v>0</v>
      </c>
      <c r="CU67" s="234">
        <f t="shared" ca="1" si="85"/>
        <v>0</v>
      </c>
      <c r="CV67" s="234">
        <f t="shared" ca="1" si="85"/>
        <v>0</v>
      </c>
      <c r="CW67" s="234">
        <f t="shared" ca="1" si="85"/>
        <v>0</v>
      </c>
      <c r="CX67" s="234">
        <f t="shared" ca="1" si="85"/>
        <v>0</v>
      </c>
      <c r="CY67" s="234">
        <f t="shared" ca="1" si="85"/>
        <v>0</v>
      </c>
      <c r="CZ67" s="234">
        <f t="shared" ca="1" si="85"/>
        <v>0</v>
      </c>
      <c r="DA67" s="234">
        <f t="shared" ca="1" si="85"/>
        <v>0</v>
      </c>
      <c r="DB67" s="234">
        <f t="shared" ca="1" si="85"/>
        <v>0</v>
      </c>
      <c r="DC67" s="234">
        <f t="shared" ca="1" si="85"/>
        <v>0</v>
      </c>
      <c r="DE67" s="254"/>
      <c r="DF67">
        <v>1</v>
      </c>
    </row>
    <row r="68" spans="1:112" hidden="1">
      <c r="A68" s="124">
        <v>56</v>
      </c>
      <c r="B68" s="205" t="str">
        <f t="shared" ca="1" si="53"/>
        <v>E.3.1.</v>
      </c>
      <c r="C68" s="129" t="str">
        <f t="shared" ca="1" si="54"/>
        <v>Ekonominės diplomatijos funkcijų stiprinimas</v>
      </c>
      <c r="D68" s="144"/>
      <c r="E68" s="148">
        <f t="shared" ca="1" si="55"/>
        <v>0</v>
      </c>
      <c r="F68" s="139">
        <f ca="1">H68+NPV(FD,I68:INDEX(I68:DC68,PAL))</f>
        <v>2040549.0925728057</v>
      </c>
      <c r="G68" s="140">
        <f ca="1">SUMIF($H$5:$DC$5,"&lt;="&amp;PAL,$H68:$DC68)</f>
        <v>2229976.3974496</v>
      </c>
      <c r="H68" s="138">
        <f t="shared" ref="H68:Q77" ca="1" si="86">OFFSET(INDIRECT("'"&amp;Opt_alt&amp;"'!H12"),$A68,H$5)*$DF68</f>
        <v>0</v>
      </c>
      <c r="I68" s="138">
        <f t="shared" ca="1" si="86"/>
        <v>217480.76753200003</v>
      </c>
      <c r="J68" s="138">
        <f t="shared" ca="1" si="86"/>
        <v>1190434.6596901333</v>
      </c>
      <c r="K68" s="138">
        <f t="shared" ca="1" si="86"/>
        <v>822060.97022746666</v>
      </c>
      <c r="L68" s="138">
        <f t="shared" ca="1" si="86"/>
        <v>0</v>
      </c>
      <c r="M68" s="138">
        <f t="shared" ca="1" si="86"/>
        <v>0</v>
      </c>
      <c r="N68" s="138">
        <f t="shared" ca="1" si="86"/>
        <v>0</v>
      </c>
      <c r="O68" s="138">
        <f t="shared" ca="1" si="86"/>
        <v>0</v>
      </c>
      <c r="P68" s="138">
        <f t="shared" ca="1" si="86"/>
        <v>0</v>
      </c>
      <c r="Q68" s="138">
        <f t="shared" ca="1" si="86"/>
        <v>0</v>
      </c>
      <c r="R68" s="138">
        <f t="shared" ref="R68:AA77" ca="1" si="87">OFFSET(INDIRECT("'"&amp;Opt_alt&amp;"'!H12"),$A68,R$5)*$DF68</f>
        <v>0</v>
      </c>
      <c r="S68" s="138">
        <f t="shared" ca="1" si="87"/>
        <v>0</v>
      </c>
      <c r="T68" s="138">
        <f t="shared" ca="1" si="87"/>
        <v>0</v>
      </c>
      <c r="U68" s="138">
        <f t="shared" ca="1" si="87"/>
        <v>0</v>
      </c>
      <c r="V68" s="138">
        <f t="shared" ca="1" si="87"/>
        <v>0</v>
      </c>
      <c r="W68" s="138">
        <f t="shared" ca="1" si="87"/>
        <v>0</v>
      </c>
      <c r="X68" s="138">
        <f t="shared" ca="1" si="87"/>
        <v>0</v>
      </c>
      <c r="Y68" s="138">
        <f t="shared" ca="1" si="87"/>
        <v>0</v>
      </c>
      <c r="Z68" s="138">
        <f t="shared" ca="1" si="87"/>
        <v>0</v>
      </c>
      <c r="AA68" s="138">
        <f t="shared" ca="1" si="87"/>
        <v>0</v>
      </c>
      <c r="AB68" s="138">
        <f t="shared" ref="AB68:AK77" ca="1" si="88">OFFSET(INDIRECT("'"&amp;Opt_alt&amp;"'!H12"),$A68,AB$5)*$DF68</f>
        <v>0</v>
      </c>
      <c r="AC68" s="138">
        <f t="shared" ca="1" si="88"/>
        <v>0</v>
      </c>
      <c r="AD68" s="138">
        <f t="shared" ca="1" si="88"/>
        <v>0</v>
      </c>
      <c r="AE68" s="138">
        <f t="shared" ca="1" si="88"/>
        <v>0</v>
      </c>
      <c r="AF68" s="138">
        <f t="shared" ca="1" si="88"/>
        <v>0</v>
      </c>
      <c r="AG68" s="138">
        <f t="shared" ca="1" si="88"/>
        <v>0</v>
      </c>
      <c r="AH68" s="138">
        <f t="shared" ca="1" si="88"/>
        <v>0</v>
      </c>
      <c r="AI68" s="138">
        <f t="shared" ca="1" si="88"/>
        <v>0</v>
      </c>
      <c r="AJ68" s="138">
        <f t="shared" ca="1" si="88"/>
        <v>0</v>
      </c>
      <c r="AK68" s="138">
        <f t="shared" ca="1" si="88"/>
        <v>0</v>
      </c>
      <c r="AL68" s="138">
        <f t="shared" ref="AL68:AU77" ca="1" si="89">OFFSET(INDIRECT("'"&amp;Opt_alt&amp;"'!H12"),$A68,AL$5)*$DF68</f>
        <v>0</v>
      </c>
      <c r="AM68" s="138">
        <f t="shared" ca="1" si="89"/>
        <v>0</v>
      </c>
      <c r="AN68" s="138">
        <f t="shared" ca="1" si="89"/>
        <v>0</v>
      </c>
      <c r="AO68" s="138">
        <f t="shared" ca="1" si="89"/>
        <v>0</v>
      </c>
      <c r="AP68" s="138">
        <f t="shared" ca="1" si="89"/>
        <v>0</v>
      </c>
      <c r="AQ68" s="138">
        <f t="shared" ca="1" si="89"/>
        <v>0</v>
      </c>
      <c r="AR68" s="138">
        <f t="shared" ca="1" si="89"/>
        <v>0</v>
      </c>
      <c r="AS68" s="138">
        <f t="shared" ca="1" si="89"/>
        <v>0</v>
      </c>
      <c r="AT68" s="138">
        <f t="shared" ca="1" si="89"/>
        <v>0</v>
      </c>
      <c r="AU68" s="138">
        <f t="shared" ca="1" si="89"/>
        <v>0</v>
      </c>
      <c r="AV68" s="138">
        <f t="shared" ref="AV68:BE77" ca="1" si="90">OFFSET(INDIRECT("'"&amp;Opt_alt&amp;"'!H12"),$A68,AV$5)*$DF68</f>
        <v>0</v>
      </c>
      <c r="AW68" s="138">
        <f t="shared" ca="1" si="90"/>
        <v>0</v>
      </c>
      <c r="AX68" s="138">
        <f t="shared" ca="1" si="90"/>
        <v>0</v>
      </c>
      <c r="AY68" s="138">
        <f t="shared" ca="1" si="90"/>
        <v>0</v>
      </c>
      <c r="AZ68" s="138">
        <f t="shared" ca="1" si="90"/>
        <v>0</v>
      </c>
      <c r="BA68" s="138">
        <f t="shared" ca="1" si="90"/>
        <v>0</v>
      </c>
      <c r="BB68" s="138">
        <f t="shared" ca="1" si="90"/>
        <v>0</v>
      </c>
      <c r="BC68" s="138">
        <f t="shared" ca="1" si="90"/>
        <v>0</v>
      </c>
      <c r="BD68" s="138">
        <f t="shared" ca="1" si="90"/>
        <v>0</v>
      </c>
      <c r="BE68" s="138">
        <f t="shared" ca="1" si="90"/>
        <v>0</v>
      </c>
      <c r="BF68" s="138">
        <f t="shared" ref="BF68:BO77" ca="1" si="91">OFFSET(INDIRECT("'"&amp;Opt_alt&amp;"'!H12"),$A68,BF$5)*$DF68</f>
        <v>0</v>
      </c>
      <c r="BG68" s="138">
        <f t="shared" ca="1" si="91"/>
        <v>0</v>
      </c>
      <c r="BH68" s="138">
        <f t="shared" ca="1" si="91"/>
        <v>0</v>
      </c>
      <c r="BI68" s="138">
        <f t="shared" ca="1" si="91"/>
        <v>0</v>
      </c>
      <c r="BJ68" s="138">
        <f t="shared" ca="1" si="91"/>
        <v>0</v>
      </c>
      <c r="BK68" s="138">
        <f t="shared" ca="1" si="91"/>
        <v>0</v>
      </c>
      <c r="BL68" s="138">
        <f t="shared" ca="1" si="91"/>
        <v>0</v>
      </c>
      <c r="BM68" s="138">
        <f t="shared" ca="1" si="91"/>
        <v>0</v>
      </c>
      <c r="BN68" s="138">
        <f t="shared" ca="1" si="91"/>
        <v>0</v>
      </c>
      <c r="BO68" s="138">
        <f t="shared" ca="1" si="91"/>
        <v>0</v>
      </c>
      <c r="BP68" s="138">
        <f t="shared" ref="BP68:BY77" ca="1" si="92">OFFSET(INDIRECT("'"&amp;Opt_alt&amp;"'!H12"),$A68,BP$5)*$DF68</f>
        <v>0</v>
      </c>
      <c r="BQ68" s="138">
        <f t="shared" ca="1" si="92"/>
        <v>0</v>
      </c>
      <c r="BR68" s="138">
        <f t="shared" ca="1" si="92"/>
        <v>0</v>
      </c>
      <c r="BS68" s="138">
        <f t="shared" ca="1" si="92"/>
        <v>0</v>
      </c>
      <c r="BT68" s="138">
        <f t="shared" ca="1" si="92"/>
        <v>0</v>
      </c>
      <c r="BU68" s="138">
        <f t="shared" ca="1" si="92"/>
        <v>0</v>
      </c>
      <c r="BV68" s="138">
        <f t="shared" ca="1" si="92"/>
        <v>0</v>
      </c>
      <c r="BW68" s="138">
        <f t="shared" ca="1" si="92"/>
        <v>0</v>
      </c>
      <c r="BX68" s="138">
        <f t="shared" ca="1" si="92"/>
        <v>0</v>
      </c>
      <c r="BY68" s="138">
        <f t="shared" ca="1" si="92"/>
        <v>0</v>
      </c>
      <c r="BZ68" s="138">
        <f t="shared" ref="BZ68:CI77" ca="1" si="93">OFFSET(INDIRECT("'"&amp;Opt_alt&amp;"'!H12"),$A68,BZ$5)*$DF68</f>
        <v>0</v>
      </c>
      <c r="CA68" s="138">
        <f t="shared" ca="1" si="93"/>
        <v>0</v>
      </c>
      <c r="CB68" s="138">
        <f t="shared" ca="1" si="93"/>
        <v>0</v>
      </c>
      <c r="CC68" s="138">
        <f t="shared" ca="1" si="93"/>
        <v>0</v>
      </c>
      <c r="CD68" s="138">
        <f t="shared" ca="1" si="93"/>
        <v>0</v>
      </c>
      <c r="CE68" s="138">
        <f t="shared" ca="1" si="93"/>
        <v>0</v>
      </c>
      <c r="CF68" s="138">
        <f t="shared" ca="1" si="93"/>
        <v>0</v>
      </c>
      <c r="CG68" s="138">
        <f t="shared" ca="1" si="93"/>
        <v>0</v>
      </c>
      <c r="CH68" s="138">
        <f t="shared" ca="1" si="93"/>
        <v>0</v>
      </c>
      <c r="CI68" s="138">
        <f t="shared" ca="1" si="93"/>
        <v>0</v>
      </c>
      <c r="CJ68" s="138">
        <f t="shared" ref="CJ68:CS77" ca="1" si="94">OFFSET(INDIRECT("'"&amp;Opt_alt&amp;"'!H12"),$A68,CJ$5)*$DF68</f>
        <v>0</v>
      </c>
      <c r="CK68" s="138">
        <f t="shared" ca="1" si="94"/>
        <v>0</v>
      </c>
      <c r="CL68" s="138">
        <f t="shared" ca="1" si="94"/>
        <v>0</v>
      </c>
      <c r="CM68" s="138">
        <f t="shared" ca="1" si="94"/>
        <v>0</v>
      </c>
      <c r="CN68" s="138">
        <f t="shared" ca="1" si="94"/>
        <v>0</v>
      </c>
      <c r="CO68" s="138">
        <f t="shared" ca="1" si="94"/>
        <v>0</v>
      </c>
      <c r="CP68" s="138">
        <f t="shared" ca="1" si="94"/>
        <v>0</v>
      </c>
      <c r="CQ68" s="138">
        <f t="shared" ca="1" si="94"/>
        <v>0</v>
      </c>
      <c r="CR68" s="138">
        <f t="shared" ca="1" si="94"/>
        <v>0</v>
      </c>
      <c r="CS68" s="138">
        <f t="shared" ca="1" si="94"/>
        <v>0</v>
      </c>
      <c r="CT68" s="138">
        <f t="shared" ref="CT68:DC77" ca="1" si="95">OFFSET(INDIRECT("'"&amp;Opt_alt&amp;"'!H12"),$A68,CT$5)*$DF68</f>
        <v>0</v>
      </c>
      <c r="CU68" s="138">
        <f t="shared" ca="1" si="95"/>
        <v>0</v>
      </c>
      <c r="CV68" s="138">
        <f t="shared" ca="1" si="95"/>
        <v>0</v>
      </c>
      <c r="CW68" s="138">
        <f t="shared" ca="1" si="95"/>
        <v>0</v>
      </c>
      <c r="CX68" s="138">
        <f t="shared" ca="1" si="95"/>
        <v>0</v>
      </c>
      <c r="CY68" s="138">
        <f t="shared" ca="1" si="95"/>
        <v>0</v>
      </c>
      <c r="CZ68" s="138">
        <f t="shared" ca="1" si="95"/>
        <v>0</v>
      </c>
      <c r="DA68" s="138">
        <f t="shared" ca="1" si="95"/>
        <v>0</v>
      </c>
      <c r="DB68" s="138">
        <f t="shared" ca="1" si="95"/>
        <v>0</v>
      </c>
      <c r="DC68" s="138">
        <f t="shared" ca="1" si="95"/>
        <v>0</v>
      </c>
      <c r="DE68" s="254" t="str">
        <f t="shared" ca="1" si="25"/>
        <v>E.3.1.</v>
      </c>
      <c r="DF68">
        <v>1</v>
      </c>
      <c r="DG68">
        <f t="shared" ref="DG68:DG77" ca="1" si="96">OFFSET(INDIRECT("'"&amp;Opt_alt&amp;"'!H12"),$A68,DG$5)</f>
        <v>0</v>
      </c>
      <c r="DH68">
        <v>0</v>
      </c>
    </row>
    <row r="69" spans="1:112" hidden="1">
      <c r="A69" s="124">
        <v>57</v>
      </c>
      <c r="B69" s="205" t="str">
        <f t="shared" ca="1" si="53"/>
        <v>E.3.2.</v>
      </c>
      <c r="C69" s="129" t="str">
        <f t="shared" ca="1" si="54"/>
        <v>Darbo su diaspora funkcijų stiprinimas</v>
      </c>
      <c r="D69" s="144"/>
      <c r="E69" s="148">
        <f t="shared" ca="1" si="55"/>
        <v>0</v>
      </c>
      <c r="F69" s="139">
        <f ca="1">H69+NPV(FD,I69:INDEX(I69:DC69,PAL))</f>
        <v>693185.92293838179</v>
      </c>
      <c r="G69" s="140">
        <f ca="1">SUMIF($H$5:$DC$5,"&lt;="&amp;PAL,$H69:$DC69)</f>
        <v>766164.06559360004</v>
      </c>
      <c r="H69" s="138">
        <f t="shared" ca="1" si="86"/>
        <v>0</v>
      </c>
      <c r="I69" s="138">
        <f t="shared" ca="1" si="86"/>
        <v>0</v>
      </c>
      <c r="J69" s="138">
        <f t="shared" ca="1" si="86"/>
        <v>339395.61066400004</v>
      </c>
      <c r="K69" s="138">
        <f t="shared" ca="1" si="86"/>
        <v>426768.4549296</v>
      </c>
      <c r="L69" s="138">
        <f t="shared" ca="1" si="86"/>
        <v>0</v>
      </c>
      <c r="M69" s="138">
        <f t="shared" ca="1" si="86"/>
        <v>0</v>
      </c>
      <c r="N69" s="138">
        <f t="shared" ca="1" si="86"/>
        <v>0</v>
      </c>
      <c r="O69" s="138">
        <f t="shared" ca="1" si="86"/>
        <v>0</v>
      </c>
      <c r="P69" s="138">
        <f t="shared" ca="1" si="86"/>
        <v>0</v>
      </c>
      <c r="Q69" s="138">
        <f t="shared" ca="1" si="86"/>
        <v>0</v>
      </c>
      <c r="R69" s="138">
        <f t="shared" ca="1" si="87"/>
        <v>0</v>
      </c>
      <c r="S69" s="138">
        <f t="shared" ca="1" si="87"/>
        <v>0</v>
      </c>
      <c r="T69" s="138">
        <f t="shared" ca="1" si="87"/>
        <v>0</v>
      </c>
      <c r="U69" s="138">
        <f t="shared" ca="1" si="87"/>
        <v>0</v>
      </c>
      <c r="V69" s="138">
        <f t="shared" ca="1" si="87"/>
        <v>0</v>
      </c>
      <c r="W69" s="138">
        <f t="shared" ca="1" si="87"/>
        <v>0</v>
      </c>
      <c r="X69" s="138">
        <f t="shared" ca="1" si="87"/>
        <v>0</v>
      </c>
      <c r="Y69" s="138">
        <f t="shared" ca="1" si="87"/>
        <v>0</v>
      </c>
      <c r="Z69" s="138">
        <f t="shared" ca="1" si="87"/>
        <v>0</v>
      </c>
      <c r="AA69" s="138">
        <f t="shared" ca="1" si="87"/>
        <v>0</v>
      </c>
      <c r="AB69" s="138">
        <f t="shared" ca="1" si="88"/>
        <v>0</v>
      </c>
      <c r="AC69" s="138">
        <f t="shared" ca="1" si="88"/>
        <v>0</v>
      </c>
      <c r="AD69" s="138">
        <f t="shared" ca="1" si="88"/>
        <v>0</v>
      </c>
      <c r="AE69" s="138">
        <f t="shared" ca="1" si="88"/>
        <v>0</v>
      </c>
      <c r="AF69" s="138">
        <f t="shared" ca="1" si="88"/>
        <v>0</v>
      </c>
      <c r="AG69" s="138">
        <f t="shared" ca="1" si="88"/>
        <v>0</v>
      </c>
      <c r="AH69" s="138">
        <f t="shared" ca="1" si="88"/>
        <v>0</v>
      </c>
      <c r="AI69" s="138">
        <f t="shared" ca="1" si="88"/>
        <v>0</v>
      </c>
      <c r="AJ69" s="138">
        <f t="shared" ca="1" si="88"/>
        <v>0</v>
      </c>
      <c r="AK69" s="138">
        <f t="shared" ca="1" si="88"/>
        <v>0</v>
      </c>
      <c r="AL69" s="138">
        <f t="shared" ca="1" si="89"/>
        <v>0</v>
      </c>
      <c r="AM69" s="138">
        <f t="shared" ca="1" si="89"/>
        <v>0</v>
      </c>
      <c r="AN69" s="138">
        <f t="shared" ca="1" si="89"/>
        <v>0</v>
      </c>
      <c r="AO69" s="138">
        <f t="shared" ca="1" si="89"/>
        <v>0</v>
      </c>
      <c r="AP69" s="138">
        <f t="shared" ca="1" si="89"/>
        <v>0</v>
      </c>
      <c r="AQ69" s="138">
        <f t="shared" ca="1" si="89"/>
        <v>0</v>
      </c>
      <c r="AR69" s="138">
        <f t="shared" ca="1" si="89"/>
        <v>0</v>
      </c>
      <c r="AS69" s="138">
        <f t="shared" ca="1" si="89"/>
        <v>0</v>
      </c>
      <c r="AT69" s="138">
        <f t="shared" ca="1" si="89"/>
        <v>0</v>
      </c>
      <c r="AU69" s="138">
        <f t="shared" ca="1" si="89"/>
        <v>0</v>
      </c>
      <c r="AV69" s="138">
        <f t="shared" ca="1" si="90"/>
        <v>0</v>
      </c>
      <c r="AW69" s="138">
        <f t="shared" ca="1" si="90"/>
        <v>0</v>
      </c>
      <c r="AX69" s="138">
        <f t="shared" ca="1" si="90"/>
        <v>0</v>
      </c>
      <c r="AY69" s="138">
        <f t="shared" ca="1" si="90"/>
        <v>0</v>
      </c>
      <c r="AZ69" s="138">
        <f t="shared" ca="1" si="90"/>
        <v>0</v>
      </c>
      <c r="BA69" s="138">
        <f t="shared" ca="1" si="90"/>
        <v>0</v>
      </c>
      <c r="BB69" s="138">
        <f t="shared" ca="1" si="90"/>
        <v>0</v>
      </c>
      <c r="BC69" s="138">
        <f t="shared" ca="1" si="90"/>
        <v>0</v>
      </c>
      <c r="BD69" s="138">
        <f t="shared" ca="1" si="90"/>
        <v>0</v>
      </c>
      <c r="BE69" s="138">
        <f t="shared" ca="1" si="90"/>
        <v>0</v>
      </c>
      <c r="BF69" s="138">
        <f t="shared" ca="1" si="91"/>
        <v>0</v>
      </c>
      <c r="BG69" s="138">
        <f t="shared" ca="1" si="91"/>
        <v>0</v>
      </c>
      <c r="BH69" s="138">
        <f t="shared" ca="1" si="91"/>
        <v>0</v>
      </c>
      <c r="BI69" s="138">
        <f t="shared" ca="1" si="91"/>
        <v>0</v>
      </c>
      <c r="BJ69" s="138">
        <f t="shared" ca="1" si="91"/>
        <v>0</v>
      </c>
      <c r="BK69" s="138">
        <f t="shared" ca="1" si="91"/>
        <v>0</v>
      </c>
      <c r="BL69" s="138">
        <f t="shared" ca="1" si="91"/>
        <v>0</v>
      </c>
      <c r="BM69" s="138">
        <f t="shared" ca="1" si="91"/>
        <v>0</v>
      </c>
      <c r="BN69" s="138">
        <f t="shared" ca="1" si="91"/>
        <v>0</v>
      </c>
      <c r="BO69" s="138">
        <f t="shared" ca="1" si="91"/>
        <v>0</v>
      </c>
      <c r="BP69" s="138">
        <f t="shared" ca="1" si="92"/>
        <v>0</v>
      </c>
      <c r="BQ69" s="138">
        <f t="shared" ca="1" si="92"/>
        <v>0</v>
      </c>
      <c r="BR69" s="138">
        <f t="shared" ca="1" si="92"/>
        <v>0</v>
      </c>
      <c r="BS69" s="138">
        <f t="shared" ca="1" si="92"/>
        <v>0</v>
      </c>
      <c r="BT69" s="138">
        <f t="shared" ca="1" si="92"/>
        <v>0</v>
      </c>
      <c r="BU69" s="138">
        <f t="shared" ca="1" si="92"/>
        <v>0</v>
      </c>
      <c r="BV69" s="138">
        <f t="shared" ca="1" si="92"/>
        <v>0</v>
      </c>
      <c r="BW69" s="138">
        <f t="shared" ca="1" si="92"/>
        <v>0</v>
      </c>
      <c r="BX69" s="138">
        <f t="shared" ca="1" si="92"/>
        <v>0</v>
      </c>
      <c r="BY69" s="138">
        <f t="shared" ca="1" si="92"/>
        <v>0</v>
      </c>
      <c r="BZ69" s="138">
        <f t="shared" ca="1" si="93"/>
        <v>0</v>
      </c>
      <c r="CA69" s="138">
        <f t="shared" ca="1" si="93"/>
        <v>0</v>
      </c>
      <c r="CB69" s="138">
        <f t="shared" ca="1" si="93"/>
        <v>0</v>
      </c>
      <c r="CC69" s="138">
        <f t="shared" ca="1" si="93"/>
        <v>0</v>
      </c>
      <c r="CD69" s="138">
        <f t="shared" ca="1" si="93"/>
        <v>0</v>
      </c>
      <c r="CE69" s="138">
        <f t="shared" ca="1" si="93"/>
        <v>0</v>
      </c>
      <c r="CF69" s="138">
        <f t="shared" ca="1" si="93"/>
        <v>0</v>
      </c>
      <c r="CG69" s="138">
        <f t="shared" ca="1" si="93"/>
        <v>0</v>
      </c>
      <c r="CH69" s="138">
        <f t="shared" ca="1" si="93"/>
        <v>0</v>
      </c>
      <c r="CI69" s="138">
        <f t="shared" ca="1" si="93"/>
        <v>0</v>
      </c>
      <c r="CJ69" s="138">
        <f t="shared" ca="1" si="94"/>
        <v>0</v>
      </c>
      <c r="CK69" s="138">
        <f t="shared" ca="1" si="94"/>
        <v>0</v>
      </c>
      <c r="CL69" s="138">
        <f t="shared" ca="1" si="94"/>
        <v>0</v>
      </c>
      <c r="CM69" s="138">
        <f t="shared" ca="1" si="94"/>
        <v>0</v>
      </c>
      <c r="CN69" s="138">
        <f t="shared" ca="1" si="94"/>
        <v>0</v>
      </c>
      <c r="CO69" s="138">
        <f t="shared" ca="1" si="94"/>
        <v>0</v>
      </c>
      <c r="CP69" s="138">
        <f t="shared" ca="1" si="94"/>
        <v>0</v>
      </c>
      <c r="CQ69" s="138">
        <f t="shared" ca="1" si="94"/>
        <v>0</v>
      </c>
      <c r="CR69" s="138">
        <f t="shared" ca="1" si="94"/>
        <v>0</v>
      </c>
      <c r="CS69" s="138">
        <f t="shared" ca="1" si="94"/>
        <v>0</v>
      </c>
      <c r="CT69" s="138">
        <f t="shared" ca="1" si="95"/>
        <v>0</v>
      </c>
      <c r="CU69" s="138">
        <f t="shared" ca="1" si="95"/>
        <v>0</v>
      </c>
      <c r="CV69" s="138">
        <f t="shared" ca="1" si="95"/>
        <v>0</v>
      </c>
      <c r="CW69" s="138">
        <f t="shared" ca="1" si="95"/>
        <v>0</v>
      </c>
      <c r="CX69" s="138">
        <f t="shared" ca="1" si="95"/>
        <v>0</v>
      </c>
      <c r="CY69" s="138">
        <f t="shared" ca="1" si="95"/>
        <v>0</v>
      </c>
      <c r="CZ69" s="138">
        <f t="shared" ca="1" si="95"/>
        <v>0</v>
      </c>
      <c r="DA69" s="138">
        <f t="shared" ca="1" si="95"/>
        <v>0</v>
      </c>
      <c r="DB69" s="138">
        <f t="shared" ca="1" si="95"/>
        <v>0</v>
      </c>
      <c r="DC69" s="138">
        <f t="shared" ca="1" si="95"/>
        <v>0</v>
      </c>
      <c r="DE69" s="254" t="str">
        <f t="shared" ca="1" si="25"/>
        <v>E.3.2.</v>
      </c>
      <c r="DF69">
        <v>1</v>
      </c>
      <c r="DG69">
        <f t="shared" ca="1" si="96"/>
        <v>0</v>
      </c>
      <c r="DH69">
        <v>0</v>
      </c>
    </row>
    <row r="70" spans="1:112" hidden="1">
      <c r="A70" s="124">
        <v>58</v>
      </c>
      <c r="B70" s="205" t="str">
        <f t="shared" ca="1" si="53"/>
        <v>E.3.3.</v>
      </c>
      <c r="C70" s="129" t="str">
        <f t="shared" ca="1" si="54"/>
        <v xml:space="preserve">Kursai diplomatams, dirbantiems su fondas Indijos–Ramiojo vandenynų regionu </v>
      </c>
      <c r="D70" s="144"/>
      <c r="E70" s="148">
        <f t="shared" ca="1" si="55"/>
        <v>0</v>
      </c>
      <c r="F70" s="139">
        <f ca="1">H70+NPV(FD,I70:INDEX(I70:DC70,PAL))</f>
        <v>18491.124260355027</v>
      </c>
      <c r="G70" s="140">
        <f ca="1">SUMIF($H$5:$DC$5,"&lt;="&amp;PAL,$H70:$DC70)</f>
        <v>20000</v>
      </c>
      <c r="H70" s="138">
        <f t="shared" ca="1" si="86"/>
        <v>0</v>
      </c>
      <c r="I70" s="138">
        <f t="shared" ca="1" si="86"/>
        <v>0</v>
      </c>
      <c r="J70" s="138">
        <f t="shared" ca="1" si="86"/>
        <v>20000</v>
      </c>
      <c r="K70" s="138">
        <f t="shared" ca="1" si="86"/>
        <v>0</v>
      </c>
      <c r="L70" s="138">
        <f t="shared" ca="1" si="86"/>
        <v>0</v>
      </c>
      <c r="M70" s="138">
        <f t="shared" ca="1" si="86"/>
        <v>0</v>
      </c>
      <c r="N70" s="138">
        <f t="shared" ca="1" si="86"/>
        <v>0</v>
      </c>
      <c r="O70" s="138">
        <f t="shared" ca="1" si="86"/>
        <v>0</v>
      </c>
      <c r="P70" s="138">
        <f t="shared" ca="1" si="86"/>
        <v>0</v>
      </c>
      <c r="Q70" s="138">
        <f t="shared" ca="1" si="86"/>
        <v>0</v>
      </c>
      <c r="R70" s="138">
        <f t="shared" ca="1" si="87"/>
        <v>0</v>
      </c>
      <c r="S70" s="138">
        <f t="shared" ca="1" si="87"/>
        <v>0</v>
      </c>
      <c r="T70" s="138">
        <f t="shared" ca="1" si="87"/>
        <v>0</v>
      </c>
      <c r="U70" s="138">
        <f t="shared" ca="1" si="87"/>
        <v>0</v>
      </c>
      <c r="V70" s="138">
        <f t="shared" ca="1" si="87"/>
        <v>0</v>
      </c>
      <c r="W70" s="138">
        <f t="shared" ca="1" si="87"/>
        <v>0</v>
      </c>
      <c r="X70" s="138">
        <f t="shared" ca="1" si="87"/>
        <v>0</v>
      </c>
      <c r="Y70" s="138">
        <f t="shared" ca="1" si="87"/>
        <v>0</v>
      </c>
      <c r="Z70" s="138">
        <f t="shared" ca="1" si="87"/>
        <v>0</v>
      </c>
      <c r="AA70" s="138">
        <f t="shared" ca="1" si="87"/>
        <v>0</v>
      </c>
      <c r="AB70" s="138">
        <f t="shared" ca="1" si="88"/>
        <v>0</v>
      </c>
      <c r="AC70" s="138">
        <f t="shared" ca="1" si="88"/>
        <v>0</v>
      </c>
      <c r="AD70" s="138">
        <f t="shared" ca="1" si="88"/>
        <v>0</v>
      </c>
      <c r="AE70" s="138">
        <f t="shared" ca="1" si="88"/>
        <v>0</v>
      </c>
      <c r="AF70" s="138">
        <f t="shared" ca="1" si="88"/>
        <v>0</v>
      </c>
      <c r="AG70" s="138">
        <f t="shared" ca="1" si="88"/>
        <v>0</v>
      </c>
      <c r="AH70" s="138">
        <f t="shared" ca="1" si="88"/>
        <v>0</v>
      </c>
      <c r="AI70" s="138">
        <f t="shared" ca="1" si="88"/>
        <v>0</v>
      </c>
      <c r="AJ70" s="138">
        <f t="shared" ca="1" si="88"/>
        <v>0</v>
      </c>
      <c r="AK70" s="138">
        <f t="shared" ca="1" si="88"/>
        <v>0</v>
      </c>
      <c r="AL70" s="138">
        <f t="shared" ca="1" si="89"/>
        <v>0</v>
      </c>
      <c r="AM70" s="138">
        <f t="shared" ca="1" si="89"/>
        <v>0</v>
      </c>
      <c r="AN70" s="138">
        <f t="shared" ca="1" si="89"/>
        <v>0</v>
      </c>
      <c r="AO70" s="138">
        <f t="shared" ca="1" si="89"/>
        <v>0</v>
      </c>
      <c r="AP70" s="138">
        <f t="shared" ca="1" si="89"/>
        <v>0</v>
      </c>
      <c r="AQ70" s="138">
        <f t="shared" ca="1" si="89"/>
        <v>0</v>
      </c>
      <c r="AR70" s="138">
        <f t="shared" ca="1" si="89"/>
        <v>0</v>
      </c>
      <c r="AS70" s="138">
        <f t="shared" ca="1" si="89"/>
        <v>0</v>
      </c>
      <c r="AT70" s="138">
        <f t="shared" ca="1" si="89"/>
        <v>0</v>
      </c>
      <c r="AU70" s="138">
        <f t="shared" ca="1" si="89"/>
        <v>0</v>
      </c>
      <c r="AV70" s="138">
        <f t="shared" ca="1" si="90"/>
        <v>0</v>
      </c>
      <c r="AW70" s="138">
        <f t="shared" ca="1" si="90"/>
        <v>0</v>
      </c>
      <c r="AX70" s="138">
        <f t="shared" ca="1" si="90"/>
        <v>0</v>
      </c>
      <c r="AY70" s="138">
        <f t="shared" ca="1" si="90"/>
        <v>0</v>
      </c>
      <c r="AZ70" s="138">
        <f t="shared" ca="1" si="90"/>
        <v>0</v>
      </c>
      <c r="BA70" s="138">
        <f t="shared" ca="1" si="90"/>
        <v>0</v>
      </c>
      <c r="BB70" s="138">
        <f t="shared" ca="1" si="90"/>
        <v>0</v>
      </c>
      <c r="BC70" s="138">
        <f t="shared" ca="1" si="90"/>
        <v>0</v>
      </c>
      <c r="BD70" s="138">
        <f t="shared" ca="1" si="90"/>
        <v>0</v>
      </c>
      <c r="BE70" s="138">
        <f t="shared" ca="1" si="90"/>
        <v>0</v>
      </c>
      <c r="BF70" s="138">
        <f t="shared" ca="1" si="91"/>
        <v>0</v>
      </c>
      <c r="BG70" s="138">
        <f t="shared" ca="1" si="91"/>
        <v>0</v>
      </c>
      <c r="BH70" s="138">
        <f t="shared" ca="1" si="91"/>
        <v>0</v>
      </c>
      <c r="BI70" s="138">
        <f t="shared" ca="1" si="91"/>
        <v>0</v>
      </c>
      <c r="BJ70" s="138">
        <f t="shared" ca="1" si="91"/>
        <v>0</v>
      </c>
      <c r="BK70" s="138">
        <f t="shared" ca="1" si="91"/>
        <v>0</v>
      </c>
      <c r="BL70" s="138">
        <f t="shared" ca="1" si="91"/>
        <v>0</v>
      </c>
      <c r="BM70" s="138">
        <f t="shared" ca="1" si="91"/>
        <v>0</v>
      </c>
      <c r="BN70" s="138">
        <f t="shared" ca="1" si="91"/>
        <v>0</v>
      </c>
      <c r="BO70" s="138">
        <f t="shared" ca="1" si="91"/>
        <v>0</v>
      </c>
      <c r="BP70" s="138">
        <f t="shared" ca="1" si="92"/>
        <v>0</v>
      </c>
      <c r="BQ70" s="138">
        <f t="shared" ca="1" si="92"/>
        <v>0</v>
      </c>
      <c r="BR70" s="138">
        <f t="shared" ca="1" si="92"/>
        <v>0</v>
      </c>
      <c r="BS70" s="138">
        <f t="shared" ca="1" si="92"/>
        <v>0</v>
      </c>
      <c r="BT70" s="138">
        <f t="shared" ca="1" si="92"/>
        <v>0</v>
      </c>
      <c r="BU70" s="138">
        <f t="shared" ca="1" si="92"/>
        <v>0</v>
      </c>
      <c r="BV70" s="138">
        <f t="shared" ca="1" si="92"/>
        <v>0</v>
      </c>
      <c r="BW70" s="138">
        <f t="shared" ca="1" si="92"/>
        <v>0</v>
      </c>
      <c r="BX70" s="138">
        <f t="shared" ca="1" si="92"/>
        <v>0</v>
      </c>
      <c r="BY70" s="138">
        <f t="shared" ca="1" si="92"/>
        <v>0</v>
      </c>
      <c r="BZ70" s="138">
        <f t="shared" ca="1" si="93"/>
        <v>0</v>
      </c>
      <c r="CA70" s="138">
        <f t="shared" ca="1" si="93"/>
        <v>0</v>
      </c>
      <c r="CB70" s="138">
        <f t="shared" ca="1" si="93"/>
        <v>0</v>
      </c>
      <c r="CC70" s="138">
        <f t="shared" ca="1" si="93"/>
        <v>0</v>
      </c>
      <c r="CD70" s="138">
        <f t="shared" ca="1" si="93"/>
        <v>0</v>
      </c>
      <c r="CE70" s="138">
        <f t="shared" ca="1" si="93"/>
        <v>0</v>
      </c>
      <c r="CF70" s="138">
        <f t="shared" ca="1" si="93"/>
        <v>0</v>
      </c>
      <c r="CG70" s="138">
        <f t="shared" ca="1" si="93"/>
        <v>0</v>
      </c>
      <c r="CH70" s="138">
        <f t="shared" ca="1" si="93"/>
        <v>0</v>
      </c>
      <c r="CI70" s="138">
        <f t="shared" ca="1" si="93"/>
        <v>0</v>
      </c>
      <c r="CJ70" s="138">
        <f t="shared" ca="1" si="94"/>
        <v>0</v>
      </c>
      <c r="CK70" s="138">
        <f t="shared" ca="1" si="94"/>
        <v>0</v>
      </c>
      <c r="CL70" s="138">
        <f t="shared" ca="1" si="94"/>
        <v>0</v>
      </c>
      <c r="CM70" s="138">
        <f t="shared" ca="1" si="94"/>
        <v>0</v>
      </c>
      <c r="CN70" s="138">
        <f t="shared" ca="1" si="94"/>
        <v>0</v>
      </c>
      <c r="CO70" s="138">
        <f t="shared" ca="1" si="94"/>
        <v>0</v>
      </c>
      <c r="CP70" s="138">
        <f t="shared" ca="1" si="94"/>
        <v>0</v>
      </c>
      <c r="CQ70" s="138">
        <f t="shared" ca="1" si="94"/>
        <v>0</v>
      </c>
      <c r="CR70" s="138">
        <f t="shared" ca="1" si="94"/>
        <v>0</v>
      </c>
      <c r="CS70" s="138">
        <f t="shared" ca="1" si="94"/>
        <v>0</v>
      </c>
      <c r="CT70" s="138">
        <f t="shared" ca="1" si="95"/>
        <v>0</v>
      </c>
      <c r="CU70" s="138">
        <f t="shared" ca="1" si="95"/>
        <v>0</v>
      </c>
      <c r="CV70" s="138">
        <f t="shared" ca="1" si="95"/>
        <v>0</v>
      </c>
      <c r="CW70" s="138">
        <f t="shared" ca="1" si="95"/>
        <v>0</v>
      </c>
      <c r="CX70" s="138">
        <f t="shared" ca="1" si="95"/>
        <v>0</v>
      </c>
      <c r="CY70" s="138">
        <f t="shared" ca="1" si="95"/>
        <v>0</v>
      </c>
      <c r="CZ70" s="138">
        <f t="shared" ca="1" si="95"/>
        <v>0</v>
      </c>
      <c r="DA70" s="138">
        <f t="shared" ca="1" si="95"/>
        <v>0</v>
      </c>
      <c r="DB70" s="138">
        <f t="shared" ca="1" si="95"/>
        <v>0</v>
      </c>
      <c r="DC70" s="138">
        <f t="shared" ca="1" si="95"/>
        <v>0</v>
      </c>
      <c r="DE70" s="254" t="str">
        <f t="shared" ca="1" si="25"/>
        <v>E.3.3.</v>
      </c>
      <c r="DF70">
        <v>1</v>
      </c>
      <c r="DG70">
        <f t="shared" ca="1" si="96"/>
        <v>0</v>
      </c>
      <c r="DH70">
        <v>0</v>
      </c>
    </row>
    <row r="71" spans="1:112" hidden="1">
      <c r="A71" s="124">
        <v>59</v>
      </c>
      <c r="B71" s="205" t="str">
        <f t="shared" ca="1" si="53"/>
        <v>E.3.4.</v>
      </c>
      <c r="C71" s="129" t="str">
        <f t="shared" ca="1" si="54"/>
        <v>Stipendijų fondas Indijos–Ramiojo vandenynų regiono studijų studentams</v>
      </c>
      <c r="D71" s="144"/>
      <c r="E71" s="148">
        <f t="shared" ca="1" si="55"/>
        <v>0</v>
      </c>
      <c r="F71" s="139">
        <f ca="1">H71+NPV(FD,I71:INDEX(I71:DC71,PAL))</f>
        <v>7556.8989798047714</v>
      </c>
      <c r="G71" s="140">
        <f ca="1">SUMIF($H$5:$DC$5,"&lt;="&amp;PAL,$H71:$DC71)</f>
        <v>9000</v>
      </c>
      <c r="H71" s="138">
        <f t="shared" ca="1" si="86"/>
        <v>0</v>
      </c>
      <c r="I71" s="138">
        <f t="shared" ca="1" si="86"/>
        <v>0</v>
      </c>
      <c r="J71" s="138">
        <f t="shared" ca="1" si="86"/>
        <v>0</v>
      </c>
      <c r="K71" s="138">
        <f t="shared" ca="1" si="86"/>
        <v>4500</v>
      </c>
      <c r="L71" s="138">
        <f t="shared" ca="1" si="86"/>
        <v>0</v>
      </c>
      <c r="M71" s="138">
        <f t="shared" ca="1" si="86"/>
        <v>0</v>
      </c>
      <c r="N71" s="138">
        <f t="shared" ca="1" si="86"/>
        <v>4500</v>
      </c>
      <c r="O71" s="138">
        <f t="shared" ca="1" si="86"/>
        <v>0</v>
      </c>
      <c r="P71" s="138">
        <f t="shared" ca="1" si="86"/>
        <v>0</v>
      </c>
      <c r="Q71" s="138">
        <f t="shared" ca="1" si="86"/>
        <v>0</v>
      </c>
      <c r="R71" s="138">
        <f t="shared" ca="1" si="87"/>
        <v>0</v>
      </c>
      <c r="S71" s="138">
        <f t="shared" ca="1" si="87"/>
        <v>0</v>
      </c>
      <c r="T71" s="138">
        <f t="shared" ca="1" si="87"/>
        <v>0</v>
      </c>
      <c r="U71" s="138">
        <f t="shared" ca="1" si="87"/>
        <v>0</v>
      </c>
      <c r="V71" s="138">
        <f t="shared" ca="1" si="87"/>
        <v>0</v>
      </c>
      <c r="W71" s="138">
        <f t="shared" ca="1" si="87"/>
        <v>0</v>
      </c>
      <c r="X71" s="138">
        <f t="shared" ca="1" si="87"/>
        <v>0</v>
      </c>
      <c r="Y71" s="138">
        <f t="shared" ca="1" si="87"/>
        <v>0</v>
      </c>
      <c r="Z71" s="138">
        <f t="shared" ca="1" si="87"/>
        <v>0</v>
      </c>
      <c r="AA71" s="138">
        <f t="shared" ca="1" si="87"/>
        <v>0</v>
      </c>
      <c r="AB71" s="138">
        <f t="shared" ca="1" si="88"/>
        <v>0</v>
      </c>
      <c r="AC71" s="138">
        <f t="shared" ca="1" si="88"/>
        <v>0</v>
      </c>
      <c r="AD71" s="138">
        <f t="shared" ca="1" si="88"/>
        <v>0</v>
      </c>
      <c r="AE71" s="138">
        <f t="shared" ca="1" si="88"/>
        <v>0</v>
      </c>
      <c r="AF71" s="138">
        <f t="shared" ca="1" si="88"/>
        <v>0</v>
      </c>
      <c r="AG71" s="138">
        <f t="shared" ca="1" si="88"/>
        <v>0</v>
      </c>
      <c r="AH71" s="138">
        <f t="shared" ca="1" si="88"/>
        <v>0</v>
      </c>
      <c r="AI71" s="138">
        <f t="shared" ca="1" si="88"/>
        <v>0</v>
      </c>
      <c r="AJ71" s="138">
        <f t="shared" ca="1" si="88"/>
        <v>0</v>
      </c>
      <c r="AK71" s="138">
        <f t="shared" ca="1" si="88"/>
        <v>0</v>
      </c>
      <c r="AL71" s="138">
        <f t="shared" ca="1" si="89"/>
        <v>0</v>
      </c>
      <c r="AM71" s="138">
        <f t="shared" ca="1" si="89"/>
        <v>0</v>
      </c>
      <c r="AN71" s="138">
        <f t="shared" ca="1" si="89"/>
        <v>0</v>
      </c>
      <c r="AO71" s="138">
        <f t="shared" ca="1" si="89"/>
        <v>0</v>
      </c>
      <c r="AP71" s="138">
        <f t="shared" ca="1" si="89"/>
        <v>0</v>
      </c>
      <c r="AQ71" s="138">
        <f t="shared" ca="1" si="89"/>
        <v>0</v>
      </c>
      <c r="AR71" s="138">
        <f t="shared" ca="1" si="89"/>
        <v>0</v>
      </c>
      <c r="AS71" s="138">
        <f t="shared" ca="1" si="89"/>
        <v>0</v>
      </c>
      <c r="AT71" s="138">
        <f t="shared" ca="1" si="89"/>
        <v>0</v>
      </c>
      <c r="AU71" s="138">
        <f t="shared" ca="1" si="89"/>
        <v>0</v>
      </c>
      <c r="AV71" s="138">
        <f t="shared" ca="1" si="90"/>
        <v>0</v>
      </c>
      <c r="AW71" s="138">
        <f t="shared" ca="1" si="90"/>
        <v>0</v>
      </c>
      <c r="AX71" s="138">
        <f t="shared" ca="1" si="90"/>
        <v>0</v>
      </c>
      <c r="AY71" s="138">
        <f t="shared" ca="1" si="90"/>
        <v>0</v>
      </c>
      <c r="AZ71" s="138">
        <f t="shared" ca="1" si="90"/>
        <v>0</v>
      </c>
      <c r="BA71" s="138">
        <f t="shared" ca="1" si="90"/>
        <v>0</v>
      </c>
      <c r="BB71" s="138">
        <f t="shared" ca="1" si="90"/>
        <v>0</v>
      </c>
      <c r="BC71" s="138">
        <f t="shared" ca="1" si="90"/>
        <v>0</v>
      </c>
      <c r="BD71" s="138">
        <f t="shared" ca="1" si="90"/>
        <v>0</v>
      </c>
      <c r="BE71" s="138">
        <f t="shared" ca="1" si="90"/>
        <v>0</v>
      </c>
      <c r="BF71" s="138">
        <f t="shared" ca="1" si="91"/>
        <v>0</v>
      </c>
      <c r="BG71" s="138">
        <f t="shared" ca="1" si="91"/>
        <v>0</v>
      </c>
      <c r="BH71" s="138">
        <f t="shared" ca="1" si="91"/>
        <v>0</v>
      </c>
      <c r="BI71" s="138">
        <f t="shared" ca="1" si="91"/>
        <v>0</v>
      </c>
      <c r="BJ71" s="138">
        <f t="shared" ca="1" si="91"/>
        <v>0</v>
      </c>
      <c r="BK71" s="138">
        <f t="shared" ca="1" si="91"/>
        <v>0</v>
      </c>
      <c r="BL71" s="138">
        <f t="shared" ca="1" si="91"/>
        <v>0</v>
      </c>
      <c r="BM71" s="138">
        <f t="shared" ca="1" si="91"/>
        <v>0</v>
      </c>
      <c r="BN71" s="138">
        <f t="shared" ca="1" si="91"/>
        <v>0</v>
      </c>
      <c r="BO71" s="138">
        <f t="shared" ca="1" si="91"/>
        <v>0</v>
      </c>
      <c r="BP71" s="138">
        <f t="shared" ca="1" si="92"/>
        <v>0</v>
      </c>
      <c r="BQ71" s="138">
        <f t="shared" ca="1" si="92"/>
        <v>0</v>
      </c>
      <c r="BR71" s="138">
        <f t="shared" ca="1" si="92"/>
        <v>0</v>
      </c>
      <c r="BS71" s="138">
        <f t="shared" ca="1" si="92"/>
        <v>0</v>
      </c>
      <c r="BT71" s="138">
        <f t="shared" ca="1" si="92"/>
        <v>0</v>
      </c>
      <c r="BU71" s="138">
        <f t="shared" ca="1" si="92"/>
        <v>0</v>
      </c>
      <c r="BV71" s="138">
        <f t="shared" ca="1" si="92"/>
        <v>0</v>
      </c>
      <c r="BW71" s="138">
        <f t="shared" ca="1" si="92"/>
        <v>0</v>
      </c>
      <c r="BX71" s="138">
        <f t="shared" ca="1" si="92"/>
        <v>0</v>
      </c>
      <c r="BY71" s="138">
        <f t="shared" ca="1" si="92"/>
        <v>0</v>
      </c>
      <c r="BZ71" s="138">
        <f t="shared" ca="1" si="93"/>
        <v>0</v>
      </c>
      <c r="CA71" s="138">
        <f t="shared" ca="1" si="93"/>
        <v>0</v>
      </c>
      <c r="CB71" s="138">
        <f t="shared" ca="1" si="93"/>
        <v>0</v>
      </c>
      <c r="CC71" s="138">
        <f t="shared" ca="1" si="93"/>
        <v>0</v>
      </c>
      <c r="CD71" s="138">
        <f t="shared" ca="1" si="93"/>
        <v>0</v>
      </c>
      <c r="CE71" s="138">
        <f t="shared" ca="1" si="93"/>
        <v>0</v>
      </c>
      <c r="CF71" s="138">
        <f t="shared" ca="1" si="93"/>
        <v>0</v>
      </c>
      <c r="CG71" s="138">
        <f t="shared" ca="1" si="93"/>
        <v>0</v>
      </c>
      <c r="CH71" s="138">
        <f t="shared" ca="1" si="93"/>
        <v>0</v>
      </c>
      <c r="CI71" s="138">
        <f t="shared" ca="1" si="93"/>
        <v>0</v>
      </c>
      <c r="CJ71" s="138">
        <f t="shared" ca="1" si="94"/>
        <v>0</v>
      </c>
      <c r="CK71" s="138">
        <f t="shared" ca="1" si="94"/>
        <v>0</v>
      </c>
      <c r="CL71" s="138">
        <f t="shared" ca="1" si="94"/>
        <v>0</v>
      </c>
      <c r="CM71" s="138">
        <f t="shared" ca="1" si="94"/>
        <v>0</v>
      </c>
      <c r="CN71" s="138">
        <f t="shared" ca="1" si="94"/>
        <v>0</v>
      </c>
      <c r="CO71" s="138">
        <f t="shared" ca="1" si="94"/>
        <v>0</v>
      </c>
      <c r="CP71" s="138">
        <f t="shared" ca="1" si="94"/>
        <v>0</v>
      </c>
      <c r="CQ71" s="138">
        <f t="shared" ca="1" si="94"/>
        <v>0</v>
      </c>
      <c r="CR71" s="138">
        <f t="shared" ca="1" si="94"/>
        <v>0</v>
      </c>
      <c r="CS71" s="138">
        <f t="shared" ca="1" si="94"/>
        <v>0</v>
      </c>
      <c r="CT71" s="138">
        <f t="shared" ca="1" si="95"/>
        <v>0</v>
      </c>
      <c r="CU71" s="138">
        <f t="shared" ca="1" si="95"/>
        <v>0</v>
      </c>
      <c r="CV71" s="138">
        <f t="shared" ca="1" si="95"/>
        <v>0</v>
      </c>
      <c r="CW71" s="138">
        <f t="shared" ca="1" si="95"/>
        <v>0</v>
      </c>
      <c r="CX71" s="138">
        <f t="shared" ca="1" si="95"/>
        <v>0</v>
      </c>
      <c r="CY71" s="138">
        <f t="shared" ca="1" si="95"/>
        <v>0</v>
      </c>
      <c r="CZ71" s="138">
        <f t="shared" ca="1" si="95"/>
        <v>0</v>
      </c>
      <c r="DA71" s="138">
        <f t="shared" ca="1" si="95"/>
        <v>0</v>
      </c>
      <c r="DB71" s="138">
        <f t="shared" ca="1" si="95"/>
        <v>0</v>
      </c>
      <c r="DC71" s="138">
        <f t="shared" ca="1" si="95"/>
        <v>0</v>
      </c>
      <c r="DE71" s="254" t="str">
        <f t="shared" ca="1" si="25"/>
        <v>E.3.4.</v>
      </c>
      <c r="DF71">
        <v>1</v>
      </c>
      <c r="DG71">
        <f t="shared" ca="1" si="96"/>
        <v>0</v>
      </c>
      <c r="DH71">
        <v>0</v>
      </c>
    </row>
    <row r="72" spans="1:112" hidden="1">
      <c r="A72" s="124">
        <v>60</v>
      </c>
      <c r="B72" s="205" t="str">
        <f t="shared" ca="1" si="53"/>
        <v>E.3.5.</v>
      </c>
      <c r="C72" s="129" t="str">
        <f t="shared" ca="1" si="54"/>
        <v/>
      </c>
      <c r="D72" s="144"/>
      <c r="E72" s="148">
        <f t="shared" ca="1" si="55"/>
        <v>0.21</v>
      </c>
      <c r="F72" s="139">
        <f ca="1">H72+NPV(FD,I72:INDEX(I72:DC72,PAL))</f>
        <v>0</v>
      </c>
      <c r="G72" s="140">
        <f ca="1">SUMIF($H$5:$DC$5,"&lt;="&amp;PAL,$H72:$DC72)</f>
        <v>0</v>
      </c>
      <c r="H72" s="138">
        <f t="shared" ca="1" si="86"/>
        <v>0</v>
      </c>
      <c r="I72" s="138">
        <f t="shared" ca="1" si="86"/>
        <v>0</v>
      </c>
      <c r="J72" s="138">
        <f t="shared" ca="1" si="86"/>
        <v>0</v>
      </c>
      <c r="K72" s="138">
        <f t="shared" ca="1" si="86"/>
        <v>0</v>
      </c>
      <c r="L72" s="138">
        <f t="shared" ca="1" si="86"/>
        <v>0</v>
      </c>
      <c r="M72" s="138">
        <f t="shared" ca="1" si="86"/>
        <v>0</v>
      </c>
      <c r="N72" s="138">
        <f t="shared" ca="1" si="86"/>
        <v>0</v>
      </c>
      <c r="O72" s="138">
        <f t="shared" ca="1" si="86"/>
        <v>0</v>
      </c>
      <c r="P72" s="138">
        <f t="shared" ca="1" si="86"/>
        <v>0</v>
      </c>
      <c r="Q72" s="138">
        <f t="shared" ca="1" si="86"/>
        <v>0</v>
      </c>
      <c r="R72" s="138">
        <f t="shared" ca="1" si="87"/>
        <v>0</v>
      </c>
      <c r="S72" s="138">
        <f t="shared" ca="1" si="87"/>
        <v>0</v>
      </c>
      <c r="T72" s="138">
        <f t="shared" ca="1" si="87"/>
        <v>0</v>
      </c>
      <c r="U72" s="138">
        <f t="shared" ca="1" si="87"/>
        <v>0</v>
      </c>
      <c r="V72" s="138">
        <f t="shared" ca="1" si="87"/>
        <v>0</v>
      </c>
      <c r="W72" s="138">
        <f t="shared" ca="1" si="87"/>
        <v>0</v>
      </c>
      <c r="X72" s="138">
        <f t="shared" ca="1" si="87"/>
        <v>0</v>
      </c>
      <c r="Y72" s="138">
        <f t="shared" ca="1" si="87"/>
        <v>0</v>
      </c>
      <c r="Z72" s="138">
        <f t="shared" ca="1" si="87"/>
        <v>0</v>
      </c>
      <c r="AA72" s="138">
        <f t="shared" ca="1" si="87"/>
        <v>0</v>
      </c>
      <c r="AB72" s="138">
        <f t="shared" ca="1" si="88"/>
        <v>0</v>
      </c>
      <c r="AC72" s="138">
        <f t="shared" ca="1" si="88"/>
        <v>0</v>
      </c>
      <c r="AD72" s="138">
        <f t="shared" ca="1" si="88"/>
        <v>0</v>
      </c>
      <c r="AE72" s="138">
        <f t="shared" ca="1" si="88"/>
        <v>0</v>
      </c>
      <c r="AF72" s="138">
        <f t="shared" ca="1" si="88"/>
        <v>0</v>
      </c>
      <c r="AG72" s="138">
        <f t="shared" ca="1" si="88"/>
        <v>0</v>
      </c>
      <c r="AH72" s="138">
        <f t="shared" ca="1" si="88"/>
        <v>0</v>
      </c>
      <c r="AI72" s="138">
        <f t="shared" ca="1" si="88"/>
        <v>0</v>
      </c>
      <c r="AJ72" s="138">
        <f t="shared" ca="1" si="88"/>
        <v>0</v>
      </c>
      <c r="AK72" s="138">
        <f t="shared" ca="1" si="88"/>
        <v>0</v>
      </c>
      <c r="AL72" s="138">
        <f t="shared" ca="1" si="89"/>
        <v>0</v>
      </c>
      <c r="AM72" s="138">
        <f t="shared" ca="1" si="89"/>
        <v>0</v>
      </c>
      <c r="AN72" s="138">
        <f t="shared" ca="1" si="89"/>
        <v>0</v>
      </c>
      <c r="AO72" s="138">
        <f t="shared" ca="1" si="89"/>
        <v>0</v>
      </c>
      <c r="AP72" s="138">
        <f t="shared" ca="1" si="89"/>
        <v>0</v>
      </c>
      <c r="AQ72" s="138">
        <f t="shared" ca="1" si="89"/>
        <v>0</v>
      </c>
      <c r="AR72" s="138">
        <f t="shared" ca="1" si="89"/>
        <v>0</v>
      </c>
      <c r="AS72" s="138">
        <f t="shared" ca="1" si="89"/>
        <v>0</v>
      </c>
      <c r="AT72" s="138">
        <f t="shared" ca="1" si="89"/>
        <v>0</v>
      </c>
      <c r="AU72" s="138">
        <f t="shared" ca="1" si="89"/>
        <v>0</v>
      </c>
      <c r="AV72" s="138">
        <f t="shared" ca="1" si="90"/>
        <v>0</v>
      </c>
      <c r="AW72" s="138">
        <f t="shared" ca="1" si="90"/>
        <v>0</v>
      </c>
      <c r="AX72" s="138">
        <f t="shared" ca="1" si="90"/>
        <v>0</v>
      </c>
      <c r="AY72" s="138">
        <f t="shared" ca="1" si="90"/>
        <v>0</v>
      </c>
      <c r="AZ72" s="138">
        <f t="shared" ca="1" si="90"/>
        <v>0</v>
      </c>
      <c r="BA72" s="138">
        <f t="shared" ca="1" si="90"/>
        <v>0</v>
      </c>
      <c r="BB72" s="138">
        <f t="shared" ca="1" si="90"/>
        <v>0</v>
      </c>
      <c r="BC72" s="138">
        <f t="shared" ca="1" si="90"/>
        <v>0</v>
      </c>
      <c r="BD72" s="138">
        <f t="shared" ca="1" si="90"/>
        <v>0</v>
      </c>
      <c r="BE72" s="138">
        <f t="shared" ca="1" si="90"/>
        <v>0</v>
      </c>
      <c r="BF72" s="138">
        <f t="shared" ca="1" si="91"/>
        <v>0</v>
      </c>
      <c r="BG72" s="138">
        <f t="shared" ca="1" si="91"/>
        <v>0</v>
      </c>
      <c r="BH72" s="138">
        <f t="shared" ca="1" si="91"/>
        <v>0</v>
      </c>
      <c r="BI72" s="138">
        <f t="shared" ca="1" si="91"/>
        <v>0</v>
      </c>
      <c r="BJ72" s="138">
        <f t="shared" ca="1" si="91"/>
        <v>0</v>
      </c>
      <c r="BK72" s="138">
        <f t="shared" ca="1" si="91"/>
        <v>0</v>
      </c>
      <c r="BL72" s="138">
        <f t="shared" ca="1" si="91"/>
        <v>0</v>
      </c>
      <c r="BM72" s="138">
        <f t="shared" ca="1" si="91"/>
        <v>0</v>
      </c>
      <c r="BN72" s="138">
        <f t="shared" ca="1" si="91"/>
        <v>0</v>
      </c>
      <c r="BO72" s="138">
        <f t="shared" ca="1" si="91"/>
        <v>0</v>
      </c>
      <c r="BP72" s="138">
        <f t="shared" ca="1" si="92"/>
        <v>0</v>
      </c>
      <c r="BQ72" s="138">
        <f t="shared" ca="1" si="92"/>
        <v>0</v>
      </c>
      <c r="BR72" s="138">
        <f t="shared" ca="1" si="92"/>
        <v>0</v>
      </c>
      <c r="BS72" s="138">
        <f t="shared" ca="1" si="92"/>
        <v>0</v>
      </c>
      <c r="BT72" s="138">
        <f t="shared" ca="1" si="92"/>
        <v>0</v>
      </c>
      <c r="BU72" s="138">
        <f t="shared" ca="1" si="92"/>
        <v>0</v>
      </c>
      <c r="BV72" s="138">
        <f t="shared" ca="1" si="92"/>
        <v>0</v>
      </c>
      <c r="BW72" s="138">
        <f t="shared" ca="1" si="92"/>
        <v>0</v>
      </c>
      <c r="BX72" s="138">
        <f t="shared" ca="1" si="92"/>
        <v>0</v>
      </c>
      <c r="BY72" s="138">
        <f t="shared" ca="1" si="92"/>
        <v>0</v>
      </c>
      <c r="BZ72" s="138">
        <f t="shared" ca="1" si="93"/>
        <v>0</v>
      </c>
      <c r="CA72" s="138">
        <f t="shared" ca="1" si="93"/>
        <v>0</v>
      </c>
      <c r="CB72" s="138">
        <f t="shared" ca="1" si="93"/>
        <v>0</v>
      </c>
      <c r="CC72" s="138">
        <f t="shared" ca="1" si="93"/>
        <v>0</v>
      </c>
      <c r="CD72" s="138">
        <f t="shared" ca="1" si="93"/>
        <v>0</v>
      </c>
      <c r="CE72" s="138">
        <f t="shared" ca="1" si="93"/>
        <v>0</v>
      </c>
      <c r="CF72" s="138">
        <f t="shared" ca="1" si="93"/>
        <v>0</v>
      </c>
      <c r="CG72" s="138">
        <f t="shared" ca="1" si="93"/>
        <v>0</v>
      </c>
      <c r="CH72" s="138">
        <f t="shared" ca="1" si="93"/>
        <v>0</v>
      </c>
      <c r="CI72" s="138">
        <f t="shared" ca="1" si="93"/>
        <v>0</v>
      </c>
      <c r="CJ72" s="138">
        <f t="shared" ca="1" si="94"/>
        <v>0</v>
      </c>
      <c r="CK72" s="138">
        <f t="shared" ca="1" si="94"/>
        <v>0</v>
      </c>
      <c r="CL72" s="138">
        <f t="shared" ca="1" si="94"/>
        <v>0</v>
      </c>
      <c r="CM72" s="138">
        <f t="shared" ca="1" si="94"/>
        <v>0</v>
      </c>
      <c r="CN72" s="138">
        <f t="shared" ca="1" si="94"/>
        <v>0</v>
      </c>
      <c r="CO72" s="138">
        <f t="shared" ca="1" si="94"/>
        <v>0</v>
      </c>
      <c r="CP72" s="138">
        <f t="shared" ca="1" si="94"/>
        <v>0</v>
      </c>
      <c r="CQ72" s="138">
        <f t="shared" ca="1" si="94"/>
        <v>0</v>
      </c>
      <c r="CR72" s="138">
        <f t="shared" ca="1" si="94"/>
        <v>0</v>
      </c>
      <c r="CS72" s="138">
        <f t="shared" ca="1" si="94"/>
        <v>0</v>
      </c>
      <c r="CT72" s="138">
        <f t="shared" ca="1" si="95"/>
        <v>0</v>
      </c>
      <c r="CU72" s="138">
        <f t="shared" ca="1" si="95"/>
        <v>0</v>
      </c>
      <c r="CV72" s="138">
        <f t="shared" ca="1" si="95"/>
        <v>0</v>
      </c>
      <c r="CW72" s="138">
        <f t="shared" ca="1" si="95"/>
        <v>0</v>
      </c>
      <c r="CX72" s="138">
        <f t="shared" ca="1" si="95"/>
        <v>0</v>
      </c>
      <c r="CY72" s="138">
        <f t="shared" ca="1" si="95"/>
        <v>0</v>
      </c>
      <c r="CZ72" s="138">
        <f t="shared" ca="1" si="95"/>
        <v>0</v>
      </c>
      <c r="DA72" s="138">
        <f t="shared" ca="1" si="95"/>
        <v>0</v>
      </c>
      <c r="DB72" s="138">
        <f t="shared" ca="1" si="95"/>
        <v>0</v>
      </c>
      <c r="DC72" s="138">
        <f t="shared" ca="1" si="95"/>
        <v>0</v>
      </c>
      <c r="DE72" s="254" t="str">
        <f t="shared" ca="1" si="25"/>
        <v>E.3.5.</v>
      </c>
      <c r="DF72">
        <v>1</v>
      </c>
      <c r="DG72">
        <f t="shared" ca="1" si="96"/>
        <v>21</v>
      </c>
      <c r="DH72">
        <v>0</v>
      </c>
    </row>
    <row r="73" spans="1:112" hidden="1">
      <c r="A73" s="124">
        <v>61</v>
      </c>
      <c r="B73" s="205" t="str">
        <f t="shared" ca="1" si="53"/>
        <v>E.3.6.</v>
      </c>
      <c r="C73" s="129" t="str">
        <f t="shared" ca="1" si="54"/>
        <v/>
      </c>
      <c r="D73" s="144"/>
      <c r="E73" s="148">
        <f t="shared" ca="1" si="55"/>
        <v>0.21</v>
      </c>
      <c r="F73" s="139">
        <f ca="1">H73+NPV(FD,I73:INDEX(I73:DC73,PAL))</f>
        <v>0</v>
      </c>
      <c r="G73" s="140">
        <f ca="1">SUMIF($H$5:$DC$5,"&lt;="&amp;PAL,$H73:$DC73)</f>
        <v>0</v>
      </c>
      <c r="H73" s="138">
        <f t="shared" ca="1" si="86"/>
        <v>0</v>
      </c>
      <c r="I73" s="138">
        <f t="shared" ca="1" si="86"/>
        <v>0</v>
      </c>
      <c r="J73" s="138">
        <f t="shared" ca="1" si="86"/>
        <v>0</v>
      </c>
      <c r="K73" s="138">
        <f t="shared" ca="1" si="86"/>
        <v>0</v>
      </c>
      <c r="L73" s="138">
        <f t="shared" ca="1" si="86"/>
        <v>0</v>
      </c>
      <c r="M73" s="138">
        <f t="shared" ca="1" si="86"/>
        <v>0</v>
      </c>
      <c r="N73" s="138">
        <f t="shared" ca="1" si="86"/>
        <v>0</v>
      </c>
      <c r="O73" s="138">
        <f t="shared" ca="1" si="86"/>
        <v>0</v>
      </c>
      <c r="P73" s="138">
        <f t="shared" ca="1" si="86"/>
        <v>0</v>
      </c>
      <c r="Q73" s="138">
        <f t="shared" ca="1" si="86"/>
        <v>0</v>
      </c>
      <c r="R73" s="138">
        <f t="shared" ca="1" si="87"/>
        <v>0</v>
      </c>
      <c r="S73" s="138">
        <f t="shared" ca="1" si="87"/>
        <v>0</v>
      </c>
      <c r="T73" s="138">
        <f t="shared" ca="1" si="87"/>
        <v>0</v>
      </c>
      <c r="U73" s="138">
        <f t="shared" ca="1" si="87"/>
        <v>0</v>
      </c>
      <c r="V73" s="138">
        <f t="shared" ca="1" si="87"/>
        <v>0</v>
      </c>
      <c r="W73" s="138">
        <f t="shared" ca="1" si="87"/>
        <v>0</v>
      </c>
      <c r="X73" s="138">
        <f t="shared" ca="1" si="87"/>
        <v>0</v>
      </c>
      <c r="Y73" s="138">
        <f t="shared" ca="1" si="87"/>
        <v>0</v>
      </c>
      <c r="Z73" s="138">
        <f t="shared" ca="1" si="87"/>
        <v>0</v>
      </c>
      <c r="AA73" s="138">
        <f t="shared" ca="1" si="87"/>
        <v>0</v>
      </c>
      <c r="AB73" s="138">
        <f t="shared" ca="1" si="88"/>
        <v>0</v>
      </c>
      <c r="AC73" s="138">
        <f t="shared" ca="1" si="88"/>
        <v>0</v>
      </c>
      <c r="AD73" s="138">
        <f t="shared" ca="1" si="88"/>
        <v>0</v>
      </c>
      <c r="AE73" s="138">
        <f t="shared" ca="1" si="88"/>
        <v>0</v>
      </c>
      <c r="AF73" s="138">
        <f t="shared" ca="1" si="88"/>
        <v>0</v>
      </c>
      <c r="AG73" s="138">
        <f t="shared" ca="1" si="88"/>
        <v>0</v>
      </c>
      <c r="AH73" s="138">
        <f t="shared" ca="1" si="88"/>
        <v>0</v>
      </c>
      <c r="AI73" s="138">
        <f t="shared" ca="1" si="88"/>
        <v>0</v>
      </c>
      <c r="AJ73" s="138">
        <f t="shared" ca="1" si="88"/>
        <v>0</v>
      </c>
      <c r="AK73" s="138">
        <f t="shared" ca="1" si="88"/>
        <v>0</v>
      </c>
      <c r="AL73" s="138">
        <f t="shared" ca="1" si="89"/>
        <v>0</v>
      </c>
      <c r="AM73" s="138">
        <f t="shared" ca="1" si="89"/>
        <v>0</v>
      </c>
      <c r="AN73" s="138">
        <f t="shared" ca="1" si="89"/>
        <v>0</v>
      </c>
      <c r="AO73" s="138">
        <f t="shared" ca="1" si="89"/>
        <v>0</v>
      </c>
      <c r="AP73" s="138">
        <f t="shared" ca="1" si="89"/>
        <v>0</v>
      </c>
      <c r="AQ73" s="138">
        <f t="shared" ca="1" si="89"/>
        <v>0</v>
      </c>
      <c r="AR73" s="138">
        <f t="shared" ca="1" si="89"/>
        <v>0</v>
      </c>
      <c r="AS73" s="138">
        <f t="shared" ca="1" si="89"/>
        <v>0</v>
      </c>
      <c r="AT73" s="138">
        <f t="shared" ca="1" si="89"/>
        <v>0</v>
      </c>
      <c r="AU73" s="138">
        <f t="shared" ca="1" si="89"/>
        <v>0</v>
      </c>
      <c r="AV73" s="138">
        <f t="shared" ca="1" si="90"/>
        <v>0</v>
      </c>
      <c r="AW73" s="138">
        <f t="shared" ca="1" si="90"/>
        <v>0</v>
      </c>
      <c r="AX73" s="138">
        <f t="shared" ca="1" si="90"/>
        <v>0</v>
      </c>
      <c r="AY73" s="138">
        <f t="shared" ca="1" si="90"/>
        <v>0</v>
      </c>
      <c r="AZ73" s="138">
        <f t="shared" ca="1" si="90"/>
        <v>0</v>
      </c>
      <c r="BA73" s="138">
        <f t="shared" ca="1" si="90"/>
        <v>0</v>
      </c>
      <c r="BB73" s="138">
        <f t="shared" ca="1" si="90"/>
        <v>0</v>
      </c>
      <c r="BC73" s="138">
        <f t="shared" ca="1" si="90"/>
        <v>0</v>
      </c>
      <c r="BD73" s="138">
        <f t="shared" ca="1" si="90"/>
        <v>0</v>
      </c>
      <c r="BE73" s="138">
        <f t="shared" ca="1" si="90"/>
        <v>0</v>
      </c>
      <c r="BF73" s="138">
        <f t="shared" ca="1" si="91"/>
        <v>0</v>
      </c>
      <c r="BG73" s="138">
        <f t="shared" ca="1" si="91"/>
        <v>0</v>
      </c>
      <c r="BH73" s="138">
        <f t="shared" ca="1" si="91"/>
        <v>0</v>
      </c>
      <c r="BI73" s="138">
        <f t="shared" ca="1" si="91"/>
        <v>0</v>
      </c>
      <c r="BJ73" s="138">
        <f t="shared" ca="1" si="91"/>
        <v>0</v>
      </c>
      <c r="BK73" s="138">
        <f t="shared" ca="1" si="91"/>
        <v>0</v>
      </c>
      <c r="BL73" s="138">
        <f t="shared" ca="1" si="91"/>
        <v>0</v>
      </c>
      <c r="BM73" s="138">
        <f t="shared" ca="1" si="91"/>
        <v>0</v>
      </c>
      <c r="BN73" s="138">
        <f t="shared" ca="1" si="91"/>
        <v>0</v>
      </c>
      <c r="BO73" s="138">
        <f t="shared" ca="1" si="91"/>
        <v>0</v>
      </c>
      <c r="BP73" s="138">
        <f t="shared" ca="1" si="92"/>
        <v>0</v>
      </c>
      <c r="BQ73" s="138">
        <f t="shared" ca="1" si="92"/>
        <v>0</v>
      </c>
      <c r="BR73" s="138">
        <f t="shared" ca="1" si="92"/>
        <v>0</v>
      </c>
      <c r="BS73" s="138">
        <f t="shared" ca="1" si="92"/>
        <v>0</v>
      </c>
      <c r="BT73" s="138">
        <f t="shared" ca="1" si="92"/>
        <v>0</v>
      </c>
      <c r="BU73" s="138">
        <f t="shared" ca="1" si="92"/>
        <v>0</v>
      </c>
      <c r="BV73" s="138">
        <f t="shared" ca="1" si="92"/>
        <v>0</v>
      </c>
      <c r="BW73" s="138">
        <f t="shared" ca="1" si="92"/>
        <v>0</v>
      </c>
      <c r="BX73" s="138">
        <f t="shared" ca="1" si="92"/>
        <v>0</v>
      </c>
      <c r="BY73" s="138">
        <f t="shared" ca="1" si="92"/>
        <v>0</v>
      </c>
      <c r="BZ73" s="138">
        <f t="shared" ca="1" si="93"/>
        <v>0</v>
      </c>
      <c r="CA73" s="138">
        <f t="shared" ca="1" si="93"/>
        <v>0</v>
      </c>
      <c r="CB73" s="138">
        <f t="shared" ca="1" si="93"/>
        <v>0</v>
      </c>
      <c r="CC73" s="138">
        <f t="shared" ca="1" si="93"/>
        <v>0</v>
      </c>
      <c r="CD73" s="138">
        <f t="shared" ca="1" si="93"/>
        <v>0</v>
      </c>
      <c r="CE73" s="138">
        <f t="shared" ca="1" si="93"/>
        <v>0</v>
      </c>
      <c r="CF73" s="138">
        <f t="shared" ca="1" si="93"/>
        <v>0</v>
      </c>
      <c r="CG73" s="138">
        <f t="shared" ca="1" si="93"/>
        <v>0</v>
      </c>
      <c r="CH73" s="138">
        <f t="shared" ca="1" si="93"/>
        <v>0</v>
      </c>
      <c r="CI73" s="138">
        <f t="shared" ca="1" si="93"/>
        <v>0</v>
      </c>
      <c r="CJ73" s="138">
        <f t="shared" ca="1" si="94"/>
        <v>0</v>
      </c>
      <c r="CK73" s="138">
        <f t="shared" ca="1" si="94"/>
        <v>0</v>
      </c>
      <c r="CL73" s="138">
        <f t="shared" ca="1" si="94"/>
        <v>0</v>
      </c>
      <c r="CM73" s="138">
        <f t="shared" ca="1" si="94"/>
        <v>0</v>
      </c>
      <c r="CN73" s="138">
        <f t="shared" ca="1" si="94"/>
        <v>0</v>
      </c>
      <c r="CO73" s="138">
        <f t="shared" ca="1" si="94"/>
        <v>0</v>
      </c>
      <c r="CP73" s="138">
        <f t="shared" ca="1" si="94"/>
        <v>0</v>
      </c>
      <c r="CQ73" s="138">
        <f t="shared" ca="1" si="94"/>
        <v>0</v>
      </c>
      <c r="CR73" s="138">
        <f t="shared" ca="1" si="94"/>
        <v>0</v>
      </c>
      <c r="CS73" s="138">
        <f t="shared" ca="1" si="94"/>
        <v>0</v>
      </c>
      <c r="CT73" s="138">
        <f t="shared" ca="1" si="95"/>
        <v>0</v>
      </c>
      <c r="CU73" s="138">
        <f t="shared" ca="1" si="95"/>
        <v>0</v>
      </c>
      <c r="CV73" s="138">
        <f t="shared" ca="1" si="95"/>
        <v>0</v>
      </c>
      <c r="CW73" s="138">
        <f t="shared" ca="1" si="95"/>
        <v>0</v>
      </c>
      <c r="CX73" s="138">
        <f t="shared" ca="1" si="95"/>
        <v>0</v>
      </c>
      <c r="CY73" s="138">
        <f t="shared" ca="1" si="95"/>
        <v>0</v>
      </c>
      <c r="CZ73" s="138">
        <f t="shared" ca="1" si="95"/>
        <v>0</v>
      </c>
      <c r="DA73" s="138">
        <f t="shared" ca="1" si="95"/>
        <v>0</v>
      </c>
      <c r="DB73" s="138">
        <f t="shared" ca="1" si="95"/>
        <v>0</v>
      </c>
      <c r="DC73" s="138">
        <f t="shared" ca="1" si="95"/>
        <v>0</v>
      </c>
      <c r="DE73" s="254" t="str">
        <f t="shared" ca="1" si="25"/>
        <v>E.3.6.</v>
      </c>
      <c r="DF73">
        <v>1</v>
      </c>
      <c r="DG73">
        <f t="shared" ca="1" si="96"/>
        <v>21</v>
      </c>
      <c r="DH73">
        <v>0</v>
      </c>
    </row>
    <row r="74" spans="1:112" hidden="1">
      <c r="A74" s="124">
        <v>62</v>
      </c>
      <c r="B74" s="205" t="str">
        <f t="shared" ca="1" si="53"/>
        <v>E.3.7.</v>
      </c>
      <c r="C74" s="129" t="str">
        <f t="shared" ca="1" si="54"/>
        <v/>
      </c>
      <c r="D74" s="144"/>
      <c r="E74" s="148">
        <f t="shared" ca="1" si="55"/>
        <v>0.21</v>
      </c>
      <c r="F74" s="139">
        <f ca="1">H74+NPV(FD,I74:INDEX(I74:DC74,PAL))</f>
        <v>0</v>
      </c>
      <c r="G74" s="140">
        <f ca="1">SUMIF($H$5:$DC$5,"&lt;="&amp;PAL,$H74:$DC74)</f>
        <v>0</v>
      </c>
      <c r="H74" s="138">
        <f t="shared" ca="1" si="86"/>
        <v>0</v>
      </c>
      <c r="I74" s="138">
        <f t="shared" ca="1" si="86"/>
        <v>0</v>
      </c>
      <c r="J74" s="138">
        <f t="shared" ca="1" si="86"/>
        <v>0</v>
      </c>
      <c r="K74" s="138">
        <f t="shared" ca="1" si="86"/>
        <v>0</v>
      </c>
      <c r="L74" s="138">
        <f t="shared" ca="1" si="86"/>
        <v>0</v>
      </c>
      <c r="M74" s="138">
        <f t="shared" ca="1" si="86"/>
        <v>0</v>
      </c>
      <c r="N74" s="138">
        <f t="shared" ca="1" si="86"/>
        <v>0</v>
      </c>
      <c r="O74" s="138">
        <f t="shared" ca="1" si="86"/>
        <v>0</v>
      </c>
      <c r="P74" s="138">
        <f t="shared" ca="1" si="86"/>
        <v>0</v>
      </c>
      <c r="Q74" s="138">
        <f t="shared" ca="1" si="86"/>
        <v>0</v>
      </c>
      <c r="R74" s="138">
        <f t="shared" ca="1" si="87"/>
        <v>0</v>
      </c>
      <c r="S74" s="138">
        <f t="shared" ca="1" si="87"/>
        <v>0</v>
      </c>
      <c r="T74" s="138">
        <f t="shared" ca="1" si="87"/>
        <v>0</v>
      </c>
      <c r="U74" s="138">
        <f t="shared" ca="1" si="87"/>
        <v>0</v>
      </c>
      <c r="V74" s="138">
        <f t="shared" ca="1" si="87"/>
        <v>0</v>
      </c>
      <c r="W74" s="138">
        <f t="shared" ca="1" si="87"/>
        <v>0</v>
      </c>
      <c r="X74" s="138">
        <f t="shared" ca="1" si="87"/>
        <v>0</v>
      </c>
      <c r="Y74" s="138">
        <f t="shared" ca="1" si="87"/>
        <v>0</v>
      </c>
      <c r="Z74" s="138">
        <f t="shared" ca="1" si="87"/>
        <v>0</v>
      </c>
      <c r="AA74" s="138">
        <f t="shared" ca="1" si="87"/>
        <v>0</v>
      </c>
      <c r="AB74" s="138">
        <f t="shared" ca="1" si="88"/>
        <v>0</v>
      </c>
      <c r="AC74" s="138">
        <f t="shared" ca="1" si="88"/>
        <v>0</v>
      </c>
      <c r="AD74" s="138">
        <f t="shared" ca="1" si="88"/>
        <v>0</v>
      </c>
      <c r="AE74" s="138">
        <f t="shared" ca="1" si="88"/>
        <v>0</v>
      </c>
      <c r="AF74" s="138">
        <f t="shared" ca="1" si="88"/>
        <v>0</v>
      </c>
      <c r="AG74" s="138">
        <f t="shared" ca="1" si="88"/>
        <v>0</v>
      </c>
      <c r="AH74" s="138">
        <f t="shared" ca="1" si="88"/>
        <v>0</v>
      </c>
      <c r="AI74" s="138">
        <f t="shared" ca="1" si="88"/>
        <v>0</v>
      </c>
      <c r="AJ74" s="138">
        <f t="shared" ca="1" si="88"/>
        <v>0</v>
      </c>
      <c r="AK74" s="138">
        <f t="shared" ca="1" si="88"/>
        <v>0</v>
      </c>
      <c r="AL74" s="138">
        <f t="shared" ca="1" si="89"/>
        <v>0</v>
      </c>
      <c r="AM74" s="138">
        <f t="shared" ca="1" si="89"/>
        <v>0</v>
      </c>
      <c r="AN74" s="138">
        <f t="shared" ca="1" si="89"/>
        <v>0</v>
      </c>
      <c r="AO74" s="138">
        <f t="shared" ca="1" si="89"/>
        <v>0</v>
      </c>
      <c r="AP74" s="138">
        <f t="shared" ca="1" si="89"/>
        <v>0</v>
      </c>
      <c r="AQ74" s="138">
        <f t="shared" ca="1" si="89"/>
        <v>0</v>
      </c>
      <c r="AR74" s="138">
        <f t="shared" ca="1" si="89"/>
        <v>0</v>
      </c>
      <c r="AS74" s="138">
        <f t="shared" ca="1" si="89"/>
        <v>0</v>
      </c>
      <c r="AT74" s="138">
        <f t="shared" ca="1" si="89"/>
        <v>0</v>
      </c>
      <c r="AU74" s="138">
        <f t="shared" ca="1" si="89"/>
        <v>0</v>
      </c>
      <c r="AV74" s="138">
        <f t="shared" ca="1" si="90"/>
        <v>0</v>
      </c>
      <c r="AW74" s="138">
        <f t="shared" ca="1" si="90"/>
        <v>0</v>
      </c>
      <c r="AX74" s="138">
        <f t="shared" ca="1" si="90"/>
        <v>0</v>
      </c>
      <c r="AY74" s="138">
        <f t="shared" ca="1" si="90"/>
        <v>0</v>
      </c>
      <c r="AZ74" s="138">
        <f t="shared" ca="1" si="90"/>
        <v>0</v>
      </c>
      <c r="BA74" s="138">
        <f t="shared" ca="1" si="90"/>
        <v>0</v>
      </c>
      <c r="BB74" s="138">
        <f t="shared" ca="1" si="90"/>
        <v>0</v>
      </c>
      <c r="BC74" s="138">
        <f t="shared" ca="1" si="90"/>
        <v>0</v>
      </c>
      <c r="BD74" s="138">
        <f t="shared" ca="1" si="90"/>
        <v>0</v>
      </c>
      <c r="BE74" s="138">
        <f t="shared" ca="1" si="90"/>
        <v>0</v>
      </c>
      <c r="BF74" s="138">
        <f t="shared" ca="1" si="91"/>
        <v>0</v>
      </c>
      <c r="BG74" s="138">
        <f t="shared" ca="1" si="91"/>
        <v>0</v>
      </c>
      <c r="BH74" s="138">
        <f t="shared" ca="1" si="91"/>
        <v>0</v>
      </c>
      <c r="BI74" s="138">
        <f t="shared" ca="1" si="91"/>
        <v>0</v>
      </c>
      <c r="BJ74" s="138">
        <f t="shared" ca="1" si="91"/>
        <v>0</v>
      </c>
      <c r="BK74" s="138">
        <f t="shared" ca="1" si="91"/>
        <v>0</v>
      </c>
      <c r="BL74" s="138">
        <f t="shared" ca="1" si="91"/>
        <v>0</v>
      </c>
      <c r="BM74" s="138">
        <f t="shared" ca="1" si="91"/>
        <v>0</v>
      </c>
      <c r="BN74" s="138">
        <f t="shared" ca="1" si="91"/>
        <v>0</v>
      </c>
      <c r="BO74" s="138">
        <f t="shared" ca="1" si="91"/>
        <v>0</v>
      </c>
      <c r="BP74" s="138">
        <f t="shared" ca="1" si="92"/>
        <v>0</v>
      </c>
      <c r="BQ74" s="138">
        <f t="shared" ca="1" si="92"/>
        <v>0</v>
      </c>
      <c r="BR74" s="138">
        <f t="shared" ca="1" si="92"/>
        <v>0</v>
      </c>
      <c r="BS74" s="138">
        <f t="shared" ca="1" si="92"/>
        <v>0</v>
      </c>
      <c r="BT74" s="138">
        <f t="shared" ca="1" si="92"/>
        <v>0</v>
      </c>
      <c r="BU74" s="138">
        <f t="shared" ca="1" si="92"/>
        <v>0</v>
      </c>
      <c r="BV74" s="138">
        <f t="shared" ca="1" si="92"/>
        <v>0</v>
      </c>
      <c r="BW74" s="138">
        <f t="shared" ca="1" si="92"/>
        <v>0</v>
      </c>
      <c r="BX74" s="138">
        <f t="shared" ca="1" si="92"/>
        <v>0</v>
      </c>
      <c r="BY74" s="138">
        <f t="shared" ca="1" si="92"/>
        <v>0</v>
      </c>
      <c r="BZ74" s="138">
        <f t="shared" ca="1" si="93"/>
        <v>0</v>
      </c>
      <c r="CA74" s="138">
        <f t="shared" ca="1" si="93"/>
        <v>0</v>
      </c>
      <c r="CB74" s="138">
        <f t="shared" ca="1" si="93"/>
        <v>0</v>
      </c>
      <c r="CC74" s="138">
        <f t="shared" ca="1" si="93"/>
        <v>0</v>
      </c>
      <c r="CD74" s="138">
        <f t="shared" ca="1" si="93"/>
        <v>0</v>
      </c>
      <c r="CE74" s="138">
        <f t="shared" ca="1" si="93"/>
        <v>0</v>
      </c>
      <c r="CF74" s="138">
        <f t="shared" ca="1" si="93"/>
        <v>0</v>
      </c>
      <c r="CG74" s="138">
        <f t="shared" ca="1" si="93"/>
        <v>0</v>
      </c>
      <c r="CH74" s="138">
        <f t="shared" ca="1" si="93"/>
        <v>0</v>
      </c>
      <c r="CI74" s="138">
        <f t="shared" ca="1" si="93"/>
        <v>0</v>
      </c>
      <c r="CJ74" s="138">
        <f t="shared" ca="1" si="94"/>
        <v>0</v>
      </c>
      <c r="CK74" s="138">
        <f t="shared" ca="1" si="94"/>
        <v>0</v>
      </c>
      <c r="CL74" s="138">
        <f t="shared" ca="1" si="94"/>
        <v>0</v>
      </c>
      <c r="CM74" s="138">
        <f t="shared" ca="1" si="94"/>
        <v>0</v>
      </c>
      <c r="CN74" s="138">
        <f t="shared" ca="1" si="94"/>
        <v>0</v>
      </c>
      <c r="CO74" s="138">
        <f t="shared" ca="1" si="94"/>
        <v>0</v>
      </c>
      <c r="CP74" s="138">
        <f t="shared" ca="1" si="94"/>
        <v>0</v>
      </c>
      <c r="CQ74" s="138">
        <f t="shared" ca="1" si="94"/>
        <v>0</v>
      </c>
      <c r="CR74" s="138">
        <f t="shared" ca="1" si="94"/>
        <v>0</v>
      </c>
      <c r="CS74" s="138">
        <f t="shared" ca="1" si="94"/>
        <v>0</v>
      </c>
      <c r="CT74" s="138">
        <f t="shared" ca="1" si="95"/>
        <v>0</v>
      </c>
      <c r="CU74" s="138">
        <f t="shared" ca="1" si="95"/>
        <v>0</v>
      </c>
      <c r="CV74" s="138">
        <f t="shared" ca="1" si="95"/>
        <v>0</v>
      </c>
      <c r="CW74" s="138">
        <f t="shared" ca="1" si="95"/>
        <v>0</v>
      </c>
      <c r="CX74" s="138">
        <f t="shared" ca="1" si="95"/>
        <v>0</v>
      </c>
      <c r="CY74" s="138">
        <f t="shared" ca="1" si="95"/>
        <v>0</v>
      </c>
      <c r="CZ74" s="138">
        <f t="shared" ca="1" si="95"/>
        <v>0</v>
      </c>
      <c r="DA74" s="138">
        <f t="shared" ca="1" si="95"/>
        <v>0</v>
      </c>
      <c r="DB74" s="138">
        <f t="shared" ca="1" si="95"/>
        <v>0</v>
      </c>
      <c r="DC74" s="138">
        <f t="shared" ca="1" si="95"/>
        <v>0</v>
      </c>
      <c r="DE74" s="254" t="str">
        <f t="shared" ca="1" si="25"/>
        <v>E.3.7.</v>
      </c>
      <c r="DF74">
        <v>1</v>
      </c>
      <c r="DG74">
        <f t="shared" ca="1" si="96"/>
        <v>21</v>
      </c>
      <c r="DH74">
        <v>0</v>
      </c>
    </row>
    <row r="75" spans="1:112" hidden="1">
      <c r="A75" s="124">
        <v>63</v>
      </c>
      <c r="B75" s="205" t="str">
        <f t="shared" ca="1" si="53"/>
        <v>E.3.8.</v>
      </c>
      <c r="C75" s="129" t="str">
        <f t="shared" ca="1" si="54"/>
        <v/>
      </c>
      <c r="D75" s="144"/>
      <c r="E75" s="148">
        <f t="shared" ca="1" si="55"/>
        <v>0.21</v>
      </c>
      <c r="F75" s="139">
        <f ca="1">H75+NPV(FD,I75:INDEX(I75:DC75,PAL))</f>
        <v>0</v>
      </c>
      <c r="G75" s="140">
        <f ca="1">SUMIF($H$5:$DC$5,"&lt;="&amp;PAL,$H75:$DC75)</f>
        <v>0</v>
      </c>
      <c r="H75" s="138">
        <f t="shared" ca="1" si="86"/>
        <v>0</v>
      </c>
      <c r="I75" s="138">
        <f t="shared" ca="1" si="86"/>
        <v>0</v>
      </c>
      <c r="J75" s="138">
        <f t="shared" ca="1" si="86"/>
        <v>0</v>
      </c>
      <c r="K75" s="138">
        <f t="shared" ca="1" si="86"/>
        <v>0</v>
      </c>
      <c r="L75" s="138">
        <f t="shared" ca="1" si="86"/>
        <v>0</v>
      </c>
      <c r="M75" s="138">
        <f t="shared" ca="1" si="86"/>
        <v>0</v>
      </c>
      <c r="N75" s="138">
        <f t="shared" ca="1" si="86"/>
        <v>0</v>
      </c>
      <c r="O75" s="138">
        <f t="shared" ca="1" si="86"/>
        <v>0</v>
      </c>
      <c r="P75" s="138">
        <f t="shared" ca="1" si="86"/>
        <v>0</v>
      </c>
      <c r="Q75" s="138">
        <f t="shared" ca="1" si="86"/>
        <v>0</v>
      </c>
      <c r="R75" s="138">
        <f t="shared" ca="1" si="87"/>
        <v>0</v>
      </c>
      <c r="S75" s="138">
        <f t="shared" ca="1" si="87"/>
        <v>0</v>
      </c>
      <c r="T75" s="138">
        <f t="shared" ca="1" si="87"/>
        <v>0</v>
      </c>
      <c r="U75" s="138">
        <f t="shared" ca="1" si="87"/>
        <v>0</v>
      </c>
      <c r="V75" s="138">
        <f t="shared" ca="1" si="87"/>
        <v>0</v>
      </c>
      <c r="W75" s="138">
        <f t="shared" ca="1" si="87"/>
        <v>0</v>
      </c>
      <c r="X75" s="138">
        <f t="shared" ca="1" si="87"/>
        <v>0</v>
      </c>
      <c r="Y75" s="138">
        <f t="shared" ca="1" si="87"/>
        <v>0</v>
      </c>
      <c r="Z75" s="138">
        <f t="shared" ca="1" si="87"/>
        <v>0</v>
      </c>
      <c r="AA75" s="138">
        <f t="shared" ca="1" si="87"/>
        <v>0</v>
      </c>
      <c r="AB75" s="138">
        <f t="shared" ca="1" si="88"/>
        <v>0</v>
      </c>
      <c r="AC75" s="138">
        <f t="shared" ca="1" si="88"/>
        <v>0</v>
      </c>
      <c r="AD75" s="138">
        <f t="shared" ca="1" si="88"/>
        <v>0</v>
      </c>
      <c r="AE75" s="138">
        <f t="shared" ca="1" si="88"/>
        <v>0</v>
      </c>
      <c r="AF75" s="138">
        <f t="shared" ca="1" si="88"/>
        <v>0</v>
      </c>
      <c r="AG75" s="138">
        <f t="shared" ca="1" si="88"/>
        <v>0</v>
      </c>
      <c r="AH75" s="138">
        <f t="shared" ca="1" si="88"/>
        <v>0</v>
      </c>
      <c r="AI75" s="138">
        <f t="shared" ca="1" si="88"/>
        <v>0</v>
      </c>
      <c r="AJ75" s="138">
        <f t="shared" ca="1" si="88"/>
        <v>0</v>
      </c>
      <c r="AK75" s="138">
        <f t="shared" ca="1" si="88"/>
        <v>0</v>
      </c>
      <c r="AL75" s="138">
        <f t="shared" ca="1" si="89"/>
        <v>0</v>
      </c>
      <c r="AM75" s="138">
        <f t="shared" ca="1" si="89"/>
        <v>0</v>
      </c>
      <c r="AN75" s="138">
        <f t="shared" ca="1" si="89"/>
        <v>0</v>
      </c>
      <c r="AO75" s="138">
        <f t="shared" ca="1" si="89"/>
        <v>0</v>
      </c>
      <c r="AP75" s="138">
        <f t="shared" ca="1" si="89"/>
        <v>0</v>
      </c>
      <c r="AQ75" s="138">
        <f t="shared" ca="1" si="89"/>
        <v>0</v>
      </c>
      <c r="AR75" s="138">
        <f t="shared" ca="1" si="89"/>
        <v>0</v>
      </c>
      <c r="AS75" s="138">
        <f t="shared" ca="1" si="89"/>
        <v>0</v>
      </c>
      <c r="AT75" s="138">
        <f t="shared" ca="1" si="89"/>
        <v>0</v>
      </c>
      <c r="AU75" s="138">
        <f t="shared" ca="1" si="89"/>
        <v>0</v>
      </c>
      <c r="AV75" s="138">
        <f t="shared" ca="1" si="90"/>
        <v>0</v>
      </c>
      <c r="AW75" s="138">
        <f t="shared" ca="1" si="90"/>
        <v>0</v>
      </c>
      <c r="AX75" s="138">
        <f t="shared" ca="1" si="90"/>
        <v>0</v>
      </c>
      <c r="AY75" s="138">
        <f t="shared" ca="1" si="90"/>
        <v>0</v>
      </c>
      <c r="AZ75" s="138">
        <f t="shared" ca="1" si="90"/>
        <v>0</v>
      </c>
      <c r="BA75" s="138">
        <f t="shared" ca="1" si="90"/>
        <v>0</v>
      </c>
      <c r="BB75" s="138">
        <f t="shared" ca="1" si="90"/>
        <v>0</v>
      </c>
      <c r="BC75" s="138">
        <f t="shared" ca="1" si="90"/>
        <v>0</v>
      </c>
      <c r="BD75" s="138">
        <f t="shared" ca="1" si="90"/>
        <v>0</v>
      </c>
      <c r="BE75" s="138">
        <f t="shared" ca="1" si="90"/>
        <v>0</v>
      </c>
      <c r="BF75" s="138">
        <f t="shared" ca="1" si="91"/>
        <v>0</v>
      </c>
      <c r="BG75" s="138">
        <f t="shared" ca="1" si="91"/>
        <v>0</v>
      </c>
      <c r="BH75" s="138">
        <f t="shared" ca="1" si="91"/>
        <v>0</v>
      </c>
      <c r="BI75" s="138">
        <f t="shared" ca="1" si="91"/>
        <v>0</v>
      </c>
      <c r="BJ75" s="138">
        <f t="shared" ca="1" si="91"/>
        <v>0</v>
      </c>
      <c r="BK75" s="138">
        <f t="shared" ca="1" si="91"/>
        <v>0</v>
      </c>
      <c r="BL75" s="138">
        <f t="shared" ca="1" si="91"/>
        <v>0</v>
      </c>
      <c r="BM75" s="138">
        <f t="shared" ca="1" si="91"/>
        <v>0</v>
      </c>
      <c r="BN75" s="138">
        <f t="shared" ca="1" si="91"/>
        <v>0</v>
      </c>
      <c r="BO75" s="138">
        <f t="shared" ca="1" si="91"/>
        <v>0</v>
      </c>
      <c r="BP75" s="138">
        <f t="shared" ca="1" si="92"/>
        <v>0</v>
      </c>
      <c r="BQ75" s="138">
        <f t="shared" ca="1" si="92"/>
        <v>0</v>
      </c>
      <c r="BR75" s="138">
        <f t="shared" ca="1" si="92"/>
        <v>0</v>
      </c>
      <c r="BS75" s="138">
        <f t="shared" ca="1" si="92"/>
        <v>0</v>
      </c>
      <c r="BT75" s="138">
        <f t="shared" ca="1" si="92"/>
        <v>0</v>
      </c>
      <c r="BU75" s="138">
        <f t="shared" ca="1" si="92"/>
        <v>0</v>
      </c>
      <c r="BV75" s="138">
        <f t="shared" ca="1" si="92"/>
        <v>0</v>
      </c>
      <c r="BW75" s="138">
        <f t="shared" ca="1" si="92"/>
        <v>0</v>
      </c>
      <c r="BX75" s="138">
        <f t="shared" ca="1" si="92"/>
        <v>0</v>
      </c>
      <c r="BY75" s="138">
        <f t="shared" ca="1" si="92"/>
        <v>0</v>
      </c>
      <c r="BZ75" s="138">
        <f t="shared" ca="1" si="93"/>
        <v>0</v>
      </c>
      <c r="CA75" s="138">
        <f t="shared" ca="1" si="93"/>
        <v>0</v>
      </c>
      <c r="CB75" s="138">
        <f t="shared" ca="1" si="93"/>
        <v>0</v>
      </c>
      <c r="CC75" s="138">
        <f t="shared" ca="1" si="93"/>
        <v>0</v>
      </c>
      <c r="CD75" s="138">
        <f t="shared" ca="1" si="93"/>
        <v>0</v>
      </c>
      <c r="CE75" s="138">
        <f t="shared" ca="1" si="93"/>
        <v>0</v>
      </c>
      <c r="CF75" s="138">
        <f t="shared" ca="1" si="93"/>
        <v>0</v>
      </c>
      <c r="CG75" s="138">
        <f t="shared" ca="1" si="93"/>
        <v>0</v>
      </c>
      <c r="CH75" s="138">
        <f t="shared" ca="1" si="93"/>
        <v>0</v>
      </c>
      <c r="CI75" s="138">
        <f t="shared" ca="1" si="93"/>
        <v>0</v>
      </c>
      <c r="CJ75" s="138">
        <f t="shared" ca="1" si="94"/>
        <v>0</v>
      </c>
      <c r="CK75" s="138">
        <f t="shared" ca="1" si="94"/>
        <v>0</v>
      </c>
      <c r="CL75" s="138">
        <f t="shared" ca="1" si="94"/>
        <v>0</v>
      </c>
      <c r="CM75" s="138">
        <f t="shared" ca="1" si="94"/>
        <v>0</v>
      </c>
      <c r="CN75" s="138">
        <f t="shared" ca="1" si="94"/>
        <v>0</v>
      </c>
      <c r="CO75" s="138">
        <f t="shared" ca="1" si="94"/>
        <v>0</v>
      </c>
      <c r="CP75" s="138">
        <f t="shared" ca="1" si="94"/>
        <v>0</v>
      </c>
      <c r="CQ75" s="138">
        <f t="shared" ca="1" si="94"/>
        <v>0</v>
      </c>
      <c r="CR75" s="138">
        <f t="shared" ca="1" si="94"/>
        <v>0</v>
      </c>
      <c r="CS75" s="138">
        <f t="shared" ca="1" si="94"/>
        <v>0</v>
      </c>
      <c r="CT75" s="138">
        <f t="shared" ca="1" si="95"/>
        <v>0</v>
      </c>
      <c r="CU75" s="138">
        <f t="shared" ca="1" si="95"/>
        <v>0</v>
      </c>
      <c r="CV75" s="138">
        <f t="shared" ca="1" si="95"/>
        <v>0</v>
      </c>
      <c r="CW75" s="138">
        <f t="shared" ca="1" si="95"/>
        <v>0</v>
      </c>
      <c r="CX75" s="138">
        <f t="shared" ca="1" si="95"/>
        <v>0</v>
      </c>
      <c r="CY75" s="138">
        <f t="shared" ca="1" si="95"/>
        <v>0</v>
      </c>
      <c r="CZ75" s="138">
        <f t="shared" ca="1" si="95"/>
        <v>0</v>
      </c>
      <c r="DA75" s="138">
        <f t="shared" ca="1" si="95"/>
        <v>0</v>
      </c>
      <c r="DB75" s="138">
        <f t="shared" ca="1" si="95"/>
        <v>0</v>
      </c>
      <c r="DC75" s="138">
        <f t="shared" ca="1" si="95"/>
        <v>0</v>
      </c>
      <c r="DE75" s="254" t="str">
        <f t="shared" ca="1" si="25"/>
        <v>E.3.8.</v>
      </c>
      <c r="DF75">
        <v>1</v>
      </c>
      <c r="DG75">
        <f t="shared" ca="1" si="96"/>
        <v>21</v>
      </c>
      <c r="DH75">
        <v>0</v>
      </c>
    </row>
    <row r="76" spans="1:112" hidden="1">
      <c r="A76" s="124">
        <v>64</v>
      </c>
      <c r="B76" s="205" t="str">
        <f t="shared" ref="B76:B107" ca="1" si="97">OFFSET(INDIRECT("'"&amp;Opt_alt&amp;"'!B12"),$A76,0)</f>
        <v>E.3.9.</v>
      </c>
      <c r="C76" s="129" t="str">
        <f t="shared" ref="C76:C107" ca="1" si="98">IF(OFFSET(INDIRECT("'"&amp;Opt_alt&amp;"'!C12"),$A76,0)="","",OFFSET(INDIRECT("'"&amp;Opt_alt&amp;"'!C12"),$A76,0))</f>
        <v>Reinvesticijos (po priemonės įgyvendinimo)</v>
      </c>
      <c r="D76" s="114"/>
      <c r="E76" s="148">
        <f t="shared" ref="E76:E107" ca="1" si="99">IF(OFFSET(INDIRECT("'"&amp;Opt_alt&amp;"'!E12"),$A76,0)="","",OFFSET(INDIRECT("'"&amp;Opt_alt&amp;"'!E12"),$A76,0))</f>
        <v>0.21</v>
      </c>
      <c r="F76" s="139">
        <f ca="1">H76+NPV(FD,I76:INDEX(I76:DC76,PAL))</f>
        <v>0</v>
      </c>
      <c r="G76" s="140">
        <f ca="1">SUMIF($H$5:$DC$5,"&lt;="&amp;PAL,$H76:$DC76)</f>
        <v>0</v>
      </c>
      <c r="H76" s="138">
        <f t="shared" ca="1" si="86"/>
        <v>0</v>
      </c>
      <c r="I76" s="138">
        <f t="shared" ca="1" si="86"/>
        <v>0</v>
      </c>
      <c r="J76" s="138">
        <f t="shared" ca="1" si="86"/>
        <v>0</v>
      </c>
      <c r="K76" s="138">
        <f t="shared" ca="1" si="86"/>
        <v>0</v>
      </c>
      <c r="L76" s="138">
        <f t="shared" ca="1" si="86"/>
        <v>0</v>
      </c>
      <c r="M76" s="138">
        <f t="shared" ca="1" si="86"/>
        <v>0</v>
      </c>
      <c r="N76" s="138">
        <f t="shared" ca="1" si="86"/>
        <v>0</v>
      </c>
      <c r="O76" s="138">
        <f t="shared" ca="1" si="86"/>
        <v>0</v>
      </c>
      <c r="P76" s="138">
        <f t="shared" ca="1" si="86"/>
        <v>0</v>
      </c>
      <c r="Q76" s="138">
        <f t="shared" ca="1" si="86"/>
        <v>0</v>
      </c>
      <c r="R76" s="138">
        <f t="shared" ca="1" si="87"/>
        <v>0</v>
      </c>
      <c r="S76" s="138">
        <f t="shared" ca="1" si="87"/>
        <v>0</v>
      </c>
      <c r="T76" s="138">
        <f t="shared" ca="1" si="87"/>
        <v>0</v>
      </c>
      <c r="U76" s="138">
        <f t="shared" ca="1" si="87"/>
        <v>0</v>
      </c>
      <c r="V76" s="138">
        <f t="shared" ca="1" si="87"/>
        <v>0</v>
      </c>
      <c r="W76" s="138">
        <f t="shared" ca="1" si="87"/>
        <v>0</v>
      </c>
      <c r="X76" s="138">
        <f t="shared" ca="1" si="87"/>
        <v>0</v>
      </c>
      <c r="Y76" s="138">
        <f t="shared" ca="1" si="87"/>
        <v>0</v>
      </c>
      <c r="Z76" s="138">
        <f t="shared" ca="1" si="87"/>
        <v>0</v>
      </c>
      <c r="AA76" s="138">
        <f t="shared" ca="1" si="87"/>
        <v>0</v>
      </c>
      <c r="AB76" s="138">
        <f t="shared" ca="1" si="88"/>
        <v>0</v>
      </c>
      <c r="AC76" s="138">
        <f t="shared" ca="1" si="88"/>
        <v>0</v>
      </c>
      <c r="AD76" s="138">
        <f t="shared" ca="1" si="88"/>
        <v>0</v>
      </c>
      <c r="AE76" s="138">
        <f t="shared" ca="1" si="88"/>
        <v>0</v>
      </c>
      <c r="AF76" s="138">
        <f t="shared" ca="1" si="88"/>
        <v>0</v>
      </c>
      <c r="AG76" s="138">
        <f t="shared" ca="1" si="88"/>
        <v>0</v>
      </c>
      <c r="AH76" s="138">
        <f t="shared" ca="1" si="88"/>
        <v>0</v>
      </c>
      <c r="AI76" s="138">
        <f t="shared" ca="1" si="88"/>
        <v>0</v>
      </c>
      <c r="AJ76" s="138">
        <f t="shared" ca="1" si="88"/>
        <v>0</v>
      </c>
      <c r="AK76" s="138">
        <f t="shared" ca="1" si="88"/>
        <v>0</v>
      </c>
      <c r="AL76" s="138">
        <f t="shared" ca="1" si="89"/>
        <v>0</v>
      </c>
      <c r="AM76" s="138">
        <f t="shared" ca="1" si="89"/>
        <v>0</v>
      </c>
      <c r="AN76" s="138">
        <f t="shared" ca="1" si="89"/>
        <v>0</v>
      </c>
      <c r="AO76" s="138">
        <f t="shared" ca="1" si="89"/>
        <v>0</v>
      </c>
      <c r="AP76" s="138">
        <f t="shared" ca="1" si="89"/>
        <v>0</v>
      </c>
      <c r="AQ76" s="138">
        <f t="shared" ca="1" si="89"/>
        <v>0</v>
      </c>
      <c r="AR76" s="138">
        <f t="shared" ca="1" si="89"/>
        <v>0</v>
      </c>
      <c r="AS76" s="138">
        <f t="shared" ca="1" si="89"/>
        <v>0</v>
      </c>
      <c r="AT76" s="138">
        <f t="shared" ca="1" si="89"/>
        <v>0</v>
      </c>
      <c r="AU76" s="138">
        <f t="shared" ca="1" si="89"/>
        <v>0</v>
      </c>
      <c r="AV76" s="138">
        <f t="shared" ca="1" si="90"/>
        <v>0</v>
      </c>
      <c r="AW76" s="138">
        <f t="shared" ca="1" si="90"/>
        <v>0</v>
      </c>
      <c r="AX76" s="138">
        <f t="shared" ca="1" si="90"/>
        <v>0</v>
      </c>
      <c r="AY76" s="138">
        <f t="shared" ca="1" si="90"/>
        <v>0</v>
      </c>
      <c r="AZ76" s="138">
        <f t="shared" ca="1" si="90"/>
        <v>0</v>
      </c>
      <c r="BA76" s="138">
        <f t="shared" ca="1" si="90"/>
        <v>0</v>
      </c>
      <c r="BB76" s="138">
        <f t="shared" ca="1" si="90"/>
        <v>0</v>
      </c>
      <c r="BC76" s="138">
        <f t="shared" ca="1" si="90"/>
        <v>0</v>
      </c>
      <c r="BD76" s="138">
        <f t="shared" ca="1" si="90"/>
        <v>0</v>
      </c>
      <c r="BE76" s="138">
        <f t="shared" ca="1" si="90"/>
        <v>0</v>
      </c>
      <c r="BF76" s="138">
        <f t="shared" ca="1" si="91"/>
        <v>0</v>
      </c>
      <c r="BG76" s="138">
        <f t="shared" ca="1" si="91"/>
        <v>0</v>
      </c>
      <c r="BH76" s="138">
        <f t="shared" ca="1" si="91"/>
        <v>0</v>
      </c>
      <c r="BI76" s="138">
        <f t="shared" ca="1" si="91"/>
        <v>0</v>
      </c>
      <c r="BJ76" s="138">
        <f t="shared" ca="1" si="91"/>
        <v>0</v>
      </c>
      <c r="BK76" s="138">
        <f t="shared" ca="1" si="91"/>
        <v>0</v>
      </c>
      <c r="BL76" s="138">
        <f t="shared" ca="1" si="91"/>
        <v>0</v>
      </c>
      <c r="BM76" s="138">
        <f t="shared" ca="1" si="91"/>
        <v>0</v>
      </c>
      <c r="BN76" s="138">
        <f t="shared" ca="1" si="91"/>
        <v>0</v>
      </c>
      <c r="BO76" s="138">
        <f t="shared" ca="1" si="91"/>
        <v>0</v>
      </c>
      <c r="BP76" s="138">
        <f t="shared" ca="1" si="92"/>
        <v>0</v>
      </c>
      <c r="BQ76" s="138">
        <f t="shared" ca="1" si="92"/>
        <v>0</v>
      </c>
      <c r="BR76" s="138">
        <f t="shared" ca="1" si="92"/>
        <v>0</v>
      </c>
      <c r="BS76" s="138">
        <f t="shared" ca="1" si="92"/>
        <v>0</v>
      </c>
      <c r="BT76" s="138">
        <f t="shared" ca="1" si="92"/>
        <v>0</v>
      </c>
      <c r="BU76" s="138">
        <f t="shared" ca="1" si="92"/>
        <v>0</v>
      </c>
      <c r="BV76" s="138">
        <f t="shared" ca="1" si="92"/>
        <v>0</v>
      </c>
      <c r="BW76" s="138">
        <f t="shared" ca="1" si="92"/>
        <v>0</v>
      </c>
      <c r="BX76" s="138">
        <f t="shared" ca="1" si="92"/>
        <v>0</v>
      </c>
      <c r="BY76" s="138">
        <f t="shared" ca="1" si="92"/>
        <v>0</v>
      </c>
      <c r="BZ76" s="138">
        <f t="shared" ca="1" si="93"/>
        <v>0</v>
      </c>
      <c r="CA76" s="138">
        <f t="shared" ca="1" si="93"/>
        <v>0</v>
      </c>
      <c r="CB76" s="138">
        <f t="shared" ca="1" si="93"/>
        <v>0</v>
      </c>
      <c r="CC76" s="138">
        <f t="shared" ca="1" si="93"/>
        <v>0</v>
      </c>
      <c r="CD76" s="138">
        <f t="shared" ca="1" si="93"/>
        <v>0</v>
      </c>
      <c r="CE76" s="138">
        <f t="shared" ca="1" si="93"/>
        <v>0</v>
      </c>
      <c r="CF76" s="138">
        <f t="shared" ca="1" si="93"/>
        <v>0</v>
      </c>
      <c r="CG76" s="138">
        <f t="shared" ca="1" si="93"/>
        <v>0</v>
      </c>
      <c r="CH76" s="138">
        <f t="shared" ca="1" si="93"/>
        <v>0</v>
      </c>
      <c r="CI76" s="138">
        <f t="shared" ca="1" si="93"/>
        <v>0</v>
      </c>
      <c r="CJ76" s="138">
        <f t="shared" ca="1" si="94"/>
        <v>0</v>
      </c>
      <c r="CK76" s="138">
        <f t="shared" ca="1" si="94"/>
        <v>0</v>
      </c>
      <c r="CL76" s="138">
        <f t="shared" ca="1" si="94"/>
        <v>0</v>
      </c>
      <c r="CM76" s="138">
        <f t="shared" ca="1" si="94"/>
        <v>0</v>
      </c>
      <c r="CN76" s="138">
        <f t="shared" ca="1" si="94"/>
        <v>0</v>
      </c>
      <c r="CO76" s="138">
        <f t="shared" ca="1" si="94"/>
        <v>0</v>
      </c>
      <c r="CP76" s="138">
        <f t="shared" ca="1" si="94"/>
        <v>0</v>
      </c>
      <c r="CQ76" s="138">
        <f t="shared" ca="1" si="94"/>
        <v>0</v>
      </c>
      <c r="CR76" s="138">
        <f t="shared" ca="1" si="94"/>
        <v>0</v>
      </c>
      <c r="CS76" s="138">
        <f t="shared" ca="1" si="94"/>
        <v>0</v>
      </c>
      <c r="CT76" s="138">
        <f t="shared" ca="1" si="95"/>
        <v>0</v>
      </c>
      <c r="CU76" s="138">
        <f t="shared" ca="1" si="95"/>
        <v>0</v>
      </c>
      <c r="CV76" s="138">
        <f t="shared" ca="1" si="95"/>
        <v>0</v>
      </c>
      <c r="CW76" s="138">
        <f t="shared" ca="1" si="95"/>
        <v>0</v>
      </c>
      <c r="CX76" s="138">
        <f t="shared" ca="1" si="95"/>
        <v>0</v>
      </c>
      <c r="CY76" s="138">
        <f t="shared" ca="1" si="95"/>
        <v>0</v>
      </c>
      <c r="CZ76" s="138">
        <f t="shared" ca="1" si="95"/>
        <v>0</v>
      </c>
      <c r="DA76" s="138">
        <f t="shared" ca="1" si="95"/>
        <v>0</v>
      </c>
      <c r="DB76" s="138">
        <f t="shared" ca="1" si="95"/>
        <v>0</v>
      </c>
      <c r="DC76" s="138">
        <f t="shared" ca="1" si="95"/>
        <v>0</v>
      </c>
      <c r="DE76" s="254" t="str">
        <f t="shared" ref="DE76:DE129" ca="1" si="100">OFFSET(INDIRECT("'"&amp;Opt_alt&amp;"'!B12"),$A76,0)</f>
        <v>E.3.9.</v>
      </c>
      <c r="DF76">
        <v>1</v>
      </c>
      <c r="DG76">
        <f t="shared" ca="1" si="96"/>
        <v>21</v>
      </c>
      <c r="DH76">
        <v>0</v>
      </c>
    </row>
    <row r="77" spans="1:112" hidden="1">
      <c r="A77" s="124">
        <v>65</v>
      </c>
      <c r="B77" s="205" t="str">
        <f t="shared" ca="1" si="97"/>
        <v>E.3.L.</v>
      </c>
      <c r="C77" s="129" t="str">
        <f t="shared" ca="1" si="98"/>
        <v>Likutinė vertė</v>
      </c>
      <c r="D77" s="114"/>
      <c r="E77" s="148">
        <f t="shared" ca="1" si="99"/>
        <v>0.21</v>
      </c>
      <c r="F77" s="139">
        <f ca="1">H77+NPV(FD,I77:INDEX(I77:DC77,PAL))</f>
        <v>0</v>
      </c>
      <c r="G77" s="140">
        <f ca="1">SUMIF($H$5:$DC$5,"&lt;="&amp;PAL,$H77:$DC77)</f>
        <v>0</v>
      </c>
      <c r="H77" s="138">
        <f t="shared" ca="1" si="86"/>
        <v>0</v>
      </c>
      <c r="I77" s="138">
        <f t="shared" ca="1" si="86"/>
        <v>0</v>
      </c>
      <c r="J77" s="138">
        <f t="shared" ca="1" si="86"/>
        <v>0</v>
      </c>
      <c r="K77" s="138">
        <f t="shared" ca="1" si="86"/>
        <v>0</v>
      </c>
      <c r="L77" s="138">
        <f t="shared" ca="1" si="86"/>
        <v>0</v>
      </c>
      <c r="M77" s="138">
        <f t="shared" ca="1" si="86"/>
        <v>0</v>
      </c>
      <c r="N77" s="138">
        <f t="shared" ca="1" si="86"/>
        <v>0</v>
      </c>
      <c r="O77" s="138">
        <f t="shared" ca="1" si="86"/>
        <v>0</v>
      </c>
      <c r="P77" s="138">
        <f t="shared" ca="1" si="86"/>
        <v>0</v>
      </c>
      <c r="Q77" s="138">
        <f t="shared" ca="1" si="86"/>
        <v>0</v>
      </c>
      <c r="R77" s="138">
        <f t="shared" ca="1" si="87"/>
        <v>0</v>
      </c>
      <c r="S77" s="138">
        <f t="shared" ca="1" si="87"/>
        <v>0</v>
      </c>
      <c r="T77" s="138">
        <f t="shared" ca="1" si="87"/>
        <v>0</v>
      </c>
      <c r="U77" s="138">
        <f t="shared" ca="1" si="87"/>
        <v>0</v>
      </c>
      <c r="V77" s="138">
        <f t="shared" ca="1" si="87"/>
        <v>0</v>
      </c>
      <c r="W77" s="138">
        <f t="shared" ca="1" si="87"/>
        <v>0</v>
      </c>
      <c r="X77" s="138">
        <f t="shared" ca="1" si="87"/>
        <v>0</v>
      </c>
      <c r="Y77" s="138">
        <f t="shared" ca="1" si="87"/>
        <v>0</v>
      </c>
      <c r="Z77" s="138">
        <f t="shared" ca="1" si="87"/>
        <v>0</v>
      </c>
      <c r="AA77" s="138">
        <f t="shared" ca="1" si="87"/>
        <v>0</v>
      </c>
      <c r="AB77" s="138">
        <f t="shared" ca="1" si="88"/>
        <v>0</v>
      </c>
      <c r="AC77" s="138">
        <f t="shared" ca="1" si="88"/>
        <v>0</v>
      </c>
      <c r="AD77" s="138">
        <f t="shared" ca="1" si="88"/>
        <v>0</v>
      </c>
      <c r="AE77" s="138">
        <f t="shared" ca="1" si="88"/>
        <v>0</v>
      </c>
      <c r="AF77" s="138">
        <f t="shared" ca="1" si="88"/>
        <v>0</v>
      </c>
      <c r="AG77" s="138">
        <f t="shared" ca="1" si="88"/>
        <v>0</v>
      </c>
      <c r="AH77" s="138">
        <f t="shared" ca="1" si="88"/>
        <v>0</v>
      </c>
      <c r="AI77" s="138">
        <f t="shared" ca="1" si="88"/>
        <v>0</v>
      </c>
      <c r="AJ77" s="138">
        <f t="shared" ca="1" si="88"/>
        <v>0</v>
      </c>
      <c r="AK77" s="138">
        <f t="shared" ca="1" si="88"/>
        <v>0</v>
      </c>
      <c r="AL77" s="138">
        <f t="shared" ca="1" si="89"/>
        <v>0</v>
      </c>
      <c r="AM77" s="138">
        <f t="shared" ca="1" si="89"/>
        <v>0</v>
      </c>
      <c r="AN77" s="138">
        <f t="shared" ca="1" si="89"/>
        <v>0</v>
      </c>
      <c r="AO77" s="138">
        <f t="shared" ca="1" si="89"/>
        <v>0</v>
      </c>
      <c r="AP77" s="138">
        <f t="shared" ca="1" si="89"/>
        <v>0</v>
      </c>
      <c r="AQ77" s="138">
        <f t="shared" ca="1" si="89"/>
        <v>0</v>
      </c>
      <c r="AR77" s="138">
        <f t="shared" ca="1" si="89"/>
        <v>0</v>
      </c>
      <c r="AS77" s="138">
        <f t="shared" ca="1" si="89"/>
        <v>0</v>
      </c>
      <c r="AT77" s="138">
        <f t="shared" ca="1" si="89"/>
        <v>0</v>
      </c>
      <c r="AU77" s="138">
        <f t="shared" ca="1" si="89"/>
        <v>0</v>
      </c>
      <c r="AV77" s="138">
        <f t="shared" ca="1" si="90"/>
        <v>0</v>
      </c>
      <c r="AW77" s="138">
        <f t="shared" ca="1" si="90"/>
        <v>0</v>
      </c>
      <c r="AX77" s="138">
        <f t="shared" ca="1" si="90"/>
        <v>0</v>
      </c>
      <c r="AY77" s="138">
        <f t="shared" ca="1" si="90"/>
        <v>0</v>
      </c>
      <c r="AZ77" s="138">
        <f t="shared" ca="1" si="90"/>
        <v>0</v>
      </c>
      <c r="BA77" s="138">
        <f t="shared" ca="1" si="90"/>
        <v>0</v>
      </c>
      <c r="BB77" s="138">
        <f t="shared" ca="1" si="90"/>
        <v>0</v>
      </c>
      <c r="BC77" s="138">
        <f t="shared" ca="1" si="90"/>
        <v>0</v>
      </c>
      <c r="BD77" s="138">
        <f t="shared" ca="1" si="90"/>
        <v>0</v>
      </c>
      <c r="BE77" s="138">
        <f t="shared" ca="1" si="90"/>
        <v>0</v>
      </c>
      <c r="BF77" s="138">
        <f t="shared" ca="1" si="91"/>
        <v>0</v>
      </c>
      <c r="BG77" s="138">
        <f t="shared" ca="1" si="91"/>
        <v>0</v>
      </c>
      <c r="BH77" s="138">
        <f t="shared" ca="1" si="91"/>
        <v>0</v>
      </c>
      <c r="BI77" s="138">
        <f t="shared" ca="1" si="91"/>
        <v>0</v>
      </c>
      <c r="BJ77" s="138">
        <f t="shared" ca="1" si="91"/>
        <v>0</v>
      </c>
      <c r="BK77" s="138">
        <f t="shared" ca="1" si="91"/>
        <v>0</v>
      </c>
      <c r="BL77" s="138">
        <f t="shared" ca="1" si="91"/>
        <v>0</v>
      </c>
      <c r="BM77" s="138">
        <f t="shared" ca="1" si="91"/>
        <v>0</v>
      </c>
      <c r="BN77" s="138">
        <f t="shared" ca="1" si="91"/>
        <v>0</v>
      </c>
      <c r="BO77" s="138">
        <f t="shared" ca="1" si="91"/>
        <v>0</v>
      </c>
      <c r="BP77" s="138">
        <f t="shared" ca="1" si="92"/>
        <v>0</v>
      </c>
      <c r="BQ77" s="138">
        <f t="shared" ca="1" si="92"/>
        <v>0</v>
      </c>
      <c r="BR77" s="138">
        <f t="shared" ca="1" si="92"/>
        <v>0</v>
      </c>
      <c r="BS77" s="138">
        <f t="shared" ca="1" si="92"/>
        <v>0</v>
      </c>
      <c r="BT77" s="138">
        <f t="shared" ca="1" si="92"/>
        <v>0</v>
      </c>
      <c r="BU77" s="138">
        <f t="shared" ca="1" si="92"/>
        <v>0</v>
      </c>
      <c r="BV77" s="138">
        <f t="shared" ca="1" si="92"/>
        <v>0</v>
      </c>
      <c r="BW77" s="138">
        <f t="shared" ca="1" si="92"/>
        <v>0</v>
      </c>
      <c r="BX77" s="138">
        <f t="shared" ca="1" si="92"/>
        <v>0</v>
      </c>
      <c r="BY77" s="138">
        <f t="shared" ca="1" si="92"/>
        <v>0</v>
      </c>
      <c r="BZ77" s="138">
        <f t="shared" ca="1" si="93"/>
        <v>0</v>
      </c>
      <c r="CA77" s="138">
        <f t="shared" ca="1" si="93"/>
        <v>0</v>
      </c>
      <c r="CB77" s="138">
        <f t="shared" ca="1" si="93"/>
        <v>0</v>
      </c>
      <c r="CC77" s="138">
        <f t="shared" ca="1" si="93"/>
        <v>0</v>
      </c>
      <c r="CD77" s="138">
        <f t="shared" ca="1" si="93"/>
        <v>0</v>
      </c>
      <c r="CE77" s="138">
        <f t="shared" ca="1" si="93"/>
        <v>0</v>
      </c>
      <c r="CF77" s="138">
        <f t="shared" ca="1" si="93"/>
        <v>0</v>
      </c>
      <c r="CG77" s="138">
        <f t="shared" ca="1" si="93"/>
        <v>0</v>
      </c>
      <c r="CH77" s="138">
        <f t="shared" ca="1" si="93"/>
        <v>0</v>
      </c>
      <c r="CI77" s="138">
        <f t="shared" ca="1" si="93"/>
        <v>0</v>
      </c>
      <c r="CJ77" s="138">
        <f t="shared" ca="1" si="94"/>
        <v>0</v>
      </c>
      <c r="CK77" s="138">
        <f t="shared" ca="1" si="94"/>
        <v>0</v>
      </c>
      <c r="CL77" s="138">
        <f t="shared" ca="1" si="94"/>
        <v>0</v>
      </c>
      <c r="CM77" s="138">
        <f t="shared" ca="1" si="94"/>
        <v>0</v>
      </c>
      <c r="CN77" s="138">
        <f t="shared" ca="1" si="94"/>
        <v>0</v>
      </c>
      <c r="CO77" s="138">
        <f t="shared" ca="1" si="94"/>
        <v>0</v>
      </c>
      <c r="CP77" s="138">
        <f t="shared" ca="1" si="94"/>
        <v>0</v>
      </c>
      <c r="CQ77" s="138">
        <f t="shared" ca="1" si="94"/>
        <v>0</v>
      </c>
      <c r="CR77" s="138">
        <f t="shared" ca="1" si="94"/>
        <v>0</v>
      </c>
      <c r="CS77" s="138">
        <f t="shared" ca="1" si="94"/>
        <v>0</v>
      </c>
      <c r="CT77" s="138">
        <f t="shared" ca="1" si="95"/>
        <v>0</v>
      </c>
      <c r="CU77" s="138">
        <f t="shared" ca="1" si="95"/>
        <v>0</v>
      </c>
      <c r="CV77" s="138">
        <f t="shared" ca="1" si="95"/>
        <v>0</v>
      </c>
      <c r="CW77" s="138">
        <f t="shared" ca="1" si="95"/>
        <v>0</v>
      </c>
      <c r="CX77" s="138">
        <f t="shared" ca="1" si="95"/>
        <v>0</v>
      </c>
      <c r="CY77" s="138">
        <f t="shared" ca="1" si="95"/>
        <v>0</v>
      </c>
      <c r="CZ77" s="138">
        <f t="shared" ca="1" si="95"/>
        <v>0</v>
      </c>
      <c r="DA77" s="138">
        <f t="shared" ca="1" si="95"/>
        <v>0</v>
      </c>
      <c r="DB77" s="138">
        <f t="shared" ca="1" si="95"/>
        <v>0</v>
      </c>
      <c r="DC77" s="138">
        <f t="shared" ca="1" si="95"/>
        <v>0</v>
      </c>
      <c r="DE77" s="254" t="str">
        <f t="shared" ca="1" si="100"/>
        <v>E.3.L.</v>
      </c>
      <c r="DF77">
        <v>1</v>
      </c>
      <c r="DG77">
        <f t="shared" ca="1" si="96"/>
        <v>21</v>
      </c>
      <c r="DH77">
        <f ca="1">DG77/(100+DG77)</f>
        <v>0.17355371900826447</v>
      </c>
    </row>
    <row r="78" spans="1:112" hidden="1">
      <c r="A78" s="124">
        <v>66</v>
      </c>
      <c r="B78" s="205" t="str">
        <f t="shared" ca="1" si="97"/>
        <v>F.</v>
      </c>
      <c r="C78" s="197" t="str">
        <f t="shared" ca="1" si="98"/>
        <v>KOMUNIKACINĖS VEIKLOS</v>
      </c>
      <c r="D78" s="134"/>
      <c r="E78" s="233" t="str">
        <f t="shared" ca="1" si="99"/>
        <v/>
      </c>
      <c r="F78" s="139">
        <f ca="1">SUM(F79:F87)</f>
        <v>0</v>
      </c>
      <c r="G78" s="140">
        <f ca="1">SUMIF($H$5:$DC$5,"&lt;="&amp;PAL,$H78:$DC78)</f>
        <v>0</v>
      </c>
      <c r="H78" s="234">
        <f ca="1">SUM(H79:H87)</f>
        <v>0</v>
      </c>
      <c r="I78" s="234">
        <f t="shared" ref="I78:BT78" ca="1" si="101">SUM(I79:I87)</f>
        <v>0</v>
      </c>
      <c r="J78" s="234">
        <f t="shared" ca="1" si="101"/>
        <v>0</v>
      </c>
      <c r="K78" s="234">
        <f t="shared" ca="1" si="101"/>
        <v>0</v>
      </c>
      <c r="L78" s="234">
        <f t="shared" ca="1" si="101"/>
        <v>0</v>
      </c>
      <c r="M78" s="234">
        <f t="shared" ca="1" si="101"/>
        <v>0</v>
      </c>
      <c r="N78" s="234">
        <f t="shared" ca="1" si="101"/>
        <v>0</v>
      </c>
      <c r="O78" s="234">
        <f t="shared" ca="1" si="101"/>
        <v>0</v>
      </c>
      <c r="P78" s="234">
        <f t="shared" ca="1" si="101"/>
        <v>0</v>
      </c>
      <c r="Q78" s="234">
        <f t="shared" ca="1" si="101"/>
        <v>0</v>
      </c>
      <c r="R78" s="234">
        <f t="shared" ca="1" si="101"/>
        <v>0</v>
      </c>
      <c r="S78" s="234">
        <f t="shared" ca="1" si="101"/>
        <v>0</v>
      </c>
      <c r="T78" s="234">
        <f t="shared" ca="1" si="101"/>
        <v>0</v>
      </c>
      <c r="U78" s="234">
        <f t="shared" ca="1" si="101"/>
        <v>0</v>
      </c>
      <c r="V78" s="234">
        <f t="shared" ca="1" si="101"/>
        <v>0</v>
      </c>
      <c r="W78" s="234">
        <f t="shared" ca="1" si="101"/>
        <v>0</v>
      </c>
      <c r="X78" s="234">
        <f t="shared" ca="1" si="101"/>
        <v>0</v>
      </c>
      <c r="Y78" s="234">
        <f t="shared" ca="1" si="101"/>
        <v>0</v>
      </c>
      <c r="Z78" s="234">
        <f t="shared" ca="1" si="101"/>
        <v>0</v>
      </c>
      <c r="AA78" s="234">
        <f t="shared" ca="1" si="101"/>
        <v>0</v>
      </c>
      <c r="AB78" s="234">
        <f t="shared" ca="1" si="101"/>
        <v>0</v>
      </c>
      <c r="AC78" s="234">
        <f t="shared" ca="1" si="101"/>
        <v>0</v>
      </c>
      <c r="AD78" s="234">
        <f t="shared" ca="1" si="101"/>
        <v>0</v>
      </c>
      <c r="AE78" s="234">
        <f t="shared" ca="1" si="101"/>
        <v>0</v>
      </c>
      <c r="AF78" s="234">
        <f t="shared" ca="1" si="101"/>
        <v>0</v>
      </c>
      <c r="AG78" s="234">
        <f t="shared" ca="1" si="101"/>
        <v>0</v>
      </c>
      <c r="AH78" s="234">
        <f t="shared" ca="1" si="101"/>
        <v>0</v>
      </c>
      <c r="AI78" s="234">
        <f t="shared" ca="1" si="101"/>
        <v>0</v>
      </c>
      <c r="AJ78" s="234">
        <f t="shared" ca="1" si="101"/>
        <v>0</v>
      </c>
      <c r="AK78" s="234">
        <f t="shared" ca="1" si="101"/>
        <v>0</v>
      </c>
      <c r="AL78" s="234">
        <f t="shared" ca="1" si="101"/>
        <v>0</v>
      </c>
      <c r="AM78" s="234">
        <f t="shared" ca="1" si="101"/>
        <v>0</v>
      </c>
      <c r="AN78" s="234">
        <f t="shared" ca="1" si="101"/>
        <v>0</v>
      </c>
      <c r="AO78" s="234">
        <f t="shared" ca="1" si="101"/>
        <v>0</v>
      </c>
      <c r="AP78" s="234">
        <f t="shared" ca="1" si="101"/>
        <v>0</v>
      </c>
      <c r="AQ78" s="234">
        <f t="shared" ca="1" si="101"/>
        <v>0</v>
      </c>
      <c r="AR78" s="234">
        <f t="shared" ca="1" si="101"/>
        <v>0</v>
      </c>
      <c r="AS78" s="234">
        <f t="shared" ca="1" si="101"/>
        <v>0</v>
      </c>
      <c r="AT78" s="234">
        <f t="shared" ca="1" si="101"/>
        <v>0</v>
      </c>
      <c r="AU78" s="234">
        <f t="shared" ca="1" si="101"/>
        <v>0</v>
      </c>
      <c r="AV78" s="234">
        <f t="shared" ca="1" si="101"/>
        <v>0</v>
      </c>
      <c r="AW78" s="234">
        <f t="shared" ca="1" si="101"/>
        <v>0</v>
      </c>
      <c r="AX78" s="234">
        <f t="shared" ca="1" si="101"/>
        <v>0</v>
      </c>
      <c r="AY78" s="234">
        <f t="shared" ca="1" si="101"/>
        <v>0</v>
      </c>
      <c r="AZ78" s="234">
        <f t="shared" ca="1" si="101"/>
        <v>0</v>
      </c>
      <c r="BA78" s="234">
        <f t="shared" ca="1" si="101"/>
        <v>0</v>
      </c>
      <c r="BB78" s="234">
        <f t="shared" ca="1" si="101"/>
        <v>0</v>
      </c>
      <c r="BC78" s="234">
        <f t="shared" ca="1" si="101"/>
        <v>0</v>
      </c>
      <c r="BD78" s="234">
        <f t="shared" ca="1" si="101"/>
        <v>0</v>
      </c>
      <c r="BE78" s="234">
        <f t="shared" ca="1" si="101"/>
        <v>0</v>
      </c>
      <c r="BF78" s="234">
        <f t="shared" ca="1" si="101"/>
        <v>0</v>
      </c>
      <c r="BG78" s="234">
        <f t="shared" ca="1" si="101"/>
        <v>0</v>
      </c>
      <c r="BH78" s="234">
        <f t="shared" ca="1" si="101"/>
        <v>0</v>
      </c>
      <c r="BI78" s="234">
        <f t="shared" ca="1" si="101"/>
        <v>0</v>
      </c>
      <c r="BJ78" s="234">
        <f t="shared" ca="1" si="101"/>
        <v>0</v>
      </c>
      <c r="BK78" s="234">
        <f t="shared" ca="1" si="101"/>
        <v>0</v>
      </c>
      <c r="BL78" s="234">
        <f t="shared" ca="1" si="101"/>
        <v>0</v>
      </c>
      <c r="BM78" s="234">
        <f t="shared" ca="1" si="101"/>
        <v>0</v>
      </c>
      <c r="BN78" s="234">
        <f t="shared" ca="1" si="101"/>
        <v>0</v>
      </c>
      <c r="BO78" s="234">
        <f t="shared" ca="1" si="101"/>
        <v>0</v>
      </c>
      <c r="BP78" s="234">
        <f t="shared" ca="1" si="101"/>
        <v>0</v>
      </c>
      <c r="BQ78" s="234">
        <f t="shared" ca="1" si="101"/>
        <v>0</v>
      </c>
      <c r="BR78" s="234">
        <f t="shared" ca="1" si="101"/>
        <v>0</v>
      </c>
      <c r="BS78" s="234">
        <f t="shared" ca="1" si="101"/>
        <v>0</v>
      </c>
      <c r="BT78" s="234">
        <f t="shared" ca="1" si="101"/>
        <v>0</v>
      </c>
      <c r="BU78" s="234">
        <f t="shared" ref="BU78:DC78" ca="1" si="102">SUM(BU79:BU87)</f>
        <v>0</v>
      </c>
      <c r="BV78" s="234">
        <f t="shared" ca="1" si="102"/>
        <v>0</v>
      </c>
      <c r="BW78" s="234">
        <f t="shared" ca="1" si="102"/>
        <v>0</v>
      </c>
      <c r="BX78" s="234">
        <f t="shared" ca="1" si="102"/>
        <v>0</v>
      </c>
      <c r="BY78" s="234">
        <f t="shared" ca="1" si="102"/>
        <v>0</v>
      </c>
      <c r="BZ78" s="234">
        <f t="shared" ca="1" si="102"/>
        <v>0</v>
      </c>
      <c r="CA78" s="234">
        <f t="shared" ca="1" si="102"/>
        <v>0</v>
      </c>
      <c r="CB78" s="234">
        <f t="shared" ca="1" si="102"/>
        <v>0</v>
      </c>
      <c r="CC78" s="234">
        <f t="shared" ca="1" si="102"/>
        <v>0</v>
      </c>
      <c r="CD78" s="234">
        <f t="shared" ca="1" si="102"/>
        <v>0</v>
      </c>
      <c r="CE78" s="234">
        <f t="shared" ca="1" si="102"/>
        <v>0</v>
      </c>
      <c r="CF78" s="234">
        <f t="shared" ca="1" si="102"/>
        <v>0</v>
      </c>
      <c r="CG78" s="234">
        <f t="shared" ca="1" si="102"/>
        <v>0</v>
      </c>
      <c r="CH78" s="234">
        <f t="shared" ca="1" si="102"/>
        <v>0</v>
      </c>
      <c r="CI78" s="234">
        <f t="shared" ca="1" si="102"/>
        <v>0</v>
      </c>
      <c r="CJ78" s="234">
        <f t="shared" ca="1" si="102"/>
        <v>0</v>
      </c>
      <c r="CK78" s="234">
        <f t="shared" ca="1" si="102"/>
        <v>0</v>
      </c>
      <c r="CL78" s="234">
        <f t="shared" ca="1" si="102"/>
        <v>0</v>
      </c>
      <c r="CM78" s="234">
        <f t="shared" ca="1" si="102"/>
        <v>0</v>
      </c>
      <c r="CN78" s="234">
        <f t="shared" ca="1" si="102"/>
        <v>0</v>
      </c>
      <c r="CO78" s="234">
        <f t="shared" ca="1" si="102"/>
        <v>0</v>
      </c>
      <c r="CP78" s="234">
        <f t="shared" ca="1" si="102"/>
        <v>0</v>
      </c>
      <c r="CQ78" s="234">
        <f t="shared" ca="1" si="102"/>
        <v>0</v>
      </c>
      <c r="CR78" s="234">
        <f t="shared" ca="1" si="102"/>
        <v>0</v>
      </c>
      <c r="CS78" s="234">
        <f t="shared" ca="1" si="102"/>
        <v>0</v>
      </c>
      <c r="CT78" s="234">
        <f t="shared" ca="1" si="102"/>
        <v>0</v>
      </c>
      <c r="CU78" s="234">
        <f t="shared" ca="1" si="102"/>
        <v>0</v>
      </c>
      <c r="CV78" s="234">
        <f t="shared" ca="1" si="102"/>
        <v>0</v>
      </c>
      <c r="CW78" s="234">
        <f t="shared" ca="1" si="102"/>
        <v>0</v>
      </c>
      <c r="CX78" s="234">
        <f t="shared" ca="1" si="102"/>
        <v>0</v>
      </c>
      <c r="CY78" s="234">
        <f t="shared" ca="1" si="102"/>
        <v>0</v>
      </c>
      <c r="CZ78" s="234">
        <f t="shared" ca="1" si="102"/>
        <v>0</v>
      </c>
      <c r="DA78" s="234">
        <f t="shared" ca="1" si="102"/>
        <v>0</v>
      </c>
      <c r="DB78" s="234">
        <f t="shared" ca="1" si="102"/>
        <v>0</v>
      </c>
      <c r="DC78" s="234">
        <f t="shared" ca="1" si="102"/>
        <v>0</v>
      </c>
      <c r="DE78" s="254"/>
      <c r="DF78">
        <v>1</v>
      </c>
    </row>
    <row r="79" spans="1:112" hidden="1">
      <c r="A79" s="124">
        <v>67</v>
      </c>
      <c r="B79" s="205" t="str">
        <f t="shared" ca="1" si="97"/>
        <v>F.1.</v>
      </c>
      <c r="C79" s="129" t="str">
        <f t="shared" ca="1" si="98"/>
        <v>Veikla</v>
      </c>
      <c r="D79" s="144"/>
      <c r="E79" s="148">
        <f t="shared" ca="1" si="99"/>
        <v>0.21</v>
      </c>
      <c r="F79" s="139">
        <f ca="1">H79+NPV(FD,I79:INDEX(I79:DC79,PAL))</f>
        <v>0</v>
      </c>
      <c r="G79" s="140">
        <f ca="1">SUMIF($H$5:$DC$5,"&lt;="&amp;PAL,$H79:$DC79)</f>
        <v>0</v>
      </c>
      <c r="H79" s="138">
        <f t="shared" ref="H79:Q87" ca="1" si="103">OFFSET(INDIRECT("'"&amp;Opt_alt&amp;"'!H12"),$A79,H$5)*$DF79</f>
        <v>0</v>
      </c>
      <c r="I79" s="138">
        <f t="shared" ca="1" si="103"/>
        <v>0</v>
      </c>
      <c r="J79" s="138">
        <f t="shared" ca="1" si="103"/>
        <v>0</v>
      </c>
      <c r="K79" s="138">
        <f t="shared" ca="1" si="103"/>
        <v>0</v>
      </c>
      <c r="L79" s="138">
        <f t="shared" ca="1" si="103"/>
        <v>0</v>
      </c>
      <c r="M79" s="138">
        <f t="shared" ca="1" si="103"/>
        <v>0</v>
      </c>
      <c r="N79" s="138">
        <f t="shared" ca="1" si="103"/>
        <v>0</v>
      </c>
      <c r="O79" s="138">
        <f t="shared" ca="1" si="103"/>
        <v>0</v>
      </c>
      <c r="P79" s="138">
        <f t="shared" ca="1" si="103"/>
        <v>0</v>
      </c>
      <c r="Q79" s="138">
        <f t="shared" ca="1" si="103"/>
        <v>0</v>
      </c>
      <c r="R79" s="138">
        <f t="shared" ref="R79:AA87" ca="1" si="104">OFFSET(INDIRECT("'"&amp;Opt_alt&amp;"'!H12"),$A79,R$5)*$DF79</f>
        <v>0</v>
      </c>
      <c r="S79" s="138">
        <f t="shared" ca="1" si="104"/>
        <v>0</v>
      </c>
      <c r="T79" s="138">
        <f t="shared" ca="1" si="104"/>
        <v>0</v>
      </c>
      <c r="U79" s="138">
        <f t="shared" ca="1" si="104"/>
        <v>0</v>
      </c>
      <c r="V79" s="138">
        <f t="shared" ca="1" si="104"/>
        <v>0</v>
      </c>
      <c r="W79" s="138">
        <f t="shared" ca="1" si="104"/>
        <v>0</v>
      </c>
      <c r="X79" s="138">
        <f t="shared" ca="1" si="104"/>
        <v>0</v>
      </c>
      <c r="Y79" s="138">
        <f t="shared" ca="1" si="104"/>
        <v>0</v>
      </c>
      <c r="Z79" s="138">
        <f t="shared" ca="1" si="104"/>
        <v>0</v>
      </c>
      <c r="AA79" s="138">
        <f t="shared" ca="1" si="104"/>
        <v>0</v>
      </c>
      <c r="AB79" s="138">
        <f t="shared" ref="AB79:AK87" ca="1" si="105">OFFSET(INDIRECT("'"&amp;Opt_alt&amp;"'!H12"),$A79,AB$5)*$DF79</f>
        <v>0</v>
      </c>
      <c r="AC79" s="138">
        <f t="shared" ca="1" si="105"/>
        <v>0</v>
      </c>
      <c r="AD79" s="138">
        <f t="shared" ca="1" si="105"/>
        <v>0</v>
      </c>
      <c r="AE79" s="138">
        <f t="shared" ca="1" si="105"/>
        <v>0</v>
      </c>
      <c r="AF79" s="138">
        <f t="shared" ca="1" si="105"/>
        <v>0</v>
      </c>
      <c r="AG79" s="138">
        <f t="shared" ca="1" si="105"/>
        <v>0</v>
      </c>
      <c r="AH79" s="138">
        <f t="shared" ca="1" si="105"/>
        <v>0</v>
      </c>
      <c r="AI79" s="138">
        <f t="shared" ca="1" si="105"/>
        <v>0</v>
      </c>
      <c r="AJ79" s="138">
        <f t="shared" ca="1" si="105"/>
        <v>0</v>
      </c>
      <c r="AK79" s="138">
        <f t="shared" ca="1" si="105"/>
        <v>0</v>
      </c>
      <c r="AL79" s="138">
        <f t="shared" ref="AL79:AU87" ca="1" si="106">OFFSET(INDIRECT("'"&amp;Opt_alt&amp;"'!H12"),$A79,AL$5)*$DF79</f>
        <v>0</v>
      </c>
      <c r="AM79" s="138">
        <f t="shared" ca="1" si="106"/>
        <v>0</v>
      </c>
      <c r="AN79" s="138">
        <f t="shared" ca="1" si="106"/>
        <v>0</v>
      </c>
      <c r="AO79" s="138">
        <f t="shared" ca="1" si="106"/>
        <v>0</v>
      </c>
      <c r="AP79" s="138">
        <f t="shared" ca="1" si="106"/>
        <v>0</v>
      </c>
      <c r="AQ79" s="138">
        <f t="shared" ca="1" si="106"/>
        <v>0</v>
      </c>
      <c r="AR79" s="138">
        <f t="shared" ca="1" si="106"/>
        <v>0</v>
      </c>
      <c r="AS79" s="138">
        <f t="shared" ca="1" si="106"/>
        <v>0</v>
      </c>
      <c r="AT79" s="138">
        <f t="shared" ca="1" si="106"/>
        <v>0</v>
      </c>
      <c r="AU79" s="138">
        <f t="shared" ca="1" si="106"/>
        <v>0</v>
      </c>
      <c r="AV79" s="138">
        <f t="shared" ref="AV79:BE87" ca="1" si="107">OFFSET(INDIRECT("'"&amp;Opt_alt&amp;"'!H12"),$A79,AV$5)*$DF79</f>
        <v>0</v>
      </c>
      <c r="AW79" s="138">
        <f t="shared" ca="1" si="107"/>
        <v>0</v>
      </c>
      <c r="AX79" s="138">
        <f t="shared" ca="1" si="107"/>
        <v>0</v>
      </c>
      <c r="AY79" s="138">
        <f t="shared" ca="1" si="107"/>
        <v>0</v>
      </c>
      <c r="AZ79" s="138">
        <f t="shared" ca="1" si="107"/>
        <v>0</v>
      </c>
      <c r="BA79" s="138">
        <f t="shared" ca="1" si="107"/>
        <v>0</v>
      </c>
      <c r="BB79" s="138">
        <f t="shared" ca="1" si="107"/>
        <v>0</v>
      </c>
      <c r="BC79" s="138">
        <f t="shared" ca="1" si="107"/>
        <v>0</v>
      </c>
      <c r="BD79" s="138">
        <f t="shared" ca="1" si="107"/>
        <v>0</v>
      </c>
      <c r="BE79" s="138">
        <f t="shared" ca="1" si="107"/>
        <v>0</v>
      </c>
      <c r="BF79" s="138">
        <f t="shared" ref="BF79:BO87" ca="1" si="108">OFFSET(INDIRECT("'"&amp;Opt_alt&amp;"'!H12"),$A79,BF$5)*$DF79</f>
        <v>0</v>
      </c>
      <c r="BG79" s="138">
        <f t="shared" ca="1" si="108"/>
        <v>0</v>
      </c>
      <c r="BH79" s="138">
        <f t="shared" ca="1" si="108"/>
        <v>0</v>
      </c>
      <c r="BI79" s="138">
        <f t="shared" ca="1" si="108"/>
        <v>0</v>
      </c>
      <c r="BJ79" s="138">
        <f t="shared" ca="1" si="108"/>
        <v>0</v>
      </c>
      <c r="BK79" s="138">
        <f t="shared" ca="1" si="108"/>
        <v>0</v>
      </c>
      <c r="BL79" s="138">
        <f t="shared" ca="1" si="108"/>
        <v>0</v>
      </c>
      <c r="BM79" s="138">
        <f t="shared" ca="1" si="108"/>
        <v>0</v>
      </c>
      <c r="BN79" s="138">
        <f t="shared" ca="1" si="108"/>
        <v>0</v>
      </c>
      <c r="BO79" s="138">
        <f t="shared" ca="1" si="108"/>
        <v>0</v>
      </c>
      <c r="BP79" s="138">
        <f t="shared" ref="BP79:BY87" ca="1" si="109">OFFSET(INDIRECT("'"&amp;Opt_alt&amp;"'!H12"),$A79,BP$5)*$DF79</f>
        <v>0</v>
      </c>
      <c r="BQ79" s="138">
        <f t="shared" ca="1" si="109"/>
        <v>0</v>
      </c>
      <c r="BR79" s="138">
        <f t="shared" ca="1" si="109"/>
        <v>0</v>
      </c>
      <c r="BS79" s="138">
        <f t="shared" ca="1" si="109"/>
        <v>0</v>
      </c>
      <c r="BT79" s="138">
        <f t="shared" ca="1" si="109"/>
        <v>0</v>
      </c>
      <c r="BU79" s="138">
        <f t="shared" ca="1" si="109"/>
        <v>0</v>
      </c>
      <c r="BV79" s="138">
        <f t="shared" ca="1" si="109"/>
        <v>0</v>
      </c>
      <c r="BW79" s="138">
        <f t="shared" ca="1" si="109"/>
        <v>0</v>
      </c>
      <c r="BX79" s="138">
        <f t="shared" ca="1" si="109"/>
        <v>0</v>
      </c>
      <c r="BY79" s="138">
        <f t="shared" ca="1" si="109"/>
        <v>0</v>
      </c>
      <c r="BZ79" s="138">
        <f t="shared" ref="BZ79:CI87" ca="1" si="110">OFFSET(INDIRECT("'"&amp;Opt_alt&amp;"'!H12"),$A79,BZ$5)*$DF79</f>
        <v>0</v>
      </c>
      <c r="CA79" s="138">
        <f t="shared" ca="1" si="110"/>
        <v>0</v>
      </c>
      <c r="CB79" s="138">
        <f t="shared" ca="1" si="110"/>
        <v>0</v>
      </c>
      <c r="CC79" s="138">
        <f t="shared" ca="1" si="110"/>
        <v>0</v>
      </c>
      <c r="CD79" s="138">
        <f t="shared" ca="1" si="110"/>
        <v>0</v>
      </c>
      <c r="CE79" s="138">
        <f t="shared" ca="1" si="110"/>
        <v>0</v>
      </c>
      <c r="CF79" s="138">
        <f t="shared" ca="1" si="110"/>
        <v>0</v>
      </c>
      <c r="CG79" s="138">
        <f t="shared" ca="1" si="110"/>
        <v>0</v>
      </c>
      <c r="CH79" s="138">
        <f t="shared" ca="1" si="110"/>
        <v>0</v>
      </c>
      <c r="CI79" s="138">
        <f t="shared" ca="1" si="110"/>
        <v>0</v>
      </c>
      <c r="CJ79" s="138">
        <f t="shared" ref="CJ79:CS87" ca="1" si="111">OFFSET(INDIRECT("'"&amp;Opt_alt&amp;"'!H12"),$A79,CJ$5)*$DF79</f>
        <v>0</v>
      </c>
      <c r="CK79" s="138">
        <f t="shared" ca="1" si="111"/>
        <v>0</v>
      </c>
      <c r="CL79" s="138">
        <f t="shared" ca="1" si="111"/>
        <v>0</v>
      </c>
      <c r="CM79" s="138">
        <f t="shared" ca="1" si="111"/>
        <v>0</v>
      </c>
      <c r="CN79" s="138">
        <f t="shared" ca="1" si="111"/>
        <v>0</v>
      </c>
      <c r="CO79" s="138">
        <f t="shared" ca="1" si="111"/>
        <v>0</v>
      </c>
      <c r="CP79" s="138">
        <f t="shared" ca="1" si="111"/>
        <v>0</v>
      </c>
      <c r="CQ79" s="138">
        <f t="shared" ca="1" si="111"/>
        <v>0</v>
      </c>
      <c r="CR79" s="138">
        <f t="shared" ca="1" si="111"/>
        <v>0</v>
      </c>
      <c r="CS79" s="138">
        <f t="shared" ca="1" si="111"/>
        <v>0</v>
      </c>
      <c r="CT79" s="138">
        <f t="shared" ref="CT79:DC87" ca="1" si="112">OFFSET(INDIRECT("'"&amp;Opt_alt&amp;"'!H12"),$A79,CT$5)*$DF79</f>
        <v>0</v>
      </c>
      <c r="CU79" s="138">
        <f t="shared" ca="1" si="112"/>
        <v>0</v>
      </c>
      <c r="CV79" s="138">
        <f t="shared" ca="1" si="112"/>
        <v>0</v>
      </c>
      <c r="CW79" s="138">
        <f t="shared" ca="1" si="112"/>
        <v>0</v>
      </c>
      <c r="CX79" s="138">
        <f t="shared" ca="1" si="112"/>
        <v>0</v>
      </c>
      <c r="CY79" s="138">
        <f t="shared" ca="1" si="112"/>
        <v>0</v>
      </c>
      <c r="CZ79" s="138">
        <f t="shared" ca="1" si="112"/>
        <v>0</v>
      </c>
      <c r="DA79" s="138">
        <f t="shared" ca="1" si="112"/>
        <v>0</v>
      </c>
      <c r="DB79" s="138">
        <f t="shared" ca="1" si="112"/>
        <v>0</v>
      </c>
      <c r="DC79" s="138">
        <f t="shared" ca="1" si="112"/>
        <v>0</v>
      </c>
      <c r="DE79" s="254" t="str">
        <f t="shared" ca="1" si="100"/>
        <v>F.1.</v>
      </c>
      <c r="DF79">
        <v>1</v>
      </c>
      <c r="DG79">
        <f t="shared" ref="DG79:DG88" ca="1" si="113">OFFSET(INDIRECT("'"&amp;Opt_alt&amp;"'!H12"),$A79,DG$5)</f>
        <v>21</v>
      </c>
      <c r="DH79">
        <v>0</v>
      </c>
    </row>
    <row r="80" spans="1:112" hidden="1">
      <c r="A80" s="124">
        <v>68</v>
      </c>
      <c r="B80" s="205" t="str">
        <f t="shared" ca="1" si="97"/>
        <v>F.2.</v>
      </c>
      <c r="C80" s="129" t="str">
        <f t="shared" ca="1" si="98"/>
        <v>Veikla</v>
      </c>
      <c r="D80" s="144"/>
      <c r="E80" s="148">
        <f t="shared" ca="1" si="99"/>
        <v>0.21</v>
      </c>
      <c r="F80" s="139">
        <f ca="1">H80+NPV(FD,I80:INDEX(I80:DC80,PAL))</f>
        <v>0</v>
      </c>
      <c r="G80" s="140">
        <f ca="1">SUMIF($H$5:$DC$5,"&lt;="&amp;PAL,$H80:$DC80)</f>
        <v>0</v>
      </c>
      <c r="H80" s="138">
        <f t="shared" ca="1" si="103"/>
        <v>0</v>
      </c>
      <c r="I80" s="138">
        <f t="shared" ca="1" si="103"/>
        <v>0</v>
      </c>
      <c r="J80" s="138">
        <f t="shared" ca="1" si="103"/>
        <v>0</v>
      </c>
      <c r="K80" s="138">
        <f t="shared" ca="1" si="103"/>
        <v>0</v>
      </c>
      <c r="L80" s="138">
        <f t="shared" ca="1" si="103"/>
        <v>0</v>
      </c>
      <c r="M80" s="138">
        <f t="shared" ca="1" si="103"/>
        <v>0</v>
      </c>
      <c r="N80" s="138">
        <f t="shared" ca="1" si="103"/>
        <v>0</v>
      </c>
      <c r="O80" s="138">
        <f t="shared" ca="1" si="103"/>
        <v>0</v>
      </c>
      <c r="P80" s="138">
        <f t="shared" ca="1" si="103"/>
        <v>0</v>
      </c>
      <c r="Q80" s="138">
        <f t="shared" ca="1" si="103"/>
        <v>0</v>
      </c>
      <c r="R80" s="138">
        <f t="shared" ca="1" si="104"/>
        <v>0</v>
      </c>
      <c r="S80" s="138">
        <f t="shared" ca="1" si="104"/>
        <v>0</v>
      </c>
      <c r="T80" s="138">
        <f t="shared" ca="1" si="104"/>
        <v>0</v>
      </c>
      <c r="U80" s="138">
        <f t="shared" ca="1" si="104"/>
        <v>0</v>
      </c>
      <c r="V80" s="138">
        <f t="shared" ca="1" si="104"/>
        <v>0</v>
      </c>
      <c r="W80" s="138">
        <f t="shared" ca="1" si="104"/>
        <v>0</v>
      </c>
      <c r="X80" s="138">
        <f t="shared" ca="1" si="104"/>
        <v>0</v>
      </c>
      <c r="Y80" s="138">
        <f t="shared" ca="1" si="104"/>
        <v>0</v>
      </c>
      <c r="Z80" s="138">
        <f t="shared" ca="1" si="104"/>
        <v>0</v>
      </c>
      <c r="AA80" s="138">
        <f t="shared" ca="1" si="104"/>
        <v>0</v>
      </c>
      <c r="AB80" s="138">
        <f t="shared" ca="1" si="105"/>
        <v>0</v>
      </c>
      <c r="AC80" s="138">
        <f t="shared" ca="1" si="105"/>
        <v>0</v>
      </c>
      <c r="AD80" s="138">
        <f t="shared" ca="1" si="105"/>
        <v>0</v>
      </c>
      <c r="AE80" s="138">
        <f t="shared" ca="1" si="105"/>
        <v>0</v>
      </c>
      <c r="AF80" s="138">
        <f t="shared" ca="1" si="105"/>
        <v>0</v>
      </c>
      <c r="AG80" s="138">
        <f t="shared" ca="1" si="105"/>
        <v>0</v>
      </c>
      <c r="AH80" s="138">
        <f t="shared" ca="1" si="105"/>
        <v>0</v>
      </c>
      <c r="AI80" s="138">
        <f t="shared" ca="1" si="105"/>
        <v>0</v>
      </c>
      <c r="AJ80" s="138">
        <f t="shared" ca="1" si="105"/>
        <v>0</v>
      </c>
      <c r="AK80" s="138">
        <f t="shared" ca="1" si="105"/>
        <v>0</v>
      </c>
      <c r="AL80" s="138">
        <f t="shared" ca="1" si="106"/>
        <v>0</v>
      </c>
      <c r="AM80" s="138">
        <f t="shared" ca="1" si="106"/>
        <v>0</v>
      </c>
      <c r="AN80" s="138">
        <f t="shared" ca="1" si="106"/>
        <v>0</v>
      </c>
      <c r="AO80" s="138">
        <f t="shared" ca="1" si="106"/>
        <v>0</v>
      </c>
      <c r="AP80" s="138">
        <f t="shared" ca="1" si="106"/>
        <v>0</v>
      </c>
      <c r="AQ80" s="138">
        <f t="shared" ca="1" si="106"/>
        <v>0</v>
      </c>
      <c r="AR80" s="138">
        <f t="shared" ca="1" si="106"/>
        <v>0</v>
      </c>
      <c r="AS80" s="138">
        <f t="shared" ca="1" si="106"/>
        <v>0</v>
      </c>
      <c r="AT80" s="138">
        <f t="shared" ca="1" si="106"/>
        <v>0</v>
      </c>
      <c r="AU80" s="138">
        <f t="shared" ca="1" si="106"/>
        <v>0</v>
      </c>
      <c r="AV80" s="138">
        <f t="shared" ca="1" si="107"/>
        <v>0</v>
      </c>
      <c r="AW80" s="138">
        <f t="shared" ca="1" si="107"/>
        <v>0</v>
      </c>
      <c r="AX80" s="138">
        <f t="shared" ca="1" si="107"/>
        <v>0</v>
      </c>
      <c r="AY80" s="138">
        <f t="shared" ca="1" si="107"/>
        <v>0</v>
      </c>
      <c r="AZ80" s="138">
        <f t="shared" ca="1" si="107"/>
        <v>0</v>
      </c>
      <c r="BA80" s="138">
        <f t="shared" ca="1" si="107"/>
        <v>0</v>
      </c>
      <c r="BB80" s="138">
        <f t="shared" ca="1" si="107"/>
        <v>0</v>
      </c>
      <c r="BC80" s="138">
        <f t="shared" ca="1" si="107"/>
        <v>0</v>
      </c>
      <c r="BD80" s="138">
        <f t="shared" ca="1" si="107"/>
        <v>0</v>
      </c>
      <c r="BE80" s="138">
        <f t="shared" ca="1" si="107"/>
        <v>0</v>
      </c>
      <c r="BF80" s="138">
        <f t="shared" ca="1" si="108"/>
        <v>0</v>
      </c>
      <c r="BG80" s="138">
        <f t="shared" ca="1" si="108"/>
        <v>0</v>
      </c>
      <c r="BH80" s="138">
        <f t="shared" ca="1" si="108"/>
        <v>0</v>
      </c>
      <c r="BI80" s="138">
        <f t="shared" ca="1" si="108"/>
        <v>0</v>
      </c>
      <c r="BJ80" s="138">
        <f t="shared" ca="1" si="108"/>
        <v>0</v>
      </c>
      <c r="BK80" s="138">
        <f t="shared" ca="1" si="108"/>
        <v>0</v>
      </c>
      <c r="BL80" s="138">
        <f t="shared" ca="1" si="108"/>
        <v>0</v>
      </c>
      <c r="BM80" s="138">
        <f t="shared" ca="1" si="108"/>
        <v>0</v>
      </c>
      <c r="BN80" s="138">
        <f t="shared" ca="1" si="108"/>
        <v>0</v>
      </c>
      <c r="BO80" s="138">
        <f t="shared" ca="1" si="108"/>
        <v>0</v>
      </c>
      <c r="BP80" s="138">
        <f t="shared" ca="1" si="109"/>
        <v>0</v>
      </c>
      <c r="BQ80" s="138">
        <f t="shared" ca="1" si="109"/>
        <v>0</v>
      </c>
      <c r="BR80" s="138">
        <f t="shared" ca="1" si="109"/>
        <v>0</v>
      </c>
      <c r="BS80" s="138">
        <f t="shared" ca="1" si="109"/>
        <v>0</v>
      </c>
      <c r="BT80" s="138">
        <f t="shared" ca="1" si="109"/>
        <v>0</v>
      </c>
      <c r="BU80" s="138">
        <f t="shared" ca="1" si="109"/>
        <v>0</v>
      </c>
      <c r="BV80" s="138">
        <f t="shared" ca="1" si="109"/>
        <v>0</v>
      </c>
      <c r="BW80" s="138">
        <f t="shared" ca="1" si="109"/>
        <v>0</v>
      </c>
      <c r="BX80" s="138">
        <f t="shared" ca="1" si="109"/>
        <v>0</v>
      </c>
      <c r="BY80" s="138">
        <f t="shared" ca="1" si="109"/>
        <v>0</v>
      </c>
      <c r="BZ80" s="138">
        <f t="shared" ca="1" si="110"/>
        <v>0</v>
      </c>
      <c r="CA80" s="138">
        <f t="shared" ca="1" si="110"/>
        <v>0</v>
      </c>
      <c r="CB80" s="138">
        <f t="shared" ca="1" si="110"/>
        <v>0</v>
      </c>
      <c r="CC80" s="138">
        <f t="shared" ca="1" si="110"/>
        <v>0</v>
      </c>
      <c r="CD80" s="138">
        <f t="shared" ca="1" si="110"/>
        <v>0</v>
      </c>
      <c r="CE80" s="138">
        <f t="shared" ca="1" si="110"/>
        <v>0</v>
      </c>
      <c r="CF80" s="138">
        <f t="shared" ca="1" si="110"/>
        <v>0</v>
      </c>
      <c r="CG80" s="138">
        <f t="shared" ca="1" si="110"/>
        <v>0</v>
      </c>
      <c r="CH80" s="138">
        <f t="shared" ca="1" si="110"/>
        <v>0</v>
      </c>
      <c r="CI80" s="138">
        <f t="shared" ca="1" si="110"/>
        <v>0</v>
      </c>
      <c r="CJ80" s="138">
        <f t="shared" ca="1" si="111"/>
        <v>0</v>
      </c>
      <c r="CK80" s="138">
        <f t="shared" ca="1" si="111"/>
        <v>0</v>
      </c>
      <c r="CL80" s="138">
        <f t="shared" ca="1" si="111"/>
        <v>0</v>
      </c>
      <c r="CM80" s="138">
        <f t="shared" ca="1" si="111"/>
        <v>0</v>
      </c>
      <c r="CN80" s="138">
        <f t="shared" ca="1" si="111"/>
        <v>0</v>
      </c>
      <c r="CO80" s="138">
        <f t="shared" ca="1" si="111"/>
        <v>0</v>
      </c>
      <c r="CP80" s="138">
        <f t="shared" ca="1" si="111"/>
        <v>0</v>
      </c>
      <c r="CQ80" s="138">
        <f t="shared" ca="1" si="111"/>
        <v>0</v>
      </c>
      <c r="CR80" s="138">
        <f t="shared" ca="1" si="111"/>
        <v>0</v>
      </c>
      <c r="CS80" s="138">
        <f t="shared" ca="1" si="111"/>
        <v>0</v>
      </c>
      <c r="CT80" s="138">
        <f t="shared" ca="1" si="112"/>
        <v>0</v>
      </c>
      <c r="CU80" s="138">
        <f t="shared" ca="1" si="112"/>
        <v>0</v>
      </c>
      <c r="CV80" s="138">
        <f t="shared" ca="1" si="112"/>
        <v>0</v>
      </c>
      <c r="CW80" s="138">
        <f t="shared" ca="1" si="112"/>
        <v>0</v>
      </c>
      <c r="CX80" s="138">
        <f t="shared" ca="1" si="112"/>
        <v>0</v>
      </c>
      <c r="CY80" s="138">
        <f t="shared" ca="1" si="112"/>
        <v>0</v>
      </c>
      <c r="CZ80" s="138">
        <f t="shared" ca="1" si="112"/>
        <v>0</v>
      </c>
      <c r="DA80" s="138">
        <f t="shared" ca="1" si="112"/>
        <v>0</v>
      </c>
      <c r="DB80" s="138">
        <f t="shared" ca="1" si="112"/>
        <v>0</v>
      </c>
      <c r="DC80" s="138">
        <f t="shared" ca="1" si="112"/>
        <v>0</v>
      </c>
      <c r="DE80" s="254" t="str">
        <f t="shared" ca="1" si="100"/>
        <v>F.2.</v>
      </c>
      <c r="DF80">
        <v>1</v>
      </c>
      <c r="DG80">
        <f t="shared" ca="1" si="113"/>
        <v>21</v>
      </c>
      <c r="DH80">
        <v>0</v>
      </c>
    </row>
    <row r="81" spans="1:112" hidden="1">
      <c r="A81" s="124">
        <v>69</v>
      </c>
      <c r="B81" s="205" t="str">
        <f t="shared" ca="1" si="97"/>
        <v>F.3.</v>
      </c>
      <c r="C81" s="129" t="str">
        <f t="shared" ca="1" si="98"/>
        <v>Veikla</v>
      </c>
      <c r="D81" s="144"/>
      <c r="E81" s="148">
        <f t="shared" ca="1" si="99"/>
        <v>0.21</v>
      </c>
      <c r="F81" s="139">
        <f ca="1">H81+NPV(FD,I81:INDEX(I81:DC81,PAL))</f>
        <v>0</v>
      </c>
      <c r="G81" s="140">
        <f ca="1">SUMIF($H$5:$DC$5,"&lt;="&amp;PAL,$H81:$DC81)</f>
        <v>0</v>
      </c>
      <c r="H81" s="138">
        <f t="shared" ca="1" si="103"/>
        <v>0</v>
      </c>
      <c r="I81" s="138">
        <f t="shared" ca="1" si="103"/>
        <v>0</v>
      </c>
      <c r="J81" s="138">
        <f t="shared" ca="1" si="103"/>
        <v>0</v>
      </c>
      <c r="K81" s="138">
        <f t="shared" ca="1" si="103"/>
        <v>0</v>
      </c>
      <c r="L81" s="138">
        <f t="shared" ca="1" si="103"/>
        <v>0</v>
      </c>
      <c r="M81" s="138">
        <f t="shared" ca="1" si="103"/>
        <v>0</v>
      </c>
      <c r="N81" s="138">
        <f t="shared" ca="1" si="103"/>
        <v>0</v>
      </c>
      <c r="O81" s="138">
        <f t="shared" ca="1" si="103"/>
        <v>0</v>
      </c>
      <c r="P81" s="138">
        <f t="shared" ca="1" si="103"/>
        <v>0</v>
      </c>
      <c r="Q81" s="138">
        <f t="shared" ca="1" si="103"/>
        <v>0</v>
      </c>
      <c r="R81" s="138">
        <f t="shared" ca="1" si="104"/>
        <v>0</v>
      </c>
      <c r="S81" s="138">
        <f t="shared" ca="1" si="104"/>
        <v>0</v>
      </c>
      <c r="T81" s="138">
        <f t="shared" ca="1" si="104"/>
        <v>0</v>
      </c>
      <c r="U81" s="138">
        <f t="shared" ca="1" si="104"/>
        <v>0</v>
      </c>
      <c r="V81" s="138">
        <f t="shared" ca="1" si="104"/>
        <v>0</v>
      </c>
      <c r="W81" s="138">
        <f t="shared" ca="1" si="104"/>
        <v>0</v>
      </c>
      <c r="X81" s="138">
        <f t="shared" ca="1" si="104"/>
        <v>0</v>
      </c>
      <c r="Y81" s="138">
        <f t="shared" ca="1" si="104"/>
        <v>0</v>
      </c>
      <c r="Z81" s="138">
        <f t="shared" ca="1" si="104"/>
        <v>0</v>
      </c>
      <c r="AA81" s="138">
        <f t="shared" ca="1" si="104"/>
        <v>0</v>
      </c>
      <c r="AB81" s="138">
        <f t="shared" ca="1" si="105"/>
        <v>0</v>
      </c>
      <c r="AC81" s="138">
        <f t="shared" ca="1" si="105"/>
        <v>0</v>
      </c>
      <c r="AD81" s="138">
        <f t="shared" ca="1" si="105"/>
        <v>0</v>
      </c>
      <c r="AE81" s="138">
        <f t="shared" ca="1" si="105"/>
        <v>0</v>
      </c>
      <c r="AF81" s="138">
        <f t="shared" ca="1" si="105"/>
        <v>0</v>
      </c>
      <c r="AG81" s="138">
        <f t="shared" ca="1" si="105"/>
        <v>0</v>
      </c>
      <c r="AH81" s="138">
        <f t="shared" ca="1" si="105"/>
        <v>0</v>
      </c>
      <c r="AI81" s="138">
        <f t="shared" ca="1" si="105"/>
        <v>0</v>
      </c>
      <c r="AJ81" s="138">
        <f t="shared" ca="1" si="105"/>
        <v>0</v>
      </c>
      <c r="AK81" s="138">
        <f t="shared" ca="1" si="105"/>
        <v>0</v>
      </c>
      <c r="AL81" s="138">
        <f t="shared" ca="1" si="106"/>
        <v>0</v>
      </c>
      <c r="AM81" s="138">
        <f t="shared" ca="1" si="106"/>
        <v>0</v>
      </c>
      <c r="AN81" s="138">
        <f t="shared" ca="1" si="106"/>
        <v>0</v>
      </c>
      <c r="AO81" s="138">
        <f t="shared" ca="1" si="106"/>
        <v>0</v>
      </c>
      <c r="AP81" s="138">
        <f t="shared" ca="1" si="106"/>
        <v>0</v>
      </c>
      <c r="AQ81" s="138">
        <f t="shared" ca="1" si="106"/>
        <v>0</v>
      </c>
      <c r="AR81" s="138">
        <f t="shared" ca="1" si="106"/>
        <v>0</v>
      </c>
      <c r="AS81" s="138">
        <f t="shared" ca="1" si="106"/>
        <v>0</v>
      </c>
      <c r="AT81" s="138">
        <f t="shared" ca="1" si="106"/>
        <v>0</v>
      </c>
      <c r="AU81" s="138">
        <f t="shared" ca="1" si="106"/>
        <v>0</v>
      </c>
      <c r="AV81" s="138">
        <f t="shared" ca="1" si="107"/>
        <v>0</v>
      </c>
      <c r="AW81" s="138">
        <f t="shared" ca="1" si="107"/>
        <v>0</v>
      </c>
      <c r="AX81" s="138">
        <f t="shared" ca="1" si="107"/>
        <v>0</v>
      </c>
      <c r="AY81" s="138">
        <f t="shared" ca="1" si="107"/>
        <v>0</v>
      </c>
      <c r="AZ81" s="138">
        <f t="shared" ca="1" si="107"/>
        <v>0</v>
      </c>
      <c r="BA81" s="138">
        <f t="shared" ca="1" si="107"/>
        <v>0</v>
      </c>
      <c r="BB81" s="138">
        <f t="shared" ca="1" si="107"/>
        <v>0</v>
      </c>
      <c r="BC81" s="138">
        <f t="shared" ca="1" si="107"/>
        <v>0</v>
      </c>
      <c r="BD81" s="138">
        <f t="shared" ca="1" si="107"/>
        <v>0</v>
      </c>
      <c r="BE81" s="138">
        <f t="shared" ca="1" si="107"/>
        <v>0</v>
      </c>
      <c r="BF81" s="138">
        <f t="shared" ca="1" si="108"/>
        <v>0</v>
      </c>
      <c r="BG81" s="138">
        <f t="shared" ca="1" si="108"/>
        <v>0</v>
      </c>
      <c r="BH81" s="138">
        <f t="shared" ca="1" si="108"/>
        <v>0</v>
      </c>
      <c r="BI81" s="138">
        <f t="shared" ca="1" si="108"/>
        <v>0</v>
      </c>
      <c r="BJ81" s="138">
        <f t="shared" ca="1" si="108"/>
        <v>0</v>
      </c>
      <c r="BK81" s="138">
        <f t="shared" ca="1" si="108"/>
        <v>0</v>
      </c>
      <c r="BL81" s="138">
        <f t="shared" ca="1" si="108"/>
        <v>0</v>
      </c>
      <c r="BM81" s="138">
        <f t="shared" ca="1" si="108"/>
        <v>0</v>
      </c>
      <c r="BN81" s="138">
        <f t="shared" ca="1" si="108"/>
        <v>0</v>
      </c>
      <c r="BO81" s="138">
        <f t="shared" ca="1" si="108"/>
        <v>0</v>
      </c>
      <c r="BP81" s="138">
        <f t="shared" ca="1" si="109"/>
        <v>0</v>
      </c>
      <c r="BQ81" s="138">
        <f t="shared" ca="1" si="109"/>
        <v>0</v>
      </c>
      <c r="BR81" s="138">
        <f t="shared" ca="1" si="109"/>
        <v>0</v>
      </c>
      <c r="BS81" s="138">
        <f t="shared" ca="1" si="109"/>
        <v>0</v>
      </c>
      <c r="BT81" s="138">
        <f t="shared" ca="1" si="109"/>
        <v>0</v>
      </c>
      <c r="BU81" s="138">
        <f t="shared" ca="1" si="109"/>
        <v>0</v>
      </c>
      <c r="BV81" s="138">
        <f t="shared" ca="1" si="109"/>
        <v>0</v>
      </c>
      <c r="BW81" s="138">
        <f t="shared" ca="1" si="109"/>
        <v>0</v>
      </c>
      <c r="BX81" s="138">
        <f t="shared" ca="1" si="109"/>
        <v>0</v>
      </c>
      <c r="BY81" s="138">
        <f t="shared" ca="1" si="109"/>
        <v>0</v>
      </c>
      <c r="BZ81" s="138">
        <f t="shared" ca="1" si="110"/>
        <v>0</v>
      </c>
      <c r="CA81" s="138">
        <f t="shared" ca="1" si="110"/>
        <v>0</v>
      </c>
      <c r="CB81" s="138">
        <f t="shared" ca="1" si="110"/>
        <v>0</v>
      </c>
      <c r="CC81" s="138">
        <f t="shared" ca="1" si="110"/>
        <v>0</v>
      </c>
      <c r="CD81" s="138">
        <f t="shared" ca="1" si="110"/>
        <v>0</v>
      </c>
      <c r="CE81" s="138">
        <f t="shared" ca="1" si="110"/>
        <v>0</v>
      </c>
      <c r="CF81" s="138">
        <f t="shared" ca="1" si="110"/>
        <v>0</v>
      </c>
      <c r="CG81" s="138">
        <f t="shared" ca="1" si="110"/>
        <v>0</v>
      </c>
      <c r="CH81" s="138">
        <f t="shared" ca="1" si="110"/>
        <v>0</v>
      </c>
      <c r="CI81" s="138">
        <f t="shared" ca="1" si="110"/>
        <v>0</v>
      </c>
      <c r="CJ81" s="138">
        <f t="shared" ca="1" si="111"/>
        <v>0</v>
      </c>
      <c r="CK81" s="138">
        <f t="shared" ca="1" si="111"/>
        <v>0</v>
      </c>
      <c r="CL81" s="138">
        <f t="shared" ca="1" si="111"/>
        <v>0</v>
      </c>
      <c r="CM81" s="138">
        <f t="shared" ca="1" si="111"/>
        <v>0</v>
      </c>
      <c r="CN81" s="138">
        <f t="shared" ca="1" si="111"/>
        <v>0</v>
      </c>
      <c r="CO81" s="138">
        <f t="shared" ca="1" si="111"/>
        <v>0</v>
      </c>
      <c r="CP81" s="138">
        <f t="shared" ca="1" si="111"/>
        <v>0</v>
      </c>
      <c r="CQ81" s="138">
        <f t="shared" ca="1" si="111"/>
        <v>0</v>
      </c>
      <c r="CR81" s="138">
        <f t="shared" ca="1" si="111"/>
        <v>0</v>
      </c>
      <c r="CS81" s="138">
        <f t="shared" ca="1" si="111"/>
        <v>0</v>
      </c>
      <c r="CT81" s="138">
        <f t="shared" ca="1" si="112"/>
        <v>0</v>
      </c>
      <c r="CU81" s="138">
        <f t="shared" ca="1" si="112"/>
        <v>0</v>
      </c>
      <c r="CV81" s="138">
        <f t="shared" ca="1" si="112"/>
        <v>0</v>
      </c>
      <c r="CW81" s="138">
        <f t="shared" ca="1" si="112"/>
        <v>0</v>
      </c>
      <c r="CX81" s="138">
        <f t="shared" ca="1" si="112"/>
        <v>0</v>
      </c>
      <c r="CY81" s="138">
        <f t="shared" ca="1" si="112"/>
        <v>0</v>
      </c>
      <c r="CZ81" s="138">
        <f t="shared" ca="1" si="112"/>
        <v>0</v>
      </c>
      <c r="DA81" s="138">
        <f t="shared" ca="1" si="112"/>
        <v>0</v>
      </c>
      <c r="DB81" s="138">
        <f t="shared" ca="1" si="112"/>
        <v>0</v>
      </c>
      <c r="DC81" s="138">
        <f t="shared" ca="1" si="112"/>
        <v>0</v>
      </c>
      <c r="DE81" s="254" t="str">
        <f t="shared" ca="1" si="100"/>
        <v>F.3.</v>
      </c>
      <c r="DF81">
        <v>1</v>
      </c>
      <c r="DG81">
        <f t="shared" ca="1" si="113"/>
        <v>21</v>
      </c>
      <c r="DH81">
        <v>0</v>
      </c>
    </row>
    <row r="82" spans="1:112" hidden="1">
      <c r="A82" s="124">
        <v>70</v>
      </c>
      <c r="B82" s="205" t="str">
        <f t="shared" ca="1" si="97"/>
        <v>F.4.</v>
      </c>
      <c r="C82" s="129" t="str">
        <f t="shared" ca="1" si="98"/>
        <v>Veikla</v>
      </c>
      <c r="D82" s="144"/>
      <c r="E82" s="148">
        <f t="shared" ca="1" si="99"/>
        <v>0.21</v>
      </c>
      <c r="F82" s="139">
        <f ca="1">H82+NPV(FD,I82:INDEX(I82:DC82,PAL))</f>
        <v>0</v>
      </c>
      <c r="G82" s="140">
        <f ca="1">SUMIF($H$5:$DC$5,"&lt;="&amp;PAL,$H82:$DC82)</f>
        <v>0</v>
      </c>
      <c r="H82" s="138">
        <f t="shared" ca="1" si="103"/>
        <v>0</v>
      </c>
      <c r="I82" s="138">
        <f t="shared" ca="1" si="103"/>
        <v>0</v>
      </c>
      <c r="J82" s="138">
        <f t="shared" ca="1" si="103"/>
        <v>0</v>
      </c>
      <c r="K82" s="138">
        <f t="shared" ca="1" si="103"/>
        <v>0</v>
      </c>
      <c r="L82" s="138">
        <f t="shared" ca="1" si="103"/>
        <v>0</v>
      </c>
      <c r="M82" s="138">
        <f t="shared" ca="1" si="103"/>
        <v>0</v>
      </c>
      <c r="N82" s="138">
        <f t="shared" ca="1" si="103"/>
        <v>0</v>
      </c>
      <c r="O82" s="138">
        <f t="shared" ca="1" si="103"/>
        <v>0</v>
      </c>
      <c r="P82" s="138">
        <f t="shared" ca="1" si="103"/>
        <v>0</v>
      </c>
      <c r="Q82" s="138">
        <f t="shared" ca="1" si="103"/>
        <v>0</v>
      </c>
      <c r="R82" s="138">
        <f t="shared" ca="1" si="104"/>
        <v>0</v>
      </c>
      <c r="S82" s="138">
        <f t="shared" ca="1" si="104"/>
        <v>0</v>
      </c>
      <c r="T82" s="138">
        <f t="shared" ca="1" si="104"/>
        <v>0</v>
      </c>
      <c r="U82" s="138">
        <f t="shared" ca="1" si="104"/>
        <v>0</v>
      </c>
      <c r="V82" s="138">
        <f t="shared" ca="1" si="104"/>
        <v>0</v>
      </c>
      <c r="W82" s="138">
        <f t="shared" ca="1" si="104"/>
        <v>0</v>
      </c>
      <c r="X82" s="138">
        <f t="shared" ca="1" si="104"/>
        <v>0</v>
      </c>
      <c r="Y82" s="138">
        <f t="shared" ca="1" si="104"/>
        <v>0</v>
      </c>
      <c r="Z82" s="138">
        <f t="shared" ca="1" si="104"/>
        <v>0</v>
      </c>
      <c r="AA82" s="138">
        <f t="shared" ca="1" si="104"/>
        <v>0</v>
      </c>
      <c r="AB82" s="138">
        <f t="shared" ca="1" si="105"/>
        <v>0</v>
      </c>
      <c r="AC82" s="138">
        <f t="shared" ca="1" si="105"/>
        <v>0</v>
      </c>
      <c r="AD82" s="138">
        <f t="shared" ca="1" si="105"/>
        <v>0</v>
      </c>
      <c r="AE82" s="138">
        <f t="shared" ca="1" si="105"/>
        <v>0</v>
      </c>
      <c r="AF82" s="138">
        <f t="shared" ca="1" si="105"/>
        <v>0</v>
      </c>
      <c r="AG82" s="138">
        <f t="shared" ca="1" si="105"/>
        <v>0</v>
      </c>
      <c r="AH82" s="138">
        <f t="shared" ca="1" si="105"/>
        <v>0</v>
      </c>
      <c r="AI82" s="138">
        <f t="shared" ca="1" si="105"/>
        <v>0</v>
      </c>
      <c r="AJ82" s="138">
        <f t="shared" ca="1" si="105"/>
        <v>0</v>
      </c>
      <c r="AK82" s="138">
        <f t="shared" ca="1" si="105"/>
        <v>0</v>
      </c>
      <c r="AL82" s="138">
        <f t="shared" ca="1" si="106"/>
        <v>0</v>
      </c>
      <c r="AM82" s="138">
        <f t="shared" ca="1" si="106"/>
        <v>0</v>
      </c>
      <c r="AN82" s="138">
        <f t="shared" ca="1" si="106"/>
        <v>0</v>
      </c>
      <c r="AO82" s="138">
        <f t="shared" ca="1" si="106"/>
        <v>0</v>
      </c>
      <c r="AP82" s="138">
        <f t="shared" ca="1" si="106"/>
        <v>0</v>
      </c>
      <c r="AQ82" s="138">
        <f t="shared" ca="1" si="106"/>
        <v>0</v>
      </c>
      <c r="AR82" s="138">
        <f t="shared" ca="1" si="106"/>
        <v>0</v>
      </c>
      <c r="AS82" s="138">
        <f t="shared" ca="1" si="106"/>
        <v>0</v>
      </c>
      <c r="AT82" s="138">
        <f t="shared" ca="1" si="106"/>
        <v>0</v>
      </c>
      <c r="AU82" s="138">
        <f t="shared" ca="1" si="106"/>
        <v>0</v>
      </c>
      <c r="AV82" s="138">
        <f t="shared" ca="1" si="107"/>
        <v>0</v>
      </c>
      <c r="AW82" s="138">
        <f t="shared" ca="1" si="107"/>
        <v>0</v>
      </c>
      <c r="AX82" s="138">
        <f t="shared" ca="1" si="107"/>
        <v>0</v>
      </c>
      <c r="AY82" s="138">
        <f t="shared" ca="1" si="107"/>
        <v>0</v>
      </c>
      <c r="AZ82" s="138">
        <f t="shared" ca="1" si="107"/>
        <v>0</v>
      </c>
      <c r="BA82" s="138">
        <f t="shared" ca="1" si="107"/>
        <v>0</v>
      </c>
      <c r="BB82" s="138">
        <f t="shared" ca="1" si="107"/>
        <v>0</v>
      </c>
      <c r="BC82" s="138">
        <f t="shared" ca="1" si="107"/>
        <v>0</v>
      </c>
      <c r="BD82" s="138">
        <f t="shared" ca="1" si="107"/>
        <v>0</v>
      </c>
      <c r="BE82" s="138">
        <f t="shared" ca="1" si="107"/>
        <v>0</v>
      </c>
      <c r="BF82" s="138">
        <f t="shared" ca="1" si="108"/>
        <v>0</v>
      </c>
      <c r="BG82" s="138">
        <f t="shared" ca="1" si="108"/>
        <v>0</v>
      </c>
      <c r="BH82" s="138">
        <f t="shared" ca="1" si="108"/>
        <v>0</v>
      </c>
      <c r="BI82" s="138">
        <f t="shared" ca="1" si="108"/>
        <v>0</v>
      </c>
      <c r="BJ82" s="138">
        <f t="shared" ca="1" si="108"/>
        <v>0</v>
      </c>
      <c r="BK82" s="138">
        <f t="shared" ca="1" si="108"/>
        <v>0</v>
      </c>
      <c r="BL82" s="138">
        <f t="shared" ca="1" si="108"/>
        <v>0</v>
      </c>
      <c r="BM82" s="138">
        <f t="shared" ca="1" si="108"/>
        <v>0</v>
      </c>
      <c r="BN82" s="138">
        <f t="shared" ca="1" si="108"/>
        <v>0</v>
      </c>
      <c r="BO82" s="138">
        <f t="shared" ca="1" si="108"/>
        <v>0</v>
      </c>
      <c r="BP82" s="138">
        <f t="shared" ca="1" si="109"/>
        <v>0</v>
      </c>
      <c r="BQ82" s="138">
        <f t="shared" ca="1" si="109"/>
        <v>0</v>
      </c>
      <c r="BR82" s="138">
        <f t="shared" ca="1" si="109"/>
        <v>0</v>
      </c>
      <c r="BS82" s="138">
        <f t="shared" ca="1" si="109"/>
        <v>0</v>
      </c>
      <c r="BT82" s="138">
        <f t="shared" ca="1" si="109"/>
        <v>0</v>
      </c>
      <c r="BU82" s="138">
        <f t="shared" ca="1" si="109"/>
        <v>0</v>
      </c>
      <c r="BV82" s="138">
        <f t="shared" ca="1" si="109"/>
        <v>0</v>
      </c>
      <c r="BW82" s="138">
        <f t="shared" ca="1" si="109"/>
        <v>0</v>
      </c>
      <c r="BX82" s="138">
        <f t="shared" ca="1" si="109"/>
        <v>0</v>
      </c>
      <c r="BY82" s="138">
        <f t="shared" ca="1" si="109"/>
        <v>0</v>
      </c>
      <c r="BZ82" s="138">
        <f t="shared" ca="1" si="110"/>
        <v>0</v>
      </c>
      <c r="CA82" s="138">
        <f t="shared" ca="1" si="110"/>
        <v>0</v>
      </c>
      <c r="CB82" s="138">
        <f t="shared" ca="1" si="110"/>
        <v>0</v>
      </c>
      <c r="CC82" s="138">
        <f t="shared" ca="1" si="110"/>
        <v>0</v>
      </c>
      <c r="CD82" s="138">
        <f t="shared" ca="1" si="110"/>
        <v>0</v>
      </c>
      <c r="CE82" s="138">
        <f t="shared" ca="1" si="110"/>
        <v>0</v>
      </c>
      <c r="CF82" s="138">
        <f t="shared" ca="1" si="110"/>
        <v>0</v>
      </c>
      <c r="CG82" s="138">
        <f t="shared" ca="1" si="110"/>
        <v>0</v>
      </c>
      <c r="CH82" s="138">
        <f t="shared" ca="1" si="110"/>
        <v>0</v>
      </c>
      <c r="CI82" s="138">
        <f t="shared" ca="1" si="110"/>
        <v>0</v>
      </c>
      <c r="CJ82" s="138">
        <f t="shared" ca="1" si="111"/>
        <v>0</v>
      </c>
      <c r="CK82" s="138">
        <f t="shared" ca="1" si="111"/>
        <v>0</v>
      </c>
      <c r="CL82" s="138">
        <f t="shared" ca="1" si="111"/>
        <v>0</v>
      </c>
      <c r="CM82" s="138">
        <f t="shared" ca="1" si="111"/>
        <v>0</v>
      </c>
      <c r="CN82" s="138">
        <f t="shared" ca="1" si="111"/>
        <v>0</v>
      </c>
      <c r="CO82" s="138">
        <f t="shared" ca="1" si="111"/>
        <v>0</v>
      </c>
      <c r="CP82" s="138">
        <f t="shared" ca="1" si="111"/>
        <v>0</v>
      </c>
      <c r="CQ82" s="138">
        <f t="shared" ca="1" si="111"/>
        <v>0</v>
      </c>
      <c r="CR82" s="138">
        <f t="shared" ca="1" si="111"/>
        <v>0</v>
      </c>
      <c r="CS82" s="138">
        <f t="shared" ca="1" si="111"/>
        <v>0</v>
      </c>
      <c r="CT82" s="138">
        <f t="shared" ca="1" si="112"/>
        <v>0</v>
      </c>
      <c r="CU82" s="138">
        <f t="shared" ca="1" si="112"/>
        <v>0</v>
      </c>
      <c r="CV82" s="138">
        <f t="shared" ca="1" si="112"/>
        <v>0</v>
      </c>
      <c r="CW82" s="138">
        <f t="shared" ca="1" si="112"/>
        <v>0</v>
      </c>
      <c r="CX82" s="138">
        <f t="shared" ca="1" si="112"/>
        <v>0</v>
      </c>
      <c r="CY82" s="138">
        <f t="shared" ca="1" si="112"/>
        <v>0</v>
      </c>
      <c r="CZ82" s="138">
        <f t="shared" ca="1" si="112"/>
        <v>0</v>
      </c>
      <c r="DA82" s="138">
        <f t="shared" ca="1" si="112"/>
        <v>0</v>
      </c>
      <c r="DB82" s="138">
        <f t="shared" ca="1" si="112"/>
        <v>0</v>
      </c>
      <c r="DC82" s="138">
        <f t="shared" ca="1" si="112"/>
        <v>0</v>
      </c>
      <c r="DE82" s="254" t="str">
        <f t="shared" ca="1" si="100"/>
        <v>F.4.</v>
      </c>
      <c r="DF82">
        <v>1</v>
      </c>
      <c r="DG82">
        <f t="shared" ca="1" si="113"/>
        <v>21</v>
      </c>
      <c r="DH82">
        <v>0</v>
      </c>
    </row>
    <row r="83" spans="1:112" hidden="1">
      <c r="A83" s="124">
        <v>71</v>
      </c>
      <c r="B83" s="205" t="str">
        <f t="shared" ca="1" si="97"/>
        <v>F.5.</v>
      </c>
      <c r="C83" s="129" t="str">
        <f t="shared" ca="1" si="98"/>
        <v>Veikla</v>
      </c>
      <c r="D83" s="144"/>
      <c r="E83" s="148">
        <f t="shared" ca="1" si="99"/>
        <v>0.21</v>
      </c>
      <c r="F83" s="139">
        <f ca="1">H83+NPV(FD,I83:INDEX(I83:DC83,PAL))</f>
        <v>0</v>
      </c>
      <c r="G83" s="140">
        <f ca="1">SUMIF($H$5:$DC$5,"&lt;="&amp;PAL,$H83:$DC83)</f>
        <v>0</v>
      </c>
      <c r="H83" s="138">
        <f t="shared" ca="1" si="103"/>
        <v>0</v>
      </c>
      <c r="I83" s="138">
        <f t="shared" ca="1" si="103"/>
        <v>0</v>
      </c>
      <c r="J83" s="138">
        <f t="shared" ca="1" si="103"/>
        <v>0</v>
      </c>
      <c r="K83" s="138">
        <f t="shared" ca="1" si="103"/>
        <v>0</v>
      </c>
      <c r="L83" s="138">
        <f t="shared" ca="1" si="103"/>
        <v>0</v>
      </c>
      <c r="M83" s="138">
        <f t="shared" ca="1" si="103"/>
        <v>0</v>
      </c>
      <c r="N83" s="138">
        <f t="shared" ca="1" si="103"/>
        <v>0</v>
      </c>
      <c r="O83" s="138">
        <f t="shared" ca="1" si="103"/>
        <v>0</v>
      </c>
      <c r="P83" s="138">
        <f t="shared" ca="1" si="103"/>
        <v>0</v>
      </c>
      <c r="Q83" s="138">
        <f t="shared" ca="1" si="103"/>
        <v>0</v>
      </c>
      <c r="R83" s="138">
        <f t="shared" ca="1" si="104"/>
        <v>0</v>
      </c>
      <c r="S83" s="138">
        <f t="shared" ca="1" si="104"/>
        <v>0</v>
      </c>
      <c r="T83" s="138">
        <f t="shared" ca="1" si="104"/>
        <v>0</v>
      </c>
      <c r="U83" s="138">
        <f t="shared" ca="1" si="104"/>
        <v>0</v>
      </c>
      <c r="V83" s="138">
        <f t="shared" ca="1" si="104"/>
        <v>0</v>
      </c>
      <c r="W83" s="138">
        <f t="shared" ca="1" si="104"/>
        <v>0</v>
      </c>
      <c r="X83" s="138">
        <f t="shared" ca="1" si="104"/>
        <v>0</v>
      </c>
      <c r="Y83" s="138">
        <f t="shared" ca="1" si="104"/>
        <v>0</v>
      </c>
      <c r="Z83" s="138">
        <f t="shared" ca="1" si="104"/>
        <v>0</v>
      </c>
      <c r="AA83" s="138">
        <f t="shared" ca="1" si="104"/>
        <v>0</v>
      </c>
      <c r="AB83" s="138">
        <f t="shared" ca="1" si="105"/>
        <v>0</v>
      </c>
      <c r="AC83" s="138">
        <f t="shared" ca="1" si="105"/>
        <v>0</v>
      </c>
      <c r="AD83" s="138">
        <f t="shared" ca="1" si="105"/>
        <v>0</v>
      </c>
      <c r="AE83" s="138">
        <f t="shared" ca="1" si="105"/>
        <v>0</v>
      </c>
      <c r="AF83" s="138">
        <f t="shared" ca="1" si="105"/>
        <v>0</v>
      </c>
      <c r="AG83" s="138">
        <f t="shared" ca="1" si="105"/>
        <v>0</v>
      </c>
      <c r="AH83" s="138">
        <f t="shared" ca="1" si="105"/>
        <v>0</v>
      </c>
      <c r="AI83" s="138">
        <f t="shared" ca="1" si="105"/>
        <v>0</v>
      </c>
      <c r="AJ83" s="138">
        <f t="shared" ca="1" si="105"/>
        <v>0</v>
      </c>
      <c r="AK83" s="138">
        <f t="shared" ca="1" si="105"/>
        <v>0</v>
      </c>
      <c r="AL83" s="138">
        <f t="shared" ca="1" si="106"/>
        <v>0</v>
      </c>
      <c r="AM83" s="138">
        <f t="shared" ca="1" si="106"/>
        <v>0</v>
      </c>
      <c r="AN83" s="138">
        <f t="shared" ca="1" si="106"/>
        <v>0</v>
      </c>
      <c r="AO83" s="138">
        <f t="shared" ca="1" si="106"/>
        <v>0</v>
      </c>
      <c r="AP83" s="138">
        <f t="shared" ca="1" si="106"/>
        <v>0</v>
      </c>
      <c r="AQ83" s="138">
        <f t="shared" ca="1" si="106"/>
        <v>0</v>
      </c>
      <c r="AR83" s="138">
        <f t="shared" ca="1" si="106"/>
        <v>0</v>
      </c>
      <c r="AS83" s="138">
        <f t="shared" ca="1" si="106"/>
        <v>0</v>
      </c>
      <c r="AT83" s="138">
        <f t="shared" ca="1" si="106"/>
        <v>0</v>
      </c>
      <c r="AU83" s="138">
        <f t="shared" ca="1" si="106"/>
        <v>0</v>
      </c>
      <c r="AV83" s="138">
        <f t="shared" ca="1" si="107"/>
        <v>0</v>
      </c>
      <c r="AW83" s="138">
        <f t="shared" ca="1" si="107"/>
        <v>0</v>
      </c>
      <c r="AX83" s="138">
        <f t="shared" ca="1" si="107"/>
        <v>0</v>
      </c>
      <c r="AY83" s="138">
        <f t="shared" ca="1" si="107"/>
        <v>0</v>
      </c>
      <c r="AZ83" s="138">
        <f t="shared" ca="1" si="107"/>
        <v>0</v>
      </c>
      <c r="BA83" s="138">
        <f t="shared" ca="1" si="107"/>
        <v>0</v>
      </c>
      <c r="BB83" s="138">
        <f t="shared" ca="1" si="107"/>
        <v>0</v>
      </c>
      <c r="BC83" s="138">
        <f t="shared" ca="1" si="107"/>
        <v>0</v>
      </c>
      <c r="BD83" s="138">
        <f t="shared" ca="1" si="107"/>
        <v>0</v>
      </c>
      <c r="BE83" s="138">
        <f t="shared" ca="1" si="107"/>
        <v>0</v>
      </c>
      <c r="BF83" s="138">
        <f t="shared" ca="1" si="108"/>
        <v>0</v>
      </c>
      <c r="BG83" s="138">
        <f t="shared" ca="1" si="108"/>
        <v>0</v>
      </c>
      <c r="BH83" s="138">
        <f t="shared" ca="1" si="108"/>
        <v>0</v>
      </c>
      <c r="BI83" s="138">
        <f t="shared" ca="1" si="108"/>
        <v>0</v>
      </c>
      <c r="BJ83" s="138">
        <f t="shared" ca="1" si="108"/>
        <v>0</v>
      </c>
      <c r="BK83" s="138">
        <f t="shared" ca="1" si="108"/>
        <v>0</v>
      </c>
      <c r="BL83" s="138">
        <f t="shared" ca="1" si="108"/>
        <v>0</v>
      </c>
      <c r="BM83" s="138">
        <f t="shared" ca="1" si="108"/>
        <v>0</v>
      </c>
      <c r="BN83" s="138">
        <f t="shared" ca="1" si="108"/>
        <v>0</v>
      </c>
      <c r="BO83" s="138">
        <f t="shared" ca="1" si="108"/>
        <v>0</v>
      </c>
      <c r="BP83" s="138">
        <f t="shared" ca="1" si="109"/>
        <v>0</v>
      </c>
      <c r="BQ83" s="138">
        <f t="shared" ca="1" si="109"/>
        <v>0</v>
      </c>
      <c r="BR83" s="138">
        <f t="shared" ca="1" si="109"/>
        <v>0</v>
      </c>
      <c r="BS83" s="138">
        <f t="shared" ca="1" si="109"/>
        <v>0</v>
      </c>
      <c r="BT83" s="138">
        <f t="shared" ca="1" si="109"/>
        <v>0</v>
      </c>
      <c r="BU83" s="138">
        <f t="shared" ca="1" si="109"/>
        <v>0</v>
      </c>
      <c r="BV83" s="138">
        <f t="shared" ca="1" si="109"/>
        <v>0</v>
      </c>
      <c r="BW83" s="138">
        <f t="shared" ca="1" si="109"/>
        <v>0</v>
      </c>
      <c r="BX83" s="138">
        <f t="shared" ca="1" si="109"/>
        <v>0</v>
      </c>
      <c r="BY83" s="138">
        <f t="shared" ca="1" si="109"/>
        <v>0</v>
      </c>
      <c r="BZ83" s="138">
        <f t="shared" ca="1" si="110"/>
        <v>0</v>
      </c>
      <c r="CA83" s="138">
        <f t="shared" ca="1" si="110"/>
        <v>0</v>
      </c>
      <c r="CB83" s="138">
        <f t="shared" ca="1" si="110"/>
        <v>0</v>
      </c>
      <c r="CC83" s="138">
        <f t="shared" ca="1" si="110"/>
        <v>0</v>
      </c>
      <c r="CD83" s="138">
        <f t="shared" ca="1" si="110"/>
        <v>0</v>
      </c>
      <c r="CE83" s="138">
        <f t="shared" ca="1" si="110"/>
        <v>0</v>
      </c>
      <c r="CF83" s="138">
        <f t="shared" ca="1" si="110"/>
        <v>0</v>
      </c>
      <c r="CG83" s="138">
        <f t="shared" ca="1" si="110"/>
        <v>0</v>
      </c>
      <c r="CH83" s="138">
        <f t="shared" ca="1" si="110"/>
        <v>0</v>
      </c>
      <c r="CI83" s="138">
        <f t="shared" ca="1" si="110"/>
        <v>0</v>
      </c>
      <c r="CJ83" s="138">
        <f t="shared" ca="1" si="111"/>
        <v>0</v>
      </c>
      <c r="CK83" s="138">
        <f t="shared" ca="1" si="111"/>
        <v>0</v>
      </c>
      <c r="CL83" s="138">
        <f t="shared" ca="1" si="111"/>
        <v>0</v>
      </c>
      <c r="CM83" s="138">
        <f t="shared" ca="1" si="111"/>
        <v>0</v>
      </c>
      <c r="CN83" s="138">
        <f t="shared" ca="1" si="111"/>
        <v>0</v>
      </c>
      <c r="CO83" s="138">
        <f t="shared" ca="1" si="111"/>
        <v>0</v>
      </c>
      <c r="CP83" s="138">
        <f t="shared" ca="1" si="111"/>
        <v>0</v>
      </c>
      <c r="CQ83" s="138">
        <f t="shared" ca="1" si="111"/>
        <v>0</v>
      </c>
      <c r="CR83" s="138">
        <f t="shared" ca="1" si="111"/>
        <v>0</v>
      </c>
      <c r="CS83" s="138">
        <f t="shared" ca="1" si="111"/>
        <v>0</v>
      </c>
      <c r="CT83" s="138">
        <f t="shared" ca="1" si="112"/>
        <v>0</v>
      </c>
      <c r="CU83" s="138">
        <f t="shared" ca="1" si="112"/>
        <v>0</v>
      </c>
      <c r="CV83" s="138">
        <f t="shared" ca="1" si="112"/>
        <v>0</v>
      </c>
      <c r="CW83" s="138">
        <f t="shared" ca="1" si="112"/>
        <v>0</v>
      </c>
      <c r="CX83" s="138">
        <f t="shared" ca="1" si="112"/>
        <v>0</v>
      </c>
      <c r="CY83" s="138">
        <f t="shared" ca="1" si="112"/>
        <v>0</v>
      </c>
      <c r="CZ83" s="138">
        <f t="shared" ca="1" si="112"/>
        <v>0</v>
      </c>
      <c r="DA83" s="138">
        <f t="shared" ca="1" si="112"/>
        <v>0</v>
      </c>
      <c r="DB83" s="138">
        <f t="shared" ca="1" si="112"/>
        <v>0</v>
      </c>
      <c r="DC83" s="138">
        <f t="shared" ca="1" si="112"/>
        <v>0</v>
      </c>
      <c r="DE83" s="254" t="str">
        <f t="shared" ca="1" si="100"/>
        <v>F.5.</v>
      </c>
      <c r="DF83">
        <v>1</v>
      </c>
      <c r="DG83">
        <f t="shared" ca="1" si="113"/>
        <v>21</v>
      </c>
      <c r="DH83">
        <v>0</v>
      </c>
    </row>
    <row r="84" spans="1:112" hidden="1">
      <c r="A84" s="124">
        <v>72</v>
      </c>
      <c r="B84" s="205" t="str">
        <f t="shared" ca="1" si="97"/>
        <v>F.6.</v>
      </c>
      <c r="C84" s="129" t="str">
        <f t="shared" ca="1" si="98"/>
        <v>Veikla</v>
      </c>
      <c r="D84" s="144"/>
      <c r="E84" s="148">
        <f t="shared" ca="1" si="99"/>
        <v>0.21</v>
      </c>
      <c r="F84" s="139">
        <f ca="1">H84+NPV(FD,I84:INDEX(I84:DC84,PAL))</f>
        <v>0</v>
      </c>
      <c r="G84" s="140">
        <f ca="1">SUMIF($H$5:$DC$5,"&lt;="&amp;PAL,$H84:$DC84)</f>
        <v>0</v>
      </c>
      <c r="H84" s="138">
        <f t="shared" ca="1" si="103"/>
        <v>0</v>
      </c>
      <c r="I84" s="138">
        <f t="shared" ca="1" si="103"/>
        <v>0</v>
      </c>
      <c r="J84" s="138">
        <f t="shared" ca="1" si="103"/>
        <v>0</v>
      </c>
      <c r="K84" s="138">
        <f t="shared" ca="1" si="103"/>
        <v>0</v>
      </c>
      <c r="L84" s="138">
        <f t="shared" ca="1" si="103"/>
        <v>0</v>
      </c>
      <c r="M84" s="138">
        <f t="shared" ca="1" si="103"/>
        <v>0</v>
      </c>
      <c r="N84" s="138">
        <f t="shared" ca="1" si="103"/>
        <v>0</v>
      </c>
      <c r="O84" s="138">
        <f t="shared" ca="1" si="103"/>
        <v>0</v>
      </c>
      <c r="P84" s="138">
        <f t="shared" ca="1" si="103"/>
        <v>0</v>
      </c>
      <c r="Q84" s="138">
        <f t="shared" ca="1" si="103"/>
        <v>0</v>
      </c>
      <c r="R84" s="138">
        <f t="shared" ca="1" si="104"/>
        <v>0</v>
      </c>
      <c r="S84" s="138">
        <f t="shared" ca="1" si="104"/>
        <v>0</v>
      </c>
      <c r="T84" s="138">
        <f t="shared" ca="1" si="104"/>
        <v>0</v>
      </c>
      <c r="U84" s="138">
        <f t="shared" ca="1" si="104"/>
        <v>0</v>
      </c>
      <c r="V84" s="138">
        <f t="shared" ca="1" si="104"/>
        <v>0</v>
      </c>
      <c r="W84" s="138">
        <f t="shared" ca="1" si="104"/>
        <v>0</v>
      </c>
      <c r="X84" s="138">
        <f t="shared" ca="1" si="104"/>
        <v>0</v>
      </c>
      <c r="Y84" s="138">
        <f t="shared" ca="1" si="104"/>
        <v>0</v>
      </c>
      <c r="Z84" s="138">
        <f t="shared" ca="1" si="104"/>
        <v>0</v>
      </c>
      <c r="AA84" s="138">
        <f t="shared" ca="1" si="104"/>
        <v>0</v>
      </c>
      <c r="AB84" s="138">
        <f t="shared" ca="1" si="105"/>
        <v>0</v>
      </c>
      <c r="AC84" s="138">
        <f t="shared" ca="1" si="105"/>
        <v>0</v>
      </c>
      <c r="AD84" s="138">
        <f t="shared" ca="1" si="105"/>
        <v>0</v>
      </c>
      <c r="AE84" s="138">
        <f t="shared" ca="1" si="105"/>
        <v>0</v>
      </c>
      <c r="AF84" s="138">
        <f t="shared" ca="1" si="105"/>
        <v>0</v>
      </c>
      <c r="AG84" s="138">
        <f t="shared" ca="1" si="105"/>
        <v>0</v>
      </c>
      <c r="AH84" s="138">
        <f t="shared" ca="1" si="105"/>
        <v>0</v>
      </c>
      <c r="AI84" s="138">
        <f t="shared" ca="1" si="105"/>
        <v>0</v>
      </c>
      <c r="AJ84" s="138">
        <f t="shared" ca="1" si="105"/>
        <v>0</v>
      </c>
      <c r="AK84" s="138">
        <f t="shared" ca="1" si="105"/>
        <v>0</v>
      </c>
      <c r="AL84" s="138">
        <f t="shared" ca="1" si="106"/>
        <v>0</v>
      </c>
      <c r="AM84" s="138">
        <f t="shared" ca="1" si="106"/>
        <v>0</v>
      </c>
      <c r="AN84" s="138">
        <f t="shared" ca="1" si="106"/>
        <v>0</v>
      </c>
      <c r="AO84" s="138">
        <f t="shared" ca="1" si="106"/>
        <v>0</v>
      </c>
      <c r="AP84" s="138">
        <f t="shared" ca="1" si="106"/>
        <v>0</v>
      </c>
      <c r="AQ84" s="138">
        <f t="shared" ca="1" si="106"/>
        <v>0</v>
      </c>
      <c r="AR84" s="138">
        <f t="shared" ca="1" si="106"/>
        <v>0</v>
      </c>
      <c r="AS84" s="138">
        <f t="shared" ca="1" si="106"/>
        <v>0</v>
      </c>
      <c r="AT84" s="138">
        <f t="shared" ca="1" si="106"/>
        <v>0</v>
      </c>
      <c r="AU84" s="138">
        <f t="shared" ca="1" si="106"/>
        <v>0</v>
      </c>
      <c r="AV84" s="138">
        <f t="shared" ca="1" si="107"/>
        <v>0</v>
      </c>
      <c r="AW84" s="138">
        <f t="shared" ca="1" si="107"/>
        <v>0</v>
      </c>
      <c r="AX84" s="138">
        <f t="shared" ca="1" si="107"/>
        <v>0</v>
      </c>
      <c r="AY84" s="138">
        <f t="shared" ca="1" si="107"/>
        <v>0</v>
      </c>
      <c r="AZ84" s="138">
        <f t="shared" ca="1" si="107"/>
        <v>0</v>
      </c>
      <c r="BA84" s="138">
        <f t="shared" ca="1" si="107"/>
        <v>0</v>
      </c>
      <c r="BB84" s="138">
        <f t="shared" ca="1" si="107"/>
        <v>0</v>
      </c>
      <c r="BC84" s="138">
        <f t="shared" ca="1" si="107"/>
        <v>0</v>
      </c>
      <c r="BD84" s="138">
        <f t="shared" ca="1" si="107"/>
        <v>0</v>
      </c>
      <c r="BE84" s="138">
        <f t="shared" ca="1" si="107"/>
        <v>0</v>
      </c>
      <c r="BF84" s="138">
        <f t="shared" ca="1" si="108"/>
        <v>0</v>
      </c>
      <c r="BG84" s="138">
        <f t="shared" ca="1" si="108"/>
        <v>0</v>
      </c>
      <c r="BH84" s="138">
        <f t="shared" ca="1" si="108"/>
        <v>0</v>
      </c>
      <c r="BI84" s="138">
        <f t="shared" ca="1" si="108"/>
        <v>0</v>
      </c>
      <c r="BJ84" s="138">
        <f t="shared" ca="1" si="108"/>
        <v>0</v>
      </c>
      <c r="BK84" s="138">
        <f t="shared" ca="1" si="108"/>
        <v>0</v>
      </c>
      <c r="BL84" s="138">
        <f t="shared" ca="1" si="108"/>
        <v>0</v>
      </c>
      <c r="BM84" s="138">
        <f t="shared" ca="1" si="108"/>
        <v>0</v>
      </c>
      <c r="BN84" s="138">
        <f t="shared" ca="1" si="108"/>
        <v>0</v>
      </c>
      <c r="BO84" s="138">
        <f t="shared" ca="1" si="108"/>
        <v>0</v>
      </c>
      <c r="BP84" s="138">
        <f t="shared" ca="1" si="109"/>
        <v>0</v>
      </c>
      <c r="BQ84" s="138">
        <f t="shared" ca="1" si="109"/>
        <v>0</v>
      </c>
      <c r="BR84" s="138">
        <f t="shared" ca="1" si="109"/>
        <v>0</v>
      </c>
      <c r="BS84" s="138">
        <f t="shared" ca="1" si="109"/>
        <v>0</v>
      </c>
      <c r="BT84" s="138">
        <f t="shared" ca="1" si="109"/>
        <v>0</v>
      </c>
      <c r="BU84" s="138">
        <f t="shared" ca="1" si="109"/>
        <v>0</v>
      </c>
      <c r="BV84" s="138">
        <f t="shared" ca="1" si="109"/>
        <v>0</v>
      </c>
      <c r="BW84" s="138">
        <f t="shared" ca="1" si="109"/>
        <v>0</v>
      </c>
      <c r="BX84" s="138">
        <f t="shared" ca="1" si="109"/>
        <v>0</v>
      </c>
      <c r="BY84" s="138">
        <f t="shared" ca="1" si="109"/>
        <v>0</v>
      </c>
      <c r="BZ84" s="138">
        <f t="shared" ca="1" si="110"/>
        <v>0</v>
      </c>
      <c r="CA84" s="138">
        <f t="shared" ca="1" si="110"/>
        <v>0</v>
      </c>
      <c r="CB84" s="138">
        <f t="shared" ca="1" si="110"/>
        <v>0</v>
      </c>
      <c r="CC84" s="138">
        <f t="shared" ca="1" si="110"/>
        <v>0</v>
      </c>
      <c r="CD84" s="138">
        <f t="shared" ca="1" si="110"/>
        <v>0</v>
      </c>
      <c r="CE84" s="138">
        <f t="shared" ca="1" si="110"/>
        <v>0</v>
      </c>
      <c r="CF84" s="138">
        <f t="shared" ca="1" si="110"/>
        <v>0</v>
      </c>
      <c r="CG84" s="138">
        <f t="shared" ca="1" si="110"/>
        <v>0</v>
      </c>
      <c r="CH84" s="138">
        <f t="shared" ca="1" si="110"/>
        <v>0</v>
      </c>
      <c r="CI84" s="138">
        <f t="shared" ca="1" si="110"/>
        <v>0</v>
      </c>
      <c r="CJ84" s="138">
        <f t="shared" ca="1" si="111"/>
        <v>0</v>
      </c>
      <c r="CK84" s="138">
        <f t="shared" ca="1" si="111"/>
        <v>0</v>
      </c>
      <c r="CL84" s="138">
        <f t="shared" ca="1" si="111"/>
        <v>0</v>
      </c>
      <c r="CM84" s="138">
        <f t="shared" ca="1" si="111"/>
        <v>0</v>
      </c>
      <c r="CN84" s="138">
        <f t="shared" ca="1" si="111"/>
        <v>0</v>
      </c>
      <c r="CO84" s="138">
        <f t="shared" ca="1" si="111"/>
        <v>0</v>
      </c>
      <c r="CP84" s="138">
        <f t="shared" ca="1" si="111"/>
        <v>0</v>
      </c>
      <c r="CQ84" s="138">
        <f t="shared" ca="1" si="111"/>
        <v>0</v>
      </c>
      <c r="CR84" s="138">
        <f t="shared" ca="1" si="111"/>
        <v>0</v>
      </c>
      <c r="CS84" s="138">
        <f t="shared" ca="1" si="111"/>
        <v>0</v>
      </c>
      <c r="CT84" s="138">
        <f t="shared" ca="1" si="112"/>
        <v>0</v>
      </c>
      <c r="CU84" s="138">
        <f t="shared" ca="1" si="112"/>
        <v>0</v>
      </c>
      <c r="CV84" s="138">
        <f t="shared" ca="1" si="112"/>
        <v>0</v>
      </c>
      <c r="CW84" s="138">
        <f t="shared" ca="1" si="112"/>
        <v>0</v>
      </c>
      <c r="CX84" s="138">
        <f t="shared" ca="1" si="112"/>
        <v>0</v>
      </c>
      <c r="CY84" s="138">
        <f t="shared" ca="1" si="112"/>
        <v>0</v>
      </c>
      <c r="CZ84" s="138">
        <f t="shared" ca="1" si="112"/>
        <v>0</v>
      </c>
      <c r="DA84" s="138">
        <f t="shared" ca="1" si="112"/>
        <v>0</v>
      </c>
      <c r="DB84" s="138">
        <f t="shared" ca="1" si="112"/>
        <v>0</v>
      </c>
      <c r="DC84" s="138">
        <f t="shared" ca="1" si="112"/>
        <v>0</v>
      </c>
      <c r="DE84" s="254" t="str">
        <f t="shared" ca="1" si="100"/>
        <v>F.6.</v>
      </c>
      <c r="DF84">
        <v>1</v>
      </c>
      <c r="DG84">
        <f t="shared" ca="1" si="113"/>
        <v>21</v>
      </c>
      <c r="DH84">
        <v>0</v>
      </c>
    </row>
    <row r="85" spans="1:112" hidden="1">
      <c r="A85" s="124">
        <v>73</v>
      </c>
      <c r="B85" s="205" t="str">
        <f t="shared" ca="1" si="97"/>
        <v>F.7.</v>
      </c>
      <c r="C85" s="129" t="str">
        <f t="shared" ca="1" si="98"/>
        <v>Veikla</v>
      </c>
      <c r="D85" s="144"/>
      <c r="E85" s="148">
        <f t="shared" ca="1" si="99"/>
        <v>0.21</v>
      </c>
      <c r="F85" s="139">
        <f ca="1">H85+NPV(FD,I85:INDEX(I85:DC85,PAL))</f>
        <v>0</v>
      </c>
      <c r="G85" s="140">
        <f ca="1">SUMIF($H$5:$DC$5,"&lt;="&amp;PAL,$H85:$DC85)</f>
        <v>0</v>
      </c>
      <c r="H85" s="138">
        <f t="shared" ca="1" si="103"/>
        <v>0</v>
      </c>
      <c r="I85" s="138">
        <f t="shared" ca="1" si="103"/>
        <v>0</v>
      </c>
      <c r="J85" s="138">
        <f t="shared" ca="1" si="103"/>
        <v>0</v>
      </c>
      <c r="K85" s="138">
        <f t="shared" ca="1" si="103"/>
        <v>0</v>
      </c>
      <c r="L85" s="138">
        <f t="shared" ca="1" si="103"/>
        <v>0</v>
      </c>
      <c r="M85" s="138">
        <f t="shared" ca="1" si="103"/>
        <v>0</v>
      </c>
      <c r="N85" s="138">
        <f t="shared" ca="1" si="103"/>
        <v>0</v>
      </c>
      <c r="O85" s="138">
        <f t="shared" ca="1" si="103"/>
        <v>0</v>
      </c>
      <c r="P85" s="138">
        <f t="shared" ca="1" si="103"/>
        <v>0</v>
      </c>
      <c r="Q85" s="138">
        <f t="shared" ca="1" si="103"/>
        <v>0</v>
      </c>
      <c r="R85" s="138">
        <f t="shared" ca="1" si="104"/>
        <v>0</v>
      </c>
      <c r="S85" s="138">
        <f t="shared" ca="1" si="104"/>
        <v>0</v>
      </c>
      <c r="T85" s="138">
        <f t="shared" ca="1" si="104"/>
        <v>0</v>
      </c>
      <c r="U85" s="138">
        <f t="shared" ca="1" si="104"/>
        <v>0</v>
      </c>
      <c r="V85" s="138">
        <f t="shared" ca="1" si="104"/>
        <v>0</v>
      </c>
      <c r="W85" s="138">
        <f t="shared" ca="1" si="104"/>
        <v>0</v>
      </c>
      <c r="X85" s="138">
        <f t="shared" ca="1" si="104"/>
        <v>0</v>
      </c>
      <c r="Y85" s="138">
        <f t="shared" ca="1" si="104"/>
        <v>0</v>
      </c>
      <c r="Z85" s="138">
        <f t="shared" ca="1" si="104"/>
        <v>0</v>
      </c>
      <c r="AA85" s="138">
        <f t="shared" ca="1" si="104"/>
        <v>0</v>
      </c>
      <c r="AB85" s="138">
        <f t="shared" ca="1" si="105"/>
        <v>0</v>
      </c>
      <c r="AC85" s="138">
        <f t="shared" ca="1" si="105"/>
        <v>0</v>
      </c>
      <c r="AD85" s="138">
        <f t="shared" ca="1" si="105"/>
        <v>0</v>
      </c>
      <c r="AE85" s="138">
        <f t="shared" ca="1" si="105"/>
        <v>0</v>
      </c>
      <c r="AF85" s="138">
        <f t="shared" ca="1" si="105"/>
        <v>0</v>
      </c>
      <c r="AG85" s="138">
        <f t="shared" ca="1" si="105"/>
        <v>0</v>
      </c>
      <c r="AH85" s="138">
        <f t="shared" ca="1" si="105"/>
        <v>0</v>
      </c>
      <c r="AI85" s="138">
        <f t="shared" ca="1" si="105"/>
        <v>0</v>
      </c>
      <c r="AJ85" s="138">
        <f t="shared" ca="1" si="105"/>
        <v>0</v>
      </c>
      <c r="AK85" s="138">
        <f t="shared" ca="1" si="105"/>
        <v>0</v>
      </c>
      <c r="AL85" s="138">
        <f t="shared" ca="1" si="106"/>
        <v>0</v>
      </c>
      <c r="AM85" s="138">
        <f t="shared" ca="1" si="106"/>
        <v>0</v>
      </c>
      <c r="AN85" s="138">
        <f t="shared" ca="1" si="106"/>
        <v>0</v>
      </c>
      <c r="AO85" s="138">
        <f t="shared" ca="1" si="106"/>
        <v>0</v>
      </c>
      <c r="AP85" s="138">
        <f t="shared" ca="1" si="106"/>
        <v>0</v>
      </c>
      <c r="AQ85" s="138">
        <f t="shared" ca="1" si="106"/>
        <v>0</v>
      </c>
      <c r="AR85" s="138">
        <f t="shared" ca="1" si="106"/>
        <v>0</v>
      </c>
      <c r="AS85" s="138">
        <f t="shared" ca="1" si="106"/>
        <v>0</v>
      </c>
      <c r="AT85" s="138">
        <f t="shared" ca="1" si="106"/>
        <v>0</v>
      </c>
      <c r="AU85" s="138">
        <f t="shared" ca="1" si="106"/>
        <v>0</v>
      </c>
      <c r="AV85" s="138">
        <f t="shared" ca="1" si="107"/>
        <v>0</v>
      </c>
      <c r="AW85" s="138">
        <f t="shared" ca="1" si="107"/>
        <v>0</v>
      </c>
      <c r="AX85" s="138">
        <f t="shared" ca="1" si="107"/>
        <v>0</v>
      </c>
      <c r="AY85" s="138">
        <f t="shared" ca="1" si="107"/>
        <v>0</v>
      </c>
      <c r="AZ85" s="138">
        <f t="shared" ca="1" si="107"/>
        <v>0</v>
      </c>
      <c r="BA85" s="138">
        <f t="shared" ca="1" si="107"/>
        <v>0</v>
      </c>
      <c r="BB85" s="138">
        <f t="shared" ca="1" si="107"/>
        <v>0</v>
      </c>
      <c r="BC85" s="138">
        <f t="shared" ca="1" si="107"/>
        <v>0</v>
      </c>
      <c r="BD85" s="138">
        <f t="shared" ca="1" si="107"/>
        <v>0</v>
      </c>
      <c r="BE85" s="138">
        <f t="shared" ca="1" si="107"/>
        <v>0</v>
      </c>
      <c r="BF85" s="138">
        <f t="shared" ca="1" si="108"/>
        <v>0</v>
      </c>
      <c r="BG85" s="138">
        <f t="shared" ca="1" si="108"/>
        <v>0</v>
      </c>
      <c r="BH85" s="138">
        <f t="shared" ca="1" si="108"/>
        <v>0</v>
      </c>
      <c r="BI85" s="138">
        <f t="shared" ca="1" si="108"/>
        <v>0</v>
      </c>
      <c r="BJ85" s="138">
        <f t="shared" ca="1" si="108"/>
        <v>0</v>
      </c>
      <c r="BK85" s="138">
        <f t="shared" ca="1" si="108"/>
        <v>0</v>
      </c>
      <c r="BL85" s="138">
        <f t="shared" ca="1" si="108"/>
        <v>0</v>
      </c>
      <c r="BM85" s="138">
        <f t="shared" ca="1" si="108"/>
        <v>0</v>
      </c>
      <c r="BN85" s="138">
        <f t="shared" ca="1" si="108"/>
        <v>0</v>
      </c>
      <c r="BO85" s="138">
        <f t="shared" ca="1" si="108"/>
        <v>0</v>
      </c>
      <c r="BP85" s="138">
        <f t="shared" ca="1" si="109"/>
        <v>0</v>
      </c>
      <c r="BQ85" s="138">
        <f t="shared" ca="1" si="109"/>
        <v>0</v>
      </c>
      <c r="BR85" s="138">
        <f t="shared" ca="1" si="109"/>
        <v>0</v>
      </c>
      <c r="BS85" s="138">
        <f t="shared" ca="1" si="109"/>
        <v>0</v>
      </c>
      <c r="BT85" s="138">
        <f t="shared" ca="1" si="109"/>
        <v>0</v>
      </c>
      <c r="BU85" s="138">
        <f t="shared" ca="1" si="109"/>
        <v>0</v>
      </c>
      <c r="BV85" s="138">
        <f t="shared" ca="1" si="109"/>
        <v>0</v>
      </c>
      <c r="BW85" s="138">
        <f t="shared" ca="1" si="109"/>
        <v>0</v>
      </c>
      <c r="BX85" s="138">
        <f t="shared" ca="1" si="109"/>
        <v>0</v>
      </c>
      <c r="BY85" s="138">
        <f t="shared" ca="1" si="109"/>
        <v>0</v>
      </c>
      <c r="BZ85" s="138">
        <f t="shared" ca="1" si="110"/>
        <v>0</v>
      </c>
      <c r="CA85" s="138">
        <f t="shared" ca="1" si="110"/>
        <v>0</v>
      </c>
      <c r="CB85" s="138">
        <f t="shared" ca="1" si="110"/>
        <v>0</v>
      </c>
      <c r="CC85" s="138">
        <f t="shared" ca="1" si="110"/>
        <v>0</v>
      </c>
      <c r="CD85" s="138">
        <f t="shared" ca="1" si="110"/>
        <v>0</v>
      </c>
      <c r="CE85" s="138">
        <f t="shared" ca="1" si="110"/>
        <v>0</v>
      </c>
      <c r="CF85" s="138">
        <f t="shared" ca="1" si="110"/>
        <v>0</v>
      </c>
      <c r="CG85" s="138">
        <f t="shared" ca="1" si="110"/>
        <v>0</v>
      </c>
      <c r="CH85" s="138">
        <f t="shared" ca="1" si="110"/>
        <v>0</v>
      </c>
      <c r="CI85" s="138">
        <f t="shared" ca="1" si="110"/>
        <v>0</v>
      </c>
      <c r="CJ85" s="138">
        <f t="shared" ca="1" si="111"/>
        <v>0</v>
      </c>
      <c r="CK85" s="138">
        <f t="shared" ca="1" si="111"/>
        <v>0</v>
      </c>
      <c r="CL85" s="138">
        <f t="shared" ca="1" si="111"/>
        <v>0</v>
      </c>
      <c r="CM85" s="138">
        <f t="shared" ca="1" si="111"/>
        <v>0</v>
      </c>
      <c r="CN85" s="138">
        <f t="shared" ca="1" si="111"/>
        <v>0</v>
      </c>
      <c r="CO85" s="138">
        <f t="shared" ca="1" si="111"/>
        <v>0</v>
      </c>
      <c r="CP85" s="138">
        <f t="shared" ca="1" si="111"/>
        <v>0</v>
      </c>
      <c r="CQ85" s="138">
        <f t="shared" ca="1" si="111"/>
        <v>0</v>
      </c>
      <c r="CR85" s="138">
        <f t="shared" ca="1" si="111"/>
        <v>0</v>
      </c>
      <c r="CS85" s="138">
        <f t="shared" ca="1" si="111"/>
        <v>0</v>
      </c>
      <c r="CT85" s="138">
        <f t="shared" ca="1" si="112"/>
        <v>0</v>
      </c>
      <c r="CU85" s="138">
        <f t="shared" ca="1" si="112"/>
        <v>0</v>
      </c>
      <c r="CV85" s="138">
        <f t="shared" ca="1" si="112"/>
        <v>0</v>
      </c>
      <c r="CW85" s="138">
        <f t="shared" ca="1" si="112"/>
        <v>0</v>
      </c>
      <c r="CX85" s="138">
        <f t="shared" ca="1" si="112"/>
        <v>0</v>
      </c>
      <c r="CY85" s="138">
        <f t="shared" ca="1" si="112"/>
        <v>0</v>
      </c>
      <c r="CZ85" s="138">
        <f t="shared" ca="1" si="112"/>
        <v>0</v>
      </c>
      <c r="DA85" s="138">
        <f t="shared" ca="1" si="112"/>
        <v>0</v>
      </c>
      <c r="DB85" s="138">
        <f t="shared" ca="1" si="112"/>
        <v>0</v>
      </c>
      <c r="DC85" s="138">
        <f t="shared" ca="1" si="112"/>
        <v>0</v>
      </c>
      <c r="DE85" s="254" t="str">
        <f t="shared" ca="1" si="100"/>
        <v>F.7.</v>
      </c>
      <c r="DF85">
        <v>1</v>
      </c>
      <c r="DG85">
        <f t="shared" ca="1" si="113"/>
        <v>21</v>
      </c>
      <c r="DH85">
        <v>0</v>
      </c>
    </row>
    <row r="86" spans="1:112" hidden="1">
      <c r="A86" s="124">
        <v>74</v>
      </c>
      <c r="B86" s="205" t="str">
        <f t="shared" ca="1" si="97"/>
        <v>F.8.</v>
      </c>
      <c r="C86" s="129" t="str">
        <f t="shared" ca="1" si="98"/>
        <v>Veikla</v>
      </c>
      <c r="D86" s="144"/>
      <c r="E86" s="148">
        <f t="shared" ca="1" si="99"/>
        <v>0.21</v>
      </c>
      <c r="F86" s="139">
        <f ca="1">H86+NPV(FD,I86:INDEX(I86:DC86,PAL))</f>
        <v>0</v>
      </c>
      <c r="G86" s="140">
        <f ca="1">SUMIF($H$5:$DC$5,"&lt;="&amp;PAL,$H86:$DC86)</f>
        <v>0</v>
      </c>
      <c r="H86" s="138">
        <f t="shared" ca="1" si="103"/>
        <v>0</v>
      </c>
      <c r="I86" s="138">
        <f t="shared" ca="1" si="103"/>
        <v>0</v>
      </c>
      <c r="J86" s="138">
        <f t="shared" ca="1" si="103"/>
        <v>0</v>
      </c>
      <c r="K86" s="138">
        <f t="shared" ca="1" si="103"/>
        <v>0</v>
      </c>
      <c r="L86" s="138">
        <f t="shared" ca="1" si="103"/>
        <v>0</v>
      </c>
      <c r="M86" s="138">
        <f t="shared" ca="1" si="103"/>
        <v>0</v>
      </c>
      <c r="N86" s="138">
        <f t="shared" ca="1" si="103"/>
        <v>0</v>
      </c>
      <c r="O86" s="138">
        <f t="shared" ca="1" si="103"/>
        <v>0</v>
      </c>
      <c r="P86" s="138">
        <f t="shared" ca="1" si="103"/>
        <v>0</v>
      </c>
      <c r="Q86" s="138">
        <f t="shared" ca="1" si="103"/>
        <v>0</v>
      </c>
      <c r="R86" s="138">
        <f t="shared" ca="1" si="104"/>
        <v>0</v>
      </c>
      <c r="S86" s="138">
        <f t="shared" ca="1" si="104"/>
        <v>0</v>
      </c>
      <c r="T86" s="138">
        <f t="shared" ca="1" si="104"/>
        <v>0</v>
      </c>
      <c r="U86" s="138">
        <f t="shared" ca="1" si="104"/>
        <v>0</v>
      </c>
      <c r="V86" s="138">
        <f t="shared" ca="1" si="104"/>
        <v>0</v>
      </c>
      <c r="W86" s="138">
        <f t="shared" ca="1" si="104"/>
        <v>0</v>
      </c>
      <c r="X86" s="138">
        <f t="shared" ca="1" si="104"/>
        <v>0</v>
      </c>
      <c r="Y86" s="138">
        <f t="shared" ca="1" si="104"/>
        <v>0</v>
      </c>
      <c r="Z86" s="138">
        <f t="shared" ca="1" si="104"/>
        <v>0</v>
      </c>
      <c r="AA86" s="138">
        <f t="shared" ca="1" si="104"/>
        <v>0</v>
      </c>
      <c r="AB86" s="138">
        <f t="shared" ca="1" si="105"/>
        <v>0</v>
      </c>
      <c r="AC86" s="138">
        <f t="shared" ca="1" si="105"/>
        <v>0</v>
      </c>
      <c r="AD86" s="138">
        <f t="shared" ca="1" si="105"/>
        <v>0</v>
      </c>
      <c r="AE86" s="138">
        <f t="shared" ca="1" si="105"/>
        <v>0</v>
      </c>
      <c r="AF86" s="138">
        <f t="shared" ca="1" si="105"/>
        <v>0</v>
      </c>
      <c r="AG86" s="138">
        <f t="shared" ca="1" si="105"/>
        <v>0</v>
      </c>
      <c r="AH86" s="138">
        <f t="shared" ca="1" si="105"/>
        <v>0</v>
      </c>
      <c r="AI86" s="138">
        <f t="shared" ca="1" si="105"/>
        <v>0</v>
      </c>
      <c r="AJ86" s="138">
        <f t="shared" ca="1" si="105"/>
        <v>0</v>
      </c>
      <c r="AK86" s="138">
        <f t="shared" ca="1" si="105"/>
        <v>0</v>
      </c>
      <c r="AL86" s="138">
        <f t="shared" ca="1" si="106"/>
        <v>0</v>
      </c>
      <c r="AM86" s="138">
        <f t="shared" ca="1" si="106"/>
        <v>0</v>
      </c>
      <c r="AN86" s="138">
        <f t="shared" ca="1" si="106"/>
        <v>0</v>
      </c>
      <c r="AO86" s="138">
        <f t="shared" ca="1" si="106"/>
        <v>0</v>
      </c>
      <c r="AP86" s="138">
        <f t="shared" ca="1" si="106"/>
        <v>0</v>
      </c>
      <c r="AQ86" s="138">
        <f t="shared" ca="1" si="106"/>
        <v>0</v>
      </c>
      <c r="AR86" s="138">
        <f t="shared" ca="1" si="106"/>
        <v>0</v>
      </c>
      <c r="AS86" s="138">
        <f t="shared" ca="1" si="106"/>
        <v>0</v>
      </c>
      <c r="AT86" s="138">
        <f t="shared" ca="1" si="106"/>
        <v>0</v>
      </c>
      <c r="AU86" s="138">
        <f t="shared" ca="1" si="106"/>
        <v>0</v>
      </c>
      <c r="AV86" s="138">
        <f t="shared" ca="1" si="107"/>
        <v>0</v>
      </c>
      <c r="AW86" s="138">
        <f t="shared" ca="1" si="107"/>
        <v>0</v>
      </c>
      <c r="AX86" s="138">
        <f t="shared" ca="1" si="107"/>
        <v>0</v>
      </c>
      <c r="AY86" s="138">
        <f t="shared" ca="1" si="107"/>
        <v>0</v>
      </c>
      <c r="AZ86" s="138">
        <f t="shared" ca="1" si="107"/>
        <v>0</v>
      </c>
      <c r="BA86" s="138">
        <f t="shared" ca="1" si="107"/>
        <v>0</v>
      </c>
      <c r="BB86" s="138">
        <f t="shared" ca="1" si="107"/>
        <v>0</v>
      </c>
      <c r="BC86" s="138">
        <f t="shared" ca="1" si="107"/>
        <v>0</v>
      </c>
      <c r="BD86" s="138">
        <f t="shared" ca="1" si="107"/>
        <v>0</v>
      </c>
      <c r="BE86" s="138">
        <f t="shared" ca="1" si="107"/>
        <v>0</v>
      </c>
      <c r="BF86" s="138">
        <f t="shared" ca="1" si="108"/>
        <v>0</v>
      </c>
      <c r="BG86" s="138">
        <f t="shared" ca="1" si="108"/>
        <v>0</v>
      </c>
      <c r="BH86" s="138">
        <f t="shared" ca="1" si="108"/>
        <v>0</v>
      </c>
      <c r="BI86" s="138">
        <f t="shared" ca="1" si="108"/>
        <v>0</v>
      </c>
      <c r="BJ86" s="138">
        <f t="shared" ca="1" si="108"/>
        <v>0</v>
      </c>
      <c r="BK86" s="138">
        <f t="shared" ca="1" si="108"/>
        <v>0</v>
      </c>
      <c r="BL86" s="138">
        <f t="shared" ca="1" si="108"/>
        <v>0</v>
      </c>
      <c r="BM86" s="138">
        <f t="shared" ca="1" si="108"/>
        <v>0</v>
      </c>
      <c r="BN86" s="138">
        <f t="shared" ca="1" si="108"/>
        <v>0</v>
      </c>
      <c r="BO86" s="138">
        <f t="shared" ca="1" si="108"/>
        <v>0</v>
      </c>
      <c r="BP86" s="138">
        <f t="shared" ca="1" si="109"/>
        <v>0</v>
      </c>
      <c r="BQ86" s="138">
        <f t="shared" ca="1" si="109"/>
        <v>0</v>
      </c>
      <c r="BR86" s="138">
        <f t="shared" ca="1" si="109"/>
        <v>0</v>
      </c>
      <c r="BS86" s="138">
        <f t="shared" ca="1" si="109"/>
        <v>0</v>
      </c>
      <c r="BT86" s="138">
        <f t="shared" ca="1" si="109"/>
        <v>0</v>
      </c>
      <c r="BU86" s="138">
        <f t="shared" ca="1" si="109"/>
        <v>0</v>
      </c>
      <c r="BV86" s="138">
        <f t="shared" ca="1" si="109"/>
        <v>0</v>
      </c>
      <c r="BW86" s="138">
        <f t="shared" ca="1" si="109"/>
        <v>0</v>
      </c>
      <c r="BX86" s="138">
        <f t="shared" ca="1" si="109"/>
        <v>0</v>
      </c>
      <c r="BY86" s="138">
        <f t="shared" ca="1" si="109"/>
        <v>0</v>
      </c>
      <c r="BZ86" s="138">
        <f t="shared" ca="1" si="110"/>
        <v>0</v>
      </c>
      <c r="CA86" s="138">
        <f t="shared" ca="1" si="110"/>
        <v>0</v>
      </c>
      <c r="CB86" s="138">
        <f t="shared" ca="1" si="110"/>
        <v>0</v>
      </c>
      <c r="CC86" s="138">
        <f t="shared" ca="1" si="110"/>
        <v>0</v>
      </c>
      <c r="CD86" s="138">
        <f t="shared" ca="1" si="110"/>
        <v>0</v>
      </c>
      <c r="CE86" s="138">
        <f t="shared" ca="1" si="110"/>
        <v>0</v>
      </c>
      <c r="CF86" s="138">
        <f t="shared" ca="1" si="110"/>
        <v>0</v>
      </c>
      <c r="CG86" s="138">
        <f t="shared" ca="1" si="110"/>
        <v>0</v>
      </c>
      <c r="CH86" s="138">
        <f t="shared" ca="1" si="110"/>
        <v>0</v>
      </c>
      <c r="CI86" s="138">
        <f t="shared" ca="1" si="110"/>
        <v>0</v>
      </c>
      <c r="CJ86" s="138">
        <f t="shared" ca="1" si="111"/>
        <v>0</v>
      </c>
      <c r="CK86" s="138">
        <f t="shared" ca="1" si="111"/>
        <v>0</v>
      </c>
      <c r="CL86" s="138">
        <f t="shared" ca="1" si="111"/>
        <v>0</v>
      </c>
      <c r="CM86" s="138">
        <f t="shared" ca="1" si="111"/>
        <v>0</v>
      </c>
      <c r="CN86" s="138">
        <f t="shared" ca="1" si="111"/>
        <v>0</v>
      </c>
      <c r="CO86" s="138">
        <f t="shared" ca="1" si="111"/>
        <v>0</v>
      </c>
      <c r="CP86" s="138">
        <f t="shared" ca="1" si="111"/>
        <v>0</v>
      </c>
      <c r="CQ86" s="138">
        <f t="shared" ca="1" si="111"/>
        <v>0</v>
      </c>
      <c r="CR86" s="138">
        <f t="shared" ca="1" si="111"/>
        <v>0</v>
      </c>
      <c r="CS86" s="138">
        <f t="shared" ca="1" si="111"/>
        <v>0</v>
      </c>
      <c r="CT86" s="138">
        <f t="shared" ca="1" si="112"/>
        <v>0</v>
      </c>
      <c r="CU86" s="138">
        <f t="shared" ca="1" si="112"/>
        <v>0</v>
      </c>
      <c r="CV86" s="138">
        <f t="shared" ca="1" si="112"/>
        <v>0</v>
      </c>
      <c r="CW86" s="138">
        <f t="shared" ca="1" si="112"/>
        <v>0</v>
      </c>
      <c r="CX86" s="138">
        <f t="shared" ca="1" si="112"/>
        <v>0</v>
      </c>
      <c r="CY86" s="138">
        <f t="shared" ca="1" si="112"/>
        <v>0</v>
      </c>
      <c r="CZ86" s="138">
        <f t="shared" ca="1" si="112"/>
        <v>0</v>
      </c>
      <c r="DA86" s="138">
        <f t="shared" ca="1" si="112"/>
        <v>0</v>
      </c>
      <c r="DB86" s="138">
        <f t="shared" ca="1" si="112"/>
        <v>0</v>
      </c>
      <c r="DC86" s="138">
        <f t="shared" ca="1" si="112"/>
        <v>0</v>
      </c>
      <c r="DE86" s="254" t="str">
        <f t="shared" ca="1" si="100"/>
        <v>F.8.</v>
      </c>
      <c r="DF86">
        <v>1</v>
      </c>
      <c r="DG86">
        <f t="shared" ca="1" si="113"/>
        <v>21</v>
      </c>
      <c r="DH86">
        <v>0</v>
      </c>
    </row>
    <row r="87" spans="1:112" hidden="1">
      <c r="A87" s="124">
        <v>75</v>
      </c>
      <c r="B87" s="205" t="str">
        <f t="shared" ca="1" si="97"/>
        <v>F.9.</v>
      </c>
      <c r="C87" s="129" t="str">
        <f t="shared" ca="1" si="98"/>
        <v>Reinvesticijos (po priemonės įgyvendinimo)</v>
      </c>
      <c r="D87" s="114"/>
      <c r="E87" s="148">
        <f t="shared" ca="1" si="99"/>
        <v>0.21</v>
      </c>
      <c r="F87" s="139">
        <f ca="1">H87+NPV(FD,I87:INDEX(I87:DC87,PAL))</f>
        <v>0</v>
      </c>
      <c r="G87" s="140">
        <f ca="1">SUMIF($H$5:$DC$5,"&lt;="&amp;PAL,$H87:$DC87)</f>
        <v>0</v>
      </c>
      <c r="H87" s="138">
        <f t="shared" ca="1" si="103"/>
        <v>0</v>
      </c>
      <c r="I87" s="138">
        <f t="shared" ca="1" si="103"/>
        <v>0</v>
      </c>
      <c r="J87" s="138">
        <f t="shared" ca="1" si="103"/>
        <v>0</v>
      </c>
      <c r="K87" s="138">
        <f t="shared" ca="1" si="103"/>
        <v>0</v>
      </c>
      <c r="L87" s="138">
        <f t="shared" ca="1" si="103"/>
        <v>0</v>
      </c>
      <c r="M87" s="138">
        <f t="shared" ca="1" si="103"/>
        <v>0</v>
      </c>
      <c r="N87" s="138">
        <f t="shared" ca="1" si="103"/>
        <v>0</v>
      </c>
      <c r="O87" s="138">
        <f t="shared" ca="1" si="103"/>
        <v>0</v>
      </c>
      <c r="P87" s="138">
        <f t="shared" ca="1" si="103"/>
        <v>0</v>
      </c>
      <c r="Q87" s="138">
        <f t="shared" ca="1" si="103"/>
        <v>0</v>
      </c>
      <c r="R87" s="138">
        <f t="shared" ca="1" si="104"/>
        <v>0</v>
      </c>
      <c r="S87" s="138">
        <f t="shared" ca="1" si="104"/>
        <v>0</v>
      </c>
      <c r="T87" s="138">
        <f t="shared" ca="1" si="104"/>
        <v>0</v>
      </c>
      <c r="U87" s="138">
        <f t="shared" ca="1" si="104"/>
        <v>0</v>
      </c>
      <c r="V87" s="138">
        <f t="shared" ca="1" si="104"/>
        <v>0</v>
      </c>
      <c r="W87" s="138">
        <f t="shared" ca="1" si="104"/>
        <v>0</v>
      </c>
      <c r="X87" s="138">
        <f t="shared" ca="1" si="104"/>
        <v>0</v>
      </c>
      <c r="Y87" s="138">
        <f t="shared" ca="1" si="104"/>
        <v>0</v>
      </c>
      <c r="Z87" s="138">
        <f t="shared" ca="1" si="104"/>
        <v>0</v>
      </c>
      <c r="AA87" s="138">
        <f t="shared" ca="1" si="104"/>
        <v>0</v>
      </c>
      <c r="AB87" s="138">
        <f t="shared" ca="1" si="105"/>
        <v>0</v>
      </c>
      <c r="AC87" s="138">
        <f t="shared" ca="1" si="105"/>
        <v>0</v>
      </c>
      <c r="AD87" s="138">
        <f t="shared" ca="1" si="105"/>
        <v>0</v>
      </c>
      <c r="AE87" s="138">
        <f t="shared" ca="1" si="105"/>
        <v>0</v>
      </c>
      <c r="AF87" s="138">
        <f t="shared" ca="1" si="105"/>
        <v>0</v>
      </c>
      <c r="AG87" s="138">
        <f t="shared" ca="1" si="105"/>
        <v>0</v>
      </c>
      <c r="AH87" s="138">
        <f t="shared" ca="1" si="105"/>
        <v>0</v>
      </c>
      <c r="AI87" s="138">
        <f t="shared" ca="1" si="105"/>
        <v>0</v>
      </c>
      <c r="AJ87" s="138">
        <f t="shared" ca="1" si="105"/>
        <v>0</v>
      </c>
      <c r="AK87" s="138">
        <f t="shared" ca="1" si="105"/>
        <v>0</v>
      </c>
      <c r="AL87" s="138">
        <f t="shared" ca="1" si="106"/>
        <v>0</v>
      </c>
      <c r="AM87" s="138">
        <f t="shared" ca="1" si="106"/>
        <v>0</v>
      </c>
      <c r="AN87" s="138">
        <f t="shared" ca="1" si="106"/>
        <v>0</v>
      </c>
      <c r="AO87" s="138">
        <f t="shared" ca="1" si="106"/>
        <v>0</v>
      </c>
      <c r="AP87" s="138">
        <f t="shared" ca="1" si="106"/>
        <v>0</v>
      </c>
      <c r="AQ87" s="138">
        <f t="shared" ca="1" si="106"/>
        <v>0</v>
      </c>
      <c r="AR87" s="138">
        <f t="shared" ca="1" si="106"/>
        <v>0</v>
      </c>
      <c r="AS87" s="138">
        <f t="shared" ca="1" si="106"/>
        <v>0</v>
      </c>
      <c r="AT87" s="138">
        <f t="shared" ca="1" si="106"/>
        <v>0</v>
      </c>
      <c r="AU87" s="138">
        <f t="shared" ca="1" si="106"/>
        <v>0</v>
      </c>
      <c r="AV87" s="138">
        <f t="shared" ca="1" si="107"/>
        <v>0</v>
      </c>
      <c r="AW87" s="138">
        <f t="shared" ca="1" si="107"/>
        <v>0</v>
      </c>
      <c r="AX87" s="138">
        <f t="shared" ca="1" si="107"/>
        <v>0</v>
      </c>
      <c r="AY87" s="138">
        <f t="shared" ca="1" si="107"/>
        <v>0</v>
      </c>
      <c r="AZ87" s="138">
        <f t="shared" ca="1" si="107"/>
        <v>0</v>
      </c>
      <c r="BA87" s="138">
        <f t="shared" ca="1" si="107"/>
        <v>0</v>
      </c>
      <c r="BB87" s="138">
        <f t="shared" ca="1" si="107"/>
        <v>0</v>
      </c>
      <c r="BC87" s="138">
        <f t="shared" ca="1" si="107"/>
        <v>0</v>
      </c>
      <c r="BD87" s="138">
        <f t="shared" ca="1" si="107"/>
        <v>0</v>
      </c>
      <c r="BE87" s="138">
        <f t="shared" ca="1" si="107"/>
        <v>0</v>
      </c>
      <c r="BF87" s="138">
        <f t="shared" ca="1" si="108"/>
        <v>0</v>
      </c>
      <c r="BG87" s="138">
        <f t="shared" ca="1" si="108"/>
        <v>0</v>
      </c>
      <c r="BH87" s="138">
        <f t="shared" ca="1" si="108"/>
        <v>0</v>
      </c>
      <c r="BI87" s="138">
        <f t="shared" ca="1" si="108"/>
        <v>0</v>
      </c>
      <c r="BJ87" s="138">
        <f t="shared" ca="1" si="108"/>
        <v>0</v>
      </c>
      <c r="BK87" s="138">
        <f t="shared" ca="1" si="108"/>
        <v>0</v>
      </c>
      <c r="BL87" s="138">
        <f t="shared" ca="1" si="108"/>
        <v>0</v>
      </c>
      <c r="BM87" s="138">
        <f t="shared" ca="1" si="108"/>
        <v>0</v>
      </c>
      <c r="BN87" s="138">
        <f t="shared" ca="1" si="108"/>
        <v>0</v>
      </c>
      <c r="BO87" s="138">
        <f t="shared" ca="1" si="108"/>
        <v>0</v>
      </c>
      <c r="BP87" s="138">
        <f t="shared" ca="1" si="109"/>
        <v>0</v>
      </c>
      <c r="BQ87" s="138">
        <f t="shared" ca="1" si="109"/>
        <v>0</v>
      </c>
      <c r="BR87" s="138">
        <f t="shared" ca="1" si="109"/>
        <v>0</v>
      </c>
      <c r="BS87" s="138">
        <f t="shared" ca="1" si="109"/>
        <v>0</v>
      </c>
      <c r="BT87" s="138">
        <f t="shared" ca="1" si="109"/>
        <v>0</v>
      </c>
      <c r="BU87" s="138">
        <f t="shared" ca="1" si="109"/>
        <v>0</v>
      </c>
      <c r="BV87" s="138">
        <f t="shared" ca="1" si="109"/>
        <v>0</v>
      </c>
      <c r="BW87" s="138">
        <f t="shared" ca="1" si="109"/>
        <v>0</v>
      </c>
      <c r="BX87" s="138">
        <f t="shared" ca="1" si="109"/>
        <v>0</v>
      </c>
      <c r="BY87" s="138">
        <f t="shared" ca="1" si="109"/>
        <v>0</v>
      </c>
      <c r="BZ87" s="138">
        <f t="shared" ca="1" si="110"/>
        <v>0</v>
      </c>
      <c r="CA87" s="138">
        <f t="shared" ca="1" si="110"/>
        <v>0</v>
      </c>
      <c r="CB87" s="138">
        <f t="shared" ca="1" si="110"/>
        <v>0</v>
      </c>
      <c r="CC87" s="138">
        <f t="shared" ca="1" si="110"/>
        <v>0</v>
      </c>
      <c r="CD87" s="138">
        <f t="shared" ca="1" si="110"/>
        <v>0</v>
      </c>
      <c r="CE87" s="138">
        <f t="shared" ca="1" si="110"/>
        <v>0</v>
      </c>
      <c r="CF87" s="138">
        <f t="shared" ca="1" si="110"/>
        <v>0</v>
      </c>
      <c r="CG87" s="138">
        <f t="shared" ca="1" si="110"/>
        <v>0</v>
      </c>
      <c r="CH87" s="138">
        <f t="shared" ca="1" si="110"/>
        <v>0</v>
      </c>
      <c r="CI87" s="138">
        <f t="shared" ca="1" si="110"/>
        <v>0</v>
      </c>
      <c r="CJ87" s="138">
        <f t="shared" ca="1" si="111"/>
        <v>0</v>
      </c>
      <c r="CK87" s="138">
        <f t="shared" ca="1" si="111"/>
        <v>0</v>
      </c>
      <c r="CL87" s="138">
        <f t="shared" ca="1" si="111"/>
        <v>0</v>
      </c>
      <c r="CM87" s="138">
        <f t="shared" ca="1" si="111"/>
        <v>0</v>
      </c>
      <c r="CN87" s="138">
        <f t="shared" ca="1" si="111"/>
        <v>0</v>
      </c>
      <c r="CO87" s="138">
        <f t="shared" ca="1" si="111"/>
        <v>0</v>
      </c>
      <c r="CP87" s="138">
        <f t="shared" ca="1" si="111"/>
        <v>0</v>
      </c>
      <c r="CQ87" s="138">
        <f t="shared" ca="1" si="111"/>
        <v>0</v>
      </c>
      <c r="CR87" s="138">
        <f t="shared" ca="1" si="111"/>
        <v>0</v>
      </c>
      <c r="CS87" s="138">
        <f t="shared" ca="1" si="111"/>
        <v>0</v>
      </c>
      <c r="CT87" s="138">
        <f t="shared" ca="1" si="112"/>
        <v>0</v>
      </c>
      <c r="CU87" s="138">
        <f t="shared" ca="1" si="112"/>
        <v>0</v>
      </c>
      <c r="CV87" s="138">
        <f t="shared" ca="1" si="112"/>
        <v>0</v>
      </c>
      <c r="CW87" s="138">
        <f t="shared" ca="1" si="112"/>
        <v>0</v>
      </c>
      <c r="CX87" s="138">
        <f t="shared" ca="1" si="112"/>
        <v>0</v>
      </c>
      <c r="CY87" s="138">
        <f t="shared" ca="1" si="112"/>
        <v>0</v>
      </c>
      <c r="CZ87" s="138">
        <f t="shared" ca="1" si="112"/>
        <v>0</v>
      </c>
      <c r="DA87" s="138">
        <f t="shared" ca="1" si="112"/>
        <v>0</v>
      </c>
      <c r="DB87" s="138">
        <f t="shared" ca="1" si="112"/>
        <v>0</v>
      </c>
      <c r="DC87" s="138">
        <f t="shared" ca="1" si="112"/>
        <v>0</v>
      </c>
      <c r="DE87" s="254" t="str">
        <f t="shared" ca="1" si="100"/>
        <v>F.9.</v>
      </c>
      <c r="DF87">
        <v>1</v>
      </c>
      <c r="DG87">
        <f t="shared" ca="1" si="113"/>
        <v>21</v>
      </c>
      <c r="DH87">
        <v>0</v>
      </c>
    </row>
    <row r="88" spans="1:112" hidden="1">
      <c r="A88" s="124">
        <v>76</v>
      </c>
      <c r="B88" s="205" t="str">
        <f t="shared" ca="1" si="97"/>
        <v>F.L.</v>
      </c>
      <c r="C88" s="129" t="str">
        <f t="shared" ca="1" si="98"/>
        <v>Likutinė vertė</v>
      </c>
      <c r="D88" s="114"/>
      <c r="E88" s="148">
        <f t="shared" ca="1" si="99"/>
        <v>0.21</v>
      </c>
      <c r="F88" s="139">
        <f ca="1">H88+NPV(FD,I88:INDEX(I88:DC88,PAL))</f>
        <v>0</v>
      </c>
      <c r="G88" s="140">
        <f ca="1">SUMIF($H$5:$DC$5,"&lt;="&amp;PAL,$H88:$DC88)</f>
        <v>0</v>
      </c>
      <c r="H88" s="138">
        <f t="shared" ref="H88:W88" ca="1" si="114">OFFSET(INDIRECT("'"&amp;Opt_alt&amp;"'!H12"),$A88,H$5)</f>
        <v>0</v>
      </c>
      <c r="I88" s="138">
        <f t="shared" ca="1" si="114"/>
        <v>0</v>
      </c>
      <c r="J88" s="138">
        <f t="shared" ca="1" si="114"/>
        <v>0</v>
      </c>
      <c r="K88" s="138">
        <f t="shared" ca="1" si="114"/>
        <v>0</v>
      </c>
      <c r="L88" s="138">
        <f t="shared" ca="1" si="114"/>
        <v>0</v>
      </c>
      <c r="M88" s="138">
        <f t="shared" ca="1" si="114"/>
        <v>0</v>
      </c>
      <c r="N88" s="138">
        <f t="shared" ca="1" si="114"/>
        <v>0</v>
      </c>
      <c r="O88" s="138">
        <f t="shared" ca="1" si="114"/>
        <v>0</v>
      </c>
      <c r="P88" s="138">
        <f t="shared" ca="1" si="114"/>
        <v>0</v>
      </c>
      <c r="Q88" s="138">
        <f t="shared" ca="1" si="114"/>
        <v>0</v>
      </c>
      <c r="R88" s="138">
        <f t="shared" ca="1" si="114"/>
        <v>0</v>
      </c>
      <c r="S88" s="138">
        <f t="shared" ca="1" si="114"/>
        <v>0</v>
      </c>
      <c r="T88" s="138">
        <f t="shared" ca="1" si="114"/>
        <v>0</v>
      </c>
      <c r="U88" s="138">
        <f t="shared" ca="1" si="114"/>
        <v>0</v>
      </c>
      <c r="V88" s="138">
        <f t="shared" ca="1" si="114"/>
        <v>0</v>
      </c>
      <c r="W88" s="138">
        <f t="shared" ca="1" si="114"/>
        <v>0</v>
      </c>
      <c r="X88" s="138">
        <f t="shared" ref="X88:CI88" ca="1" si="115">OFFSET(INDIRECT("'"&amp;Opt_alt&amp;"'!H12"),$A88,X$5)</f>
        <v>0</v>
      </c>
      <c r="Y88" s="138">
        <f t="shared" ca="1" si="115"/>
        <v>0</v>
      </c>
      <c r="Z88" s="138">
        <f t="shared" ca="1" si="115"/>
        <v>0</v>
      </c>
      <c r="AA88" s="138">
        <f t="shared" ca="1" si="115"/>
        <v>0</v>
      </c>
      <c r="AB88" s="138">
        <f t="shared" ca="1" si="115"/>
        <v>0</v>
      </c>
      <c r="AC88" s="138">
        <f t="shared" ca="1" si="115"/>
        <v>0</v>
      </c>
      <c r="AD88" s="138">
        <f t="shared" ca="1" si="115"/>
        <v>0</v>
      </c>
      <c r="AE88" s="138">
        <f t="shared" ca="1" si="115"/>
        <v>0</v>
      </c>
      <c r="AF88" s="138">
        <f t="shared" ca="1" si="115"/>
        <v>0</v>
      </c>
      <c r="AG88" s="138">
        <f t="shared" ca="1" si="115"/>
        <v>0</v>
      </c>
      <c r="AH88" s="138">
        <f t="shared" ca="1" si="115"/>
        <v>0</v>
      </c>
      <c r="AI88" s="138">
        <f t="shared" ca="1" si="115"/>
        <v>0</v>
      </c>
      <c r="AJ88" s="138">
        <f t="shared" ca="1" si="115"/>
        <v>0</v>
      </c>
      <c r="AK88" s="138">
        <f t="shared" ca="1" si="115"/>
        <v>0</v>
      </c>
      <c r="AL88" s="138">
        <f t="shared" ca="1" si="115"/>
        <v>0</v>
      </c>
      <c r="AM88" s="138">
        <f t="shared" ca="1" si="115"/>
        <v>0</v>
      </c>
      <c r="AN88" s="138">
        <f t="shared" ca="1" si="115"/>
        <v>0</v>
      </c>
      <c r="AO88" s="138">
        <f t="shared" ca="1" si="115"/>
        <v>0</v>
      </c>
      <c r="AP88" s="138">
        <f t="shared" ca="1" si="115"/>
        <v>0</v>
      </c>
      <c r="AQ88" s="138">
        <f t="shared" ca="1" si="115"/>
        <v>0</v>
      </c>
      <c r="AR88" s="138">
        <f t="shared" ca="1" si="115"/>
        <v>0</v>
      </c>
      <c r="AS88" s="138">
        <f t="shared" ca="1" si="115"/>
        <v>0</v>
      </c>
      <c r="AT88" s="138">
        <f t="shared" ca="1" si="115"/>
        <v>0</v>
      </c>
      <c r="AU88" s="138">
        <f t="shared" ca="1" si="115"/>
        <v>0</v>
      </c>
      <c r="AV88" s="138">
        <f t="shared" ca="1" si="115"/>
        <v>0</v>
      </c>
      <c r="AW88" s="138">
        <f t="shared" ca="1" si="115"/>
        <v>0</v>
      </c>
      <c r="AX88" s="138">
        <f t="shared" ca="1" si="115"/>
        <v>0</v>
      </c>
      <c r="AY88" s="138">
        <f t="shared" ca="1" si="115"/>
        <v>0</v>
      </c>
      <c r="AZ88" s="138">
        <f t="shared" ca="1" si="115"/>
        <v>0</v>
      </c>
      <c r="BA88" s="138">
        <f t="shared" ca="1" si="115"/>
        <v>0</v>
      </c>
      <c r="BB88" s="138">
        <f t="shared" ca="1" si="115"/>
        <v>0</v>
      </c>
      <c r="BC88" s="138">
        <f t="shared" ca="1" si="115"/>
        <v>0</v>
      </c>
      <c r="BD88" s="138">
        <f t="shared" ca="1" si="115"/>
        <v>0</v>
      </c>
      <c r="BE88" s="138">
        <f t="shared" ca="1" si="115"/>
        <v>0</v>
      </c>
      <c r="BF88" s="138">
        <f t="shared" ca="1" si="115"/>
        <v>0</v>
      </c>
      <c r="BG88" s="138">
        <f t="shared" ca="1" si="115"/>
        <v>0</v>
      </c>
      <c r="BH88" s="138">
        <f t="shared" ca="1" si="115"/>
        <v>0</v>
      </c>
      <c r="BI88" s="138">
        <f t="shared" ca="1" si="115"/>
        <v>0</v>
      </c>
      <c r="BJ88" s="138">
        <f t="shared" ca="1" si="115"/>
        <v>0</v>
      </c>
      <c r="BK88" s="138">
        <f t="shared" ca="1" si="115"/>
        <v>0</v>
      </c>
      <c r="BL88" s="138">
        <f t="shared" ca="1" si="115"/>
        <v>0</v>
      </c>
      <c r="BM88" s="138">
        <f t="shared" ca="1" si="115"/>
        <v>0</v>
      </c>
      <c r="BN88" s="138">
        <f t="shared" ca="1" si="115"/>
        <v>0</v>
      </c>
      <c r="BO88" s="138">
        <f t="shared" ca="1" si="115"/>
        <v>0</v>
      </c>
      <c r="BP88" s="138">
        <f t="shared" ca="1" si="115"/>
        <v>0</v>
      </c>
      <c r="BQ88" s="138">
        <f t="shared" ca="1" si="115"/>
        <v>0</v>
      </c>
      <c r="BR88" s="138">
        <f t="shared" ca="1" si="115"/>
        <v>0</v>
      </c>
      <c r="BS88" s="138">
        <f t="shared" ca="1" si="115"/>
        <v>0</v>
      </c>
      <c r="BT88" s="138">
        <f t="shared" ca="1" si="115"/>
        <v>0</v>
      </c>
      <c r="BU88" s="138">
        <f t="shared" ca="1" si="115"/>
        <v>0</v>
      </c>
      <c r="BV88" s="138">
        <f t="shared" ca="1" si="115"/>
        <v>0</v>
      </c>
      <c r="BW88" s="138">
        <f t="shared" ca="1" si="115"/>
        <v>0</v>
      </c>
      <c r="BX88" s="138">
        <f t="shared" ca="1" si="115"/>
        <v>0</v>
      </c>
      <c r="BY88" s="138">
        <f t="shared" ca="1" si="115"/>
        <v>0</v>
      </c>
      <c r="BZ88" s="138">
        <f t="shared" ca="1" si="115"/>
        <v>0</v>
      </c>
      <c r="CA88" s="138">
        <f t="shared" ca="1" si="115"/>
        <v>0</v>
      </c>
      <c r="CB88" s="138">
        <f t="shared" ca="1" si="115"/>
        <v>0</v>
      </c>
      <c r="CC88" s="138">
        <f t="shared" ca="1" si="115"/>
        <v>0</v>
      </c>
      <c r="CD88" s="138">
        <f t="shared" ca="1" si="115"/>
        <v>0</v>
      </c>
      <c r="CE88" s="138">
        <f t="shared" ca="1" si="115"/>
        <v>0</v>
      </c>
      <c r="CF88" s="138">
        <f t="shared" ca="1" si="115"/>
        <v>0</v>
      </c>
      <c r="CG88" s="138">
        <f t="shared" ca="1" si="115"/>
        <v>0</v>
      </c>
      <c r="CH88" s="138">
        <f t="shared" ca="1" si="115"/>
        <v>0</v>
      </c>
      <c r="CI88" s="138">
        <f t="shared" ca="1" si="115"/>
        <v>0</v>
      </c>
      <c r="CJ88" s="138">
        <f t="shared" ref="CJ88:DC88" ca="1" si="116">OFFSET(INDIRECT("'"&amp;Opt_alt&amp;"'!H12"),$A88,CJ$5)</f>
        <v>0</v>
      </c>
      <c r="CK88" s="138">
        <f t="shared" ca="1" si="116"/>
        <v>0</v>
      </c>
      <c r="CL88" s="138">
        <f t="shared" ca="1" si="116"/>
        <v>0</v>
      </c>
      <c r="CM88" s="138">
        <f t="shared" ca="1" si="116"/>
        <v>0</v>
      </c>
      <c r="CN88" s="138">
        <f t="shared" ca="1" si="116"/>
        <v>0</v>
      </c>
      <c r="CO88" s="138">
        <f t="shared" ca="1" si="116"/>
        <v>0</v>
      </c>
      <c r="CP88" s="138">
        <f t="shared" ca="1" si="116"/>
        <v>0</v>
      </c>
      <c r="CQ88" s="138">
        <f t="shared" ca="1" si="116"/>
        <v>0</v>
      </c>
      <c r="CR88" s="138">
        <f t="shared" ca="1" si="116"/>
        <v>0</v>
      </c>
      <c r="CS88" s="138">
        <f t="shared" ca="1" si="116"/>
        <v>0</v>
      </c>
      <c r="CT88" s="138">
        <f t="shared" ca="1" si="116"/>
        <v>0</v>
      </c>
      <c r="CU88" s="138">
        <f t="shared" ca="1" si="116"/>
        <v>0</v>
      </c>
      <c r="CV88" s="138">
        <f t="shared" ca="1" si="116"/>
        <v>0</v>
      </c>
      <c r="CW88" s="138">
        <f t="shared" ca="1" si="116"/>
        <v>0</v>
      </c>
      <c r="CX88" s="138">
        <f t="shared" ca="1" si="116"/>
        <v>0</v>
      </c>
      <c r="CY88" s="138">
        <f t="shared" ca="1" si="116"/>
        <v>0</v>
      </c>
      <c r="CZ88" s="138">
        <f t="shared" ca="1" si="116"/>
        <v>0</v>
      </c>
      <c r="DA88" s="138">
        <f t="shared" ca="1" si="116"/>
        <v>0</v>
      </c>
      <c r="DB88" s="138">
        <f t="shared" ca="1" si="116"/>
        <v>0</v>
      </c>
      <c r="DC88" s="138">
        <f t="shared" ca="1" si="116"/>
        <v>0</v>
      </c>
      <c r="DE88" s="254" t="str">
        <f t="shared" ca="1" si="100"/>
        <v>F.L.</v>
      </c>
      <c r="DF88">
        <v>1</v>
      </c>
      <c r="DG88">
        <f t="shared" ca="1" si="113"/>
        <v>21</v>
      </c>
      <c r="DH88">
        <f ca="1">DG88/(100+DG88)</f>
        <v>0.17355371900826447</v>
      </c>
    </row>
    <row r="89" spans="1:112" hidden="1">
      <c r="A89" s="124">
        <v>77</v>
      </c>
      <c r="B89" s="205" t="str">
        <f t="shared" ca="1" si="97"/>
        <v>G.</v>
      </c>
      <c r="C89" s="197" t="str">
        <f t="shared" ca="1" si="98"/>
        <v>VEIKLOS IR PALAIKYMO (ATNAUJINIMO) SĄNAUDOS, IŠ VISO</v>
      </c>
      <c r="D89" s="18"/>
      <c r="E89" s="233" t="str">
        <f t="shared" ca="1" si="99"/>
        <v/>
      </c>
      <c r="F89" s="141">
        <f ca="1">SUM(F90:F99)</f>
        <v>125466906.89955845</v>
      </c>
      <c r="G89" s="143">
        <f ca="1">SUM(G90:G99)</f>
        <v>191640865.77715254</v>
      </c>
      <c r="H89" s="234">
        <f ca="1">SUM(H90:H99)</f>
        <v>0</v>
      </c>
      <c r="I89" s="234">
        <f t="shared" ref="I89:BT89" ca="1" si="117">SUM(I90:I99)</f>
        <v>1632000</v>
      </c>
      <c r="J89" s="234">
        <f t="shared" ca="1" si="117"/>
        <v>4418628.6675319998</v>
      </c>
      <c r="K89" s="234">
        <f t="shared" ca="1" si="117"/>
        <v>6899390.9378861338</v>
      </c>
      <c r="L89" s="234">
        <f t="shared" ca="1" si="117"/>
        <v>10507520.3630432</v>
      </c>
      <c r="M89" s="234">
        <f t="shared" ca="1" si="117"/>
        <v>10507520.3630432</v>
      </c>
      <c r="N89" s="234">
        <f t="shared" ca="1" si="117"/>
        <v>10507520.3630432</v>
      </c>
      <c r="O89" s="234">
        <f t="shared" ca="1" si="117"/>
        <v>10512020.3630432</v>
      </c>
      <c r="P89" s="234">
        <f t="shared" ca="1" si="117"/>
        <v>10512020.3630432</v>
      </c>
      <c r="Q89" s="234">
        <f t="shared" ca="1" si="117"/>
        <v>10512020.3630432</v>
      </c>
      <c r="R89" s="234">
        <f t="shared" ca="1" si="117"/>
        <v>10512020.3630432</v>
      </c>
      <c r="S89" s="234">
        <f t="shared" ca="1" si="117"/>
        <v>10512020.3630432</v>
      </c>
      <c r="T89" s="234">
        <f t="shared" ca="1" si="117"/>
        <v>10512020.3630432</v>
      </c>
      <c r="U89" s="234">
        <f t="shared" ca="1" si="117"/>
        <v>10512020.3630432</v>
      </c>
      <c r="V89" s="234">
        <f t="shared" ca="1" si="117"/>
        <v>10512020.3630432</v>
      </c>
      <c r="W89" s="234">
        <f t="shared" ca="1" si="117"/>
        <v>10512020.3630432</v>
      </c>
      <c r="X89" s="234">
        <f t="shared" ca="1" si="117"/>
        <v>10512020.3630432</v>
      </c>
      <c r="Y89" s="234">
        <f t="shared" ca="1" si="117"/>
        <v>10512020.3630432</v>
      </c>
      <c r="Z89" s="234">
        <f t="shared" ca="1" si="117"/>
        <v>10512020.3630432</v>
      </c>
      <c r="AA89" s="234">
        <f t="shared" ca="1" si="117"/>
        <v>10512020.3630432</v>
      </c>
      <c r="AB89" s="234">
        <f t="shared" ca="1" si="117"/>
        <v>10512020.3630432</v>
      </c>
      <c r="AC89" s="234">
        <f t="shared" ca="1" si="117"/>
        <v>2351431.8160736002</v>
      </c>
      <c r="AD89" s="234">
        <f t="shared" ca="1" si="117"/>
        <v>2351431.8160736002</v>
      </c>
      <c r="AE89" s="234">
        <f t="shared" ca="1" si="117"/>
        <v>2351431.8160736002</v>
      </c>
      <c r="AF89" s="234">
        <f t="shared" ca="1" si="117"/>
        <v>2351431.8160736002</v>
      </c>
      <c r="AG89" s="234">
        <f t="shared" ca="1" si="117"/>
        <v>2351431.8160736002</v>
      </c>
      <c r="AH89" s="234">
        <f t="shared" ca="1" si="117"/>
        <v>2351431.8160736002</v>
      </c>
      <c r="AI89" s="234">
        <f t="shared" ca="1" si="117"/>
        <v>2351431.8160736002</v>
      </c>
      <c r="AJ89" s="234">
        <f t="shared" ca="1" si="117"/>
        <v>2351431.8160736002</v>
      </c>
      <c r="AK89" s="234">
        <f t="shared" ca="1" si="117"/>
        <v>2351431.8160736002</v>
      </c>
      <c r="AL89" s="234">
        <f t="shared" ca="1" si="117"/>
        <v>2351431.8160736002</v>
      </c>
      <c r="AM89" s="234">
        <f t="shared" ca="1" si="117"/>
        <v>2351431.8160736002</v>
      </c>
      <c r="AN89" s="234">
        <f t="shared" ca="1" si="117"/>
        <v>2351431.8160736002</v>
      </c>
      <c r="AO89" s="234">
        <f t="shared" ca="1" si="117"/>
        <v>2351431.8160736002</v>
      </c>
      <c r="AP89" s="234">
        <f t="shared" ca="1" si="117"/>
        <v>2351431.8160736002</v>
      </c>
      <c r="AQ89" s="234">
        <f t="shared" ca="1" si="117"/>
        <v>2351431.8160736002</v>
      </c>
      <c r="AR89" s="234">
        <f t="shared" ca="1" si="117"/>
        <v>2351431.8160736002</v>
      </c>
      <c r="AS89" s="234">
        <f t="shared" ca="1" si="117"/>
        <v>2351431.8160736002</v>
      </c>
      <c r="AT89" s="234">
        <f t="shared" ca="1" si="117"/>
        <v>2351431.8160736002</v>
      </c>
      <c r="AU89" s="234">
        <f t="shared" ca="1" si="117"/>
        <v>2351431.8160736002</v>
      </c>
      <c r="AV89" s="234">
        <f t="shared" ca="1" si="117"/>
        <v>2351431.8160736002</v>
      </c>
      <c r="AW89" s="234">
        <f t="shared" ca="1" si="117"/>
        <v>2351431.8160736002</v>
      </c>
      <c r="AX89" s="234">
        <f t="shared" ca="1" si="117"/>
        <v>2351431.8160736002</v>
      </c>
      <c r="AY89" s="234">
        <f t="shared" ca="1" si="117"/>
        <v>2351431.8160736002</v>
      </c>
      <c r="AZ89" s="234">
        <f t="shared" ca="1" si="117"/>
        <v>2351431.8160736002</v>
      </c>
      <c r="BA89" s="234">
        <f t="shared" ca="1" si="117"/>
        <v>2351431.8160736002</v>
      </c>
      <c r="BB89" s="234">
        <f t="shared" ca="1" si="117"/>
        <v>2351431.8160736002</v>
      </c>
      <c r="BC89" s="234">
        <f t="shared" ca="1" si="117"/>
        <v>2351431.8160736002</v>
      </c>
      <c r="BD89" s="234">
        <f t="shared" ca="1" si="117"/>
        <v>2351431.8160736002</v>
      </c>
      <c r="BE89" s="234">
        <f t="shared" ca="1" si="117"/>
        <v>2351431.8160736002</v>
      </c>
      <c r="BF89" s="234">
        <f t="shared" ca="1" si="117"/>
        <v>2351431.8160736002</v>
      </c>
      <c r="BG89" s="234">
        <f t="shared" ca="1" si="117"/>
        <v>2351431.8160736002</v>
      </c>
      <c r="BH89" s="234">
        <f t="shared" ca="1" si="117"/>
        <v>2351431.8160736002</v>
      </c>
      <c r="BI89" s="234">
        <f t="shared" ca="1" si="117"/>
        <v>2351431.8160736002</v>
      </c>
      <c r="BJ89" s="234">
        <f t="shared" ca="1" si="117"/>
        <v>2351431.8160736002</v>
      </c>
      <c r="BK89" s="234">
        <f t="shared" ca="1" si="117"/>
        <v>2351431.8160736002</v>
      </c>
      <c r="BL89" s="234">
        <f t="shared" ca="1" si="117"/>
        <v>2351431.8160736002</v>
      </c>
      <c r="BM89" s="234">
        <f t="shared" ca="1" si="117"/>
        <v>2351431.8160736002</v>
      </c>
      <c r="BN89" s="234">
        <f t="shared" ca="1" si="117"/>
        <v>2351431.8160736002</v>
      </c>
      <c r="BO89" s="234">
        <f t="shared" ca="1" si="117"/>
        <v>2351431.8160736002</v>
      </c>
      <c r="BP89" s="234">
        <f t="shared" ca="1" si="117"/>
        <v>2351431.8160736002</v>
      </c>
      <c r="BQ89" s="234">
        <f t="shared" ca="1" si="117"/>
        <v>2351431.8160736002</v>
      </c>
      <c r="BR89" s="234">
        <f t="shared" ca="1" si="117"/>
        <v>2351431.8160736002</v>
      </c>
      <c r="BS89" s="234">
        <f t="shared" ca="1" si="117"/>
        <v>2351431.8160736002</v>
      </c>
      <c r="BT89" s="234">
        <f t="shared" ca="1" si="117"/>
        <v>2351431.8160736002</v>
      </c>
      <c r="BU89" s="234">
        <f t="shared" ref="BU89:DC89" ca="1" si="118">SUM(BU90:BU99)</f>
        <v>2351431.8160736002</v>
      </c>
      <c r="BV89" s="234">
        <f t="shared" ca="1" si="118"/>
        <v>2351431.8160736002</v>
      </c>
      <c r="BW89" s="234">
        <f t="shared" ca="1" si="118"/>
        <v>2351431.8160736002</v>
      </c>
      <c r="BX89" s="234">
        <f t="shared" ca="1" si="118"/>
        <v>2351431.8160736002</v>
      </c>
      <c r="BY89" s="234">
        <f t="shared" ca="1" si="118"/>
        <v>2351431.8160736002</v>
      </c>
      <c r="BZ89" s="234">
        <f t="shared" ca="1" si="118"/>
        <v>2351431.8160736002</v>
      </c>
      <c r="CA89" s="234">
        <f t="shared" ca="1" si="118"/>
        <v>2351431.8160736002</v>
      </c>
      <c r="CB89" s="234">
        <f t="shared" ca="1" si="118"/>
        <v>2351431.8160736002</v>
      </c>
      <c r="CC89" s="234">
        <f t="shared" ca="1" si="118"/>
        <v>2351431.8160736002</v>
      </c>
      <c r="CD89" s="234">
        <f t="shared" ca="1" si="118"/>
        <v>2351431.8160736002</v>
      </c>
      <c r="CE89" s="234">
        <f t="shared" ca="1" si="118"/>
        <v>2351431.8160736002</v>
      </c>
      <c r="CF89" s="234">
        <f t="shared" ca="1" si="118"/>
        <v>2351431.8160736002</v>
      </c>
      <c r="CG89" s="234">
        <f t="shared" ca="1" si="118"/>
        <v>2351431.8160736002</v>
      </c>
      <c r="CH89" s="234">
        <f t="shared" ca="1" si="118"/>
        <v>2351431.8160736002</v>
      </c>
      <c r="CI89" s="234">
        <f t="shared" ca="1" si="118"/>
        <v>2351431.8160736002</v>
      </c>
      <c r="CJ89" s="234">
        <f t="shared" ca="1" si="118"/>
        <v>2351431.8160736002</v>
      </c>
      <c r="CK89" s="234">
        <f t="shared" ca="1" si="118"/>
        <v>2351431.8160736002</v>
      </c>
      <c r="CL89" s="234">
        <f t="shared" ca="1" si="118"/>
        <v>2351431.8160736002</v>
      </c>
      <c r="CM89" s="234">
        <f t="shared" ca="1" si="118"/>
        <v>2351431.8160736002</v>
      </c>
      <c r="CN89" s="234">
        <f t="shared" ca="1" si="118"/>
        <v>2351431.8160736002</v>
      </c>
      <c r="CO89" s="234">
        <f t="shared" ca="1" si="118"/>
        <v>2351431.8160736002</v>
      </c>
      <c r="CP89" s="234">
        <f t="shared" ca="1" si="118"/>
        <v>2351431.8160736002</v>
      </c>
      <c r="CQ89" s="234">
        <f t="shared" ca="1" si="118"/>
        <v>2351431.8160736002</v>
      </c>
      <c r="CR89" s="234">
        <f t="shared" ca="1" si="118"/>
        <v>2351431.8160736002</v>
      </c>
      <c r="CS89" s="234">
        <f t="shared" ca="1" si="118"/>
        <v>2351431.8160736002</v>
      </c>
      <c r="CT89" s="234">
        <f t="shared" ca="1" si="118"/>
        <v>2351431.8160736002</v>
      </c>
      <c r="CU89" s="234">
        <f t="shared" ca="1" si="118"/>
        <v>2351431.8160736002</v>
      </c>
      <c r="CV89" s="234">
        <f t="shared" ca="1" si="118"/>
        <v>2351431.8160736002</v>
      </c>
      <c r="CW89" s="234">
        <f t="shared" ca="1" si="118"/>
        <v>2351431.8160736002</v>
      </c>
      <c r="CX89" s="234">
        <f t="shared" ca="1" si="118"/>
        <v>2351431.8160736002</v>
      </c>
      <c r="CY89" s="234">
        <f t="shared" ca="1" si="118"/>
        <v>2351431.8160736002</v>
      </c>
      <c r="CZ89" s="234">
        <f t="shared" ca="1" si="118"/>
        <v>2351431.8160736002</v>
      </c>
      <c r="DA89" s="234">
        <f t="shared" ca="1" si="118"/>
        <v>2351431.8160736002</v>
      </c>
      <c r="DB89" s="234">
        <f t="shared" ca="1" si="118"/>
        <v>2351431.8160736002</v>
      </c>
      <c r="DC89" s="234">
        <f t="shared" ca="1" si="118"/>
        <v>2351431.8160736002</v>
      </c>
      <c r="DE89" s="254"/>
      <c r="DF89">
        <v>1</v>
      </c>
    </row>
    <row r="90" spans="1:112" hidden="1">
      <c r="A90" s="124">
        <v>78</v>
      </c>
      <c r="B90" s="205" t="str">
        <f t="shared" ca="1" si="97"/>
        <v>G.1.</v>
      </c>
      <c r="C90" s="129" t="str">
        <f t="shared" ca="1" si="98"/>
        <v>Ekonominės diplomatijos funkcijų stiprinimas</v>
      </c>
      <c r="D90" s="114"/>
      <c r="E90" s="148">
        <f t="shared" ca="1" si="99"/>
        <v>0</v>
      </c>
      <c r="F90" s="139">
        <f ca="1">H90+NPV(FD,I90:INDEX(I90:DC90,PAL))</f>
        <v>24145558.859936103</v>
      </c>
      <c r="G90" s="140">
        <f ca="1">SUMIF($H$5:$DC$5,"&lt;="&amp;PAL,$H90:$DC90)</f>
        <v>37346779.051397339</v>
      </c>
      <c r="H90" s="138">
        <f t="shared" ref="H90:Q99" ca="1" si="119">OFFSET(INDIRECT("'"&amp;Opt_alt&amp;"'!H12"),$A90,H$5)*$DF90</f>
        <v>0</v>
      </c>
      <c r="I90" s="138">
        <f t="shared" ca="1" si="119"/>
        <v>0</v>
      </c>
      <c r="J90" s="138">
        <f t="shared" ca="1" si="119"/>
        <v>186128.66753199999</v>
      </c>
      <c r="K90" s="138">
        <f t="shared" ca="1" si="119"/>
        <v>1314156.3272221333</v>
      </c>
      <c r="L90" s="138">
        <f t="shared" ca="1" si="119"/>
        <v>2108617.2974496004</v>
      </c>
      <c r="M90" s="138">
        <f t="shared" ca="1" si="119"/>
        <v>2108617.2974496004</v>
      </c>
      <c r="N90" s="138">
        <f t="shared" ca="1" si="119"/>
        <v>2108617.2974496004</v>
      </c>
      <c r="O90" s="138">
        <f t="shared" ca="1" si="119"/>
        <v>2108617.2974496004</v>
      </c>
      <c r="P90" s="138">
        <f t="shared" ca="1" si="119"/>
        <v>2108617.2974496004</v>
      </c>
      <c r="Q90" s="138">
        <f t="shared" ca="1" si="119"/>
        <v>2108617.2974496004</v>
      </c>
      <c r="R90" s="138">
        <f t="shared" ref="R90:AA99" ca="1" si="120">OFFSET(INDIRECT("'"&amp;Opt_alt&amp;"'!H12"),$A90,R$5)*$DF90</f>
        <v>2108617.2974496004</v>
      </c>
      <c r="S90" s="138">
        <f t="shared" ca="1" si="120"/>
        <v>2108617.2974496004</v>
      </c>
      <c r="T90" s="138">
        <f t="shared" ca="1" si="120"/>
        <v>2108617.2974496004</v>
      </c>
      <c r="U90" s="138">
        <f t="shared" ca="1" si="120"/>
        <v>2108617.2974496004</v>
      </c>
      <c r="V90" s="138">
        <f t="shared" ca="1" si="120"/>
        <v>2108617.2974496004</v>
      </c>
      <c r="W90" s="138">
        <f t="shared" ca="1" si="120"/>
        <v>2108617.2974496004</v>
      </c>
      <c r="X90" s="138">
        <f t="shared" ca="1" si="120"/>
        <v>2108617.2974496004</v>
      </c>
      <c r="Y90" s="138">
        <f t="shared" ca="1" si="120"/>
        <v>2108617.2974496004</v>
      </c>
      <c r="Z90" s="138">
        <f t="shared" ca="1" si="120"/>
        <v>2108617.2974496004</v>
      </c>
      <c r="AA90" s="138">
        <f t="shared" ca="1" si="120"/>
        <v>2108617.2974496004</v>
      </c>
      <c r="AB90" s="138">
        <f t="shared" ref="AB90:AK99" ca="1" si="121">OFFSET(INDIRECT("'"&amp;Opt_alt&amp;"'!H12"),$A90,AB$5)*$DF90</f>
        <v>2108617.2974496004</v>
      </c>
      <c r="AC90" s="138">
        <f t="shared" ca="1" si="121"/>
        <v>881431.81607360009</v>
      </c>
      <c r="AD90" s="138">
        <f t="shared" ca="1" si="121"/>
        <v>881431.81607360009</v>
      </c>
      <c r="AE90" s="138">
        <f t="shared" ca="1" si="121"/>
        <v>881431.81607360009</v>
      </c>
      <c r="AF90" s="138">
        <f t="shared" ca="1" si="121"/>
        <v>881431.81607360009</v>
      </c>
      <c r="AG90" s="138">
        <f t="shared" ca="1" si="121"/>
        <v>881431.81607360009</v>
      </c>
      <c r="AH90" s="138">
        <f t="shared" ca="1" si="121"/>
        <v>881431.81607360009</v>
      </c>
      <c r="AI90" s="138">
        <f t="shared" ca="1" si="121"/>
        <v>881431.81607360009</v>
      </c>
      <c r="AJ90" s="138">
        <f t="shared" ca="1" si="121"/>
        <v>881431.81607360009</v>
      </c>
      <c r="AK90" s="138">
        <f t="shared" ca="1" si="121"/>
        <v>881431.81607360009</v>
      </c>
      <c r="AL90" s="138">
        <f t="shared" ref="AL90:AU99" ca="1" si="122">OFFSET(INDIRECT("'"&amp;Opt_alt&amp;"'!H12"),$A90,AL$5)*$DF90</f>
        <v>881431.81607360009</v>
      </c>
      <c r="AM90" s="138">
        <f t="shared" ca="1" si="122"/>
        <v>881431.81607360009</v>
      </c>
      <c r="AN90" s="138">
        <f t="shared" ca="1" si="122"/>
        <v>881431.81607360009</v>
      </c>
      <c r="AO90" s="138">
        <f t="shared" ca="1" si="122"/>
        <v>881431.81607360009</v>
      </c>
      <c r="AP90" s="138">
        <f t="shared" ca="1" si="122"/>
        <v>881431.81607360009</v>
      </c>
      <c r="AQ90" s="138">
        <f t="shared" ca="1" si="122"/>
        <v>881431.81607360009</v>
      </c>
      <c r="AR90" s="138">
        <f t="shared" ca="1" si="122"/>
        <v>881431.81607360009</v>
      </c>
      <c r="AS90" s="138">
        <f t="shared" ca="1" si="122"/>
        <v>881431.81607360009</v>
      </c>
      <c r="AT90" s="138">
        <f t="shared" ca="1" si="122"/>
        <v>881431.81607360009</v>
      </c>
      <c r="AU90" s="138">
        <f t="shared" ca="1" si="122"/>
        <v>881431.81607360009</v>
      </c>
      <c r="AV90" s="138">
        <f t="shared" ref="AV90:BE99" ca="1" si="123">OFFSET(INDIRECT("'"&amp;Opt_alt&amp;"'!H12"),$A90,AV$5)*$DF90</f>
        <v>881431.81607360009</v>
      </c>
      <c r="AW90" s="138">
        <f t="shared" ca="1" si="123"/>
        <v>881431.81607360009</v>
      </c>
      <c r="AX90" s="138">
        <f t="shared" ca="1" si="123"/>
        <v>881431.81607360009</v>
      </c>
      <c r="AY90" s="138">
        <f t="shared" ca="1" si="123"/>
        <v>881431.81607360009</v>
      </c>
      <c r="AZ90" s="138">
        <f t="shared" ca="1" si="123"/>
        <v>881431.81607360009</v>
      </c>
      <c r="BA90" s="138">
        <f t="shared" ca="1" si="123"/>
        <v>881431.81607360009</v>
      </c>
      <c r="BB90" s="138">
        <f t="shared" ca="1" si="123"/>
        <v>881431.81607360009</v>
      </c>
      <c r="BC90" s="138">
        <f t="shared" ca="1" si="123"/>
        <v>881431.81607360009</v>
      </c>
      <c r="BD90" s="138">
        <f t="shared" ca="1" si="123"/>
        <v>881431.81607360009</v>
      </c>
      <c r="BE90" s="138">
        <f t="shared" ca="1" si="123"/>
        <v>881431.81607360009</v>
      </c>
      <c r="BF90" s="138">
        <f t="shared" ref="BF90:BO99" ca="1" si="124">OFFSET(INDIRECT("'"&amp;Opt_alt&amp;"'!H12"),$A90,BF$5)*$DF90</f>
        <v>881431.81607360009</v>
      </c>
      <c r="BG90" s="138">
        <f t="shared" ca="1" si="124"/>
        <v>881431.81607360009</v>
      </c>
      <c r="BH90" s="138">
        <f t="shared" ca="1" si="124"/>
        <v>881431.81607360009</v>
      </c>
      <c r="BI90" s="138">
        <f t="shared" ca="1" si="124"/>
        <v>881431.81607360009</v>
      </c>
      <c r="BJ90" s="138">
        <f t="shared" ca="1" si="124"/>
        <v>881431.81607360009</v>
      </c>
      <c r="BK90" s="138">
        <f t="shared" ca="1" si="124"/>
        <v>881431.81607360009</v>
      </c>
      <c r="BL90" s="138">
        <f t="shared" ca="1" si="124"/>
        <v>881431.81607360009</v>
      </c>
      <c r="BM90" s="138">
        <f t="shared" ca="1" si="124"/>
        <v>881431.81607360009</v>
      </c>
      <c r="BN90" s="138">
        <f t="shared" ca="1" si="124"/>
        <v>881431.81607360009</v>
      </c>
      <c r="BO90" s="138">
        <f t="shared" ca="1" si="124"/>
        <v>881431.81607360009</v>
      </c>
      <c r="BP90" s="138">
        <f t="shared" ref="BP90:BY99" ca="1" si="125">OFFSET(INDIRECT("'"&amp;Opt_alt&amp;"'!H12"),$A90,BP$5)*$DF90</f>
        <v>881431.81607360009</v>
      </c>
      <c r="BQ90" s="138">
        <f t="shared" ca="1" si="125"/>
        <v>881431.81607360009</v>
      </c>
      <c r="BR90" s="138">
        <f t="shared" ca="1" si="125"/>
        <v>881431.81607360009</v>
      </c>
      <c r="BS90" s="138">
        <f t="shared" ca="1" si="125"/>
        <v>881431.81607360009</v>
      </c>
      <c r="BT90" s="138">
        <f t="shared" ca="1" si="125"/>
        <v>881431.81607360009</v>
      </c>
      <c r="BU90" s="138">
        <f t="shared" ca="1" si="125"/>
        <v>881431.81607360009</v>
      </c>
      <c r="BV90" s="138">
        <f t="shared" ca="1" si="125"/>
        <v>881431.81607360009</v>
      </c>
      <c r="BW90" s="138">
        <f t="shared" ca="1" si="125"/>
        <v>881431.81607360009</v>
      </c>
      <c r="BX90" s="138">
        <f t="shared" ca="1" si="125"/>
        <v>881431.81607360009</v>
      </c>
      <c r="BY90" s="138">
        <f t="shared" ca="1" si="125"/>
        <v>881431.81607360009</v>
      </c>
      <c r="BZ90" s="138">
        <f t="shared" ref="BZ90:CI99" ca="1" si="126">OFFSET(INDIRECT("'"&amp;Opt_alt&amp;"'!H12"),$A90,BZ$5)*$DF90</f>
        <v>881431.81607360009</v>
      </c>
      <c r="CA90" s="138">
        <f t="shared" ca="1" si="126"/>
        <v>881431.81607360009</v>
      </c>
      <c r="CB90" s="138">
        <f t="shared" ca="1" si="126"/>
        <v>881431.81607360009</v>
      </c>
      <c r="CC90" s="138">
        <f t="shared" ca="1" si="126"/>
        <v>881431.81607360009</v>
      </c>
      <c r="CD90" s="138">
        <f t="shared" ca="1" si="126"/>
        <v>881431.81607360009</v>
      </c>
      <c r="CE90" s="138">
        <f t="shared" ca="1" si="126"/>
        <v>881431.81607360009</v>
      </c>
      <c r="CF90" s="138">
        <f t="shared" ca="1" si="126"/>
        <v>881431.81607360009</v>
      </c>
      <c r="CG90" s="138">
        <f t="shared" ca="1" si="126"/>
        <v>881431.81607360009</v>
      </c>
      <c r="CH90" s="138">
        <f t="shared" ca="1" si="126"/>
        <v>881431.81607360009</v>
      </c>
      <c r="CI90" s="138">
        <f t="shared" ca="1" si="126"/>
        <v>881431.81607360009</v>
      </c>
      <c r="CJ90" s="138">
        <f t="shared" ref="CJ90:CS99" ca="1" si="127">OFFSET(INDIRECT("'"&amp;Opt_alt&amp;"'!H12"),$A90,CJ$5)*$DF90</f>
        <v>881431.81607360009</v>
      </c>
      <c r="CK90" s="138">
        <f t="shared" ca="1" si="127"/>
        <v>881431.81607360009</v>
      </c>
      <c r="CL90" s="138">
        <f t="shared" ca="1" si="127"/>
        <v>881431.81607360009</v>
      </c>
      <c r="CM90" s="138">
        <f t="shared" ca="1" si="127"/>
        <v>881431.81607360009</v>
      </c>
      <c r="CN90" s="138">
        <f t="shared" ca="1" si="127"/>
        <v>881431.81607360009</v>
      </c>
      <c r="CO90" s="138">
        <f t="shared" ca="1" si="127"/>
        <v>881431.81607360009</v>
      </c>
      <c r="CP90" s="138">
        <f t="shared" ca="1" si="127"/>
        <v>881431.81607360009</v>
      </c>
      <c r="CQ90" s="138">
        <f t="shared" ca="1" si="127"/>
        <v>881431.81607360009</v>
      </c>
      <c r="CR90" s="138">
        <f t="shared" ca="1" si="127"/>
        <v>881431.81607360009</v>
      </c>
      <c r="CS90" s="138">
        <f t="shared" ca="1" si="127"/>
        <v>881431.81607360009</v>
      </c>
      <c r="CT90" s="138">
        <f t="shared" ref="CT90:DC99" ca="1" si="128">OFFSET(INDIRECT("'"&amp;Opt_alt&amp;"'!H12"),$A90,CT$5)*$DF90</f>
        <v>881431.81607360009</v>
      </c>
      <c r="CU90" s="138">
        <f t="shared" ca="1" si="128"/>
        <v>881431.81607360009</v>
      </c>
      <c r="CV90" s="138">
        <f t="shared" ca="1" si="128"/>
        <v>881431.81607360009</v>
      </c>
      <c r="CW90" s="138">
        <f t="shared" ca="1" si="128"/>
        <v>881431.81607360009</v>
      </c>
      <c r="CX90" s="138">
        <f t="shared" ca="1" si="128"/>
        <v>881431.81607360009</v>
      </c>
      <c r="CY90" s="138">
        <f t="shared" ca="1" si="128"/>
        <v>881431.81607360009</v>
      </c>
      <c r="CZ90" s="138">
        <f t="shared" ca="1" si="128"/>
        <v>881431.81607360009</v>
      </c>
      <c r="DA90" s="138">
        <f t="shared" ca="1" si="128"/>
        <v>881431.81607360009</v>
      </c>
      <c r="DB90" s="138">
        <f t="shared" ca="1" si="128"/>
        <v>881431.81607360009</v>
      </c>
      <c r="DC90" s="138">
        <f t="shared" ca="1" si="128"/>
        <v>881431.81607360009</v>
      </c>
      <c r="DE90" s="254" t="str">
        <f t="shared" ca="1" si="100"/>
        <v>G.1.</v>
      </c>
      <c r="DF90">
        <v>1</v>
      </c>
      <c r="DG90">
        <f t="shared" ref="DG90:DG99" ca="1" si="129">OFFSET(INDIRECT("'"&amp;Opt_alt&amp;"'!H12"),$A90,DG$5)</f>
        <v>0</v>
      </c>
    </row>
    <row r="91" spans="1:112" hidden="1">
      <c r="A91" s="124">
        <v>79</v>
      </c>
      <c r="B91" s="205" t="str">
        <f t="shared" ca="1" si="97"/>
        <v>G.2.</v>
      </c>
      <c r="C91" s="129" t="str">
        <f t="shared" ca="1" si="98"/>
        <v>Darbo su diaspora funkcijų stiprinimas</v>
      </c>
      <c r="D91" s="114"/>
      <c r="E91" s="148">
        <f t="shared" ca="1" si="99"/>
        <v>0</v>
      </c>
      <c r="F91" s="139">
        <f ca="1">H91+NPV(FD,I91:INDEX(I91:DC91,PAL))</f>
        <v>8183456.1680627093</v>
      </c>
      <c r="G91" s="140">
        <f ca="1">SUMIF($H$5:$DC$5,"&lt;="&amp;PAL,$H91:$DC91)</f>
        <v>12742086.725755204</v>
      </c>
      <c r="H91" s="138">
        <f t="shared" ca="1" si="119"/>
        <v>0</v>
      </c>
      <c r="I91" s="138">
        <f t="shared" ca="1" si="119"/>
        <v>0</v>
      </c>
      <c r="J91" s="138">
        <f t="shared" ca="1" si="119"/>
        <v>0</v>
      </c>
      <c r="K91" s="138">
        <f t="shared" ca="1" si="119"/>
        <v>304834.61066400004</v>
      </c>
      <c r="L91" s="138">
        <f t="shared" ca="1" si="119"/>
        <v>731603.06559360004</v>
      </c>
      <c r="M91" s="138">
        <f t="shared" ca="1" si="119"/>
        <v>731603.06559360004</v>
      </c>
      <c r="N91" s="138">
        <f t="shared" ca="1" si="119"/>
        <v>731603.06559360004</v>
      </c>
      <c r="O91" s="138">
        <f t="shared" ca="1" si="119"/>
        <v>731603.06559360004</v>
      </c>
      <c r="P91" s="138">
        <f t="shared" ca="1" si="119"/>
        <v>731603.06559360004</v>
      </c>
      <c r="Q91" s="138">
        <f t="shared" ca="1" si="119"/>
        <v>731603.06559360004</v>
      </c>
      <c r="R91" s="138">
        <f t="shared" ca="1" si="120"/>
        <v>731603.06559360004</v>
      </c>
      <c r="S91" s="138">
        <f t="shared" ca="1" si="120"/>
        <v>731603.06559360004</v>
      </c>
      <c r="T91" s="138">
        <f t="shared" ca="1" si="120"/>
        <v>731603.06559360004</v>
      </c>
      <c r="U91" s="138">
        <f t="shared" ca="1" si="120"/>
        <v>731603.06559360004</v>
      </c>
      <c r="V91" s="138">
        <f t="shared" ca="1" si="120"/>
        <v>731603.06559360004</v>
      </c>
      <c r="W91" s="138">
        <f t="shared" ca="1" si="120"/>
        <v>731603.06559360004</v>
      </c>
      <c r="X91" s="138">
        <f t="shared" ca="1" si="120"/>
        <v>731603.06559360004</v>
      </c>
      <c r="Y91" s="138">
        <f t="shared" ca="1" si="120"/>
        <v>731603.06559360004</v>
      </c>
      <c r="Z91" s="138">
        <f t="shared" ca="1" si="120"/>
        <v>731603.06559360004</v>
      </c>
      <c r="AA91" s="138">
        <f t="shared" ca="1" si="120"/>
        <v>731603.06559360004</v>
      </c>
      <c r="AB91" s="138">
        <f t="shared" ca="1" si="121"/>
        <v>731603.06559360004</v>
      </c>
      <c r="AC91" s="138">
        <f t="shared" ca="1" si="121"/>
        <v>0</v>
      </c>
      <c r="AD91" s="138">
        <f t="shared" ca="1" si="121"/>
        <v>0</v>
      </c>
      <c r="AE91" s="138">
        <f t="shared" ca="1" si="121"/>
        <v>0</v>
      </c>
      <c r="AF91" s="138">
        <f t="shared" ca="1" si="121"/>
        <v>0</v>
      </c>
      <c r="AG91" s="138">
        <f t="shared" ca="1" si="121"/>
        <v>0</v>
      </c>
      <c r="AH91" s="138">
        <f t="shared" ca="1" si="121"/>
        <v>0</v>
      </c>
      <c r="AI91" s="138">
        <f t="shared" ca="1" si="121"/>
        <v>0</v>
      </c>
      <c r="AJ91" s="138">
        <f t="shared" ca="1" si="121"/>
        <v>0</v>
      </c>
      <c r="AK91" s="138">
        <f t="shared" ca="1" si="121"/>
        <v>0</v>
      </c>
      <c r="AL91" s="138">
        <f t="shared" ca="1" si="122"/>
        <v>0</v>
      </c>
      <c r="AM91" s="138">
        <f t="shared" ca="1" si="122"/>
        <v>0</v>
      </c>
      <c r="AN91" s="138">
        <f t="shared" ca="1" si="122"/>
        <v>0</v>
      </c>
      <c r="AO91" s="138">
        <f t="shared" ca="1" si="122"/>
        <v>0</v>
      </c>
      <c r="AP91" s="138">
        <f t="shared" ca="1" si="122"/>
        <v>0</v>
      </c>
      <c r="AQ91" s="138">
        <f t="shared" ca="1" si="122"/>
        <v>0</v>
      </c>
      <c r="AR91" s="138">
        <f t="shared" ca="1" si="122"/>
        <v>0</v>
      </c>
      <c r="AS91" s="138">
        <f t="shared" ca="1" si="122"/>
        <v>0</v>
      </c>
      <c r="AT91" s="138">
        <f t="shared" ca="1" si="122"/>
        <v>0</v>
      </c>
      <c r="AU91" s="138">
        <f t="shared" ca="1" si="122"/>
        <v>0</v>
      </c>
      <c r="AV91" s="138">
        <f t="shared" ca="1" si="123"/>
        <v>0</v>
      </c>
      <c r="AW91" s="138">
        <f t="shared" ca="1" si="123"/>
        <v>0</v>
      </c>
      <c r="AX91" s="138">
        <f t="shared" ca="1" si="123"/>
        <v>0</v>
      </c>
      <c r="AY91" s="138">
        <f t="shared" ca="1" si="123"/>
        <v>0</v>
      </c>
      <c r="AZ91" s="138">
        <f t="shared" ca="1" si="123"/>
        <v>0</v>
      </c>
      <c r="BA91" s="138">
        <f t="shared" ca="1" si="123"/>
        <v>0</v>
      </c>
      <c r="BB91" s="138">
        <f t="shared" ca="1" si="123"/>
        <v>0</v>
      </c>
      <c r="BC91" s="138">
        <f t="shared" ca="1" si="123"/>
        <v>0</v>
      </c>
      <c r="BD91" s="138">
        <f t="shared" ca="1" si="123"/>
        <v>0</v>
      </c>
      <c r="BE91" s="138">
        <f t="shared" ca="1" si="123"/>
        <v>0</v>
      </c>
      <c r="BF91" s="138">
        <f t="shared" ca="1" si="124"/>
        <v>0</v>
      </c>
      <c r="BG91" s="138">
        <f t="shared" ca="1" si="124"/>
        <v>0</v>
      </c>
      <c r="BH91" s="138">
        <f t="shared" ca="1" si="124"/>
        <v>0</v>
      </c>
      <c r="BI91" s="138">
        <f t="shared" ca="1" si="124"/>
        <v>0</v>
      </c>
      <c r="BJ91" s="138">
        <f t="shared" ca="1" si="124"/>
        <v>0</v>
      </c>
      <c r="BK91" s="138">
        <f t="shared" ca="1" si="124"/>
        <v>0</v>
      </c>
      <c r="BL91" s="138">
        <f t="shared" ca="1" si="124"/>
        <v>0</v>
      </c>
      <c r="BM91" s="138">
        <f t="shared" ca="1" si="124"/>
        <v>0</v>
      </c>
      <c r="BN91" s="138">
        <f t="shared" ca="1" si="124"/>
        <v>0</v>
      </c>
      <c r="BO91" s="138">
        <f t="shared" ca="1" si="124"/>
        <v>0</v>
      </c>
      <c r="BP91" s="138">
        <f t="shared" ca="1" si="125"/>
        <v>0</v>
      </c>
      <c r="BQ91" s="138">
        <f t="shared" ca="1" si="125"/>
        <v>0</v>
      </c>
      <c r="BR91" s="138">
        <f t="shared" ca="1" si="125"/>
        <v>0</v>
      </c>
      <c r="BS91" s="138">
        <f t="shared" ca="1" si="125"/>
        <v>0</v>
      </c>
      <c r="BT91" s="138">
        <f t="shared" ca="1" si="125"/>
        <v>0</v>
      </c>
      <c r="BU91" s="138">
        <f t="shared" ca="1" si="125"/>
        <v>0</v>
      </c>
      <c r="BV91" s="138">
        <f t="shared" ca="1" si="125"/>
        <v>0</v>
      </c>
      <c r="BW91" s="138">
        <f t="shared" ca="1" si="125"/>
        <v>0</v>
      </c>
      <c r="BX91" s="138">
        <f t="shared" ca="1" si="125"/>
        <v>0</v>
      </c>
      <c r="BY91" s="138">
        <f t="shared" ca="1" si="125"/>
        <v>0</v>
      </c>
      <c r="BZ91" s="138">
        <f t="shared" ca="1" si="126"/>
        <v>0</v>
      </c>
      <c r="CA91" s="138">
        <f t="shared" ca="1" si="126"/>
        <v>0</v>
      </c>
      <c r="CB91" s="138">
        <f t="shared" ca="1" si="126"/>
        <v>0</v>
      </c>
      <c r="CC91" s="138">
        <f t="shared" ca="1" si="126"/>
        <v>0</v>
      </c>
      <c r="CD91" s="138">
        <f t="shared" ca="1" si="126"/>
        <v>0</v>
      </c>
      <c r="CE91" s="138">
        <f t="shared" ca="1" si="126"/>
        <v>0</v>
      </c>
      <c r="CF91" s="138">
        <f t="shared" ca="1" si="126"/>
        <v>0</v>
      </c>
      <c r="CG91" s="138">
        <f t="shared" ca="1" si="126"/>
        <v>0</v>
      </c>
      <c r="CH91" s="138">
        <f t="shared" ca="1" si="126"/>
        <v>0</v>
      </c>
      <c r="CI91" s="138">
        <f t="shared" ca="1" si="126"/>
        <v>0</v>
      </c>
      <c r="CJ91" s="138">
        <f t="shared" ca="1" si="127"/>
        <v>0</v>
      </c>
      <c r="CK91" s="138">
        <f t="shared" ca="1" si="127"/>
        <v>0</v>
      </c>
      <c r="CL91" s="138">
        <f t="shared" ca="1" si="127"/>
        <v>0</v>
      </c>
      <c r="CM91" s="138">
        <f t="shared" ca="1" si="127"/>
        <v>0</v>
      </c>
      <c r="CN91" s="138">
        <f t="shared" ca="1" si="127"/>
        <v>0</v>
      </c>
      <c r="CO91" s="138">
        <f t="shared" ca="1" si="127"/>
        <v>0</v>
      </c>
      <c r="CP91" s="138">
        <f t="shared" ca="1" si="127"/>
        <v>0</v>
      </c>
      <c r="CQ91" s="138">
        <f t="shared" ca="1" si="127"/>
        <v>0</v>
      </c>
      <c r="CR91" s="138">
        <f t="shared" ca="1" si="127"/>
        <v>0</v>
      </c>
      <c r="CS91" s="138">
        <f t="shared" ca="1" si="127"/>
        <v>0</v>
      </c>
      <c r="CT91" s="138">
        <f t="shared" ca="1" si="128"/>
        <v>0</v>
      </c>
      <c r="CU91" s="138">
        <f t="shared" ca="1" si="128"/>
        <v>0</v>
      </c>
      <c r="CV91" s="138">
        <f t="shared" ca="1" si="128"/>
        <v>0</v>
      </c>
      <c r="CW91" s="138">
        <f t="shared" ca="1" si="128"/>
        <v>0</v>
      </c>
      <c r="CX91" s="138">
        <f t="shared" ca="1" si="128"/>
        <v>0</v>
      </c>
      <c r="CY91" s="138">
        <f t="shared" ca="1" si="128"/>
        <v>0</v>
      </c>
      <c r="CZ91" s="138">
        <f t="shared" ca="1" si="128"/>
        <v>0</v>
      </c>
      <c r="DA91" s="138">
        <f t="shared" ca="1" si="128"/>
        <v>0</v>
      </c>
      <c r="DB91" s="138">
        <f t="shared" ca="1" si="128"/>
        <v>0</v>
      </c>
      <c r="DC91" s="138">
        <f t="shared" ca="1" si="128"/>
        <v>0</v>
      </c>
      <c r="DE91" s="254" t="str">
        <f t="shared" ca="1" si="100"/>
        <v>G.2.</v>
      </c>
      <c r="DF91">
        <v>1</v>
      </c>
      <c r="DG91">
        <f t="shared" ca="1" si="129"/>
        <v>0</v>
      </c>
    </row>
    <row r="92" spans="1:112" hidden="1">
      <c r="A92" s="124">
        <v>80</v>
      </c>
      <c r="B92" s="205" t="str">
        <f t="shared" ca="1" si="97"/>
        <v>G.3.</v>
      </c>
      <c r="C92" s="129" t="str">
        <f t="shared" ca="1" si="98"/>
        <v xml:space="preserve">Kursai diplomatams, dirbantiems su Azijos regionu </v>
      </c>
      <c r="D92" s="114"/>
      <c r="E92" s="148">
        <f t="shared" ca="1" si="99"/>
        <v>0</v>
      </c>
      <c r="F92" s="139">
        <f ca="1">H92+NPV(FD,I92:INDEX(I92:DC92,PAL))</f>
        <v>252575.75766858441</v>
      </c>
      <c r="G92" s="140">
        <f ca="1">SUMIF($H$5:$DC$5,"&lt;="&amp;PAL,$H92:$DC92)</f>
        <v>380000</v>
      </c>
      <c r="H92" s="138">
        <f t="shared" ca="1" si="119"/>
        <v>0</v>
      </c>
      <c r="I92" s="138">
        <f t="shared" ca="1" si="119"/>
        <v>0</v>
      </c>
      <c r="J92" s="138">
        <f t="shared" ca="1" si="119"/>
        <v>20000</v>
      </c>
      <c r="K92" s="138">
        <f t="shared" ca="1" si="119"/>
        <v>20000</v>
      </c>
      <c r="L92" s="138">
        <f t="shared" ca="1" si="119"/>
        <v>20000</v>
      </c>
      <c r="M92" s="138">
        <f t="shared" ca="1" si="119"/>
        <v>20000</v>
      </c>
      <c r="N92" s="138">
        <f t="shared" ca="1" si="119"/>
        <v>20000</v>
      </c>
      <c r="O92" s="138">
        <f t="shared" ca="1" si="119"/>
        <v>20000</v>
      </c>
      <c r="P92" s="138">
        <f t="shared" ca="1" si="119"/>
        <v>20000</v>
      </c>
      <c r="Q92" s="138">
        <f t="shared" ca="1" si="119"/>
        <v>20000</v>
      </c>
      <c r="R92" s="138">
        <f t="shared" ca="1" si="120"/>
        <v>20000</v>
      </c>
      <c r="S92" s="138">
        <f t="shared" ca="1" si="120"/>
        <v>20000</v>
      </c>
      <c r="T92" s="138">
        <f t="shared" ca="1" si="120"/>
        <v>20000</v>
      </c>
      <c r="U92" s="138">
        <f t="shared" ca="1" si="120"/>
        <v>20000</v>
      </c>
      <c r="V92" s="138">
        <f t="shared" ca="1" si="120"/>
        <v>20000</v>
      </c>
      <c r="W92" s="138">
        <f t="shared" ca="1" si="120"/>
        <v>20000</v>
      </c>
      <c r="X92" s="138">
        <f t="shared" ca="1" si="120"/>
        <v>20000</v>
      </c>
      <c r="Y92" s="138">
        <f t="shared" ca="1" si="120"/>
        <v>20000</v>
      </c>
      <c r="Z92" s="138">
        <f t="shared" ca="1" si="120"/>
        <v>20000</v>
      </c>
      <c r="AA92" s="138">
        <f t="shared" ca="1" si="120"/>
        <v>20000</v>
      </c>
      <c r="AB92" s="138">
        <f t="shared" ca="1" si="121"/>
        <v>20000</v>
      </c>
      <c r="AC92" s="138">
        <f t="shared" ca="1" si="121"/>
        <v>0</v>
      </c>
      <c r="AD92" s="138">
        <f t="shared" ca="1" si="121"/>
        <v>0</v>
      </c>
      <c r="AE92" s="138">
        <f t="shared" ca="1" si="121"/>
        <v>0</v>
      </c>
      <c r="AF92" s="138">
        <f t="shared" ca="1" si="121"/>
        <v>0</v>
      </c>
      <c r="AG92" s="138">
        <f t="shared" ca="1" si="121"/>
        <v>0</v>
      </c>
      <c r="AH92" s="138">
        <f t="shared" ca="1" si="121"/>
        <v>0</v>
      </c>
      <c r="AI92" s="138">
        <f t="shared" ca="1" si="121"/>
        <v>0</v>
      </c>
      <c r="AJ92" s="138">
        <f t="shared" ca="1" si="121"/>
        <v>0</v>
      </c>
      <c r="AK92" s="138">
        <f t="shared" ca="1" si="121"/>
        <v>0</v>
      </c>
      <c r="AL92" s="138">
        <f t="shared" ca="1" si="122"/>
        <v>0</v>
      </c>
      <c r="AM92" s="138">
        <f t="shared" ca="1" si="122"/>
        <v>0</v>
      </c>
      <c r="AN92" s="138">
        <f t="shared" ca="1" si="122"/>
        <v>0</v>
      </c>
      <c r="AO92" s="138">
        <f t="shared" ca="1" si="122"/>
        <v>0</v>
      </c>
      <c r="AP92" s="138">
        <f t="shared" ca="1" si="122"/>
        <v>0</v>
      </c>
      <c r="AQ92" s="138">
        <f t="shared" ca="1" si="122"/>
        <v>0</v>
      </c>
      <c r="AR92" s="138">
        <f t="shared" ca="1" si="122"/>
        <v>0</v>
      </c>
      <c r="AS92" s="138">
        <f t="shared" ca="1" si="122"/>
        <v>0</v>
      </c>
      <c r="AT92" s="138">
        <f t="shared" ca="1" si="122"/>
        <v>0</v>
      </c>
      <c r="AU92" s="138">
        <f t="shared" ca="1" si="122"/>
        <v>0</v>
      </c>
      <c r="AV92" s="138">
        <f t="shared" ca="1" si="123"/>
        <v>0</v>
      </c>
      <c r="AW92" s="138">
        <f t="shared" ca="1" si="123"/>
        <v>0</v>
      </c>
      <c r="AX92" s="138">
        <f t="shared" ca="1" si="123"/>
        <v>0</v>
      </c>
      <c r="AY92" s="138">
        <f t="shared" ca="1" si="123"/>
        <v>0</v>
      </c>
      <c r="AZ92" s="138">
        <f t="shared" ca="1" si="123"/>
        <v>0</v>
      </c>
      <c r="BA92" s="138">
        <f t="shared" ca="1" si="123"/>
        <v>0</v>
      </c>
      <c r="BB92" s="138">
        <f t="shared" ca="1" si="123"/>
        <v>0</v>
      </c>
      <c r="BC92" s="138">
        <f t="shared" ca="1" si="123"/>
        <v>0</v>
      </c>
      <c r="BD92" s="138">
        <f t="shared" ca="1" si="123"/>
        <v>0</v>
      </c>
      <c r="BE92" s="138">
        <f t="shared" ca="1" si="123"/>
        <v>0</v>
      </c>
      <c r="BF92" s="138">
        <f t="shared" ca="1" si="124"/>
        <v>0</v>
      </c>
      <c r="BG92" s="138">
        <f t="shared" ca="1" si="124"/>
        <v>0</v>
      </c>
      <c r="BH92" s="138">
        <f t="shared" ca="1" si="124"/>
        <v>0</v>
      </c>
      <c r="BI92" s="138">
        <f t="shared" ca="1" si="124"/>
        <v>0</v>
      </c>
      <c r="BJ92" s="138">
        <f t="shared" ca="1" si="124"/>
        <v>0</v>
      </c>
      <c r="BK92" s="138">
        <f t="shared" ca="1" si="124"/>
        <v>0</v>
      </c>
      <c r="BL92" s="138">
        <f t="shared" ca="1" si="124"/>
        <v>0</v>
      </c>
      <c r="BM92" s="138">
        <f t="shared" ca="1" si="124"/>
        <v>0</v>
      </c>
      <c r="BN92" s="138">
        <f t="shared" ca="1" si="124"/>
        <v>0</v>
      </c>
      <c r="BO92" s="138">
        <f t="shared" ca="1" si="124"/>
        <v>0</v>
      </c>
      <c r="BP92" s="138">
        <f t="shared" ca="1" si="125"/>
        <v>0</v>
      </c>
      <c r="BQ92" s="138">
        <f t="shared" ca="1" si="125"/>
        <v>0</v>
      </c>
      <c r="BR92" s="138">
        <f t="shared" ca="1" si="125"/>
        <v>0</v>
      </c>
      <c r="BS92" s="138">
        <f t="shared" ca="1" si="125"/>
        <v>0</v>
      </c>
      <c r="BT92" s="138">
        <f t="shared" ca="1" si="125"/>
        <v>0</v>
      </c>
      <c r="BU92" s="138">
        <f t="shared" ca="1" si="125"/>
        <v>0</v>
      </c>
      <c r="BV92" s="138">
        <f t="shared" ca="1" si="125"/>
        <v>0</v>
      </c>
      <c r="BW92" s="138">
        <f t="shared" ca="1" si="125"/>
        <v>0</v>
      </c>
      <c r="BX92" s="138">
        <f t="shared" ca="1" si="125"/>
        <v>0</v>
      </c>
      <c r="BY92" s="138">
        <f t="shared" ca="1" si="125"/>
        <v>0</v>
      </c>
      <c r="BZ92" s="138">
        <f t="shared" ca="1" si="126"/>
        <v>0</v>
      </c>
      <c r="CA92" s="138">
        <f t="shared" ca="1" si="126"/>
        <v>0</v>
      </c>
      <c r="CB92" s="138">
        <f t="shared" ca="1" si="126"/>
        <v>0</v>
      </c>
      <c r="CC92" s="138">
        <f t="shared" ca="1" si="126"/>
        <v>0</v>
      </c>
      <c r="CD92" s="138">
        <f t="shared" ca="1" si="126"/>
        <v>0</v>
      </c>
      <c r="CE92" s="138">
        <f t="shared" ca="1" si="126"/>
        <v>0</v>
      </c>
      <c r="CF92" s="138">
        <f t="shared" ca="1" si="126"/>
        <v>0</v>
      </c>
      <c r="CG92" s="138">
        <f t="shared" ca="1" si="126"/>
        <v>0</v>
      </c>
      <c r="CH92" s="138">
        <f t="shared" ca="1" si="126"/>
        <v>0</v>
      </c>
      <c r="CI92" s="138">
        <f t="shared" ca="1" si="126"/>
        <v>0</v>
      </c>
      <c r="CJ92" s="138">
        <f t="shared" ca="1" si="127"/>
        <v>0</v>
      </c>
      <c r="CK92" s="138">
        <f t="shared" ca="1" si="127"/>
        <v>0</v>
      </c>
      <c r="CL92" s="138">
        <f t="shared" ca="1" si="127"/>
        <v>0</v>
      </c>
      <c r="CM92" s="138">
        <f t="shared" ca="1" si="127"/>
        <v>0</v>
      </c>
      <c r="CN92" s="138">
        <f t="shared" ca="1" si="127"/>
        <v>0</v>
      </c>
      <c r="CO92" s="138">
        <f t="shared" ca="1" si="127"/>
        <v>0</v>
      </c>
      <c r="CP92" s="138">
        <f t="shared" ca="1" si="127"/>
        <v>0</v>
      </c>
      <c r="CQ92" s="138">
        <f t="shared" ca="1" si="127"/>
        <v>0</v>
      </c>
      <c r="CR92" s="138">
        <f t="shared" ca="1" si="127"/>
        <v>0</v>
      </c>
      <c r="CS92" s="138">
        <f t="shared" ca="1" si="127"/>
        <v>0</v>
      </c>
      <c r="CT92" s="138">
        <f t="shared" ca="1" si="128"/>
        <v>0</v>
      </c>
      <c r="CU92" s="138">
        <f t="shared" ca="1" si="128"/>
        <v>0</v>
      </c>
      <c r="CV92" s="138">
        <f t="shared" ca="1" si="128"/>
        <v>0</v>
      </c>
      <c r="CW92" s="138">
        <f t="shared" ca="1" si="128"/>
        <v>0</v>
      </c>
      <c r="CX92" s="138">
        <f t="shared" ca="1" si="128"/>
        <v>0</v>
      </c>
      <c r="CY92" s="138">
        <f t="shared" ca="1" si="128"/>
        <v>0</v>
      </c>
      <c r="CZ92" s="138">
        <f t="shared" ca="1" si="128"/>
        <v>0</v>
      </c>
      <c r="DA92" s="138">
        <f t="shared" ca="1" si="128"/>
        <v>0</v>
      </c>
      <c r="DB92" s="138">
        <f t="shared" ca="1" si="128"/>
        <v>0</v>
      </c>
      <c r="DC92" s="138">
        <f t="shared" ca="1" si="128"/>
        <v>0</v>
      </c>
      <c r="DE92" s="254" t="str">
        <f t="shared" ca="1" si="100"/>
        <v>G.3.</v>
      </c>
      <c r="DF92">
        <v>1</v>
      </c>
      <c r="DG92">
        <f t="shared" ca="1" si="129"/>
        <v>0</v>
      </c>
    </row>
    <row r="93" spans="1:112" hidden="1">
      <c r="A93" s="124">
        <v>81</v>
      </c>
      <c r="B93" s="205" t="str">
        <f t="shared" ca="1" si="97"/>
        <v>G.4.</v>
      </c>
      <c r="C93" s="129" t="str">
        <f t="shared" ca="1" si="98"/>
        <v>Stipendijų fondas Azijos regiono studijų studentams</v>
      </c>
      <c r="D93" s="114"/>
      <c r="E93" s="148">
        <f t="shared" ca="1" si="99"/>
        <v>0</v>
      </c>
      <c r="F93" s="139">
        <f ca="1">H93+NPV(FD,I93:INDEX(I93:DC93,PAL))</f>
        <v>86235.411599828483</v>
      </c>
      <c r="G93" s="140">
        <f ca="1">SUMIF($H$5:$DC$5,"&lt;="&amp;PAL,$H93:$DC93)</f>
        <v>139500</v>
      </c>
      <c r="H93" s="138">
        <f t="shared" ca="1" si="119"/>
        <v>0</v>
      </c>
      <c r="I93" s="138">
        <f t="shared" ca="1" si="119"/>
        <v>0</v>
      </c>
      <c r="J93" s="138">
        <f t="shared" ca="1" si="119"/>
        <v>0</v>
      </c>
      <c r="K93" s="138">
        <f t="shared" ca="1" si="119"/>
        <v>0</v>
      </c>
      <c r="L93" s="138">
        <f t="shared" ca="1" si="119"/>
        <v>4500</v>
      </c>
      <c r="M93" s="138">
        <f t="shared" ca="1" si="119"/>
        <v>4500</v>
      </c>
      <c r="N93" s="138">
        <f t="shared" ca="1" si="119"/>
        <v>4500</v>
      </c>
      <c r="O93" s="138">
        <f t="shared" ca="1" si="119"/>
        <v>9000</v>
      </c>
      <c r="P93" s="138">
        <f t="shared" ca="1" si="119"/>
        <v>9000</v>
      </c>
      <c r="Q93" s="138">
        <f t="shared" ca="1" si="119"/>
        <v>9000</v>
      </c>
      <c r="R93" s="138">
        <f t="shared" ca="1" si="120"/>
        <v>9000</v>
      </c>
      <c r="S93" s="138">
        <f t="shared" ca="1" si="120"/>
        <v>9000</v>
      </c>
      <c r="T93" s="138">
        <f t="shared" ca="1" si="120"/>
        <v>9000</v>
      </c>
      <c r="U93" s="138">
        <f t="shared" ca="1" si="120"/>
        <v>9000</v>
      </c>
      <c r="V93" s="138">
        <f t="shared" ca="1" si="120"/>
        <v>9000</v>
      </c>
      <c r="W93" s="138">
        <f t="shared" ca="1" si="120"/>
        <v>9000</v>
      </c>
      <c r="X93" s="138">
        <f t="shared" ca="1" si="120"/>
        <v>9000</v>
      </c>
      <c r="Y93" s="138">
        <f t="shared" ca="1" si="120"/>
        <v>9000</v>
      </c>
      <c r="Z93" s="138">
        <f t="shared" ca="1" si="120"/>
        <v>9000</v>
      </c>
      <c r="AA93" s="138">
        <f t="shared" ca="1" si="120"/>
        <v>9000</v>
      </c>
      <c r="AB93" s="138">
        <f t="shared" ca="1" si="121"/>
        <v>9000</v>
      </c>
      <c r="AC93" s="138">
        <f t="shared" ca="1" si="121"/>
        <v>0</v>
      </c>
      <c r="AD93" s="138">
        <f t="shared" ca="1" si="121"/>
        <v>0</v>
      </c>
      <c r="AE93" s="138">
        <f t="shared" ca="1" si="121"/>
        <v>0</v>
      </c>
      <c r="AF93" s="138">
        <f t="shared" ca="1" si="121"/>
        <v>0</v>
      </c>
      <c r="AG93" s="138">
        <f t="shared" ca="1" si="121"/>
        <v>0</v>
      </c>
      <c r="AH93" s="138">
        <f t="shared" ca="1" si="121"/>
        <v>0</v>
      </c>
      <c r="AI93" s="138">
        <f t="shared" ca="1" si="121"/>
        <v>0</v>
      </c>
      <c r="AJ93" s="138">
        <f t="shared" ca="1" si="121"/>
        <v>0</v>
      </c>
      <c r="AK93" s="138">
        <f t="shared" ca="1" si="121"/>
        <v>0</v>
      </c>
      <c r="AL93" s="138">
        <f t="shared" ca="1" si="122"/>
        <v>0</v>
      </c>
      <c r="AM93" s="138">
        <f t="shared" ca="1" si="122"/>
        <v>0</v>
      </c>
      <c r="AN93" s="138">
        <f t="shared" ca="1" si="122"/>
        <v>0</v>
      </c>
      <c r="AO93" s="138">
        <f t="shared" ca="1" si="122"/>
        <v>0</v>
      </c>
      <c r="AP93" s="138">
        <f t="shared" ca="1" si="122"/>
        <v>0</v>
      </c>
      <c r="AQ93" s="138">
        <f t="shared" ca="1" si="122"/>
        <v>0</v>
      </c>
      <c r="AR93" s="138">
        <f t="shared" ca="1" si="122"/>
        <v>0</v>
      </c>
      <c r="AS93" s="138">
        <f t="shared" ca="1" si="122"/>
        <v>0</v>
      </c>
      <c r="AT93" s="138">
        <f t="shared" ca="1" si="122"/>
        <v>0</v>
      </c>
      <c r="AU93" s="138">
        <f t="shared" ca="1" si="122"/>
        <v>0</v>
      </c>
      <c r="AV93" s="138">
        <f t="shared" ca="1" si="123"/>
        <v>0</v>
      </c>
      <c r="AW93" s="138">
        <f t="shared" ca="1" si="123"/>
        <v>0</v>
      </c>
      <c r="AX93" s="138">
        <f t="shared" ca="1" si="123"/>
        <v>0</v>
      </c>
      <c r="AY93" s="138">
        <f t="shared" ca="1" si="123"/>
        <v>0</v>
      </c>
      <c r="AZ93" s="138">
        <f t="shared" ca="1" si="123"/>
        <v>0</v>
      </c>
      <c r="BA93" s="138">
        <f t="shared" ca="1" si="123"/>
        <v>0</v>
      </c>
      <c r="BB93" s="138">
        <f t="shared" ca="1" si="123"/>
        <v>0</v>
      </c>
      <c r="BC93" s="138">
        <f t="shared" ca="1" si="123"/>
        <v>0</v>
      </c>
      <c r="BD93" s="138">
        <f t="shared" ca="1" si="123"/>
        <v>0</v>
      </c>
      <c r="BE93" s="138">
        <f t="shared" ca="1" si="123"/>
        <v>0</v>
      </c>
      <c r="BF93" s="138">
        <f t="shared" ca="1" si="124"/>
        <v>0</v>
      </c>
      <c r="BG93" s="138">
        <f t="shared" ca="1" si="124"/>
        <v>0</v>
      </c>
      <c r="BH93" s="138">
        <f t="shared" ca="1" si="124"/>
        <v>0</v>
      </c>
      <c r="BI93" s="138">
        <f t="shared" ca="1" si="124"/>
        <v>0</v>
      </c>
      <c r="BJ93" s="138">
        <f t="shared" ca="1" si="124"/>
        <v>0</v>
      </c>
      <c r="BK93" s="138">
        <f t="shared" ca="1" si="124"/>
        <v>0</v>
      </c>
      <c r="BL93" s="138">
        <f t="shared" ca="1" si="124"/>
        <v>0</v>
      </c>
      <c r="BM93" s="138">
        <f t="shared" ca="1" si="124"/>
        <v>0</v>
      </c>
      <c r="BN93" s="138">
        <f t="shared" ca="1" si="124"/>
        <v>0</v>
      </c>
      <c r="BO93" s="138">
        <f t="shared" ca="1" si="124"/>
        <v>0</v>
      </c>
      <c r="BP93" s="138">
        <f t="shared" ca="1" si="125"/>
        <v>0</v>
      </c>
      <c r="BQ93" s="138">
        <f t="shared" ca="1" si="125"/>
        <v>0</v>
      </c>
      <c r="BR93" s="138">
        <f t="shared" ca="1" si="125"/>
        <v>0</v>
      </c>
      <c r="BS93" s="138">
        <f t="shared" ca="1" si="125"/>
        <v>0</v>
      </c>
      <c r="BT93" s="138">
        <f t="shared" ca="1" si="125"/>
        <v>0</v>
      </c>
      <c r="BU93" s="138">
        <f t="shared" ca="1" si="125"/>
        <v>0</v>
      </c>
      <c r="BV93" s="138">
        <f t="shared" ca="1" si="125"/>
        <v>0</v>
      </c>
      <c r="BW93" s="138">
        <f t="shared" ca="1" si="125"/>
        <v>0</v>
      </c>
      <c r="BX93" s="138">
        <f t="shared" ca="1" si="125"/>
        <v>0</v>
      </c>
      <c r="BY93" s="138">
        <f t="shared" ca="1" si="125"/>
        <v>0</v>
      </c>
      <c r="BZ93" s="138">
        <f t="shared" ca="1" si="126"/>
        <v>0</v>
      </c>
      <c r="CA93" s="138">
        <f t="shared" ca="1" si="126"/>
        <v>0</v>
      </c>
      <c r="CB93" s="138">
        <f t="shared" ca="1" si="126"/>
        <v>0</v>
      </c>
      <c r="CC93" s="138">
        <f t="shared" ca="1" si="126"/>
        <v>0</v>
      </c>
      <c r="CD93" s="138">
        <f t="shared" ca="1" si="126"/>
        <v>0</v>
      </c>
      <c r="CE93" s="138">
        <f t="shared" ca="1" si="126"/>
        <v>0</v>
      </c>
      <c r="CF93" s="138">
        <f t="shared" ca="1" si="126"/>
        <v>0</v>
      </c>
      <c r="CG93" s="138">
        <f t="shared" ca="1" si="126"/>
        <v>0</v>
      </c>
      <c r="CH93" s="138">
        <f t="shared" ca="1" si="126"/>
        <v>0</v>
      </c>
      <c r="CI93" s="138">
        <f t="shared" ca="1" si="126"/>
        <v>0</v>
      </c>
      <c r="CJ93" s="138">
        <f t="shared" ca="1" si="127"/>
        <v>0</v>
      </c>
      <c r="CK93" s="138">
        <f t="shared" ca="1" si="127"/>
        <v>0</v>
      </c>
      <c r="CL93" s="138">
        <f t="shared" ca="1" si="127"/>
        <v>0</v>
      </c>
      <c r="CM93" s="138">
        <f t="shared" ca="1" si="127"/>
        <v>0</v>
      </c>
      <c r="CN93" s="138">
        <f t="shared" ca="1" si="127"/>
        <v>0</v>
      </c>
      <c r="CO93" s="138">
        <f t="shared" ca="1" si="127"/>
        <v>0</v>
      </c>
      <c r="CP93" s="138">
        <f t="shared" ca="1" si="127"/>
        <v>0</v>
      </c>
      <c r="CQ93" s="138">
        <f t="shared" ca="1" si="127"/>
        <v>0</v>
      </c>
      <c r="CR93" s="138">
        <f t="shared" ca="1" si="127"/>
        <v>0</v>
      </c>
      <c r="CS93" s="138">
        <f t="shared" ca="1" si="127"/>
        <v>0</v>
      </c>
      <c r="CT93" s="138">
        <f t="shared" ca="1" si="128"/>
        <v>0</v>
      </c>
      <c r="CU93" s="138">
        <f t="shared" ca="1" si="128"/>
        <v>0</v>
      </c>
      <c r="CV93" s="138">
        <f t="shared" ca="1" si="128"/>
        <v>0</v>
      </c>
      <c r="CW93" s="138">
        <f t="shared" ca="1" si="128"/>
        <v>0</v>
      </c>
      <c r="CX93" s="138">
        <f t="shared" ca="1" si="128"/>
        <v>0</v>
      </c>
      <c r="CY93" s="138">
        <f t="shared" ca="1" si="128"/>
        <v>0</v>
      </c>
      <c r="CZ93" s="138">
        <f t="shared" ca="1" si="128"/>
        <v>0</v>
      </c>
      <c r="DA93" s="138">
        <f t="shared" ca="1" si="128"/>
        <v>0</v>
      </c>
      <c r="DB93" s="138">
        <f t="shared" ca="1" si="128"/>
        <v>0</v>
      </c>
      <c r="DC93" s="138">
        <f t="shared" ca="1" si="128"/>
        <v>0</v>
      </c>
      <c r="DE93" s="254" t="str">
        <f t="shared" ca="1" si="100"/>
        <v>G.4.</v>
      </c>
      <c r="DF93">
        <v>1</v>
      </c>
      <c r="DG93">
        <f t="shared" ca="1" si="129"/>
        <v>0</v>
      </c>
    </row>
    <row r="94" spans="1:112" hidden="1">
      <c r="A94" s="124">
        <v>82</v>
      </c>
      <c r="B94" s="205" t="str">
        <f t="shared" ca="1" si="97"/>
        <v>G.5.</v>
      </c>
      <c r="C94" s="129" t="str">
        <f t="shared" ca="1" si="98"/>
        <v xml:space="preserve">Ambasados Singapūre išlaikymo išlaidos </v>
      </c>
      <c r="D94" s="114"/>
      <c r="E94" s="148">
        <f t="shared" ca="1" si="99"/>
        <v>0</v>
      </c>
      <c r="F94" s="139">
        <f ca="1">H94+NPV(FD,I94:INDEX(I94:DC94,PAL))</f>
        <v>22179412.594987258</v>
      </c>
      <c r="G94" s="140">
        <f ca="1">SUMIF($H$5:$DC$5,"&lt;="&amp;PAL,$H94:$DC94)</f>
        <v>32640000</v>
      </c>
      <c r="H94" s="138">
        <f t="shared" ca="1" si="119"/>
        <v>0</v>
      </c>
      <c r="I94" s="138">
        <f t="shared" ca="1" si="119"/>
        <v>1632000</v>
      </c>
      <c r="J94" s="138">
        <f t="shared" ca="1" si="119"/>
        <v>1632000</v>
      </c>
      <c r="K94" s="138">
        <f t="shared" ca="1" si="119"/>
        <v>1632000</v>
      </c>
      <c r="L94" s="138">
        <f t="shared" ca="1" si="119"/>
        <v>1632000</v>
      </c>
      <c r="M94" s="138">
        <f t="shared" ca="1" si="119"/>
        <v>1632000</v>
      </c>
      <c r="N94" s="138">
        <f t="shared" ca="1" si="119"/>
        <v>1632000</v>
      </c>
      <c r="O94" s="138">
        <f t="shared" ca="1" si="119"/>
        <v>1632000</v>
      </c>
      <c r="P94" s="138">
        <f t="shared" ca="1" si="119"/>
        <v>1632000</v>
      </c>
      <c r="Q94" s="138">
        <f t="shared" ca="1" si="119"/>
        <v>1632000</v>
      </c>
      <c r="R94" s="138">
        <f t="shared" ca="1" si="120"/>
        <v>1632000</v>
      </c>
      <c r="S94" s="138">
        <f t="shared" ca="1" si="120"/>
        <v>1632000</v>
      </c>
      <c r="T94" s="138">
        <f t="shared" ca="1" si="120"/>
        <v>1632000</v>
      </c>
      <c r="U94" s="138">
        <f t="shared" ca="1" si="120"/>
        <v>1632000</v>
      </c>
      <c r="V94" s="138">
        <f t="shared" ca="1" si="120"/>
        <v>1632000</v>
      </c>
      <c r="W94" s="138">
        <f t="shared" ca="1" si="120"/>
        <v>1632000</v>
      </c>
      <c r="X94" s="138">
        <f t="shared" ca="1" si="120"/>
        <v>1632000</v>
      </c>
      <c r="Y94" s="138">
        <f t="shared" ca="1" si="120"/>
        <v>1632000</v>
      </c>
      <c r="Z94" s="138">
        <f t="shared" ca="1" si="120"/>
        <v>1632000</v>
      </c>
      <c r="AA94" s="138">
        <f t="shared" ca="1" si="120"/>
        <v>1632000</v>
      </c>
      <c r="AB94" s="138">
        <f t="shared" ca="1" si="121"/>
        <v>1632000</v>
      </c>
      <c r="AC94" s="138">
        <f t="shared" ca="1" si="121"/>
        <v>1470000</v>
      </c>
      <c r="AD94" s="138">
        <f t="shared" ca="1" si="121"/>
        <v>1470000</v>
      </c>
      <c r="AE94" s="138">
        <f t="shared" ca="1" si="121"/>
        <v>1470000</v>
      </c>
      <c r="AF94" s="138">
        <f t="shared" ca="1" si="121"/>
        <v>1470000</v>
      </c>
      <c r="AG94" s="138">
        <f t="shared" ca="1" si="121"/>
        <v>1470000</v>
      </c>
      <c r="AH94" s="138">
        <f t="shared" ca="1" si="121"/>
        <v>1470000</v>
      </c>
      <c r="AI94" s="138">
        <f t="shared" ca="1" si="121"/>
        <v>1470000</v>
      </c>
      <c r="AJ94" s="138">
        <f t="shared" ca="1" si="121"/>
        <v>1470000</v>
      </c>
      <c r="AK94" s="138">
        <f t="shared" ca="1" si="121"/>
        <v>1470000</v>
      </c>
      <c r="AL94" s="138">
        <f t="shared" ca="1" si="122"/>
        <v>1470000</v>
      </c>
      <c r="AM94" s="138">
        <f t="shared" ca="1" si="122"/>
        <v>1470000</v>
      </c>
      <c r="AN94" s="138">
        <f t="shared" ca="1" si="122"/>
        <v>1470000</v>
      </c>
      <c r="AO94" s="138">
        <f t="shared" ca="1" si="122"/>
        <v>1470000</v>
      </c>
      <c r="AP94" s="138">
        <f t="shared" ca="1" si="122"/>
        <v>1470000</v>
      </c>
      <c r="AQ94" s="138">
        <f t="shared" ca="1" si="122"/>
        <v>1470000</v>
      </c>
      <c r="AR94" s="138">
        <f t="shared" ca="1" si="122"/>
        <v>1470000</v>
      </c>
      <c r="AS94" s="138">
        <f t="shared" ca="1" si="122"/>
        <v>1470000</v>
      </c>
      <c r="AT94" s="138">
        <f t="shared" ca="1" si="122"/>
        <v>1470000</v>
      </c>
      <c r="AU94" s="138">
        <f t="shared" ca="1" si="122"/>
        <v>1470000</v>
      </c>
      <c r="AV94" s="138">
        <f t="shared" ca="1" si="123"/>
        <v>1470000</v>
      </c>
      <c r="AW94" s="138">
        <f t="shared" ca="1" si="123"/>
        <v>1470000</v>
      </c>
      <c r="AX94" s="138">
        <f t="shared" ca="1" si="123"/>
        <v>1470000</v>
      </c>
      <c r="AY94" s="138">
        <f t="shared" ca="1" si="123"/>
        <v>1470000</v>
      </c>
      <c r="AZ94" s="138">
        <f t="shared" ca="1" si="123"/>
        <v>1470000</v>
      </c>
      <c r="BA94" s="138">
        <f t="shared" ca="1" si="123"/>
        <v>1470000</v>
      </c>
      <c r="BB94" s="138">
        <f t="shared" ca="1" si="123"/>
        <v>1470000</v>
      </c>
      <c r="BC94" s="138">
        <f t="shared" ca="1" si="123"/>
        <v>1470000</v>
      </c>
      <c r="BD94" s="138">
        <f t="shared" ca="1" si="123"/>
        <v>1470000</v>
      </c>
      <c r="BE94" s="138">
        <f t="shared" ca="1" si="123"/>
        <v>1470000</v>
      </c>
      <c r="BF94" s="138">
        <f t="shared" ca="1" si="124"/>
        <v>1470000</v>
      </c>
      <c r="BG94" s="138">
        <f t="shared" ca="1" si="124"/>
        <v>1470000</v>
      </c>
      <c r="BH94" s="138">
        <f t="shared" ca="1" si="124"/>
        <v>1470000</v>
      </c>
      <c r="BI94" s="138">
        <f t="shared" ca="1" si="124"/>
        <v>1470000</v>
      </c>
      <c r="BJ94" s="138">
        <f t="shared" ca="1" si="124"/>
        <v>1470000</v>
      </c>
      <c r="BK94" s="138">
        <f t="shared" ca="1" si="124"/>
        <v>1470000</v>
      </c>
      <c r="BL94" s="138">
        <f t="shared" ca="1" si="124"/>
        <v>1470000</v>
      </c>
      <c r="BM94" s="138">
        <f t="shared" ca="1" si="124"/>
        <v>1470000</v>
      </c>
      <c r="BN94" s="138">
        <f t="shared" ca="1" si="124"/>
        <v>1470000</v>
      </c>
      <c r="BO94" s="138">
        <f t="shared" ca="1" si="124"/>
        <v>1470000</v>
      </c>
      <c r="BP94" s="138">
        <f t="shared" ca="1" si="125"/>
        <v>1470000</v>
      </c>
      <c r="BQ94" s="138">
        <f t="shared" ca="1" si="125"/>
        <v>1470000</v>
      </c>
      <c r="BR94" s="138">
        <f t="shared" ca="1" si="125"/>
        <v>1470000</v>
      </c>
      <c r="BS94" s="138">
        <f t="shared" ca="1" si="125"/>
        <v>1470000</v>
      </c>
      <c r="BT94" s="138">
        <f t="shared" ca="1" si="125"/>
        <v>1470000</v>
      </c>
      <c r="BU94" s="138">
        <f t="shared" ca="1" si="125"/>
        <v>1470000</v>
      </c>
      <c r="BV94" s="138">
        <f t="shared" ca="1" si="125"/>
        <v>1470000</v>
      </c>
      <c r="BW94" s="138">
        <f t="shared" ca="1" si="125"/>
        <v>1470000</v>
      </c>
      <c r="BX94" s="138">
        <f t="shared" ca="1" si="125"/>
        <v>1470000</v>
      </c>
      <c r="BY94" s="138">
        <f t="shared" ca="1" si="125"/>
        <v>1470000</v>
      </c>
      <c r="BZ94" s="138">
        <f t="shared" ca="1" si="126"/>
        <v>1470000</v>
      </c>
      <c r="CA94" s="138">
        <f t="shared" ca="1" si="126"/>
        <v>1470000</v>
      </c>
      <c r="CB94" s="138">
        <f t="shared" ca="1" si="126"/>
        <v>1470000</v>
      </c>
      <c r="CC94" s="138">
        <f t="shared" ca="1" si="126"/>
        <v>1470000</v>
      </c>
      <c r="CD94" s="138">
        <f t="shared" ca="1" si="126"/>
        <v>1470000</v>
      </c>
      <c r="CE94" s="138">
        <f t="shared" ca="1" si="126"/>
        <v>1470000</v>
      </c>
      <c r="CF94" s="138">
        <f t="shared" ca="1" si="126"/>
        <v>1470000</v>
      </c>
      <c r="CG94" s="138">
        <f t="shared" ca="1" si="126"/>
        <v>1470000</v>
      </c>
      <c r="CH94" s="138">
        <f t="shared" ca="1" si="126"/>
        <v>1470000</v>
      </c>
      <c r="CI94" s="138">
        <f t="shared" ca="1" si="126"/>
        <v>1470000</v>
      </c>
      <c r="CJ94" s="138">
        <f t="shared" ca="1" si="127"/>
        <v>1470000</v>
      </c>
      <c r="CK94" s="138">
        <f t="shared" ca="1" si="127"/>
        <v>1470000</v>
      </c>
      <c r="CL94" s="138">
        <f t="shared" ca="1" si="127"/>
        <v>1470000</v>
      </c>
      <c r="CM94" s="138">
        <f t="shared" ca="1" si="127"/>
        <v>1470000</v>
      </c>
      <c r="CN94" s="138">
        <f t="shared" ca="1" si="127"/>
        <v>1470000</v>
      </c>
      <c r="CO94" s="138">
        <f t="shared" ca="1" si="127"/>
        <v>1470000</v>
      </c>
      <c r="CP94" s="138">
        <f t="shared" ca="1" si="127"/>
        <v>1470000</v>
      </c>
      <c r="CQ94" s="138">
        <f t="shared" ca="1" si="127"/>
        <v>1470000</v>
      </c>
      <c r="CR94" s="138">
        <f t="shared" ca="1" si="127"/>
        <v>1470000</v>
      </c>
      <c r="CS94" s="138">
        <f t="shared" ca="1" si="127"/>
        <v>1470000</v>
      </c>
      <c r="CT94" s="138">
        <f t="shared" ca="1" si="128"/>
        <v>1470000</v>
      </c>
      <c r="CU94" s="138">
        <f t="shared" ca="1" si="128"/>
        <v>1470000</v>
      </c>
      <c r="CV94" s="138">
        <f t="shared" ca="1" si="128"/>
        <v>1470000</v>
      </c>
      <c r="CW94" s="138">
        <f t="shared" ca="1" si="128"/>
        <v>1470000</v>
      </c>
      <c r="CX94" s="138">
        <f t="shared" ca="1" si="128"/>
        <v>1470000</v>
      </c>
      <c r="CY94" s="138">
        <f t="shared" ca="1" si="128"/>
        <v>1470000</v>
      </c>
      <c r="CZ94" s="138">
        <f t="shared" ca="1" si="128"/>
        <v>1470000</v>
      </c>
      <c r="DA94" s="138">
        <f t="shared" ca="1" si="128"/>
        <v>1470000</v>
      </c>
      <c r="DB94" s="138">
        <f t="shared" ca="1" si="128"/>
        <v>1470000</v>
      </c>
      <c r="DC94" s="138">
        <f t="shared" ca="1" si="128"/>
        <v>1470000</v>
      </c>
      <c r="DE94" s="254" t="str">
        <f t="shared" ca="1" si="100"/>
        <v>G.5.</v>
      </c>
      <c r="DF94">
        <v>1</v>
      </c>
      <c r="DG94">
        <f t="shared" ca="1" si="129"/>
        <v>0</v>
      </c>
    </row>
    <row r="95" spans="1:112" ht="15.75" hidden="1" customHeight="1">
      <c r="A95" s="124">
        <v>83</v>
      </c>
      <c r="B95" s="205" t="str">
        <f t="shared" ca="1" si="97"/>
        <v>G.6.</v>
      </c>
      <c r="C95" s="129" t="str">
        <f t="shared" ca="1" si="98"/>
        <v>Kitų, naujai įsteigtų, ambasadų užsienio valstybėse išlaikymo išlaidos</v>
      </c>
      <c r="D95" s="114"/>
      <c r="E95" s="148">
        <f t="shared" ca="1" si="99"/>
        <v>0</v>
      </c>
      <c r="F95" s="139">
        <f ca="1">H95+NPV(FD,I95:INDEX(I95:DC95,PAL))</f>
        <v>70619668.107303977</v>
      </c>
      <c r="G95" s="140">
        <f ca="1">SUMIF($H$5:$DC$5,"&lt;="&amp;PAL,$H95:$DC95)</f>
        <v>108392500</v>
      </c>
      <c r="H95" s="138">
        <f t="shared" ca="1" si="119"/>
        <v>0</v>
      </c>
      <c r="I95" s="138">
        <f t="shared" ca="1" si="119"/>
        <v>0</v>
      </c>
      <c r="J95" s="138">
        <f t="shared" ca="1" si="119"/>
        <v>2580500</v>
      </c>
      <c r="K95" s="138">
        <f t="shared" ca="1" si="119"/>
        <v>3628400</v>
      </c>
      <c r="L95" s="138">
        <f t="shared" ca="1" si="119"/>
        <v>6010800</v>
      </c>
      <c r="M95" s="138">
        <f t="shared" ca="1" si="119"/>
        <v>6010800</v>
      </c>
      <c r="N95" s="138">
        <f t="shared" ca="1" si="119"/>
        <v>6010800</v>
      </c>
      <c r="O95" s="138">
        <f t="shared" ca="1" si="119"/>
        <v>6010800</v>
      </c>
      <c r="P95" s="138">
        <f t="shared" ca="1" si="119"/>
        <v>6010800</v>
      </c>
      <c r="Q95" s="138">
        <f t="shared" ca="1" si="119"/>
        <v>6010800</v>
      </c>
      <c r="R95" s="138">
        <f t="shared" ca="1" si="120"/>
        <v>6010800</v>
      </c>
      <c r="S95" s="138">
        <f t="shared" ca="1" si="120"/>
        <v>6010800</v>
      </c>
      <c r="T95" s="138">
        <f t="shared" ca="1" si="120"/>
        <v>6010800</v>
      </c>
      <c r="U95" s="138">
        <f t="shared" ca="1" si="120"/>
        <v>6010800</v>
      </c>
      <c r="V95" s="138">
        <f t="shared" ca="1" si="120"/>
        <v>6010800</v>
      </c>
      <c r="W95" s="138">
        <f t="shared" ca="1" si="120"/>
        <v>6010800</v>
      </c>
      <c r="X95" s="138">
        <f t="shared" ca="1" si="120"/>
        <v>6010800</v>
      </c>
      <c r="Y95" s="138">
        <f t="shared" ca="1" si="120"/>
        <v>6010800</v>
      </c>
      <c r="Z95" s="138">
        <f t="shared" ca="1" si="120"/>
        <v>6010800</v>
      </c>
      <c r="AA95" s="138">
        <f t="shared" ca="1" si="120"/>
        <v>6010800</v>
      </c>
      <c r="AB95" s="138">
        <f t="shared" ca="1" si="121"/>
        <v>6010800</v>
      </c>
      <c r="AC95" s="138">
        <f t="shared" ca="1" si="121"/>
        <v>0</v>
      </c>
      <c r="AD95" s="138">
        <f t="shared" ca="1" si="121"/>
        <v>0</v>
      </c>
      <c r="AE95" s="138">
        <f t="shared" ca="1" si="121"/>
        <v>0</v>
      </c>
      <c r="AF95" s="138">
        <f t="shared" ca="1" si="121"/>
        <v>0</v>
      </c>
      <c r="AG95" s="138">
        <f t="shared" ca="1" si="121"/>
        <v>0</v>
      </c>
      <c r="AH95" s="138">
        <f t="shared" ca="1" si="121"/>
        <v>0</v>
      </c>
      <c r="AI95" s="138">
        <f t="shared" ca="1" si="121"/>
        <v>0</v>
      </c>
      <c r="AJ95" s="138">
        <f t="shared" ca="1" si="121"/>
        <v>0</v>
      </c>
      <c r="AK95" s="138">
        <f t="shared" ca="1" si="121"/>
        <v>0</v>
      </c>
      <c r="AL95" s="138">
        <f t="shared" ca="1" si="122"/>
        <v>0</v>
      </c>
      <c r="AM95" s="138">
        <f t="shared" ca="1" si="122"/>
        <v>0</v>
      </c>
      <c r="AN95" s="138">
        <f t="shared" ca="1" si="122"/>
        <v>0</v>
      </c>
      <c r="AO95" s="138">
        <f t="shared" ca="1" si="122"/>
        <v>0</v>
      </c>
      <c r="AP95" s="138">
        <f t="shared" ca="1" si="122"/>
        <v>0</v>
      </c>
      <c r="AQ95" s="138">
        <f t="shared" ca="1" si="122"/>
        <v>0</v>
      </c>
      <c r="AR95" s="138">
        <f t="shared" ca="1" si="122"/>
        <v>0</v>
      </c>
      <c r="AS95" s="138">
        <f t="shared" ca="1" si="122"/>
        <v>0</v>
      </c>
      <c r="AT95" s="138">
        <f t="shared" ca="1" si="122"/>
        <v>0</v>
      </c>
      <c r="AU95" s="138">
        <f t="shared" ca="1" si="122"/>
        <v>0</v>
      </c>
      <c r="AV95" s="138">
        <f t="shared" ca="1" si="123"/>
        <v>0</v>
      </c>
      <c r="AW95" s="138">
        <f t="shared" ca="1" si="123"/>
        <v>0</v>
      </c>
      <c r="AX95" s="138">
        <f t="shared" ca="1" si="123"/>
        <v>0</v>
      </c>
      <c r="AY95" s="138">
        <f t="shared" ca="1" si="123"/>
        <v>0</v>
      </c>
      <c r="AZ95" s="138">
        <f t="shared" ca="1" si="123"/>
        <v>0</v>
      </c>
      <c r="BA95" s="138">
        <f t="shared" ca="1" si="123"/>
        <v>0</v>
      </c>
      <c r="BB95" s="138">
        <f t="shared" ca="1" si="123"/>
        <v>0</v>
      </c>
      <c r="BC95" s="138">
        <f t="shared" ca="1" si="123"/>
        <v>0</v>
      </c>
      <c r="BD95" s="138">
        <f t="shared" ca="1" si="123"/>
        <v>0</v>
      </c>
      <c r="BE95" s="138">
        <f t="shared" ca="1" si="123"/>
        <v>0</v>
      </c>
      <c r="BF95" s="138">
        <f t="shared" ca="1" si="124"/>
        <v>0</v>
      </c>
      <c r="BG95" s="138">
        <f t="shared" ca="1" si="124"/>
        <v>0</v>
      </c>
      <c r="BH95" s="138">
        <f t="shared" ca="1" si="124"/>
        <v>0</v>
      </c>
      <c r="BI95" s="138">
        <f t="shared" ca="1" si="124"/>
        <v>0</v>
      </c>
      <c r="BJ95" s="138">
        <f t="shared" ca="1" si="124"/>
        <v>0</v>
      </c>
      <c r="BK95" s="138">
        <f t="shared" ca="1" si="124"/>
        <v>0</v>
      </c>
      <c r="BL95" s="138">
        <f t="shared" ca="1" si="124"/>
        <v>0</v>
      </c>
      <c r="BM95" s="138">
        <f t="shared" ca="1" si="124"/>
        <v>0</v>
      </c>
      <c r="BN95" s="138">
        <f t="shared" ca="1" si="124"/>
        <v>0</v>
      </c>
      <c r="BO95" s="138">
        <f t="shared" ca="1" si="124"/>
        <v>0</v>
      </c>
      <c r="BP95" s="138">
        <f t="shared" ca="1" si="125"/>
        <v>0</v>
      </c>
      <c r="BQ95" s="138">
        <f t="shared" ca="1" si="125"/>
        <v>0</v>
      </c>
      <c r="BR95" s="138">
        <f t="shared" ca="1" si="125"/>
        <v>0</v>
      </c>
      <c r="BS95" s="138">
        <f t="shared" ca="1" si="125"/>
        <v>0</v>
      </c>
      <c r="BT95" s="138">
        <f t="shared" ca="1" si="125"/>
        <v>0</v>
      </c>
      <c r="BU95" s="138">
        <f t="shared" ca="1" si="125"/>
        <v>0</v>
      </c>
      <c r="BV95" s="138">
        <f t="shared" ca="1" si="125"/>
        <v>0</v>
      </c>
      <c r="BW95" s="138">
        <f t="shared" ca="1" si="125"/>
        <v>0</v>
      </c>
      <c r="BX95" s="138">
        <f t="shared" ca="1" si="125"/>
        <v>0</v>
      </c>
      <c r="BY95" s="138">
        <f t="shared" ca="1" si="125"/>
        <v>0</v>
      </c>
      <c r="BZ95" s="138">
        <f t="shared" ca="1" si="126"/>
        <v>0</v>
      </c>
      <c r="CA95" s="138">
        <f t="shared" ca="1" si="126"/>
        <v>0</v>
      </c>
      <c r="CB95" s="138">
        <f t="shared" ca="1" si="126"/>
        <v>0</v>
      </c>
      <c r="CC95" s="138">
        <f t="shared" ca="1" si="126"/>
        <v>0</v>
      </c>
      <c r="CD95" s="138">
        <f t="shared" ca="1" si="126"/>
        <v>0</v>
      </c>
      <c r="CE95" s="138">
        <f t="shared" ca="1" si="126"/>
        <v>0</v>
      </c>
      <c r="CF95" s="138">
        <f t="shared" ca="1" si="126"/>
        <v>0</v>
      </c>
      <c r="CG95" s="138">
        <f t="shared" ca="1" si="126"/>
        <v>0</v>
      </c>
      <c r="CH95" s="138">
        <f t="shared" ca="1" si="126"/>
        <v>0</v>
      </c>
      <c r="CI95" s="138">
        <f t="shared" ca="1" si="126"/>
        <v>0</v>
      </c>
      <c r="CJ95" s="138">
        <f t="shared" ca="1" si="127"/>
        <v>0</v>
      </c>
      <c r="CK95" s="138">
        <f t="shared" ca="1" si="127"/>
        <v>0</v>
      </c>
      <c r="CL95" s="138">
        <f t="shared" ca="1" si="127"/>
        <v>0</v>
      </c>
      <c r="CM95" s="138">
        <f t="shared" ca="1" si="127"/>
        <v>0</v>
      </c>
      <c r="CN95" s="138">
        <f t="shared" ca="1" si="127"/>
        <v>0</v>
      </c>
      <c r="CO95" s="138">
        <f t="shared" ca="1" si="127"/>
        <v>0</v>
      </c>
      <c r="CP95" s="138">
        <f t="shared" ca="1" si="127"/>
        <v>0</v>
      </c>
      <c r="CQ95" s="138">
        <f t="shared" ca="1" si="127"/>
        <v>0</v>
      </c>
      <c r="CR95" s="138">
        <f t="shared" ca="1" si="127"/>
        <v>0</v>
      </c>
      <c r="CS95" s="138">
        <f t="shared" ca="1" si="127"/>
        <v>0</v>
      </c>
      <c r="CT95" s="138">
        <f t="shared" ca="1" si="128"/>
        <v>0</v>
      </c>
      <c r="CU95" s="138">
        <f t="shared" ca="1" si="128"/>
        <v>0</v>
      </c>
      <c r="CV95" s="138">
        <f t="shared" ca="1" si="128"/>
        <v>0</v>
      </c>
      <c r="CW95" s="138">
        <f t="shared" ca="1" si="128"/>
        <v>0</v>
      </c>
      <c r="CX95" s="138">
        <f t="shared" ca="1" si="128"/>
        <v>0</v>
      </c>
      <c r="CY95" s="138">
        <f t="shared" ca="1" si="128"/>
        <v>0</v>
      </c>
      <c r="CZ95" s="138">
        <f t="shared" ca="1" si="128"/>
        <v>0</v>
      </c>
      <c r="DA95" s="138">
        <f t="shared" ca="1" si="128"/>
        <v>0</v>
      </c>
      <c r="DB95" s="138">
        <f t="shared" ca="1" si="128"/>
        <v>0</v>
      </c>
      <c r="DC95" s="138">
        <f t="shared" ca="1" si="128"/>
        <v>0</v>
      </c>
      <c r="DE95" s="254" t="str">
        <f t="shared" ca="1" si="100"/>
        <v>G.6.</v>
      </c>
      <c r="DF95">
        <v>1</v>
      </c>
      <c r="DG95">
        <f t="shared" ca="1" si="129"/>
        <v>0</v>
      </c>
    </row>
    <row r="96" spans="1:112" ht="15.75" hidden="1" customHeight="1">
      <c r="A96" s="124">
        <v>84</v>
      </c>
      <c r="B96" s="205" t="str">
        <f t="shared" ca="1" si="97"/>
        <v>G.7.</v>
      </c>
      <c r="C96" s="129" t="str">
        <f t="shared" ca="1" si="98"/>
        <v/>
      </c>
      <c r="D96" s="114"/>
      <c r="E96" s="148">
        <f t="shared" ca="1" si="99"/>
        <v>0.21</v>
      </c>
      <c r="F96" s="139">
        <f ca="1">H96+NPV(FD,I96:INDEX(I96:DC96,PAL))</f>
        <v>0</v>
      </c>
      <c r="G96" s="140">
        <f ca="1">SUMIF($H$5:$DC$5,"&lt;="&amp;PAL,$H96:$DC96)</f>
        <v>0</v>
      </c>
      <c r="H96" s="138">
        <f t="shared" ca="1" si="119"/>
        <v>0</v>
      </c>
      <c r="I96" s="138">
        <f t="shared" ca="1" si="119"/>
        <v>0</v>
      </c>
      <c r="J96" s="138">
        <f t="shared" ca="1" si="119"/>
        <v>0</v>
      </c>
      <c r="K96" s="138">
        <f t="shared" ca="1" si="119"/>
        <v>0</v>
      </c>
      <c r="L96" s="138">
        <f t="shared" ca="1" si="119"/>
        <v>0</v>
      </c>
      <c r="M96" s="138">
        <f t="shared" ca="1" si="119"/>
        <v>0</v>
      </c>
      <c r="N96" s="138">
        <f t="shared" ca="1" si="119"/>
        <v>0</v>
      </c>
      <c r="O96" s="138">
        <f t="shared" ca="1" si="119"/>
        <v>0</v>
      </c>
      <c r="P96" s="138">
        <f t="shared" ca="1" si="119"/>
        <v>0</v>
      </c>
      <c r="Q96" s="138">
        <f t="shared" ca="1" si="119"/>
        <v>0</v>
      </c>
      <c r="R96" s="138">
        <f t="shared" ca="1" si="120"/>
        <v>0</v>
      </c>
      <c r="S96" s="138">
        <f t="shared" ca="1" si="120"/>
        <v>0</v>
      </c>
      <c r="T96" s="138">
        <f t="shared" ca="1" si="120"/>
        <v>0</v>
      </c>
      <c r="U96" s="138">
        <f t="shared" ca="1" si="120"/>
        <v>0</v>
      </c>
      <c r="V96" s="138">
        <f t="shared" ca="1" si="120"/>
        <v>0</v>
      </c>
      <c r="W96" s="138">
        <f t="shared" ca="1" si="120"/>
        <v>0</v>
      </c>
      <c r="X96" s="138">
        <f t="shared" ca="1" si="120"/>
        <v>0</v>
      </c>
      <c r="Y96" s="138">
        <f t="shared" ca="1" si="120"/>
        <v>0</v>
      </c>
      <c r="Z96" s="138">
        <f t="shared" ca="1" si="120"/>
        <v>0</v>
      </c>
      <c r="AA96" s="138">
        <f t="shared" ca="1" si="120"/>
        <v>0</v>
      </c>
      <c r="AB96" s="138">
        <f t="shared" ca="1" si="121"/>
        <v>0</v>
      </c>
      <c r="AC96" s="138">
        <f t="shared" ca="1" si="121"/>
        <v>0</v>
      </c>
      <c r="AD96" s="138">
        <f t="shared" ca="1" si="121"/>
        <v>0</v>
      </c>
      <c r="AE96" s="138">
        <f t="shared" ca="1" si="121"/>
        <v>0</v>
      </c>
      <c r="AF96" s="138">
        <f t="shared" ca="1" si="121"/>
        <v>0</v>
      </c>
      <c r="AG96" s="138">
        <f t="shared" ca="1" si="121"/>
        <v>0</v>
      </c>
      <c r="AH96" s="138">
        <f t="shared" ca="1" si="121"/>
        <v>0</v>
      </c>
      <c r="AI96" s="138">
        <f t="shared" ca="1" si="121"/>
        <v>0</v>
      </c>
      <c r="AJ96" s="138">
        <f t="shared" ca="1" si="121"/>
        <v>0</v>
      </c>
      <c r="AK96" s="138">
        <f t="shared" ca="1" si="121"/>
        <v>0</v>
      </c>
      <c r="AL96" s="138">
        <f t="shared" ca="1" si="122"/>
        <v>0</v>
      </c>
      <c r="AM96" s="138">
        <f t="shared" ca="1" si="122"/>
        <v>0</v>
      </c>
      <c r="AN96" s="138">
        <f t="shared" ca="1" si="122"/>
        <v>0</v>
      </c>
      <c r="AO96" s="138">
        <f t="shared" ca="1" si="122"/>
        <v>0</v>
      </c>
      <c r="AP96" s="138">
        <f t="shared" ca="1" si="122"/>
        <v>0</v>
      </c>
      <c r="AQ96" s="138">
        <f t="shared" ca="1" si="122"/>
        <v>0</v>
      </c>
      <c r="AR96" s="138">
        <f t="shared" ca="1" si="122"/>
        <v>0</v>
      </c>
      <c r="AS96" s="138">
        <f t="shared" ca="1" si="122"/>
        <v>0</v>
      </c>
      <c r="AT96" s="138">
        <f t="shared" ca="1" si="122"/>
        <v>0</v>
      </c>
      <c r="AU96" s="138">
        <f t="shared" ca="1" si="122"/>
        <v>0</v>
      </c>
      <c r="AV96" s="138">
        <f t="shared" ca="1" si="123"/>
        <v>0</v>
      </c>
      <c r="AW96" s="138">
        <f t="shared" ca="1" si="123"/>
        <v>0</v>
      </c>
      <c r="AX96" s="138">
        <f t="shared" ca="1" si="123"/>
        <v>0</v>
      </c>
      <c r="AY96" s="138">
        <f t="shared" ca="1" si="123"/>
        <v>0</v>
      </c>
      <c r="AZ96" s="138">
        <f t="shared" ca="1" si="123"/>
        <v>0</v>
      </c>
      <c r="BA96" s="138">
        <f t="shared" ca="1" si="123"/>
        <v>0</v>
      </c>
      <c r="BB96" s="138">
        <f t="shared" ca="1" si="123"/>
        <v>0</v>
      </c>
      <c r="BC96" s="138">
        <f t="shared" ca="1" si="123"/>
        <v>0</v>
      </c>
      <c r="BD96" s="138">
        <f t="shared" ca="1" si="123"/>
        <v>0</v>
      </c>
      <c r="BE96" s="138">
        <f t="shared" ca="1" si="123"/>
        <v>0</v>
      </c>
      <c r="BF96" s="138">
        <f t="shared" ca="1" si="124"/>
        <v>0</v>
      </c>
      <c r="BG96" s="138">
        <f t="shared" ca="1" si="124"/>
        <v>0</v>
      </c>
      <c r="BH96" s="138">
        <f t="shared" ca="1" si="124"/>
        <v>0</v>
      </c>
      <c r="BI96" s="138">
        <f t="shared" ca="1" si="124"/>
        <v>0</v>
      </c>
      <c r="BJ96" s="138">
        <f t="shared" ca="1" si="124"/>
        <v>0</v>
      </c>
      <c r="BK96" s="138">
        <f t="shared" ca="1" si="124"/>
        <v>0</v>
      </c>
      <c r="BL96" s="138">
        <f t="shared" ca="1" si="124"/>
        <v>0</v>
      </c>
      <c r="BM96" s="138">
        <f t="shared" ca="1" si="124"/>
        <v>0</v>
      </c>
      <c r="BN96" s="138">
        <f t="shared" ca="1" si="124"/>
        <v>0</v>
      </c>
      <c r="BO96" s="138">
        <f t="shared" ca="1" si="124"/>
        <v>0</v>
      </c>
      <c r="BP96" s="138">
        <f t="shared" ca="1" si="125"/>
        <v>0</v>
      </c>
      <c r="BQ96" s="138">
        <f t="shared" ca="1" si="125"/>
        <v>0</v>
      </c>
      <c r="BR96" s="138">
        <f t="shared" ca="1" si="125"/>
        <v>0</v>
      </c>
      <c r="BS96" s="138">
        <f t="shared" ca="1" si="125"/>
        <v>0</v>
      </c>
      <c r="BT96" s="138">
        <f t="shared" ca="1" si="125"/>
        <v>0</v>
      </c>
      <c r="BU96" s="138">
        <f t="shared" ca="1" si="125"/>
        <v>0</v>
      </c>
      <c r="BV96" s="138">
        <f t="shared" ca="1" si="125"/>
        <v>0</v>
      </c>
      <c r="BW96" s="138">
        <f t="shared" ca="1" si="125"/>
        <v>0</v>
      </c>
      <c r="BX96" s="138">
        <f t="shared" ca="1" si="125"/>
        <v>0</v>
      </c>
      <c r="BY96" s="138">
        <f t="shared" ca="1" si="125"/>
        <v>0</v>
      </c>
      <c r="BZ96" s="138">
        <f t="shared" ca="1" si="126"/>
        <v>0</v>
      </c>
      <c r="CA96" s="138">
        <f t="shared" ca="1" si="126"/>
        <v>0</v>
      </c>
      <c r="CB96" s="138">
        <f t="shared" ca="1" si="126"/>
        <v>0</v>
      </c>
      <c r="CC96" s="138">
        <f t="shared" ca="1" si="126"/>
        <v>0</v>
      </c>
      <c r="CD96" s="138">
        <f t="shared" ca="1" si="126"/>
        <v>0</v>
      </c>
      <c r="CE96" s="138">
        <f t="shared" ca="1" si="126"/>
        <v>0</v>
      </c>
      <c r="CF96" s="138">
        <f t="shared" ca="1" si="126"/>
        <v>0</v>
      </c>
      <c r="CG96" s="138">
        <f t="shared" ca="1" si="126"/>
        <v>0</v>
      </c>
      <c r="CH96" s="138">
        <f t="shared" ca="1" si="126"/>
        <v>0</v>
      </c>
      <c r="CI96" s="138">
        <f t="shared" ca="1" si="126"/>
        <v>0</v>
      </c>
      <c r="CJ96" s="138">
        <f t="shared" ca="1" si="127"/>
        <v>0</v>
      </c>
      <c r="CK96" s="138">
        <f t="shared" ca="1" si="127"/>
        <v>0</v>
      </c>
      <c r="CL96" s="138">
        <f t="shared" ca="1" si="127"/>
        <v>0</v>
      </c>
      <c r="CM96" s="138">
        <f t="shared" ca="1" si="127"/>
        <v>0</v>
      </c>
      <c r="CN96" s="138">
        <f t="shared" ca="1" si="127"/>
        <v>0</v>
      </c>
      <c r="CO96" s="138">
        <f t="shared" ca="1" si="127"/>
        <v>0</v>
      </c>
      <c r="CP96" s="138">
        <f t="shared" ca="1" si="127"/>
        <v>0</v>
      </c>
      <c r="CQ96" s="138">
        <f t="shared" ca="1" si="127"/>
        <v>0</v>
      </c>
      <c r="CR96" s="138">
        <f t="shared" ca="1" si="127"/>
        <v>0</v>
      </c>
      <c r="CS96" s="138">
        <f t="shared" ca="1" si="127"/>
        <v>0</v>
      </c>
      <c r="CT96" s="138">
        <f t="shared" ca="1" si="128"/>
        <v>0</v>
      </c>
      <c r="CU96" s="138">
        <f t="shared" ca="1" si="128"/>
        <v>0</v>
      </c>
      <c r="CV96" s="138">
        <f t="shared" ca="1" si="128"/>
        <v>0</v>
      </c>
      <c r="CW96" s="138">
        <f t="shared" ca="1" si="128"/>
        <v>0</v>
      </c>
      <c r="CX96" s="138">
        <f t="shared" ca="1" si="128"/>
        <v>0</v>
      </c>
      <c r="CY96" s="138">
        <f t="shared" ca="1" si="128"/>
        <v>0</v>
      </c>
      <c r="CZ96" s="138">
        <f t="shared" ca="1" si="128"/>
        <v>0</v>
      </c>
      <c r="DA96" s="138">
        <f t="shared" ca="1" si="128"/>
        <v>0</v>
      </c>
      <c r="DB96" s="138">
        <f t="shared" ca="1" si="128"/>
        <v>0</v>
      </c>
      <c r="DC96" s="138">
        <f t="shared" ca="1" si="128"/>
        <v>0</v>
      </c>
      <c r="DE96" s="254" t="str">
        <f t="shared" ca="1" si="100"/>
        <v>G.7.</v>
      </c>
      <c r="DF96">
        <v>1</v>
      </c>
      <c r="DG96">
        <f t="shared" ca="1" si="129"/>
        <v>21</v>
      </c>
    </row>
    <row r="97" spans="1:111" ht="15.75" hidden="1" customHeight="1">
      <c r="A97" s="124">
        <v>85</v>
      </c>
      <c r="B97" s="205" t="str">
        <f t="shared" ca="1" si="97"/>
        <v>G.8.</v>
      </c>
      <c r="C97" s="129" t="str">
        <f t="shared" ca="1" si="98"/>
        <v/>
      </c>
      <c r="D97" s="114"/>
      <c r="E97" s="148">
        <f t="shared" ca="1" si="99"/>
        <v>0.21</v>
      </c>
      <c r="F97" s="139">
        <f ca="1">H97+NPV(FD,I97:INDEX(I97:DC97,PAL))</f>
        <v>0</v>
      </c>
      <c r="G97" s="140">
        <f ca="1">SUMIF($H$5:$DC$5,"&lt;="&amp;PAL,$H97:$DC97)</f>
        <v>0</v>
      </c>
      <c r="H97" s="138">
        <f t="shared" ca="1" si="119"/>
        <v>0</v>
      </c>
      <c r="I97" s="138">
        <f t="shared" ca="1" si="119"/>
        <v>0</v>
      </c>
      <c r="J97" s="138">
        <f t="shared" ca="1" si="119"/>
        <v>0</v>
      </c>
      <c r="K97" s="138">
        <f t="shared" ca="1" si="119"/>
        <v>0</v>
      </c>
      <c r="L97" s="138">
        <f t="shared" ca="1" si="119"/>
        <v>0</v>
      </c>
      <c r="M97" s="138">
        <f t="shared" ca="1" si="119"/>
        <v>0</v>
      </c>
      <c r="N97" s="138">
        <f t="shared" ca="1" si="119"/>
        <v>0</v>
      </c>
      <c r="O97" s="138">
        <f t="shared" ca="1" si="119"/>
        <v>0</v>
      </c>
      <c r="P97" s="138">
        <f t="shared" ca="1" si="119"/>
        <v>0</v>
      </c>
      <c r="Q97" s="138">
        <f t="shared" ca="1" si="119"/>
        <v>0</v>
      </c>
      <c r="R97" s="138">
        <f t="shared" ca="1" si="120"/>
        <v>0</v>
      </c>
      <c r="S97" s="138">
        <f t="shared" ca="1" si="120"/>
        <v>0</v>
      </c>
      <c r="T97" s="138">
        <f t="shared" ca="1" si="120"/>
        <v>0</v>
      </c>
      <c r="U97" s="138">
        <f t="shared" ca="1" si="120"/>
        <v>0</v>
      </c>
      <c r="V97" s="138">
        <f t="shared" ca="1" si="120"/>
        <v>0</v>
      </c>
      <c r="W97" s="138">
        <f t="shared" ca="1" si="120"/>
        <v>0</v>
      </c>
      <c r="X97" s="138">
        <f t="shared" ca="1" si="120"/>
        <v>0</v>
      </c>
      <c r="Y97" s="138">
        <f t="shared" ca="1" si="120"/>
        <v>0</v>
      </c>
      <c r="Z97" s="138">
        <f t="shared" ca="1" si="120"/>
        <v>0</v>
      </c>
      <c r="AA97" s="138">
        <f t="shared" ca="1" si="120"/>
        <v>0</v>
      </c>
      <c r="AB97" s="138">
        <f t="shared" ca="1" si="121"/>
        <v>0</v>
      </c>
      <c r="AC97" s="138">
        <f t="shared" ca="1" si="121"/>
        <v>0</v>
      </c>
      <c r="AD97" s="138">
        <f t="shared" ca="1" si="121"/>
        <v>0</v>
      </c>
      <c r="AE97" s="138">
        <f t="shared" ca="1" si="121"/>
        <v>0</v>
      </c>
      <c r="AF97" s="138">
        <f t="shared" ca="1" si="121"/>
        <v>0</v>
      </c>
      <c r="AG97" s="138">
        <f t="shared" ca="1" si="121"/>
        <v>0</v>
      </c>
      <c r="AH97" s="138">
        <f t="shared" ca="1" si="121"/>
        <v>0</v>
      </c>
      <c r="AI97" s="138">
        <f t="shared" ca="1" si="121"/>
        <v>0</v>
      </c>
      <c r="AJ97" s="138">
        <f t="shared" ca="1" si="121"/>
        <v>0</v>
      </c>
      <c r="AK97" s="138">
        <f t="shared" ca="1" si="121"/>
        <v>0</v>
      </c>
      <c r="AL97" s="138">
        <f t="shared" ca="1" si="122"/>
        <v>0</v>
      </c>
      <c r="AM97" s="138">
        <f t="shared" ca="1" si="122"/>
        <v>0</v>
      </c>
      <c r="AN97" s="138">
        <f t="shared" ca="1" si="122"/>
        <v>0</v>
      </c>
      <c r="AO97" s="138">
        <f t="shared" ca="1" si="122"/>
        <v>0</v>
      </c>
      <c r="AP97" s="138">
        <f t="shared" ca="1" si="122"/>
        <v>0</v>
      </c>
      <c r="AQ97" s="138">
        <f t="shared" ca="1" si="122"/>
        <v>0</v>
      </c>
      <c r="AR97" s="138">
        <f t="shared" ca="1" si="122"/>
        <v>0</v>
      </c>
      <c r="AS97" s="138">
        <f t="shared" ca="1" si="122"/>
        <v>0</v>
      </c>
      <c r="AT97" s="138">
        <f t="shared" ca="1" si="122"/>
        <v>0</v>
      </c>
      <c r="AU97" s="138">
        <f t="shared" ca="1" si="122"/>
        <v>0</v>
      </c>
      <c r="AV97" s="138">
        <f t="shared" ca="1" si="123"/>
        <v>0</v>
      </c>
      <c r="AW97" s="138">
        <f t="shared" ca="1" si="123"/>
        <v>0</v>
      </c>
      <c r="AX97" s="138">
        <f t="shared" ca="1" si="123"/>
        <v>0</v>
      </c>
      <c r="AY97" s="138">
        <f t="shared" ca="1" si="123"/>
        <v>0</v>
      </c>
      <c r="AZ97" s="138">
        <f t="shared" ca="1" si="123"/>
        <v>0</v>
      </c>
      <c r="BA97" s="138">
        <f t="shared" ca="1" si="123"/>
        <v>0</v>
      </c>
      <c r="BB97" s="138">
        <f t="shared" ca="1" si="123"/>
        <v>0</v>
      </c>
      <c r="BC97" s="138">
        <f t="shared" ca="1" si="123"/>
        <v>0</v>
      </c>
      <c r="BD97" s="138">
        <f t="shared" ca="1" si="123"/>
        <v>0</v>
      </c>
      <c r="BE97" s="138">
        <f t="shared" ca="1" si="123"/>
        <v>0</v>
      </c>
      <c r="BF97" s="138">
        <f t="shared" ca="1" si="124"/>
        <v>0</v>
      </c>
      <c r="BG97" s="138">
        <f t="shared" ca="1" si="124"/>
        <v>0</v>
      </c>
      <c r="BH97" s="138">
        <f t="shared" ca="1" si="124"/>
        <v>0</v>
      </c>
      <c r="BI97" s="138">
        <f t="shared" ca="1" si="124"/>
        <v>0</v>
      </c>
      <c r="BJ97" s="138">
        <f t="shared" ca="1" si="124"/>
        <v>0</v>
      </c>
      <c r="BK97" s="138">
        <f t="shared" ca="1" si="124"/>
        <v>0</v>
      </c>
      <c r="BL97" s="138">
        <f t="shared" ca="1" si="124"/>
        <v>0</v>
      </c>
      <c r="BM97" s="138">
        <f t="shared" ca="1" si="124"/>
        <v>0</v>
      </c>
      <c r="BN97" s="138">
        <f t="shared" ca="1" si="124"/>
        <v>0</v>
      </c>
      <c r="BO97" s="138">
        <f t="shared" ca="1" si="124"/>
        <v>0</v>
      </c>
      <c r="BP97" s="138">
        <f t="shared" ca="1" si="125"/>
        <v>0</v>
      </c>
      <c r="BQ97" s="138">
        <f t="shared" ca="1" si="125"/>
        <v>0</v>
      </c>
      <c r="BR97" s="138">
        <f t="shared" ca="1" si="125"/>
        <v>0</v>
      </c>
      <c r="BS97" s="138">
        <f t="shared" ca="1" si="125"/>
        <v>0</v>
      </c>
      <c r="BT97" s="138">
        <f t="shared" ca="1" si="125"/>
        <v>0</v>
      </c>
      <c r="BU97" s="138">
        <f t="shared" ca="1" si="125"/>
        <v>0</v>
      </c>
      <c r="BV97" s="138">
        <f t="shared" ca="1" si="125"/>
        <v>0</v>
      </c>
      <c r="BW97" s="138">
        <f t="shared" ca="1" si="125"/>
        <v>0</v>
      </c>
      <c r="BX97" s="138">
        <f t="shared" ca="1" si="125"/>
        <v>0</v>
      </c>
      <c r="BY97" s="138">
        <f t="shared" ca="1" si="125"/>
        <v>0</v>
      </c>
      <c r="BZ97" s="138">
        <f t="shared" ca="1" si="126"/>
        <v>0</v>
      </c>
      <c r="CA97" s="138">
        <f t="shared" ca="1" si="126"/>
        <v>0</v>
      </c>
      <c r="CB97" s="138">
        <f t="shared" ca="1" si="126"/>
        <v>0</v>
      </c>
      <c r="CC97" s="138">
        <f t="shared" ca="1" si="126"/>
        <v>0</v>
      </c>
      <c r="CD97" s="138">
        <f t="shared" ca="1" si="126"/>
        <v>0</v>
      </c>
      <c r="CE97" s="138">
        <f t="shared" ca="1" si="126"/>
        <v>0</v>
      </c>
      <c r="CF97" s="138">
        <f t="shared" ca="1" si="126"/>
        <v>0</v>
      </c>
      <c r="CG97" s="138">
        <f t="shared" ca="1" si="126"/>
        <v>0</v>
      </c>
      <c r="CH97" s="138">
        <f t="shared" ca="1" si="126"/>
        <v>0</v>
      </c>
      <c r="CI97" s="138">
        <f t="shared" ca="1" si="126"/>
        <v>0</v>
      </c>
      <c r="CJ97" s="138">
        <f t="shared" ca="1" si="127"/>
        <v>0</v>
      </c>
      <c r="CK97" s="138">
        <f t="shared" ca="1" si="127"/>
        <v>0</v>
      </c>
      <c r="CL97" s="138">
        <f t="shared" ca="1" si="127"/>
        <v>0</v>
      </c>
      <c r="CM97" s="138">
        <f t="shared" ca="1" si="127"/>
        <v>0</v>
      </c>
      <c r="CN97" s="138">
        <f t="shared" ca="1" si="127"/>
        <v>0</v>
      </c>
      <c r="CO97" s="138">
        <f t="shared" ca="1" si="127"/>
        <v>0</v>
      </c>
      <c r="CP97" s="138">
        <f t="shared" ca="1" si="127"/>
        <v>0</v>
      </c>
      <c r="CQ97" s="138">
        <f t="shared" ca="1" si="127"/>
        <v>0</v>
      </c>
      <c r="CR97" s="138">
        <f t="shared" ca="1" si="127"/>
        <v>0</v>
      </c>
      <c r="CS97" s="138">
        <f t="shared" ca="1" si="127"/>
        <v>0</v>
      </c>
      <c r="CT97" s="138">
        <f t="shared" ca="1" si="128"/>
        <v>0</v>
      </c>
      <c r="CU97" s="138">
        <f t="shared" ca="1" si="128"/>
        <v>0</v>
      </c>
      <c r="CV97" s="138">
        <f t="shared" ca="1" si="128"/>
        <v>0</v>
      </c>
      <c r="CW97" s="138">
        <f t="shared" ca="1" si="128"/>
        <v>0</v>
      </c>
      <c r="CX97" s="138">
        <f t="shared" ca="1" si="128"/>
        <v>0</v>
      </c>
      <c r="CY97" s="138">
        <f t="shared" ca="1" si="128"/>
        <v>0</v>
      </c>
      <c r="CZ97" s="138">
        <f t="shared" ca="1" si="128"/>
        <v>0</v>
      </c>
      <c r="DA97" s="138">
        <f t="shared" ca="1" si="128"/>
        <v>0</v>
      </c>
      <c r="DB97" s="138">
        <f t="shared" ca="1" si="128"/>
        <v>0</v>
      </c>
      <c r="DC97" s="138">
        <f t="shared" ca="1" si="128"/>
        <v>0</v>
      </c>
      <c r="DE97" s="254" t="str">
        <f t="shared" ca="1" si="100"/>
        <v>G.8.</v>
      </c>
      <c r="DF97">
        <v>1</v>
      </c>
      <c r="DG97">
        <f t="shared" ca="1" si="129"/>
        <v>21</v>
      </c>
    </row>
    <row r="98" spans="1:111" ht="15.75" hidden="1" customHeight="1">
      <c r="A98" s="124">
        <v>86</v>
      </c>
      <c r="B98" s="205" t="str">
        <f t="shared" ca="1" si="97"/>
        <v>G.9.</v>
      </c>
      <c r="C98" s="129" t="str">
        <f t="shared" ca="1" si="98"/>
        <v/>
      </c>
      <c r="D98" s="114"/>
      <c r="E98" s="148">
        <f t="shared" ca="1" si="99"/>
        <v>0.21</v>
      </c>
      <c r="F98" s="139">
        <f ca="1">H98+NPV(FD,I98:INDEX(I98:DC98,PAL))</f>
        <v>0</v>
      </c>
      <c r="G98" s="140">
        <f ca="1">SUMIF($H$5:$DC$5,"&lt;="&amp;PAL,$H98:$DC98)</f>
        <v>0</v>
      </c>
      <c r="H98" s="138">
        <f t="shared" ca="1" si="119"/>
        <v>0</v>
      </c>
      <c r="I98" s="138">
        <f t="shared" ca="1" si="119"/>
        <v>0</v>
      </c>
      <c r="J98" s="138">
        <f t="shared" ca="1" si="119"/>
        <v>0</v>
      </c>
      <c r="K98" s="138">
        <f t="shared" ca="1" si="119"/>
        <v>0</v>
      </c>
      <c r="L98" s="138">
        <f t="shared" ca="1" si="119"/>
        <v>0</v>
      </c>
      <c r="M98" s="138">
        <f t="shared" ca="1" si="119"/>
        <v>0</v>
      </c>
      <c r="N98" s="138">
        <f t="shared" ca="1" si="119"/>
        <v>0</v>
      </c>
      <c r="O98" s="138">
        <f t="shared" ca="1" si="119"/>
        <v>0</v>
      </c>
      <c r="P98" s="138">
        <f t="shared" ca="1" si="119"/>
        <v>0</v>
      </c>
      <c r="Q98" s="138">
        <f t="shared" ca="1" si="119"/>
        <v>0</v>
      </c>
      <c r="R98" s="138">
        <f t="shared" ca="1" si="120"/>
        <v>0</v>
      </c>
      <c r="S98" s="138">
        <f t="shared" ca="1" si="120"/>
        <v>0</v>
      </c>
      <c r="T98" s="138">
        <f t="shared" ca="1" si="120"/>
        <v>0</v>
      </c>
      <c r="U98" s="138">
        <f t="shared" ca="1" si="120"/>
        <v>0</v>
      </c>
      <c r="V98" s="138">
        <f t="shared" ca="1" si="120"/>
        <v>0</v>
      </c>
      <c r="W98" s="138">
        <f t="shared" ca="1" si="120"/>
        <v>0</v>
      </c>
      <c r="X98" s="138">
        <f t="shared" ca="1" si="120"/>
        <v>0</v>
      </c>
      <c r="Y98" s="138">
        <f t="shared" ca="1" si="120"/>
        <v>0</v>
      </c>
      <c r="Z98" s="138">
        <f t="shared" ca="1" si="120"/>
        <v>0</v>
      </c>
      <c r="AA98" s="138">
        <f t="shared" ca="1" si="120"/>
        <v>0</v>
      </c>
      <c r="AB98" s="138">
        <f t="shared" ca="1" si="121"/>
        <v>0</v>
      </c>
      <c r="AC98" s="138">
        <f t="shared" ca="1" si="121"/>
        <v>0</v>
      </c>
      <c r="AD98" s="138">
        <f t="shared" ca="1" si="121"/>
        <v>0</v>
      </c>
      <c r="AE98" s="138">
        <f t="shared" ca="1" si="121"/>
        <v>0</v>
      </c>
      <c r="AF98" s="138">
        <f t="shared" ca="1" si="121"/>
        <v>0</v>
      </c>
      <c r="AG98" s="138">
        <f t="shared" ca="1" si="121"/>
        <v>0</v>
      </c>
      <c r="AH98" s="138">
        <f t="shared" ca="1" si="121"/>
        <v>0</v>
      </c>
      <c r="AI98" s="138">
        <f t="shared" ca="1" si="121"/>
        <v>0</v>
      </c>
      <c r="AJ98" s="138">
        <f t="shared" ca="1" si="121"/>
        <v>0</v>
      </c>
      <c r="AK98" s="138">
        <f t="shared" ca="1" si="121"/>
        <v>0</v>
      </c>
      <c r="AL98" s="138">
        <f t="shared" ca="1" si="122"/>
        <v>0</v>
      </c>
      <c r="AM98" s="138">
        <f t="shared" ca="1" si="122"/>
        <v>0</v>
      </c>
      <c r="AN98" s="138">
        <f t="shared" ca="1" si="122"/>
        <v>0</v>
      </c>
      <c r="AO98" s="138">
        <f t="shared" ca="1" si="122"/>
        <v>0</v>
      </c>
      <c r="AP98" s="138">
        <f t="shared" ca="1" si="122"/>
        <v>0</v>
      </c>
      <c r="AQ98" s="138">
        <f t="shared" ca="1" si="122"/>
        <v>0</v>
      </c>
      <c r="AR98" s="138">
        <f t="shared" ca="1" si="122"/>
        <v>0</v>
      </c>
      <c r="AS98" s="138">
        <f t="shared" ca="1" si="122"/>
        <v>0</v>
      </c>
      <c r="AT98" s="138">
        <f t="shared" ca="1" si="122"/>
        <v>0</v>
      </c>
      <c r="AU98" s="138">
        <f t="shared" ca="1" si="122"/>
        <v>0</v>
      </c>
      <c r="AV98" s="138">
        <f t="shared" ca="1" si="123"/>
        <v>0</v>
      </c>
      <c r="AW98" s="138">
        <f t="shared" ca="1" si="123"/>
        <v>0</v>
      </c>
      <c r="AX98" s="138">
        <f t="shared" ca="1" si="123"/>
        <v>0</v>
      </c>
      <c r="AY98" s="138">
        <f t="shared" ca="1" si="123"/>
        <v>0</v>
      </c>
      <c r="AZ98" s="138">
        <f t="shared" ca="1" si="123"/>
        <v>0</v>
      </c>
      <c r="BA98" s="138">
        <f t="shared" ca="1" si="123"/>
        <v>0</v>
      </c>
      <c r="BB98" s="138">
        <f t="shared" ca="1" si="123"/>
        <v>0</v>
      </c>
      <c r="BC98" s="138">
        <f t="shared" ca="1" si="123"/>
        <v>0</v>
      </c>
      <c r="BD98" s="138">
        <f t="shared" ca="1" si="123"/>
        <v>0</v>
      </c>
      <c r="BE98" s="138">
        <f t="shared" ca="1" si="123"/>
        <v>0</v>
      </c>
      <c r="BF98" s="138">
        <f t="shared" ca="1" si="124"/>
        <v>0</v>
      </c>
      <c r="BG98" s="138">
        <f t="shared" ca="1" si="124"/>
        <v>0</v>
      </c>
      <c r="BH98" s="138">
        <f t="shared" ca="1" si="124"/>
        <v>0</v>
      </c>
      <c r="BI98" s="138">
        <f t="shared" ca="1" si="124"/>
        <v>0</v>
      </c>
      <c r="BJ98" s="138">
        <f t="shared" ca="1" si="124"/>
        <v>0</v>
      </c>
      <c r="BK98" s="138">
        <f t="shared" ca="1" si="124"/>
        <v>0</v>
      </c>
      <c r="BL98" s="138">
        <f t="shared" ca="1" si="124"/>
        <v>0</v>
      </c>
      <c r="BM98" s="138">
        <f t="shared" ca="1" si="124"/>
        <v>0</v>
      </c>
      <c r="BN98" s="138">
        <f t="shared" ca="1" si="124"/>
        <v>0</v>
      </c>
      <c r="BO98" s="138">
        <f t="shared" ca="1" si="124"/>
        <v>0</v>
      </c>
      <c r="BP98" s="138">
        <f t="shared" ca="1" si="125"/>
        <v>0</v>
      </c>
      <c r="BQ98" s="138">
        <f t="shared" ca="1" si="125"/>
        <v>0</v>
      </c>
      <c r="BR98" s="138">
        <f t="shared" ca="1" si="125"/>
        <v>0</v>
      </c>
      <c r="BS98" s="138">
        <f t="shared" ca="1" si="125"/>
        <v>0</v>
      </c>
      <c r="BT98" s="138">
        <f t="shared" ca="1" si="125"/>
        <v>0</v>
      </c>
      <c r="BU98" s="138">
        <f t="shared" ca="1" si="125"/>
        <v>0</v>
      </c>
      <c r="BV98" s="138">
        <f t="shared" ca="1" si="125"/>
        <v>0</v>
      </c>
      <c r="BW98" s="138">
        <f t="shared" ca="1" si="125"/>
        <v>0</v>
      </c>
      <c r="BX98" s="138">
        <f t="shared" ca="1" si="125"/>
        <v>0</v>
      </c>
      <c r="BY98" s="138">
        <f t="shared" ca="1" si="125"/>
        <v>0</v>
      </c>
      <c r="BZ98" s="138">
        <f t="shared" ca="1" si="126"/>
        <v>0</v>
      </c>
      <c r="CA98" s="138">
        <f t="shared" ca="1" si="126"/>
        <v>0</v>
      </c>
      <c r="CB98" s="138">
        <f t="shared" ca="1" si="126"/>
        <v>0</v>
      </c>
      <c r="CC98" s="138">
        <f t="shared" ca="1" si="126"/>
        <v>0</v>
      </c>
      <c r="CD98" s="138">
        <f t="shared" ca="1" si="126"/>
        <v>0</v>
      </c>
      <c r="CE98" s="138">
        <f t="shared" ca="1" si="126"/>
        <v>0</v>
      </c>
      <c r="CF98" s="138">
        <f t="shared" ca="1" si="126"/>
        <v>0</v>
      </c>
      <c r="CG98" s="138">
        <f t="shared" ca="1" si="126"/>
        <v>0</v>
      </c>
      <c r="CH98" s="138">
        <f t="shared" ca="1" si="126"/>
        <v>0</v>
      </c>
      <c r="CI98" s="138">
        <f t="shared" ca="1" si="126"/>
        <v>0</v>
      </c>
      <c r="CJ98" s="138">
        <f t="shared" ca="1" si="127"/>
        <v>0</v>
      </c>
      <c r="CK98" s="138">
        <f t="shared" ca="1" si="127"/>
        <v>0</v>
      </c>
      <c r="CL98" s="138">
        <f t="shared" ca="1" si="127"/>
        <v>0</v>
      </c>
      <c r="CM98" s="138">
        <f t="shared" ca="1" si="127"/>
        <v>0</v>
      </c>
      <c r="CN98" s="138">
        <f t="shared" ca="1" si="127"/>
        <v>0</v>
      </c>
      <c r="CO98" s="138">
        <f t="shared" ca="1" si="127"/>
        <v>0</v>
      </c>
      <c r="CP98" s="138">
        <f t="shared" ca="1" si="127"/>
        <v>0</v>
      </c>
      <c r="CQ98" s="138">
        <f t="shared" ca="1" si="127"/>
        <v>0</v>
      </c>
      <c r="CR98" s="138">
        <f t="shared" ca="1" si="127"/>
        <v>0</v>
      </c>
      <c r="CS98" s="138">
        <f t="shared" ca="1" si="127"/>
        <v>0</v>
      </c>
      <c r="CT98" s="138">
        <f t="shared" ca="1" si="128"/>
        <v>0</v>
      </c>
      <c r="CU98" s="138">
        <f t="shared" ca="1" si="128"/>
        <v>0</v>
      </c>
      <c r="CV98" s="138">
        <f t="shared" ca="1" si="128"/>
        <v>0</v>
      </c>
      <c r="CW98" s="138">
        <f t="shared" ca="1" si="128"/>
        <v>0</v>
      </c>
      <c r="CX98" s="138">
        <f t="shared" ca="1" si="128"/>
        <v>0</v>
      </c>
      <c r="CY98" s="138">
        <f t="shared" ca="1" si="128"/>
        <v>0</v>
      </c>
      <c r="CZ98" s="138">
        <f t="shared" ca="1" si="128"/>
        <v>0</v>
      </c>
      <c r="DA98" s="138">
        <f t="shared" ca="1" si="128"/>
        <v>0</v>
      </c>
      <c r="DB98" s="138">
        <f t="shared" ca="1" si="128"/>
        <v>0</v>
      </c>
      <c r="DC98" s="138">
        <f t="shared" ca="1" si="128"/>
        <v>0</v>
      </c>
      <c r="DE98" s="254" t="str">
        <f t="shared" ca="1" si="100"/>
        <v>G.9.</v>
      </c>
      <c r="DF98">
        <v>1</v>
      </c>
      <c r="DG98">
        <f t="shared" ca="1" si="129"/>
        <v>21</v>
      </c>
    </row>
    <row r="99" spans="1:111" ht="15.75" hidden="1" customHeight="1">
      <c r="A99" s="124">
        <v>87</v>
      </c>
      <c r="B99" s="205" t="str">
        <f t="shared" ca="1" si="97"/>
        <v>G.10.</v>
      </c>
      <c r="C99" s="129" t="str">
        <f t="shared" ca="1" si="98"/>
        <v/>
      </c>
      <c r="D99" s="114"/>
      <c r="E99" s="148">
        <f t="shared" ca="1" si="99"/>
        <v>0.21</v>
      </c>
      <c r="F99" s="139">
        <f ca="1">H99+NPV(FD,I99:INDEX(I99:DC99,PAL))</f>
        <v>0</v>
      </c>
      <c r="G99" s="140">
        <f ca="1">SUMIF($H$5:$DC$5,"&lt;="&amp;PAL,$H99:$DC99)</f>
        <v>0</v>
      </c>
      <c r="H99" s="138">
        <f t="shared" ca="1" si="119"/>
        <v>0</v>
      </c>
      <c r="I99" s="138">
        <f t="shared" ca="1" si="119"/>
        <v>0</v>
      </c>
      <c r="J99" s="138">
        <f t="shared" ca="1" si="119"/>
        <v>0</v>
      </c>
      <c r="K99" s="138">
        <f t="shared" ca="1" si="119"/>
        <v>0</v>
      </c>
      <c r="L99" s="138">
        <f t="shared" ca="1" si="119"/>
        <v>0</v>
      </c>
      <c r="M99" s="138">
        <f t="shared" ca="1" si="119"/>
        <v>0</v>
      </c>
      <c r="N99" s="138">
        <f t="shared" ca="1" si="119"/>
        <v>0</v>
      </c>
      <c r="O99" s="138">
        <f t="shared" ca="1" si="119"/>
        <v>0</v>
      </c>
      <c r="P99" s="138">
        <f t="shared" ca="1" si="119"/>
        <v>0</v>
      </c>
      <c r="Q99" s="138">
        <f t="shared" ca="1" si="119"/>
        <v>0</v>
      </c>
      <c r="R99" s="138">
        <f t="shared" ca="1" si="120"/>
        <v>0</v>
      </c>
      <c r="S99" s="138">
        <f t="shared" ca="1" si="120"/>
        <v>0</v>
      </c>
      <c r="T99" s="138">
        <f t="shared" ca="1" si="120"/>
        <v>0</v>
      </c>
      <c r="U99" s="138">
        <f t="shared" ca="1" si="120"/>
        <v>0</v>
      </c>
      <c r="V99" s="138">
        <f t="shared" ca="1" si="120"/>
        <v>0</v>
      </c>
      <c r="W99" s="138">
        <f t="shared" ca="1" si="120"/>
        <v>0</v>
      </c>
      <c r="X99" s="138">
        <f t="shared" ca="1" si="120"/>
        <v>0</v>
      </c>
      <c r="Y99" s="138">
        <f t="shared" ca="1" si="120"/>
        <v>0</v>
      </c>
      <c r="Z99" s="138">
        <f t="shared" ca="1" si="120"/>
        <v>0</v>
      </c>
      <c r="AA99" s="138">
        <f t="shared" ca="1" si="120"/>
        <v>0</v>
      </c>
      <c r="AB99" s="138">
        <f t="shared" ca="1" si="121"/>
        <v>0</v>
      </c>
      <c r="AC99" s="138">
        <f t="shared" ca="1" si="121"/>
        <v>0</v>
      </c>
      <c r="AD99" s="138">
        <f t="shared" ca="1" si="121"/>
        <v>0</v>
      </c>
      <c r="AE99" s="138">
        <f t="shared" ca="1" si="121"/>
        <v>0</v>
      </c>
      <c r="AF99" s="138">
        <f t="shared" ca="1" si="121"/>
        <v>0</v>
      </c>
      <c r="AG99" s="138">
        <f t="shared" ca="1" si="121"/>
        <v>0</v>
      </c>
      <c r="AH99" s="138">
        <f t="shared" ca="1" si="121"/>
        <v>0</v>
      </c>
      <c r="AI99" s="138">
        <f t="shared" ca="1" si="121"/>
        <v>0</v>
      </c>
      <c r="AJ99" s="138">
        <f t="shared" ca="1" si="121"/>
        <v>0</v>
      </c>
      <c r="AK99" s="138">
        <f t="shared" ca="1" si="121"/>
        <v>0</v>
      </c>
      <c r="AL99" s="138">
        <f t="shared" ca="1" si="122"/>
        <v>0</v>
      </c>
      <c r="AM99" s="138">
        <f t="shared" ca="1" si="122"/>
        <v>0</v>
      </c>
      <c r="AN99" s="138">
        <f t="shared" ca="1" si="122"/>
        <v>0</v>
      </c>
      <c r="AO99" s="138">
        <f t="shared" ca="1" si="122"/>
        <v>0</v>
      </c>
      <c r="AP99" s="138">
        <f t="shared" ca="1" si="122"/>
        <v>0</v>
      </c>
      <c r="AQ99" s="138">
        <f t="shared" ca="1" si="122"/>
        <v>0</v>
      </c>
      <c r="AR99" s="138">
        <f t="shared" ca="1" si="122"/>
        <v>0</v>
      </c>
      <c r="AS99" s="138">
        <f t="shared" ca="1" si="122"/>
        <v>0</v>
      </c>
      <c r="AT99" s="138">
        <f t="shared" ca="1" si="122"/>
        <v>0</v>
      </c>
      <c r="AU99" s="138">
        <f t="shared" ca="1" si="122"/>
        <v>0</v>
      </c>
      <c r="AV99" s="138">
        <f t="shared" ca="1" si="123"/>
        <v>0</v>
      </c>
      <c r="AW99" s="138">
        <f t="shared" ca="1" si="123"/>
        <v>0</v>
      </c>
      <c r="AX99" s="138">
        <f t="shared" ca="1" si="123"/>
        <v>0</v>
      </c>
      <c r="AY99" s="138">
        <f t="shared" ca="1" si="123"/>
        <v>0</v>
      </c>
      <c r="AZ99" s="138">
        <f t="shared" ca="1" si="123"/>
        <v>0</v>
      </c>
      <c r="BA99" s="138">
        <f t="shared" ca="1" si="123"/>
        <v>0</v>
      </c>
      <c r="BB99" s="138">
        <f t="shared" ca="1" si="123"/>
        <v>0</v>
      </c>
      <c r="BC99" s="138">
        <f t="shared" ca="1" si="123"/>
        <v>0</v>
      </c>
      <c r="BD99" s="138">
        <f t="shared" ca="1" si="123"/>
        <v>0</v>
      </c>
      <c r="BE99" s="138">
        <f t="shared" ca="1" si="123"/>
        <v>0</v>
      </c>
      <c r="BF99" s="138">
        <f t="shared" ca="1" si="124"/>
        <v>0</v>
      </c>
      <c r="BG99" s="138">
        <f t="shared" ca="1" si="124"/>
        <v>0</v>
      </c>
      <c r="BH99" s="138">
        <f t="shared" ca="1" si="124"/>
        <v>0</v>
      </c>
      <c r="BI99" s="138">
        <f t="shared" ca="1" si="124"/>
        <v>0</v>
      </c>
      <c r="BJ99" s="138">
        <f t="shared" ca="1" si="124"/>
        <v>0</v>
      </c>
      <c r="BK99" s="138">
        <f t="shared" ca="1" si="124"/>
        <v>0</v>
      </c>
      <c r="BL99" s="138">
        <f t="shared" ca="1" si="124"/>
        <v>0</v>
      </c>
      <c r="BM99" s="138">
        <f t="shared" ca="1" si="124"/>
        <v>0</v>
      </c>
      <c r="BN99" s="138">
        <f t="shared" ca="1" si="124"/>
        <v>0</v>
      </c>
      <c r="BO99" s="138">
        <f t="shared" ca="1" si="124"/>
        <v>0</v>
      </c>
      <c r="BP99" s="138">
        <f t="shared" ca="1" si="125"/>
        <v>0</v>
      </c>
      <c r="BQ99" s="138">
        <f t="shared" ca="1" si="125"/>
        <v>0</v>
      </c>
      <c r="BR99" s="138">
        <f t="shared" ca="1" si="125"/>
        <v>0</v>
      </c>
      <c r="BS99" s="138">
        <f t="shared" ca="1" si="125"/>
        <v>0</v>
      </c>
      <c r="BT99" s="138">
        <f t="shared" ca="1" si="125"/>
        <v>0</v>
      </c>
      <c r="BU99" s="138">
        <f t="shared" ca="1" si="125"/>
        <v>0</v>
      </c>
      <c r="BV99" s="138">
        <f t="shared" ca="1" si="125"/>
        <v>0</v>
      </c>
      <c r="BW99" s="138">
        <f t="shared" ca="1" si="125"/>
        <v>0</v>
      </c>
      <c r="BX99" s="138">
        <f t="shared" ca="1" si="125"/>
        <v>0</v>
      </c>
      <c r="BY99" s="138">
        <f t="shared" ca="1" si="125"/>
        <v>0</v>
      </c>
      <c r="BZ99" s="138">
        <f t="shared" ca="1" si="126"/>
        <v>0</v>
      </c>
      <c r="CA99" s="138">
        <f t="shared" ca="1" si="126"/>
        <v>0</v>
      </c>
      <c r="CB99" s="138">
        <f t="shared" ca="1" si="126"/>
        <v>0</v>
      </c>
      <c r="CC99" s="138">
        <f t="shared" ca="1" si="126"/>
        <v>0</v>
      </c>
      <c r="CD99" s="138">
        <f t="shared" ca="1" si="126"/>
        <v>0</v>
      </c>
      <c r="CE99" s="138">
        <f t="shared" ca="1" si="126"/>
        <v>0</v>
      </c>
      <c r="CF99" s="138">
        <f t="shared" ca="1" si="126"/>
        <v>0</v>
      </c>
      <c r="CG99" s="138">
        <f t="shared" ca="1" si="126"/>
        <v>0</v>
      </c>
      <c r="CH99" s="138">
        <f t="shared" ca="1" si="126"/>
        <v>0</v>
      </c>
      <c r="CI99" s="138">
        <f t="shared" ca="1" si="126"/>
        <v>0</v>
      </c>
      <c r="CJ99" s="138">
        <f t="shared" ca="1" si="127"/>
        <v>0</v>
      </c>
      <c r="CK99" s="138">
        <f t="shared" ca="1" si="127"/>
        <v>0</v>
      </c>
      <c r="CL99" s="138">
        <f t="shared" ca="1" si="127"/>
        <v>0</v>
      </c>
      <c r="CM99" s="138">
        <f t="shared" ca="1" si="127"/>
        <v>0</v>
      </c>
      <c r="CN99" s="138">
        <f t="shared" ca="1" si="127"/>
        <v>0</v>
      </c>
      <c r="CO99" s="138">
        <f t="shared" ca="1" si="127"/>
        <v>0</v>
      </c>
      <c r="CP99" s="138">
        <f t="shared" ca="1" si="127"/>
        <v>0</v>
      </c>
      <c r="CQ99" s="138">
        <f t="shared" ca="1" si="127"/>
        <v>0</v>
      </c>
      <c r="CR99" s="138">
        <f t="shared" ca="1" si="127"/>
        <v>0</v>
      </c>
      <c r="CS99" s="138">
        <f t="shared" ca="1" si="127"/>
        <v>0</v>
      </c>
      <c r="CT99" s="138">
        <f t="shared" ca="1" si="128"/>
        <v>0</v>
      </c>
      <c r="CU99" s="138">
        <f t="shared" ca="1" si="128"/>
        <v>0</v>
      </c>
      <c r="CV99" s="138">
        <f t="shared" ca="1" si="128"/>
        <v>0</v>
      </c>
      <c r="CW99" s="138">
        <f t="shared" ca="1" si="128"/>
        <v>0</v>
      </c>
      <c r="CX99" s="138">
        <f t="shared" ca="1" si="128"/>
        <v>0</v>
      </c>
      <c r="CY99" s="138">
        <f t="shared" ca="1" si="128"/>
        <v>0</v>
      </c>
      <c r="CZ99" s="138">
        <f t="shared" ca="1" si="128"/>
        <v>0</v>
      </c>
      <c r="DA99" s="138">
        <f t="shared" ca="1" si="128"/>
        <v>0</v>
      </c>
      <c r="DB99" s="138">
        <f t="shared" ca="1" si="128"/>
        <v>0</v>
      </c>
      <c r="DC99" s="138">
        <f t="shared" ca="1" si="128"/>
        <v>0</v>
      </c>
      <c r="DE99" s="254" t="str">
        <f t="shared" ca="1" si="100"/>
        <v>G.10.</v>
      </c>
      <c r="DF99">
        <v>1</v>
      </c>
      <c r="DG99">
        <f t="shared" ca="1" si="129"/>
        <v>21</v>
      </c>
    </row>
    <row r="100" spans="1:111" hidden="1">
      <c r="A100" s="124">
        <v>88</v>
      </c>
      <c r="B100" s="205" t="str">
        <f t="shared" ca="1" si="97"/>
        <v>H.</v>
      </c>
      <c r="C100" s="197" t="str">
        <f t="shared" ca="1" si="98"/>
        <v>VEIKLOS PAJAMOS, IŠ VISO (išskyrus mokestines pajamas)</v>
      </c>
      <c r="D100" s="132"/>
      <c r="E100" s="233" t="str">
        <f t="shared" ca="1" si="99"/>
        <v/>
      </c>
      <c r="F100" s="141">
        <f ca="1">SUM(F101:F110)</f>
        <v>4180347.5450091604</v>
      </c>
      <c r="G100" s="143">
        <f ca="1">SUM(G101:G110)</f>
        <v>6272000</v>
      </c>
      <c r="H100" s="234">
        <f ca="1">SUM(H101:H110)</f>
        <v>22000</v>
      </c>
      <c r="I100" s="234">
        <f t="shared" ref="I100:BT100" ca="1" si="130">SUM(I101:I110)</f>
        <v>119000</v>
      </c>
      <c r="J100" s="234">
        <f t="shared" ca="1" si="130"/>
        <v>209000</v>
      </c>
      <c r="K100" s="234">
        <f t="shared" ca="1" si="130"/>
        <v>329000</v>
      </c>
      <c r="L100" s="234">
        <f t="shared" ca="1" si="130"/>
        <v>329000</v>
      </c>
      <c r="M100" s="234">
        <f t="shared" ca="1" si="130"/>
        <v>329000</v>
      </c>
      <c r="N100" s="234">
        <f t="shared" ca="1" si="130"/>
        <v>329000</v>
      </c>
      <c r="O100" s="234">
        <f t="shared" ca="1" si="130"/>
        <v>329000</v>
      </c>
      <c r="P100" s="234">
        <f t="shared" ca="1" si="130"/>
        <v>329000</v>
      </c>
      <c r="Q100" s="234">
        <f t="shared" ca="1" si="130"/>
        <v>329000</v>
      </c>
      <c r="R100" s="234">
        <f t="shared" ca="1" si="130"/>
        <v>329000</v>
      </c>
      <c r="S100" s="234">
        <f t="shared" ca="1" si="130"/>
        <v>329000</v>
      </c>
      <c r="T100" s="234">
        <f t="shared" ca="1" si="130"/>
        <v>329000</v>
      </c>
      <c r="U100" s="234">
        <f t="shared" ca="1" si="130"/>
        <v>329000</v>
      </c>
      <c r="V100" s="234">
        <f t="shared" ca="1" si="130"/>
        <v>329000</v>
      </c>
      <c r="W100" s="234">
        <f t="shared" ca="1" si="130"/>
        <v>329000</v>
      </c>
      <c r="X100" s="234">
        <f t="shared" ca="1" si="130"/>
        <v>329000</v>
      </c>
      <c r="Y100" s="234">
        <f t="shared" ca="1" si="130"/>
        <v>329000</v>
      </c>
      <c r="Z100" s="234">
        <f t="shared" ca="1" si="130"/>
        <v>329000</v>
      </c>
      <c r="AA100" s="234">
        <f t="shared" ca="1" si="130"/>
        <v>329000</v>
      </c>
      <c r="AB100" s="234">
        <f t="shared" ca="1" si="130"/>
        <v>329000</v>
      </c>
      <c r="AC100" s="234">
        <f t="shared" ca="1" si="130"/>
        <v>22000</v>
      </c>
      <c r="AD100" s="234">
        <f t="shared" ca="1" si="130"/>
        <v>22000</v>
      </c>
      <c r="AE100" s="234">
        <f t="shared" ca="1" si="130"/>
        <v>22000</v>
      </c>
      <c r="AF100" s="234">
        <f t="shared" ca="1" si="130"/>
        <v>22000</v>
      </c>
      <c r="AG100" s="234">
        <f t="shared" ca="1" si="130"/>
        <v>22000</v>
      </c>
      <c r="AH100" s="234">
        <f t="shared" ca="1" si="130"/>
        <v>22000</v>
      </c>
      <c r="AI100" s="234">
        <f t="shared" ca="1" si="130"/>
        <v>22000</v>
      </c>
      <c r="AJ100" s="234">
        <f t="shared" ca="1" si="130"/>
        <v>22000</v>
      </c>
      <c r="AK100" s="234">
        <f t="shared" ca="1" si="130"/>
        <v>22000</v>
      </c>
      <c r="AL100" s="234">
        <f t="shared" ca="1" si="130"/>
        <v>22000</v>
      </c>
      <c r="AM100" s="234">
        <f t="shared" ca="1" si="130"/>
        <v>22000</v>
      </c>
      <c r="AN100" s="234">
        <f t="shared" ca="1" si="130"/>
        <v>22000</v>
      </c>
      <c r="AO100" s="234">
        <f t="shared" ca="1" si="130"/>
        <v>22000</v>
      </c>
      <c r="AP100" s="234">
        <f t="shared" ca="1" si="130"/>
        <v>22000</v>
      </c>
      <c r="AQ100" s="234">
        <f t="shared" ca="1" si="130"/>
        <v>22000</v>
      </c>
      <c r="AR100" s="234">
        <f t="shared" ca="1" si="130"/>
        <v>22000</v>
      </c>
      <c r="AS100" s="234">
        <f t="shared" ca="1" si="130"/>
        <v>22000</v>
      </c>
      <c r="AT100" s="234">
        <f t="shared" ca="1" si="130"/>
        <v>22000</v>
      </c>
      <c r="AU100" s="234">
        <f t="shared" ca="1" si="130"/>
        <v>22000</v>
      </c>
      <c r="AV100" s="234">
        <f t="shared" ca="1" si="130"/>
        <v>22000</v>
      </c>
      <c r="AW100" s="234">
        <f t="shared" ca="1" si="130"/>
        <v>22000</v>
      </c>
      <c r="AX100" s="234">
        <f t="shared" ca="1" si="130"/>
        <v>22000</v>
      </c>
      <c r="AY100" s="234">
        <f t="shared" ca="1" si="130"/>
        <v>22000</v>
      </c>
      <c r="AZ100" s="234">
        <f t="shared" ca="1" si="130"/>
        <v>22000</v>
      </c>
      <c r="BA100" s="234">
        <f t="shared" ca="1" si="130"/>
        <v>22000</v>
      </c>
      <c r="BB100" s="234">
        <f t="shared" ca="1" si="130"/>
        <v>22000</v>
      </c>
      <c r="BC100" s="234">
        <f t="shared" ca="1" si="130"/>
        <v>22000</v>
      </c>
      <c r="BD100" s="234">
        <f t="shared" ca="1" si="130"/>
        <v>22000</v>
      </c>
      <c r="BE100" s="234">
        <f t="shared" ca="1" si="130"/>
        <v>22000</v>
      </c>
      <c r="BF100" s="234">
        <f t="shared" ca="1" si="130"/>
        <v>22000</v>
      </c>
      <c r="BG100" s="234">
        <f t="shared" ca="1" si="130"/>
        <v>22000</v>
      </c>
      <c r="BH100" s="234">
        <f t="shared" ca="1" si="130"/>
        <v>22000</v>
      </c>
      <c r="BI100" s="234">
        <f t="shared" ca="1" si="130"/>
        <v>22000</v>
      </c>
      <c r="BJ100" s="234">
        <f t="shared" ca="1" si="130"/>
        <v>22000</v>
      </c>
      <c r="BK100" s="234">
        <f t="shared" ca="1" si="130"/>
        <v>22000</v>
      </c>
      <c r="BL100" s="234">
        <f t="shared" ca="1" si="130"/>
        <v>22000</v>
      </c>
      <c r="BM100" s="234">
        <f t="shared" ca="1" si="130"/>
        <v>22000</v>
      </c>
      <c r="BN100" s="234">
        <f t="shared" ca="1" si="130"/>
        <v>22000</v>
      </c>
      <c r="BO100" s="234">
        <f t="shared" ca="1" si="130"/>
        <v>22000</v>
      </c>
      <c r="BP100" s="234">
        <f t="shared" ca="1" si="130"/>
        <v>22000</v>
      </c>
      <c r="BQ100" s="234">
        <f t="shared" ca="1" si="130"/>
        <v>22000</v>
      </c>
      <c r="BR100" s="234">
        <f t="shared" ca="1" si="130"/>
        <v>22000</v>
      </c>
      <c r="BS100" s="234">
        <f t="shared" ca="1" si="130"/>
        <v>22000</v>
      </c>
      <c r="BT100" s="234">
        <f t="shared" ca="1" si="130"/>
        <v>22000</v>
      </c>
      <c r="BU100" s="234">
        <f t="shared" ref="BU100:DC100" ca="1" si="131">SUM(BU101:BU110)</f>
        <v>22000</v>
      </c>
      <c r="BV100" s="234">
        <f t="shared" ca="1" si="131"/>
        <v>22000</v>
      </c>
      <c r="BW100" s="234">
        <f t="shared" ca="1" si="131"/>
        <v>22000</v>
      </c>
      <c r="BX100" s="234">
        <f t="shared" ca="1" si="131"/>
        <v>22000</v>
      </c>
      <c r="BY100" s="234">
        <f t="shared" ca="1" si="131"/>
        <v>22000</v>
      </c>
      <c r="BZ100" s="234">
        <f t="shared" ca="1" si="131"/>
        <v>22000</v>
      </c>
      <c r="CA100" s="234">
        <f t="shared" ca="1" si="131"/>
        <v>22000</v>
      </c>
      <c r="CB100" s="234">
        <f t="shared" ca="1" si="131"/>
        <v>22000</v>
      </c>
      <c r="CC100" s="234">
        <f t="shared" ca="1" si="131"/>
        <v>22000</v>
      </c>
      <c r="CD100" s="234">
        <f t="shared" ca="1" si="131"/>
        <v>22000</v>
      </c>
      <c r="CE100" s="234">
        <f t="shared" ca="1" si="131"/>
        <v>22000</v>
      </c>
      <c r="CF100" s="234">
        <f t="shared" ca="1" si="131"/>
        <v>22000</v>
      </c>
      <c r="CG100" s="234">
        <f t="shared" ca="1" si="131"/>
        <v>22000</v>
      </c>
      <c r="CH100" s="234">
        <f t="shared" ca="1" si="131"/>
        <v>22000</v>
      </c>
      <c r="CI100" s="234">
        <f t="shared" ca="1" si="131"/>
        <v>22000</v>
      </c>
      <c r="CJ100" s="234">
        <f t="shared" ca="1" si="131"/>
        <v>22000</v>
      </c>
      <c r="CK100" s="234">
        <f t="shared" ca="1" si="131"/>
        <v>22000</v>
      </c>
      <c r="CL100" s="234">
        <f t="shared" ca="1" si="131"/>
        <v>22000</v>
      </c>
      <c r="CM100" s="234">
        <f t="shared" ca="1" si="131"/>
        <v>22000</v>
      </c>
      <c r="CN100" s="234">
        <f t="shared" ca="1" si="131"/>
        <v>22000</v>
      </c>
      <c r="CO100" s="234">
        <f t="shared" ca="1" si="131"/>
        <v>22000</v>
      </c>
      <c r="CP100" s="234">
        <f t="shared" ca="1" si="131"/>
        <v>22000</v>
      </c>
      <c r="CQ100" s="234">
        <f t="shared" ca="1" si="131"/>
        <v>22000</v>
      </c>
      <c r="CR100" s="234">
        <f t="shared" ca="1" si="131"/>
        <v>22000</v>
      </c>
      <c r="CS100" s="234">
        <f t="shared" ca="1" si="131"/>
        <v>22000</v>
      </c>
      <c r="CT100" s="234">
        <f t="shared" ca="1" si="131"/>
        <v>22000</v>
      </c>
      <c r="CU100" s="234">
        <f t="shared" ca="1" si="131"/>
        <v>22000</v>
      </c>
      <c r="CV100" s="234">
        <f t="shared" ca="1" si="131"/>
        <v>22000</v>
      </c>
      <c r="CW100" s="234">
        <f t="shared" ca="1" si="131"/>
        <v>22000</v>
      </c>
      <c r="CX100" s="234">
        <f t="shared" ca="1" si="131"/>
        <v>22000</v>
      </c>
      <c r="CY100" s="234">
        <f t="shared" ca="1" si="131"/>
        <v>22000</v>
      </c>
      <c r="CZ100" s="234">
        <f t="shared" ca="1" si="131"/>
        <v>22000</v>
      </c>
      <c r="DA100" s="234">
        <f t="shared" ca="1" si="131"/>
        <v>22000</v>
      </c>
      <c r="DB100" s="234">
        <f t="shared" ca="1" si="131"/>
        <v>22000</v>
      </c>
      <c r="DC100" s="234">
        <f t="shared" ca="1" si="131"/>
        <v>22000</v>
      </c>
      <c r="DE100" s="254"/>
      <c r="DF100">
        <v>1</v>
      </c>
    </row>
    <row r="101" spans="1:111" ht="14.25" hidden="1" customHeight="1">
      <c r="A101" s="124">
        <v>89</v>
      </c>
      <c r="B101" s="205" t="str">
        <f t="shared" ca="1" si="97"/>
        <v>H.1.</v>
      </c>
      <c r="C101" s="129" t="str">
        <f t="shared" ca="1" si="98"/>
        <v>Konsulinės paslaugos (Singapūras)</v>
      </c>
      <c r="D101" s="114"/>
      <c r="E101" s="148" t="str">
        <f t="shared" ca="1" si="99"/>
        <v>Be PVM</v>
      </c>
      <c r="F101" s="139">
        <f ca="1">H101+NPV(FD,I101:INDEX(I101:DC101,PAL))</f>
        <v>320987.17958928895</v>
      </c>
      <c r="G101" s="140">
        <f ca="1">SUMIF($H$5:$DC$5,"&lt;="&amp;PAL,$H101:$DC101)</f>
        <v>462000</v>
      </c>
      <c r="H101" s="138">
        <f t="shared" ref="H101:Q111" ca="1" si="132">OFFSET(INDIRECT("'"&amp;Opt_alt&amp;"'!H12"),$A101,H$5)*$DF101</f>
        <v>22000</v>
      </c>
      <c r="I101" s="138">
        <f t="shared" ca="1" si="132"/>
        <v>22000</v>
      </c>
      <c r="J101" s="138">
        <f t="shared" ca="1" si="132"/>
        <v>22000</v>
      </c>
      <c r="K101" s="138">
        <f t="shared" ca="1" si="132"/>
        <v>22000</v>
      </c>
      <c r="L101" s="138">
        <f t="shared" ca="1" si="132"/>
        <v>22000</v>
      </c>
      <c r="M101" s="138">
        <f t="shared" ca="1" si="132"/>
        <v>22000</v>
      </c>
      <c r="N101" s="138">
        <f t="shared" ca="1" si="132"/>
        <v>22000</v>
      </c>
      <c r="O101" s="138">
        <f t="shared" ca="1" si="132"/>
        <v>22000</v>
      </c>
      <c r="P101" s="138">
        <f t="shared" ca="1" si="132"/>
        <v>22000</v>
      </c>
      <c r="Q101" s="138">
        <f t="shared" ca="1" si="132"/>
        <v>22000</v>
      </c>
      <c r="R101" s="138">
        <f t="shared" ref="R101:AA111" ca="1" si="133">OFFSET(INDIRECT("'"&amp;Opt_alt&amp;"'!H12"),$A101,R$5)*$DF101</f>
        <v>22000</v>
      </c>
      <c r="S101" s="138">
        <f t="shared" ca="1" si="133"/>
        <v>22000</v>
      </c>
      <c r="T101" s="138">
        <f t="shared" ca="1" si="133"/>
        <v>22000</v>
      </c>
      <c r="U101" s="138">
        <f t="shared" ca="1" si="133"/>
        <v>22000</v>
      </c>
      <c r="V101" s="138">
        <f t="shared" ca="1" si="133"/>
        <v>22000</v>
      </c>
      <c r="W101" s="138">
        <f t="shared" ca="1" si="133"/>
        <v>22000</v>
      </c>
      <c r="X101" s="138">
        <f t="shared" ca="1" si="133"/>
        <v>22000</v>
      </c>
      <c r="Y101" s="138">
        <f t="shared" ca="1" si="133"/>
        <v>22000</v>
      </c>
      <c r="Z101" s="138">
        <f t="shared" ca="1" si="133"/>
        <v>22000</v>
      </c>
      <c r="AA101" s="138">
        <f t="shared" ca="1" si="133"/>
        <v>22000</v>
      </c>
      <c r="AB101" s="138">
        <f t="shared" ref="AB101:AK111" ca="1" si="134">OFFSET(INDIRECT("'"&amp;Opt_alt&amp;"'!H12"),$A101,AB$5)*$DF101</f>
        <v>22000</v>
      </c>
      <c r="AC101" s="138">
        <f t="shared" ca="1" si="134"/>
        <v>22000</v>
      </c>
      <c r="AD101" s="138">
        <f t="shared" ca="1" si="134"/>
        <v>22000</v>
      </c>
      <c r="AE101" s="138">
        <f t="shared" ca="1" si="134"/>
        <v>22000</v>
      </c>
      <c r="AF101" s="138">
        <f t="shared" ca="1" si="134"/>
        <v>22000</v>
      </c>
      <c r="AG101" s="138">
        <f t="shared" ca="1" si="134"/>
        <v>22000</v>
      </c>
      <c r="AH101" s="138">
        <f t="shared" ca="1" si="134"/>
        <v>22000</v>
      </c>
      <c r="AI101" s="138">
        <f t="shared" ca="1" si="134"/>
        <v>22000</v>
      </c>
      <c r="AJ101" s="138">
        <f t="shared" ca="1" si="134"/>
        <v>22000</v>
      </c>
      <c r="AK101" s="138">
        <f t="shared" ca="1" si="134"/>
        <v>22000</v>
      </c>
      <c r="AL101" s="138">
        <f t="shared" ref="AL101:AU111" ca="1" si="135">OFFSET(INDIRECT("'"&amp;Opt_alt&amp;"'!H12"),$A101,AL$5)*$DF101</f>
        <v>22000</v>
      </c>
      <c r="AM101" s="138">
        <f t="shared" ca="1" si="135"/>
        <v>22000</v>
      </c>
      <c r="AN101" s="138">
        <f t="shared" ca="1" si="135"/>
        <v>22000</v>
      </c>
      <c r="AO101" s="138">
        <f t="shared" ca="1" si="135"/>
        <v>22000</v>
      </c>
      <c r="AP101" s="138">
        <f t="shared" ca="1" si="135"/>
        <v>22000</v>
      </c>
      <c r="AQ101" s="138">
        <f t="shared" ca="1" si="135"/>
        <v>22000</v>
      </c>
      <c r="AR101" s="138">
        <f t="shared" ca="1" si="135"/>
        <v>22000</v>
      </c>
      <c r="AS101" s="138">
        <f t="shared" ca="1" si="135"/>
        <v>22000</v>
      </c>
      <c r="AT101" s="138">
        <f t="shared" ca="1" si="135"/>
        <v>22000</v>
      </c>
      <c r="AU101" s="138">
        <f t="shared" ca="1" si="135"/>
        <v>22000</v>
      </c>
      <c r="AV101" s="138">
        <f t="shared" ref="AV101:BE111" ca="1" si="136">OFFSET(INDIRECT("'"&amp;Opt_alt&amp;"'!H12"),$A101,AV$5)*$DF101</f>
        <v>22000</v>
      </c>
      <c r="AW101" s="138">
        <f t="shared" ca="1" si="136"/>
        <v>22000</v>
      </c>
      <c r="AX101" s="138">
        <f t="shared" ca="1" si="136"/>
        <v>22000</v>
      </c>
      <c r="AY101" s="138">
        <f t="shared" ca="1" si="136"/>
        <v>22000</v>
      </c>
      <c r="AZ101" s="138">
        <f t="shared" ca="1" si="136"/>
        <v>22000</v>
      </c>
      <c r="BA101" s="138">
        <f t="shared" ca="1" si="136"/>
        <v>22000</v>
      </c>
      <c r="BB101" s="138">
        <f t="shared" ca="1" si="136"/>
        <v>22000</v>
      </c>
      <c r="BC101" s="138">
        <f t="shared" ca="1" si="136"/>
        <v>22000</v>
      </c>
      <c r="BD101" s="138">
        <f t="shared" ca="1" si="136"/>
        <v>22000</v>
      </c>
      <c r="BE101" s="138">
        <f t="shared" ca="1" si="136"/>
        <v>22000</v>
      </c>
      <c r="BF101" s="138">
        <f t="shared" ref="BF101:BO111" ca="1" si="137">OFFSET(INDIRECT("'"&amp;Opt_alt&amp;"'!H12"),$A101,BF$5)*$DF101</f>
        <v>22000</v>
      </c>
      <c r="BG101" s="138">
        <f t="shared" ca="1" si="137"/>
        <v>22000</v>
      </c>
      <c r="BH101" s="138">
        <f t="shared" ca="1" si="137"/>
        <v>22000</v>
      </c>
      <c r="BI101" s="138">
        <f t="shared" ca="1" si="137"/>
        <v>22000</v>
      </c>
      <c r="BJ101" s="138">
        <f t="shared" ca="1" si="137"/>
        <v>22000</v>
      </c>
      <c r="BK101" s="138">
        <f t="shared" ca="1" si="137"/>
        <v>22000</v>
      </c>
      <c r="BL101" s="138">
        <f t="shared" ca="1" si="137"/>
        <v>22000</v>
      </c>
      <c r="BM101" s="138">
        <f t="shared" ca="1" si="137"/>
        <v>22000</v>
      </c>
      <c r="BN101" s="138">
        <f t="shared" ca="1" si="137"/>
        <v>22000</v>
      </c>
      <c r="BO101" s="138">
        <f t="shared" ca="1" si="137"/>
        <v>22000</v>
      </c>
      <c r="BP101" s="138">
        <f t="shared" ref="BP101:BY111" ca="1" si="138">OFFSET(INDIRECT("'"&amp;Opt_alt&amp;"'!H12"),$A101,BP$5)*$DF101</f>
        <v>22000</v>
      </c>
      <c r="BQ101" s="138">
        <f t="shared" ca="1" si="138"/>
        <v>22000</v>
      </c>
      <c r="BR101" s="138">
        <f t="shared" ca="1" si="138"/>
        <v>22000</v>
      </c>
      <c r="BS101" s="138">
        <f t="shared" ca="1" si="138"/>
        <v>22000</v>
      </c>
      <c r="BT101" s="138">
        <f t="shared" ca="1" si="138"/>
        <v>22000</v>
      </c>
      <c r="BU101" s="138">
        <f t="shared" ca="1" si="138"/>
        <v>22000</v>
      </c>
      <c r="BV101" s="138">
        <f t="shared" ca="1" si="138"/>
        <v>22000</v>
      </c>
      <c r="BW101" s="138">
        <f t="shared" ca="1" si="138"/>
        <v>22000</v>
      </c>
      <c r="BX101" s="138">
        <f t="shared" ca="1" si="138"/>
        <v>22000</v>
      </c>
      <c r="BY101" s="138">
        <f t="shared" ca="1" si="138"/>
        <v>22000</v>
      </c>
      <c r="BZ101" s="138">
        <f t="shared" ref="BZ101:CI111" ca="1" si="139">OFFSET(INDIRECT("'"&amp;Opt_alt&amp;"'!H12"),$A101,BZ$5)*$DF101</f>
        <v>22000</v>
      </c>
      <c r="CA101" s="138">
        <f t="shared" ca="1" si="139"/>
        <v>22000</v>
      </c>
      <c r="CB101" s="138">
        <f t="shared" ca="1" si="139"/>
        <v>22000</v>
      </c>
      <c r="CC101" s="138">
        <f t="shared" ca="1" si="139"/>
        <v>22000</v>
      </c>
      <c r="CD101" s="138">
        <f t="shared" ca="1" si="139"/>
        <v>22000</v>
      </c>
      <c r="CE101" s="138">
        <f t="shared" ca="1" si="139"/>
        <v>22000</v>
      </c>
      <c r="CF101" s="138">
        <f t="shared" ca="1" si="139"/>
        <v>22000</v>
      </c>
      <c r="CG101" s="138">
        <f t="shared" ca="1" si="139"/>
        <v>22000</v>
      </c>
      <c r="CH101" s="138">
        <f t="shared" ca="1" si="139"/>
        <v>22000</v>
      </c>
      <c r="CI101" s="138">
        <f t="shared" ca="1" si="139"/>
        <v>22000</v>
      </c>
      <c r="CJ101" s="138">
        <f t="shared" ref="CJ101:CS111" ca="1" si="140">OFFSET(INDIRECT("'"&amp;Opt_alt&amp;"'!H12"),$A101,CJ$5)*$DF101</f>
        <v>22000</v>
      </c>
      <c r="CK101" s="138">
        <f t="shared" ca="1" si="140"/>
        <v>22000</v>
      </c>
      <c r="CL101" s="138">
        <f t="shared" ca="1" si="140"/>
        <v>22000</v>
      </c>
      <c r="CM101" s="138">
        <f t="shared" ca="1" si="140"/>
        <v>22000</v>
      </c>
      <c r="CN101" s="138">
        <f t="shared" ca="1" si="140"/>
        <v>22000</v>
      </c>
      <c r="CO101" s="138">
        <f t="shared" ca="1" si="140"/>
        <v>22000</v>
      </c>
      <c r="CP101" s="138">
        <f t="shared" ca="1" si="140"/>
        <v>22000</v>
      </c>
      <c r="CQ101" s="138">
        <f t="shared" ca="1" si="140"/>
        <v>22000</v>
      </c>
      <c r="CR101" s="138">
        <f t="shared" ca="1" si="140"/>
        <v>22000</v>
      </c>
      <c r="CS101" s="138">
        <f t="shared" ca="1" si="140"/>
        <v>22000</v>
      </c>
      <c r="CT101" s="138">
        <f t="shared" ref="CT101:DC111" ca="1" si="141">OFFSET(INDIRECT("'"&amp;Opt_alt&amp;"'!H12"),$A101,CT$5)*$DF101</f>
        <v>22000</v>
      </c>
      <c r="CU101" s="138">
        <f t="shared" ca="1" si="141"/>
        <v>22000</v>
      </c>
      <c r="CV101" s="138">
        <f t="shared" ca="1" si="141"/>
        <v>22000</v>
      </c>
      <c r="CW101" s="138">
        <f t="shared" ca="1" si="141"/>
        <v>22000</v>
      </c>
      <c r="CX101" s="138">
        <f t="shared" ca="1" si="141"/>
        <v>22000</v>
      </c>
      <c r="CY101" s="138">
        <f t="shared" ca="1" si="141"/>
        <v>22000</v>
      </c>
      <c r="CZ101" s="138">
        <f t="shared" ca="1" si="141"/>
        <v>22000</v>
      </c>
      <c r="DA101" s="138">
        <f t="shared" ca="1" si="141"/>
        <v>22000</v>
      </c>
      <c r="DB101" s="138">
        <f t="shared" ca="1" si="141"/>
        <v>22000</v>
      </c>
      <c r="DC101" s="138">
        <f t="shared" ca="1" si="141"/>
        <v>22000</v>
      </c>
      <c r="DE101" s="254" t="str">
        <f t="shared" ca="1" si="100"/>
        <v>H.1.</v>
      </c>
      <c r="DF101">
        <v>1</v>
      </c>
      <c r="DG101">
        <f t="shared" ref="DG101:DG110" ca="1" si="142">OFFSET(INDIRECT("'"&amp;Opt_alt&amp;"'!H12"),$A101,DG$5)</f>
        <v>0</v>
      </c>
    </row>
    <row r="102" spans="1:111" ht="14.25" hidden="1" customHeight="1">
      <c r="A102" s="124">
        <v>90</v>
      </c>
      <c r="B102" s="205" t="str">
        <f t="shared" ca="1" si="97"/>
        <v>H.2.</v>
      </c>
      <c r="C102" s="129" t="str">
        <f t="shared" ca="1" si="98"/>
        <v>Konsulines paslaugos (kitų, naujai įsteigtų atstovybių)</v>
      </c>
      <c r="D102" s="114"/>
      <c r="E102" s="148" t="str">
        <f t="shared" ca="1" si="99"/>
        <v>Be PVM</v>
      </c>
      <c r="F102" s="139">
        <f ca="1">H102+NPV(FD,I102:INDEX(I102:DC102,PAL))</f>
        <v>3859360.3654198716</v>
      </c>
      <c r="G102" s="140">
        <f ca="1">SUMIF($H$5:$DC$5,"&lt;="&amp;PAL,$H102:$DC102)</f>
        <v>5810000</v>
      </c>
      <c r="H102" s="138">
        <f t="shared" ca="1" si="132"/>
        <v>0</v>
      </c>
      <c r="I102" s="138">
        <f t="shared" ca="1" si="132"/>
        <v>97000</v>
      </c>
      <c r="J102" s="138">
        <f t="shared" ca="1" si="132"/>
        <v>187000</v>
      </c>
      <c r="K102" s="138">
        <f t="shared" ca="1" si="132"/>
        <v>307000</v>
      </c>
      <c r="L102" s="138">
        <f t="shared" ca="1" si="132"/>
        <v>307000</v>
      </c>
      <c r="M102" s="138">
        <f t="shared" ca="1" si="132"/>
        <v>307000</v>
      </c>
      <c r="N102" s="138">
        <f t="shared" ca="1" si="132"/>
        <v>307000</v>
      </c>
      <c r="O102" s="138">
        <f t="shared" ca="1" si="132"/>
        <v>307000</v>
      </c>
      <c r="P102" s="138">
        <f t="shared" ca="1" si="132"/>
        <v>307000</v>
      </c>
      <c r="Q102" s="138">
        <f t="shared" ca="1" si="132"/>
        <v>307000</v>
      </c>
      <c r="R102" s="138">
        <f t="shared" ca="1" si="133"/>
        <v>307000</v>
      </c>
      <c r="S102" s="138">
        <f t="shared" ca="1" si="133"/>
        <v>307000</v>
      </c>
      <c r="T102" s="138">
        <f t="shared" ca="1" si="133"/>
        <v>307000</v>
      </c>
      <c r="U102" s="138">
        <f t="shared" ca="1" si="133"/>
        <v>307000</v>
      </c>
      <c r="V102" s="138">
        <f t="shared" ca="1" si="133"/>
        <v>307000</v>
      </c>
      <c r="W102" s="138">
        <f t="shared" ca="1" si="133"/>
        <v>307000</v>
      </c>
      <c r="X102" s="138">
        <f t="shared" ca="1" si="133"/>
        <v>307000</v>
      </c>
      <c r="Y102" s="138">
        <f t="shared" ca="1" si="133"/>
        <v>307000</v>
      </c>
      <c r="Z102" s="138">
        <f t="shared" ca="1" si="133"/>
        <v>307000</v>
      </c>
      <c r="AA102" s="138">
        <f t="shared" ca="1" si="133"/>
        <v>307000</v>
      </c>
      <c r="AB102" s="138">
        <f t="shared" ca="1" si="134"/>
        <v>307000</v>
      </c>
      <c r="AC102" s="138">
        <f t="shared" ca="1" si="134"/>
        <v>0</v>
      </c>
      <c r="AD102" s="138">
        <f t="shared" ca="1" si="134"/>
        <v>0</v>
      </c>
      <c r="AE102" s="138">
        <f t="shared" ca="1" si="134"/>
        <v>0</v>
      </c>
      <c r="AF102" s="138">
        <f t="shared" ca="1" si="134"/>
        <v>0</v>
      </c>
      <c r="AG102" s="138">
        <f t="shared" ca="1" si="134"/>
        <v>0</v>
      </c>
      <c r="AH102" s="138">
        <f t="shared" ca="1" si="134"/>
        <v>0</v>
      </c>
      <c r="AI102" s="138">
        <f t="shared" ca="1" si="134"/>
        <v>0</v>
      </c>
      <c r="AJ102" s="138">
        <f t="shared" ca="1" si="134"/>
        <v>0</v>
      </c>
      <c r="AK102" s="138">
        <f t="shared" ca="1" si="134"/>
        <v>0</v>
      </c>
      <c r="AL102" s="138">
        <f t="shared" ca="1" si="135"/>
        <v>0</v>
      </c>
      <c r="AM102" s="138">
        <f t="shared" ca="1" si="135"/>
        <v>0</v>
      </c>
      <c r="AN102" s="138">
        <f t="shared" ca="1" si="135"/>
        <v>0</v>
      </c>
      <c r="AO102" s="138">
        <f t="shared" ca="1" si="135"/>
        <v>0</v>
      </c>
      <c r="AP102" s="138">
        <f t="shared" ca="1" si="135"/>
        <v>0</v>
      </c>
      <c r="AQ102" s="138">
        <f t="shared" ca="1" si="135"/>
        <v>0</v>
      </c>
      <c r="AR102" s="138">
        <f t="shared" ca="1" si="135"/>
        <v>0</v>
      </c>
      <c r="AS102" s="138">
        <f t="shared" ca="1" si="135"/>
        <v>0</v>
      </c>
      <c r="AT102" s="138">
        <f t="shared" ca="1" si="135"/>
        <v>0</v>
      </c>
      <c r="AU102" s="138">
        <f t="shared" ca="1" si="135"/>
        <v>0</v>
      </c>
      <c r="AV102" s="138">
        <f t="shared" ca="1" si="136"/>
        <v>0</v>
      </c>
      <c r="AW102" s="138">
        <f t="shared" ca="1" si="136"/>
        <v>0</v>
      </c>
      <c r="AX102" s="138">
        <f t="shared" ca="1" si="136"/>
        <v>0</v>
      </c>
      <c r="AY102" s="138">
        <f t="shared" ca="1" si="136"/>
        <v>0</v>
      </c>
      <c r="AZ102" s="138">
        <f t="shared" ca="1" si="136"/>
        <v>0</v>
      </c>
      <c r="BA102" s="138">
        <f t="shared" ca="1" si="136"/>
        <v>0</v>
      </c>
      <c r="BB102" s="138">
        <f t="shared" ca="1" si="136"/>
        <v>0</v>
      </c>
      <c r="BC102" s="138">
        <f t="shared" ca="1" si="136"/>
        <v>0</v>
      </c>
      <c r="BD102" s="138">
        <f t="shared" ca="1" si="136"/>
        <v>0</v>
      </c>
      <c r="BE102" s="138">
        <f t="shared" ca="1" si="136"/>
        <v>0</v>
      </c>
      <c r="BF102" s="138">
        <f t="shared" ca="1" si="137"/>
        <v>0</v>
      </c>
      <c r="BG102" s="138">
        <f t="shared" ca="1" si="137"/>
        <v>0</v>
      </c>
      <c r="BH102" s="138">
        <f t="shared" ca="1" si="137"/>
        <v>0</v>
      </c>
      <c r="BI102" s="138">
        <f t="shared" ca="1" si="137"/>
        <v>0</v>
      </c>
      <c r="BJ102" s="138">
        <f t="shared" ca="1" si="137"/>
        <v>0</v>
      </c>
      <c r="BK102" s="138">
        <f t="shared" ca="1" si="137"/>
        <v>0</v>
      </c>
      <c r="BL102" s="138">
        <f t="shared" ca="1" si="137"/>
        <v>0</v>
      </c>
      <c r="BM102" s="138">
        <f t="shared" ca="1" si="137"/>
        <v>0</v>
      </c>
      <c r="BN102" s="138">
        <f t="shared" ca="1" si="137"/>
        <v>0</v>
      </c>
      <c r="BO102" s="138">
        <f t="shared" ca="1" si="137"/>
        <v>0</v>
      </c>
      <c r="BP102" s="138">
        <f t="shared" ca="1" si="138"/>
        <v>0</v>
      </c>
      <c r="BQ102" s="138">
        <f t="shared" ca="1" si="138"/>
        <v>0</v>
      </c>
      <c r="BR102" s="138">
        <f t="shared" ca="1" si="138"/>
        <v>0</v>
      </c>
      <c r="BS102" s="138">
        <f t="shared" ca="1" si="138"/>
        <v>0</v>
      </c>
      <c r="BT102" s="138">
        <f t="shared" ca="1" si="138"/>
        <v>0</v>
      </c>
      <c r="BU102" s="138">
        <f t="shared" ca="1" si="138"/>
        <v>0</v>
      </c>
      <c r="BV102" s="138">
        <f t="shared" ca="1" si="138"/>
        <v>0</v>
      </c>
      <c r="BW102" s="138">
        <f t="shared" ca="1" si="138"/>
        <v>0</v>
      </c>
      <c r="BX102" s="138">
        <f t="shared" ca="1" si="138"/>
        <v>0</v>
      </c>
      <c r="BY102" s="138">
        <f t="shared" ca="1" si="138"/>
        <v>0</v>
      </c>
      <c r="BZ102" s="138">
        <f t="shared" ca="1" si="139"/>
        <v>0</v>
      </c>
      <c r="CA102" s="138">
        <f t="shared" ca="1" si="139"/>
        <v>0</v>
      </c>
      <c r="CB102" s="138">
        <f t="shared" ca="1" si="139"/>
        <v>0</v>
      </c>
      <c r="CC102" s="138">
        <f t="shared" ca="1" si="139"/>
        <v>0</v>
      </c>
      <c r="CD102" s="138">
        <f t="shared" ca="1" si="139"/>
        <v>0</v>
      </c>
      <c r="CE102" s="138">
        <f t="shared" ca="1" si="139"/>
        <v>0</v>
      </c>
      <c r="CF102" s="138">
        <f t="shared" ca="1" si="139"/>
        <v>0</v>
      </c>
      <c r="CG102" s="138">
        <f t="shared" ca="1" si="139"/>
        <v>0</v>
      </c>
      <c r="CH102" s="138">
        <f t="shared" ca="1" si="139"/>
        <v>0</v>
      </c>
      <c r="CI102" s="138">
        <f t="shared" ca="1" si="139"/>
        <v>0</v>
      </c>
      <c r="CJ102" s="138">
        <f t="shared" ca="1" si="140"/>
        <v>0</v>
      </c>
      <c r="CK102" s="138">
        <f t="shared" ca="1" si="140"/>
        <v>0</v>
      </c>
      <c r="CL102" s="138">
        <f t="shared" ca="1" si="140"/>
        <v>0</v>
      </c>
      <c r="CM102" s="138">
        <f t="shared" ca="1" si="140"/>
        <v>0</v>
      </c>
      <c r="CN102" s="138">
        <f t="shared" ca="1" si="140"/>
        <v>0</v>
      </c>
      <c r="CO102" s="138">
        <f t="shared" ca="1" si="140"/>
        <v>0</v>
      </c>
      <c r="CP102" s="138">
        <f t="shared" ca="1" si="140"/>
        <v>0</v>
      </c>
      <c r="CQ102" s="138">
        <f t="shared" ca="1" si="140"/>
        <v>0</v>
      </c>
      <c r="CR102" s="138">
        <f t="shared" ca="1" si="140"/>
        <v>0</v>
      </c>
      <c r="CS102" s="138">
        <f t="shared" ca="1" si="140"/>
        <v>0</v>
      </c>
      <c r="CT102" s="138">
        <f t="shared" ca="1" si="141"/>
        <v>0</v>
      </c>
      <c r="CU102" s="138">
        <f t="shared" ca="1" si="141"/>
        <v>0</v>
      </c>
      <c r="CV102" s="138">
        <f t="shared" ca="1" si="141"/>
        <v>0</v>
      </c>
      <c r="CW102" s="138">
        <f t="shared" ca="1" si="141"/>
        <v>0</v>
      </c>
      <c r="CX102" s="138">
        <f t="shared" ca="1" si="141"/>
        <v>0</v>
      </c>
      <c r="CY102" s="138">
        <f t="shared" ca="1" si="141"/>
        <v>0</v>
      </c>
      <c r="CZ102" s="138">
        <f t="shared" ca="1" si="141"/>
        <v>0</v>
      </c>
      <c r="DA102" s="138">
        <f t="shared" ca="1" si="141"/>
        <v>0</v>
      </c>
      <c r="DB102" s="138">
        <f t="shared" ca="1" si="141"/>
        <v>0</v>
      </c>
      <c r="DC102" s="138">
        <f t="shared" ca="1" si="141"/>
        <v>0</v>
      </c>
      <c r="DE102" s="254" t="str">
        <f t="shared" ca="1" si="100"/>
        <v>H.2.</v>
      </c>
      <c r="DF102">
        <v>1</v>
      </c>
      <c r="DG102">
        <f t="shared" ca="1" si="142"/>
        <v>0</v>
      </c>
    </row>
    <row r="103" spans="1:111" ht="14.25" hidden="1" customHeight="1">
      <c r="A103" s="124">
        <v>91</v>
      </c>
      <c r="B103" s="205" t="str">
        <f t="shared" ca="1" si="97"/>
        <v>H.3.</v>
      </c>
      <c r="C103" s="129" t="str">
        <f t="shared" ca="1" si="98"/>
        <v/>
      </c>
      <c r="D103" s="114"/>
      <c r="E103" s="148" t="str">
        <f t="shared" ca="1" si="99"/>
        <v>Be PVM</v>
      </c>
      <c r="F103" s="139">
        <f ca="1">H103+NPV(FD,I103:INDEX(I103:DC103,PAL))</f>
        <v>0</v>
      </c>
      <c r="G103" s="140">
        <f ca="1">SUMIF($H$5:$DC$5,"&lt;="&amp;PAL,$H103:$DC103)</f>
        <v>0</v>
      </c>
      <c r="H103" s="138">
        <f t="shared" ca="1" si="132"/>
        <v>0</v>
      </c>
      <c r="I103" s="138">
        <f t="shared" ca="1" si="132"/>
        <v>0</v>
      </c>
      <c r="J103" s="138">
        <f t="shared" ca="1" si="132"/>
        <v>0</v>
      </c>
      <c r="K103" s="138">
        <f t="shared" ca="1" si="132"/>
        <v>0</v>
      </c>
      <c r="L103" s="138">
        <f t="shared" ca="1" si="132"/>
        <v>0</v>
      </c>
      <c r="M103" s="138">
        <f t="shared" ca="1" si="132"/>
        <v>0</v>
      </c>
      <c r="N103" s="138">
        <f t="shared" ca="1" si="132"/>
        <v>0</v>
      </c>
      <c r="O103" s="138">
        <f t="shared" ca="1" si="132"/>
        <v>0</v>
      </c>
      <c r="P103" s="138">
        <f t="shared" ca="1" si="132"/>
        <v>0</v>
      </c>
      <c r="Q103" s="138">
        <f t="shared" ca="1" si="132"/>
        <v>0</v>
      </c>
      <c r="R103" s="138">
        <f t="shared" ca="1" si="133"/>
        <v>0</v>
      </c>
      <c r="S103" s="138">
        <f t="shared" ca="1" si="133"/>
        <v>0</v>
      </c>
      <c r="T103" s="138">
        <f t="shared" ca="1" si="133"/>
        <v>0</v>
      </c>
      <c r="U103" s="138">
        <f t="shared" ca="1" si="133"/>
        <v>0</v>
      </c>
      <c r="V103" s="138">
        <f t="shared" ca="1" si="133"/>
        <v>0</v>
      </c>
      <c r="W103" s="138">
        <f t="shared" ca="1" si="133"/>
        <v>0</v>
      </c>
      <c r="X103" s="138">
        <f t="shared" ca="1" si="133"/>
        <v>0</v>
      </c>
      <c r="Y103" s="138">
        <f t="shared" ca="1" si="133"/>
        <v>0</v>
      </c>
      <c r="Z103" s="138">
        <f t="shared" ca="1" si="133"/>
        <v>0</v>
      </c>
      <c r="AA103" s="138">
        <f t="shared" ca="1" si="133"/>
        <v>0</v>
      </c>
      <c r="AB103" s="138">
        <f t="shared" ca="1" si="134"/>
        <v>0</v>
      </c>
      <c r="AC103" s="138">
        <f t="shared" ca="1" si="134"/>
        <v>0</v>
      </c>
      <c r="AD103" s="138">
        <f t="shared" ca="1" si="134"/>
        <v>0</v>
      </c>
      <c r="AE103" s="138">
        <f t="shared" ca="1" si="134"/>
        <v>0</v>
      </c>
      <c r="AF103" s="138">
        <f t="shared" ca="1" si="134"/>
        <v>0</v>
      </c>
      <c r="AG103" s="138">
        <f t="shared" ca="1" si="134"/>
        <v>0</v>
      </c>
      <c r="AH103" s="138">
        <f t="shared" ca="1" si="134"/>
        <v>0</v>
      </c>
      <c r="AI103" s="138">
        <f t="shared" ca="1" si="134"/>
        <v>0</v>
      </c>
      <c r="AJ103" s="138">
        <f t="shared" ca="1" si="134"/>
        <v>0</v>
      </c>
      <c r="AK103" s="138">
        <f t="shared" ca="1" si="134"/>
        <v>0</v>
      </c>
      <c r="AL103" s="138">
        <f t="shared" ca="1" si="135"/>
        <v>0</v>
      </c>
      <c r="AM103" s="138">
        <f t="shared" ca="1" si="135"/>
        <v>0</v>
      </c>
      <c r="AN103" s="138">
        <f t="shared" ca="1" si="135"/>
        <v>0</v>
      </c>
      <c r="AO103" s="138">
        <f t="shared" ca="1" si="135"/>
        <v>0</v>
      </c>
      <c r="AP103" s="138">
        <f t="shared" ca="1" si="135"/>
        <v>0</v>
      </c>
      <c r="AQ103" s="138">
        <f t="shared" ca="1" si="135"/>
        <v>0</v>
      </c>
      <c r="AR103" s="138">
        <f t="shared" ca="1" si="135"/>
        <v>0</v>
      </c>
      <c r="AS103" s="138">
        <f t="shared" ca="1" si="135"/>
        <v>0</v>
      </c>
      <c r="AT103" s="138">
        <f t="shared" ca="1" si="135"/>
        <v>0</v>
      </c>
      <c r="AU103" s="138">
        <f t="shared" ca="1" si="135"/>
        <v>0</v>
      </c>
      <c r="AV103" s="138">
        <f t="shared" ca="1" si="136"/>
        <v>0</v>
      </c>
      <c r="AW103" s="138">
        <f t="shared" ca="1" si="136"/>
        <v>0</v>
      </c>
      <c r="AX103" s="138">
        <f t="shared" ca="1" si="136"/>
        <v>0</v>
      </c>
      <c r="AY103" s="138">
        <f t="shared" ca="1" si="136"/>
        <v>0</v>
      </c>
      <c r="AZ103" s="138">
        <f t="shared" ca="1" si="136"/>
        <v>0</v>
      </c>
      <c r="BA103" s="138">
        <f t="shared" ca="1" si="136"/>
        <v>0</v>
      </c>
      <c r="BB103" s="138">
        <f t="shared" ca="1" si="136"/>
        <v>0</v>
      </c>
      <c r="BC103" s="138">
        <f t="shared" ca="1" si="136"/>
        <v>0</v>
      </c>
      <c r="BD103" s="138">
        <f t="shared" ca="1" si="136"/>
        <v>0</v>
      </c>
      <c r="BE103" s="138">
        <f t="shared" ca="1" si="136"/>
        <v>0</v>
      </c>
      <c r="BF103" s="138">
        <f t="shared" ca="1" si="137"/>
        <v>0</v>
      </c>
      <c r="BG103" s="138">
        <f t="shared" ca="1" si="137"/>
        <v>0</v>
      </c>
      <c r="BH103" s="138">
        <f t="shared" ca="1" si="137"/>
        <v>0</v>
      </c>
      <c r="BI103" s="138">
        <f t="shared" ca="1" si="137"/>
        <v>0</v>
      </c>
      <c r="BJ103" s="138">
        <f t="shared" ca="1" si="137"/>
        <v>0</v>
      </c>
      <c r="BK103" s="138">
        <f t="shared" ca="1" si="137"/>
        <v>0</v>
      </c>
      <c r="BL103" s="138">
        <f t="shared" ca="1" si="137"/>
        <v>0</v>
      </c>
      <c r="BM103" s="138">
        <f t="shared" ca="1" si="137"/>
        <v>0</v>
      </c>
      <c r="BN103" s="138">
        <f t="shared" ca="1" si="137"/>
        <v>0</v>
      </c>
      <c r="BO103" s="138">
        <f t="shared" ca="1" si="137"/>
        <v>0</v>
      </c>
      <c r="BP103" s="138">
        <f t="shared" ca="1" si="138"/>
        <v>0</v>
      </c>
      <c r="BQ103" s="138">
        <f t="shared" ca="1" si="138"/>
        <v>0</v>
      </c>
      <c r="BR103" s="138">
        <f t="shared" ca="1" si="138"/>
        <v>0</v>
      </c>
      <c r="BS103" s="138">
        <f t="shared" ca="1" si="138"/>
        <v>0</v>
      </c>
      <c r="BT103" s="138">
        <f t="shared" ca="1" si="138"/>
        <v>0</v>
      </c>
      <c r="BU103" s="138">
        <f t="shared" ca="1" si="138"/>
        <v>0</v>
      </c>
      <c r="BV103" s="138">
        <f t="shared" ca="1" si="138"/>
        <v>0</v>
      </c>
      <c r="BW103" s="138">
        <f t="shared" ca="1" si="138"/>
        <v>0</v>
      </c>
      <c r="BX103" s="138">
        <f t="shared" ca="1" si="138"/>
        <v>0</v>
      </c>
      <c r="BY103" s="138">
        <f t="shared" ca="1" si="138"/>
        <v>0</v>
      </c>
      <c r="BZ103" s="138">
        <f t="shared" ca="1" si="139"/>
        <v>0</v>
      </c>
      <c r="CA103" s="138">
        <f t="shared" ca="1" si="139"/>
        <v>0</v>
      </c>
      <c r="CB103" s="138">
        <f t="shared" ca="1" si="139"/>
        <v>0</v>
      </c>
      <c r="CC103" s="138">
        <f t="shared" ca="1" si="139"/>
        <v>0</v>
      </c>
      <c r="CD103" s="138">
        <f t="shared" ca="1" si="139"/>
        <v>0</v>
      </c>
      <c r="CE103" s="138">
        <f t="shared" ca="1" si="139"/>
        <v>0</v>
      </c>
      <c r="CF103" s="138">
        <f t="shared" ca="1" si="139"/>
        <v>0</v>
      </c>
      <c r="CG103" s="138">
        <f t="shared" ca="1" si="139"/>
        <v>0</v>
      </c>
      <c r="CH103" s="138">
        <f t="shared" ca="1" si="139"/>
        <v>0</v>
      </c>
      <c r="CI103" s="138">
        <f t="shared" ca="1" si="139"/>
        <v>0</v>
      </c>
      <c r="CJ103" s="138">
        <f t="shared" ca="1" si="140"/>
        <v>0</v>
      </c>
      <c r="CK103" s="138">
        <f t="shared" ca="1" si="140"/>
        <v>0</v>
      </c>
      <c r="CL103" s="138">
        <f t="shared" ca="1" si="140"/>
        <v>0</v>
      </c>
      <c r="CM103" s="138">
        <f t="shared" ca="1" si="140"/>
        <v>0</v>
      </c>
      <c r="CN103" s="138">
        <f t="shared" ca="1" si="140"/>
        <v>0</v>
      </c>
      <c r="CO103" s="138">
        <f t="shared" ca="1" si="140"/>
        <v>0</v>
      </c>
      <c r="CP103" s="138">
        <f t="shared" ca="1" si="140"/>
        <v>0</v>
      </c>
      <c r="CQ103" s="138">
        <f t="shared" ca="1" si="140"/>
        <v>0</v>
      </c>
      <c r="CR103" s="138">
        <f t="shared" ca="1" si="140"/>
        <v>0</v>
      </c>
      <c r="CS103" s="138">
        <f t="shared" ca="1" si="140"/>
        <v>0</v>
      </c>
      <c r="CT103" s="138">
        <f t="shared" ca="1" si="141"/>
        <v>0</v>
      </c>
      <c r="CU103" s="138">
        <f t="shared" ca="1" si="141"/>
        <v>0</v>
      </c>
      <c r="CV103" s="138">
        <f t="shared" ca="1" si="141"/>
        <v>0</v>
      </c>
      <c r="CW103" s="138">
        <f t="shared" ca="1" si="141"/>
        <v>0</v>
      </c>
      <c r="CX103" s="138">
        <f t="shared" ca="1" si="141"/>
        <v>0</v>
      </c>
      <c r="CY103" s="138">
        <f t="shared" ca="1" si="141"/>
        <v>0</v>
      </c>
      <c r="CZ103" s="138">
        <f t="shared" ca="1" si="141"/>
        <v>0</v>
      </c>
      <c r="DA103" s="138">
        <f t="shared" ca="1" si="141"/>
        <v>0</v>
      </c>
      <c r="DB103" s="138">
        <f t="shared" ca="1" si="141"/>
        <v>0</v>
      </c>
      <c r="DC103" s="138">
        <f t="shared" ca="1" si="141"/>
        <v>0</v>
      </c>
      <c r="DE103" s="254" t="str">
        <f t="shared" ca="1" si="100"/>
        <v>H.3.</v>
      </c>
      <c r="DF103">
        <v>1</v>
      </c>
      <c r="DG103">
        <f t="shared" ca="1" si="142"/>
        <v>0</v>
      </c>
    </row>
    <row r="104" spans="1:111" ht="14.25" hidden="1" customHeight="1">
      <c r="A104" s="124">
        <v>92</v>
      </c>
      <c r="B104" s="205" t="str">
        <f t="shared" ca="1" si="97"/>
        <v>H.4.</v>
      </c>
      <c r="C104" s="129" t="str">
        <f t="shared" ca="1" si="98"/>
        <v>Veiklos pajamos 4 (viešojo sektoriaus)</v>
      </c>
      <c r="D104" s="114"/>
      <c r="E104" s="148" t="str">
        <f t="shared" ca="1" si="99"/>
        <v>Be PVM</v>
      </c>
      <c r="F104" s="139">
        <f ca="1">H104+NPV(FD,I104:INDEX(I104:DC104,PAL))</f>
        <v>0</v>
      </c>
      <c r="G104" s="140">
        <f ca="1">SUMIF($H$5:$DC$5,"&lt;="&amp;PAL,$H104:$DC104)</f>
        <v>0</v>
      </c>
      <c r="H104" s="138">
        <f t="shared" ca="1" si="132"/>
        <v>0</v>
      </c>
      <c r="I104" s="138">
        <f t="shared" ca="1" si="132"/>
        <v>0</v>
      </c>
      <c r="J104" s="138">
        <f t="shared" ca="1" si="132"/>
        <v>0</v>
      </c>
      <c r="K104" s="138">
        <f t="shared" ca="1" si="132"/>
        <v>0</v>
      </c>
      <c r="L104" s="138">
        <f t="shared" ca="1" si="132"/>
        <v>0</v>
      </c>
      <c r="M104" s="138">
        <f t="shared" ca="1" si="132"/>
        <v>0</v>
      </c>
      <c r="N104" s="138">
        <f t="shared" ca="1" si="132"/>
        <v>0</v>
      </c>
      <c r="O104" s="138">
        <f t="shared" ca="1" si="132"/>
        <v>0</v>
      </c>
      <c r="P104" s="138">
        <f t="shared" ca="1" si="132"/>
        <v>0</v>
      </c>
      <c r="Q104" s="138">
        <f t="shared" ca="1" si="132"/>
        <v>0</v>
      </c>
      <c r="R104" s="138">
        <f t="shared" ca="1" si="133"/>
        <v>0</v>
      </c>
      <c r="S104" s="138">
        <f t="shared" ca="1" si="133"/>
        <v>0</v>
      </c>
      <c r="T104" s="138">
        <f t="shared" ca="1" si="133"/>
        <v>0</v>
      </c>
      <c r="U104" s="138">
        <f t="shared" ca="1" si="133"/>
        <v>0</v>
      </c>
      <c r="V104" s="138">
        <f t="shared" ca="1" si="133"/>
        <v>0</v>
      </c>
      <c r="W104" s="138">
        <f t="shared" ca="1" si="133"/>
        <v>0</v>
      </c>
      <c r="X104" s="138">
        <f t="shared" ca="1" si="133"/>
        <v>0</v>
      </c>
      <c r="Y104" s="138">
        <f t="shared" ca="1" si="133"/>
        <v>0</v>
      </c>
      <c r="Z104" s="138">
        <f t="shared" ca="1" si="133"/>
        <v>0</v>
      </c>
      <c r="AA104" s="138">
        <f t="shared" ca="1" si="133"/>
        <v>0</v>
      </c>
      <c r="AB104" s="138">
        <f t="shared" ca="1" si="134"/>
        <v>0</v>
      </c>
      <c r="AC104" s="138">
        <f t="shared" ca="1" si="134"/>
        <v>0</v>
      </c>
      <c r="AD104" s="138">
        <f t="shared" ca="1" si="134"/>
        <v>0</v>
      </c>
      <c r="AE104" s="138">
        <f t="shared" ca="1" si="134"/>
        <v>0</v>
      </c>
      <c r="AF104" s="138">
        <f t="shared" ca="1" si="134"/>
        <v>0</v>
      </c>
      <c r="AG104" s="138">
        <f t="shared" ca="1" si="134"/>
        <v>0</v>
      </c>
      <c r="AH104" s="138">
        <f t="shared" ca="1" si="134"/>
        <v>0</v>
      </c>
      <c r="AI104" s="138">
        <f t="shared" ca="1" si="134"/>
        <v>0</v>
      </c>
      <c r="AJ104" s="138">
        <f t="shared" ca="1" si="134"/>
        <v>0</v>
      </c>
      <c r="AK104" s="138">
        <f t="shared" ca="1" si="134"/>
        <v>0</v>
      </c>
      <c r="AL104" s="138">
        <f t="shared" ca="1" si="135"/>
        <v>0</v>
      </c>
      <c r="AM104" s="138">
        <f t="shared" ca="1" si="135"/>
        <v>0</v>
      </c>
      <c r="AN104" s="138">
        <f t="shared" ca="1" si="135"/>
        <v>0</v>
      </c>
      <c r="AO104" s="138">
        <f t="shared" ca="1" si="135"/>
        <v>0</v>
      </c>
      <c r="AP104" s="138">
        <f t="shared" ca="1" si="135"/>
        <v>0</v>
      </c>
      <c r="AQ104" s="138">
        <f t="shared" ca="1" si="135"/>
        <v>0</v>
      </c>
      <c r="AR104" s="138">
        <f t="shared" ca="1" si="135"/>
        <v>0</v>
      </c>
      <c r="AS104" s="138">
        <f t="shared" ca="1" si="135"/>
        <v>0</v>
      </c>
      <c r="AT104" s="138">
        <f t="shared" ca="1" si="135"/>
        <v>0</v>
      </c>
      <c r="AU104" s="138">
        <f t="shared" ca="1" si="135"/>
        <v>0</v>
      </c>
      <c r="AV104" s="138">
        <f t="shared" ca="1" si="136"/>
        <v>0</v>
      </c>
      <c r="AW104" s="138">
        <f t="shared" ca="1" si="136"/>
        <v>0</v>
      </c>
      <c r="AX104" s="138">
        <f t="shared" ca="1" si="136"/>
        <v>0</v>
      </c>
      <c r="AY104" s="138">
        <f t="shared" ca="1" si="136"/>
        <v>0</v>
      </c>
      <c r="AZ104" s="138">
        <f t="shared" ca="1" si="136"/>
        <v>0</v>
      </c>
      <c r="BA104" s="138">
        <f t="shared" ca="1" si="136"/>
        <v>0</v>
      </c>
      <c r="BB104" s="138">
        <f t="shared" ca="1" si="136"/>
        <v>0</v>
      </c>
      <c r="BC104" s="138">
        <f t="shared" ca="1" si="136"/>
        <v>0</v>
      </c>
      <c r="BD104" s="138">
        <f t="shared" ca="1" si="136"/>
        <v>0</v>
      </c>
      <c r="BE104" s="138">
        <f t="shared" ca="1" si="136"/>
        <v>0</v>
      </c>
      <c r="BF104" s="138">
        <f t="shared" ca="1" si="137"/>
        <v>0</v>
      </c>
      <c r="BG104" s="138">
        <f t="shared" ca="1" si="137"/>
        <v>0</v>
      </c>
      <c r="BH104" s="138">
        <f t="shared" ca="1" si="137"/>
        <v>0</v>
      </c>
      <c r="BI104" s="138">
        <f t="shared" ca="1" si="137"/>
        <v>0</v>
      </c>
      <c r="BJ104" s="138">
        <f t="shared" ca="1" si="137"/>
        <v>0</v>
      </c>
      <c r="BK104" s="138">
        <f t="shared" ca="1" si="137"/>
        <v>0</v>
      </c>
      <c r="BL104" s="138">
        <f t="shared" ca="1" si="137"/>
        <v>0</v>
      </c>
      <c r="BM104" s="138">
        <f t="shared" ca="1" si="137"/>
        <v>0</v>
      </c>
      <c r="BN104" s="138">
        <f t="shared" ca="1" si="137"/>
        <v>0</v>
      </c>
      <c r="BO104" s="138">
        <f t="shared" ca="1" si="137"/>
        <v>0</v>
      </c>
      <c r="BP104" s="138">
        <f t="shared" ca="1" si="138"/>
        <v>0</v>
      </c>
      <c r="BQ104" s="138">
        <f t="shared" ca="1" si="138"/>
        <v>0</v>
      </c>
      <c r="BR104" s="138">
        <f t="shared" ca="1" si="138"/>
        <v>0</v>
      </c>
      <c r="BS104" s="138">
        <f t="shared" ca="1" si="138"/>
        <v>0</v>
      </c>
      <c r="BT104" s="138">
        <f t="shared" ca="1" si="138"/>
        <v>0</v>
      </c>
      <c r="BU104" s="138">
        <f t="shared" ca="1" si="138"/>
        <v>0</v>
      </c>
      <c r="BV104" s="138">
        <f t="shared" ca="1" si="138"/>
        <v>0</v>
      </c>
      <c r="BW104" s="138">
        <f t="shared" ca="1" si="138"/>
        <v>0</v>
      </c>
      <c r="BX104" s="138">
        <f t="shared" ca="1" si="138"/>
        <v>0</v>
      </c>
      <c r="BY104" s="138">
        <f t="shared" ca="1" si="138"/>
        <v>0</v>
      </c>
      <c r="BZ104" s="138">
        <f t="shared" ca="1" si="139"/>
        <v>0</v>
      </c>
      <c r="CA104" s="138">
        <f t="shared" ca="1" si="139"/>
        <v>0</v>
      </c>
      <c r="CB104" s="138">
        <f t="shared" ca="1" si="139"/>
        <v>0</v>
      </c>
      <c r="CC104" s="138">
        <f t="shared" ca="1" si="139"/>
        <v>0</v>
      </c>
      <c r="CD104" s="138">
        <f t="shared" ca="1" si="139"/>
        <v>0</v>
      </c>
      <c r="CE104" s="138">
        <f t="shared" ca="1" si="139"/>
        <v>0</v>
      </c>
      <c r="CF104" s="138">
        <f t="shared" ca="1" si="139"/>
        <v>0</v>
      </c>
      <c r="CG104" s="138">
        <f t="shared" ca="1" si="139"/>
        <v>0</v>
      </c>
      <c r="CH104" s="138">
        <f t="shared" ca="1" si="139"/>
        <v>0</v>
      </c>
      <c r="CI104" s="138">
        <f t="shared" ca="1" si="139"/>
        <v>0</v>
      </c>
      <c r="CJ104" s="138">
        <f t="shared" ca="1" si="140"/>
        <v>0</v>
      </c>
      <c r="CK104" s="138">
        <f t="shared" ca="1" si="140"/>
        <v>0</v>
      </c>
      <c r="CL104" s="138">
        <f t="shared" ca="1" si="140"/>
        <v>0</v>
      </c>
      <c r="CM104" s="138">
        <f t="shared" ca="1" si="140"/>
        <v>0</v>
      </c>
      <c r="CN104" s="138">
        <f t="shared" ca="1" si="140"/>
        <v>0</v>
      </c>
      <c r="CO104" s="138">
        <f t="shared" ca="1" si="140"/>
        <v>0</v>
      </c>
      <c r="CP104" s="138">
        <f t="shared" ca="1" si="140"/>
        <v>0</v>
      </c>
      <c r="CQ104" s="138">
        <f t="shared" ca="1" si="140"/>
        <v>0</v>
      </c>
      <c r="CR104" s="138">
        <f t="shared" ca="1" si="140"/>
        <v>0</v>
      </c>
      <c r="CS104" s="138">
        <f t="shared" ca="1" si="140"/>
        <v>0</v>
      </c>
      <c r="CT104" s="138">
        <f t="shared" ca="1" si="141"/>
        <v>0</v>
      </c>
      <c r="CU104" s="138">
        <f t="shared" ca="1" si="141"/>
        <v>0</v>
      </c>
      <c r="CV104" s="138">
        <f t="shared" ca="1" si="141"/>
        <v>0</v>
      </c>
      <c r="CW104" s="138">
        <f t="shared" ca="1" si="141"/>
        <v>0</v>
      </c>
      <c r="CX104" s="138">
        <f t="shared" ca="1" si="141"/>
        <v>0</v>
      </c>
      <c r="CY104" s="138">
        <f t="shared" ca="1" si="141"/>
        <v>0</v>
      </c>
      <c r="CZ104" s="138">
        <f t="shared" ca="1" si="141"/>
        <v>0</v>
      </c>
      <c r="DA104" s="138">
        <f t="shared" ca="1" si="141"/>
        <v>0</v>
      </c>
      <c r="DB104" s="138">
        <f t="shared" ca="1" si="141"/>
        <v>0</v>
      </c>
      <c r="DC104" s="138">
        <f t="shared" ca="1" si="141"/>
        <v>0</v>
      </c>
      <c r="DE104" s="254" t="str">
        <f t="shared" ca="1" si="100"/>
        <v>H.4.</v>
      </c>
      <c r="DF104">
        <v>1</v>
      </c>
      <c r="DG104">
        <f t="shared" ca="1" si="142"/>
        <v>0</v>
      </c>
    </row>
    <row r="105" spans="1:111" ht="14.25" hidden="1" customHeight="1">
      <c r="A105" s="124">
        <v>93</v>
      </c>
      <c r="B105" s="205" t="str">
        <f t="shared" ca="1" si="97"/>
        <v>H.5.</v>
      </c>
      <c r="C105" s="129" t="str">
        <f t="shared" ca="1" si="98"/>
        <v>Veiklos pajamos 5 (viešojo sektoriaus)</v>
      </c>
      <c r="D105" s="114"/>
      <c r="E105" s="148" t="str">
        <f t="shared" ca="1" si="99"/>
        <v>Be PVM</v>
      </c>
      <c r="F105" s="139">
        <f ca="1">H105+NPV(FD,I105:INDEX(I105:DC105,PAL))</f>
        <v>0</v>
      </c>
      <c r="G105" s="140">
        <f ca="1">SUMIF($H$5:$DC$5,"&lt;="&amp;PAL,$H105:$DC105)</f>
        <v>0</v>
      </c>
      <c r="H105" s="138">
        <f t="shared" ca="1" si="132"/>
        <v>0</v>
      </c>
      <c r="I105" s="138">
        <f t="shared" ca="1" si="132"/>
        <v>0</v>
      </c>
      <c r="J105" s="138">
        <f t="shared" ca="1" si="132"/>
        <v>0</v>
      </c>
      <c r="K105" s="138">
        <f t="shared" ca="1" si="132"/>
        <v>0</v>
      </c>
      <c r="L105" s="138">
        <f t="shared" ca="1" si="132"/>
        <v>0</v>
      </c>
      <c r="M105" s="138">
        <f t="shared" ca="1" si="132"/>
        <v>0</v>
      </c>
      <c r="N105" s="138">
        <f t="shared" ca="1" si="132"/>
        <v>0</v>
      </c>
      <c r="O105" s="138">
        <f t="shared" ca="1" si="132"/>
        <v>0</v>
      </c>
      <c r="P105" s="138">
        <f t="shared" ca="1" si="132"/>
        <v>0</v>
      </c>
      <c r="Q105" s="138">
        <f t="shared" ca="1" si="132"/>
        <v>0</v>
      </c>
      <c r="R105" s="138">
        <f t="shared" ca="1" si="133"/>
        <v>0</v>
      </c>
      <c r="S105" s="138">
        <f t="shared" ca="1" si="133"/>
        <v>0</v>
      </c>
      <c r="T105" s="138">
        <f t="shared" ca="1" si="133"/>
        <v>0</v>
      </c>
      <c r="U105" s="138">
        <f t="shared" ca="1" si="133"/>
        <v>0</v>
      </c>
      <c r="V105" s="138">
        <f t="shared" ca="1" si="133"/>
        <v>0</v>
      </c>
      <c r="W105" s="138">
        <f t="shared" ca="1" si="133"/>
        <v>0</v>
      </c>
      <c r="X105" s="138">
        <f t="shared" ca="1" si="133"/>
        <v>0</v>
      </c>
      <c r="Y105" s="138">
        <f t="shared" ca="1" si="133"/>
        <v>0</v>
      </c>
      <c r="Z105" s="138">
        <f t="shared" ca="1" si="133"/>
        <v>0</v>
      </c>
      <c r="AA105" s="138">
        <f t="shared" ca="1" si="133"/>
        <v>0</v>
      </c>
      <c r="AB105" s="138">
        <f t="shared" ca="1" si="134"/>
        <v>0</v>
      </c>
      <c r="AC105" s="138">
        <f t="shared" ca="1" si="134"/>
        <v>0</v>
      </c>
      <c r="AD105" s="138">
        <f t="shared" ca="1" si="134"/>
        <v>0</v>
      </c>
      <c r="AE105" s="138">
        <f t="shared" ca="1" si="134"/>
        <v>0</v>
      </c>
      <c r="AF105" s="138">
        <f t="shared" ca="1" si="134"/>
        <v>0</v>
      </c>
      <c r="AG105" s="138">
        <f t="shared" ca="1" si="134"/>
        <v>0</v>
      </c>
      <c r="AH105" s="138">
        <f t="shared" ca="1" si="134"/>
        <v>0</v>
      </c>
      <c r="AI105" s="138">
        <f t="shared" ca="1" si="134"/>
        <v>0</v>
      </c>
      <c r="AJ105" s="138">
        <f t="shared" ca="1" si="134"/>
        <v>0</v>
      </c>
      <c r="AK105" s="138">
        <f t="shared" ca="1" si="134"/>
        <v>0</v>
      </c>
      <c r="AL105" s="138">
        <f t="shared" ca="1" si="135"/>
        <v>0</v>
      </c>
      <c r="AM105" s="138">
        <f t="shared" ca="1" si="135"/>
        <v>0</v>
      </c>
      <c r="AN105" s="138">
        <f t="shared" ca="1" si="135"/>
        <v>0</v>
      </c>
      <c r="AO105" s="138">
        <f t="shared" ca="1" si="135"/>
        <v>0</v>
      </c>
      <c r="AP105" s="138">
        <f t="shared" ca="1" si="135"/>
        <v>0</v>
      </c>
      <c r="AQ105" s="138">
        <f t="shared" ca="1" si="135"/>
        <v>0</v>
      </c>
      <c r="AR105" s="138">
        <f t="shared" ca="1" si="135"/>
        <v>0</v>
      </c>
      <c r="AS105" s="138">
        <f t="shared" ca="1" si="135"/>
        <v>0</v>
      </c>
      <c r="AT105" s="138">
        <f t="shared" ca="1" si="135"/>
        <v>0</v>
      </c>
      <c r="AU105" s="138">
        <f t="shared" ca="1" si="135"/>
        <v>0</v>
      </c>
      <c r="AV105" s="138">
        <f t="shared" ca="1" si="136"/>
        <v>0</v>
      </c>
      <c r="AW105" s="138">
        <f t="shared" ca="1" si="136"/>
        <v>0</v>
      </c>
      <c r="AX105" s="138">
        <f t="shared" ca="1" si="136"/>
        <v>0</v>
      </c>
      <c r="AY105" s="138">
        <f t="shared" ca="1" si="136"/>
        <v>0</v>
      </c>
      <c r="AZ105" s="138">
        <f t="shared" ca="1" si="136"/>
        <v>0</v>
      </c>
      <c r="BA105" s="138">
        <f t="shared" ca="1" si="136"/>
        <v>0</v>
      </c>
      <c r="BB105" s="138">
        <f t="shared" ca="1" si="136"/>
        <v>0</v>
      </c>
      <c r="BC105" s="138">
        <f t="shared" ca="1" si="136"/>
        <v>0</v>
      </c>
      <c r="BD105" s="138">
        <f t="shared" ca="1" si="136"/>
        <v>0</v>
      </c>
      <c r="BE105" s="138">
        <f t="shared" ca="1" si="136"/>
        <v>0</v>
      </c>
      <c r="BF105" s="138">
        <f t="shared" ca="1" si="137"/>
        <v>0</v>
      </c>
      <c r="BG105" s="138">
        <f t="shared" ca="1" si="137"/>
        <v>0</v>
      </c>
      <c r="BH105" s="138">
        <f t="shared" ca="1" si="137"/>
        <v>0</v>
      </c>
      <c r="BI105" s="138">
        <f t="shared" ca="1" si="137"/>
        <v>0</v>
      </c>
      <c r="BJ105" s="138">
        <f t="shared" ca="1" si="137"/>
        <v>0</v>
      </c>
      <c r="BK105" s="138">
        <f t="shared" ca="1" si="137"/>
        <v>0</v>
      </c>
      <c r="BL105" s="138">
        <f t="shared" ca="1" si="137"/>
        <v>0</v>
      </c>
      <c r="BM105" s="138">
        <f t="shared" ca="1" si="137"/>
        <v>0</v>
      </c>
      <c r="BN105" s="138">
        <f t="shared" ca="1" si="137"/>
        <v>0</v>
      </c>
      <c r="BO105" s="138">
        <f t="shared" ca="1" si="137"/>
        <v>0</v>
      </c>
      <c r="BP105" s="138">
        <f t="shared" ca="1" si="138"/>
        <v>0</v>
      </c>
      <c r="BQ105" s="138">
        <f t="shared" ca="1" si="138"/>
        <v>0</v>
      </c>
      <c r="BR105" s="138">
        <f t="shared" ca="1" si="138"/>
        <v>0</v>
      </c>
      <c r="BS105" s="138">
        <f t="shared" ca="1" si="138"/>
        <v>0</v>
      </c>
      <c r="BT105" s="138">
        <f t="shared" ca="1" si="138"/>
        <v>0</v>
      </c>
      <c r="BU105" s="138">
        <f t="shared" ca="1" si="138"/>
        <v>0</v>
      </c>
      <c r="BV105" s="138">
        <f t="shared" ca="1" si="138"/>
        <v>0</v>
      </c>
      <c r="BW105" s="138">
        <f t="shared" ca="1" si="138"/>
        <v>0</v>
      </c>
      <c r="BX105" s="138">
        <f t="shared" ca="1" si="138"/>
        <v>0</v>
      </c>
      <c r="BY105" s="138">
        <f t="shared" ca="1" si="138"/>
        <v>0</v>
      </c>
      <c r="BZ105" s="138">
        <f t="shared" ca="1" si="139"/>
        <v>0</v>
      </c>
      <c r="CA105" s="138">
        <f t="shared" ca="1" si="139"/>
        <v>0</v>
      </c>
      <c r="CB105" s="138">
        <f t="shared" ca="1" si="139"/>
        <v>0</v>
      </c>
      <c r="CC105" s="138">
        <f t="shared" ca="1" si="139"/>
        <v>0</v>
      </c>
      <c r="CD105" s="138">
        <f t="shared" ca="1" si="139"/>
        <v>0</v>
      </c>
      <c r="CE105" s="138">
        <f t="shared" ca="1" si="139"/>
        <v>0</v>
      </c>
      <c r="CF105" s="138">
        <f t="shared" ca="1" si="139"/>
        <v>0</v>
      </c>
      <c r="CG105" s="138">
        <f t="shared" ca="1" si="139"/>
        <v>0</v>
      </c>
      <c r="CH105" s="138">
        <f t="shared" ca="1" si="139"/>
        <v>0</v>
      </c>
      <c r="CI105" s="138">
        <f t="shared" ca="1" si="139"/>
        <v>0</v>
      </c>
      <c r="CJ105" s="138">
        <f t="shared" ca="1" si="140"/>
        <v>0</v>
      </c>
      <c r="CK105" s="138">
        <f t="shared" ca="1" si="140"/>
        <v>0</v>
      </c>
      <c r="CL105" s="138">
        <f t="shared" ca="1" si="140"/>
        <v>0</v>
      </c>
      <c r="CM105" s="138">
        <f t="shared" ca="1" si="140"/>
        <v>0</v>
      </c>
      <c r="CN105" s="138">
        <f t="shared" ca="1" si="140"/>
        <v>0</v>
      </c>
      <c r="CO105" s="138">
        <f t="shared" ca="1" si="140"/>
        <v>0</v>
      </c>
      <c r="CP105" s="138">
        <f t="shared" ca="1" si="140"/>
        <v>0</v>
      </c>
      <c r="CQ105" s="138">
        <f t="shared" ca="1" si="140"/>
        <v>0</v>
      </c>
      <c r="CR105" s="138">
        <f t="shared" ca="1" si="140"/>
        <v>0</v>
      </c>
      <c r="CS105" s="138">
        <f t="shared" ca="1" si="140"/>
        <v>0</v>
      </c>
      <c r="CT105" s="138">
        <f t="shared" ca="1" si="141"/>
        <v>0</v>
      </c>
      <c r="CU105" s="138">
        <f t="shared" ca="1" si="141"/>
        <v>0</v>
      </c>
      <c r="CV105" s="138">
        <f t="shared" ca="1" si="141"/>
        <v>0</v>
      </c>
      <c r="CW105" s="138">
        <f t="shared" ca="1" si="141"/>
        <v>0</v>
      </c>
      <c r="CX105" s="138">
        <f t="shared" ca="1" si="141"/>
        <v>0</v>
      </c>
      <c r="CY105" s="138">
        <f t="shared" ca="1" si="141"/>
        <v>0</v>
      </c>
      <c r="CZ105" s="138">
        <f t="shared" ca="1" si="141"/>
        <v>0</v>
      </c>
      <c r="DA105" s="138">
        <f t="shared" ca="1" si="141"/>
        <v>0</v>
      </c>
      <c r="DB105" s="138">
        <f t="shared" ca="1" si="141"/>
        <v>0</v>
      </c>
      <c r="DC105" s="138">
        <f t="shared" ca="1" si="141"/>
        <v>0</v>
      </c>
      <c r="DE105" s="254" t="str">
        <f t="shared" ca="1" si="100"/>
        <v>H.5.</v>
      </c>
      <c r="DF105">
        <v>1</v>
      </c>
      <c r="DG105">
        <f t="shared" ca="1" si="142"/>
        <v>0</v>
      </c>
    </row>
    <row r="106" spans="1:111" hidden="1">
      <c r="A106" s="124">
        <v>94</v>
      </c>
      <c r="B106" s="205" t="str">
        <f t="shared" ca="1" si="97"/>
        <v>H.6.</v>
      </c>
      <c r="C106" s="129" t="str">
        <f t="shared" ca="1" si="98"/>
        <v>Veiklos pajamos 1 (privataus ir NVO sektoriaus)</v>
      </c>
      <c r="D106" s="114"/>
      <c r="E106" s="148" t="str">
        <f t="shared" ca="1" si="99"/>
        <v/>
      </c>
      <c r="F106" s="139">
        <f ca="1">H106+NPV(FD,I106:INDEX(I106:DC106,PAL))</f>
        <v>0</v>
      </c>
      <c r="G106" s="140">
        <f ca="1">SUMIF($H$5:$DC$5,"&lt;="&amp;PAL,$H106:$DC106)</f>
        <v>0</v>
      </c>
      <c r="H106" s="138">
        <f t="shared" ca="1" si="132"/>
        <v>0</v>
      </c>
      <c r="I106" s="138">
        <f t="shared" ca="1" si="132"/>
        <v>0</v>
      </c>
      <c r="J106" s="138">
        <f t="shared" ca="1" si="132"/>
        <v>0</v>
      </c>
      <c r="K106" s="138">
        <f t="shared" ca="1" si="132"/>
        <v>0</v>
      </c>
      <c r="L106" s="138">
        <f t="shared" ca="1" si="132"/>
        <v>0</v>
      </c>
      <c r="M106" s="138">
        <f t="shared" ca="1" si="132"/>
        <v>0</v>
      </c>
      <c r="N106" s="138">
        <f t="shared" ca="1" si="132"/>
        <v>0</v>
      </c>
      <c r="O106" s="138">
        <f t="shared" ca="1" si="132"/>
        <v>0</v>
      </c>
      <c r="P106" s="138">
        <f t="shared" ca="1" si="132"/>
        <v>0</v>
      </c>
      <c r="Q106" s="138">
        <f t="shared" ca="1" si="132"/>
        <v>0</v>
      </c>
      <c r="R106" s="138">
        <f t="shared" ca="1" si="133"/>
        <v>0</v>
      </c>
      <c r="S106" s="138">
        <f t="shared" ca="1" si="133"/>
        <v>0</v>
      </c>
      <c r="T106" s="138">
        <f t="shared" ca="1" si="133"/>
        <v>0</v>
      </c>
      <c r="U106" s="138">
        <f t="shared" ca="1" si="133"/>
        <v>0</v>
      </c>
      <c r="V106" s="138">
        <f t="shared" ca="1" si="133"/>
        <v>0</v>
      </c>
      <c r="W106" s="138">
        <f t="shared" ca="1" si="133"/>
        <v>0</v>
      </c>
      <c r="X106" s="138">
        <f t="shared" ca="1" si="133"/>
        <v>0</v>
      </c>
      <c r="Y106" s="138">
        <f t="shared" ca="1" si="133"/>
        <v>0</v>
      </c>
      <c r="Z106" s="138">
        <f t="shared" ca="1" si="133"/>
        <v>0</v>
      </c>
      <c r="AA106" s="138">
        <f t="shared" ca="1" si="133"/>
        <v>0</v>
      </c>
      <c r="AB106" s="138">
        <f t="shared" ca="1" si="134"/>
        <v>0</v>
      </c>
      <c r="AC106" s="138">
        <f t="shared" ca="1" si="134"/>
        <v>0</v>
      </c>
      <c r="AD106" s="138">
        <f t="shared" ca="1" si="134"/>
        <v>0</v>
      </c>
      <c r="AE106" s="138">
        <f t="shared" ca="1" si="134"/>
        <v>0</v>
      </c>
      <c r="AF106" s="138">
        <f t="shared" ca="1" si="134"/>
        <v>0</v>
      </c>
      <c r="AG106" s="138">
        <f t="shared" ca="1" si="134"/>
        <v>0</v>
      </c>
      <c r="AH106" s="138">
        <f t="shared" ca="1" si="134"/>
        <v>0</v>
      </c>
      <c r="AI106" s="138">
        <f t="shared" ca="1" si="134"/>
        <v>0</v>
      </c>
      <c r="AJ106" s="138">
        <f t="shared" ca="1" si="134"/>
        <v>0</v>
      </c>
      <c r="AK106" s="138">
        <f t="shared" ca="1" si="134"/>
        <v>0</v>
      </c>
      <c r="AL106" s="138">
        <f t="shared" ca="1" si="135"/>
        <v>0</v>
      </c>
      <c r="AM106" s="138">
        <f t="shared" ca="1" si="135"/>
        <v>0</v>
      </c>
      <c r="AN106" s="138">
        <f t="shared" ca="1" si="135"/>
        <v>0</v>
      </c>
      <c r="AO106" s="138">
        <f t="shared" ca="1" si="135"/>
        <v>0</v>
      </c>
      <c r="AP106" s="138">
        <f t="shared" ca="1" si="135"/>
        <v>0</v>
      </c>
      <c r="AQ106" s="138">
        <f t="shared" ca="1" si="135"/>
        <v>0</v>
      </c>
      <c r="AR106" s="138">
        <f t="shared" ca="1" si="135"/>
        <v>0</v>
      </c>
      <c r="AS106" s="138">
        <f t="shared" ca="1" si="135"/>
        <v>0</v>
      </c>
      <c r="AT106" s="138">
        <f t="shared" ca="1" si="135"/>
        <v>0</v>
      </c>
      <c r="AU106" s="138">
        <f t="shared" ca="1" si="135"/>
        <v>0</v>
      </c>
      <c r="AV106" s="138">
        <f t="shared" ca="1" si="136"/>
        <v>0</v>
      </c>
      <c r="AW106" s="138">
        <f t="shared" ca="1" si="136"/>
        <v>0</v>
      </c>
      <c r="AX106" s="138">
        <f t="shared" ca="1" si="136"/>
        <v>0</v>
      </c>
      <c r="AY106" s="138">
        <f t="shared" ca="1" si="136"/>
        <v>0</v>
      </c>
      <c r="AZ106" s="138">
        <f t="shared" ca="1" si="136"/>
        <v>0</v>
      </c>
      <c r="BA106" s="138">
        <f t="shared" ca="1" si="136"/>
        <v>0</v>
      </c>
      <c r="BB106" s="138">
        <f t="shared" ca="1" si="136"/>
        <v>0</v>
      </c>
      <c r="BC106" s="138">
        <f t="shared" ca="1" si="136"/>
        <v>0</v>
      </c>
      <c r="BD106" s="138">
        <f t="shared" ca="1" si="136"/>
        <v>0</v>
      </c>
      <c r="BE106" s="138">
        <f t="shared" ca="1" si="136"/>
        <v>0</v>
      </c>
      <c r="BF106" s="138">
        <f t="shared" ca="1" si="137"/>
        <v>0</v>
      </c>
      <c r="BG106" s="138">
        <f t="shared" ca="1" si="137"/>
        <v>0</v>
      </c>
      <c r="BH106" s="138">
        <f t="shared" ca="1" si="137"/>
        <v>0</v>
      </c>
      <c r="BI106" s="138">
        <f t="shared" ca="1" si="137"/>
        <v>0</v>
      </c>
      <c r="BJ106" s="138">
        <f t="shared" ca="1" si="137"/>
        <v>0</v>
      </c>
      <c r="BK106" s="138">
        <f t="shared" ca="1" si="137"/>
        <v>0</v>
      </c>
      <c r="BL106" s="138">
        <f t="shared" ca="1" si="137"/>
        <v>0</v>
      </c>
      <c r="BM106" s="138">
        <f t="shared" ca="1" si="137"/>
        <v>0</v>
      </c>
      <c r="BN106" s="138">
        <f t="shared" ca="1" si="137"/>
        <v>0</v>
      </c>
      <c r="BO106" s="138">
        <f t="shared" ca="1" si="137"/>
        <v>0</v>
      </c>
      <c r="BP106" s="138">
        <f t="shared" ca="1" si="138"/>
        <v>0</v>
      </c>
      <c r="BQ106" s="138">
        <f t="shared" ca="1" si="138"/>
        <v>0</v>
      </c>
      <c r="BR106" s="138">
        <f t="shared" ca="1" si="138"/>
        <v>0</v>
      </c>
      <c r="BS106" s="138">
        <f t="shared" ca="1" si="138"/>
        <v>0</v>
      </c>
      <c r="BT106" s="138">
        <f t="shared" ca="1" si="138"/>
        <v>0</v>
      </c>
      <c r="BU106" s="138">
        <f t="shared" ca="1" si="138"/>
        <v>0</v>
      </c>
      <c r="BV106" s="138">
        <f t="shared" ca="1" si="138"/>
        <v>0</v>
      </c>
      <c r="BW106" s="138">
        <f t="shared" ca="1" si="138"/>
        <v>0</v>
      </c>
      <c r="BX106" s="138">
        <f t="shared" ca="1" si="138"/>
        <v>0</v>
      </c>
      <c r="BY106" s="138">
        <f t="shared" ca="1" si="138"/>
        <v>0</v>
      </c>
      <c r="BZ106" s="138">
        <f t="shared" ca="1" si="139"/>
        <v>0</v>
      </c>
      <c r="CA106" s="138">
        <f t="shared" ca="1" si="139"/>
        <v>0</v>
      </c>
      <c r="CB106" s="138">
        <f t="shared" ca="1" si="139"/>
        <v>0</v>
      </c>
      <c r="CC106" s="138">
        <f t="shared" ca="1" si="139"/>
        <v>0</v>
      </c>
      <c r="CD106" s="138">
        <f t="shared" ca="1" si="139"/>
        <v>0</v>
      </c>
      <c r="CE106" s="138">
        <f t="shared" ca="1" si="139"/>
        <v>0</v>
      </c>
      <c r="CF106" s="138">
        <f t="shared" ca="1" si="139"/>
        <v>0</v>
      </c>
      <c r="CG106" s="138">
        <f t="shared" ca="1" si="139"/>
        <v>0</v>
      </c>
      <c r="CH106" s="138">
        <f t="shared" ca="1" si="139"/>
        <v>0</v>
      </c>
      <c r="CI106" s="138">
        <f t="shared" ca="1" si="139"/>
        <v>0</v>
      </c>
      <c r="CJ106" s="138">
        <f t="shared" ca="1" si="140"/>
        <v>0</v>
      </c>
      <c r="CK106" s="138">
        <f t="shared" ca="1" si="140"/>
        <v>0</v>
      </c>
      <c r="CL106" s="138">
        <f t="shared" ca="1" si="140"/>
        <v>0</v>
      </c>
      <c r="CM106" s="138">
        <f t="shared" ca="1" si="140"/>
        <v>0</v>
      </c>
      <c r="CN106" s="138">
        <f t="shared" ca="1" si="140"/>
        <v>0</v>
      </c>
      <c r="CO106" s="138">
        <f t="shared" ca="1" si="140"/>
        <v>0</v>
      </c>
      <c r="CP106" s="138">
        <f t="shared" ca="1" si="140"/>
        <v>0</v>
      </c>
      <c r="CQ106" s="138">
        <f t="shared" ca="1" si="140"/>
        <v>0</v>
      </c>
      <c r="CR106" s="138">
        <f t="shared" ca="1" si="140"/>
        <v>0</v>
      </c>
      <c r="CS106" s="138">
        <f t="shared" ca="1" si="140"/>
        <v>0</v>
      </c>
      <c r="CT106" s="138">
        <f t="shared" ca="1" si="141"/>
        <v>0</v>
      </c>
      <c r="CU106" s="138">
        <f t="shared" ca="1" si="141"/>
        <v>0</v>
      </c>
      <c r="CV106" s="138">
        <f t="shared" ca="1" si="141"/>
        <v>0</v>
      </c>
      <c r="CW106" s="138">
        <f t="shared" ca="1" si="141"/>
        <v>0</v>
      </c>
      <c r="CX106" s="138">
        <f t="shared" ca="1" si="141"/>
        <v>0</v>
      </c>
      <c r="CY106" s="138">
        <f t="shared" ca="1" si="141"/>
        <v>0</v>
      </c>
      <c r="CZ106" s="138">
        <f t="shared" ca="1" si="141"/>
        <v>0</v>
      </c>
      <c r="DA106" s="138">
        <f t="shared" ca="1" si="141"/>
        <v>0</v>
      </c>
      <c r="DB106" s="138">
        <f t="shared" ca="1" si="141"/>
        <v>0</v>
      </c>
      <c r="DC106" s="138">
        <f t="shared" ca="1" si="141"/>
        <v>0</v>
      </c>
      <c r="DE106" s="254" t="str">
        <f t="shared" ca="1" si="100"/>
        <v>H.6.</v>
      </c>
      <c r="DF106">
        <v>1</v>
      </c>
      <c r="DG106">
        <f t="shared" ca="1" si="142"/>
        <v>0</v>
      </c>
    </row>
    <row r="107" spans="1:111" hidden="1">
      <c r="A107" s="124">
        <v>95</v>
      </c>
      <c r="B107" s="205" t="str">
        <f t="shared" ca="1" si="97"/>
        <v>H.7.</v>
      </c>
      <c r="C107" s="129" t="str">
        <f t="shared" ca="1" si="98"/>
        <v>Veiklos pajamos 2 (privataus ir NVO sektoriaus)</v>
      </c>
      <c r="D107" s="114"/>
      <c r="E107" s="148" t="str">
        <f t="shared" ca="1" si="99"/>
        <v/>
      </c>
      <c r="F107" s="139">
        <f ca="1">H107+NPV(FD,I107:INDEX(I107:DC107,PAL))</f>
        <v>0</v>
      </c>
      <c r="G107" s="140">
        <f ca="1">SUMIF($H$5:$DC$5,"&lt;="&amp;PAL,$H107:$DC107)</f>
        <v>0</v>
      </c>
      <c r="H107" s="138">
        <f t="shared" ca="1" si="132"/>
        <v>0</v>
      </c>
      <c r="I107" s="138">
        <f t="shared" ca="1" si="132"/>
        <v>0</v>
      </c>
      <c r="J107" s="138">
        <f t="shared" ca="1" si="132"/>
        <v>0</v>
      </c>
      <c r="K107" s="138">
        <f t="shared" ca="1" si="132"/>
        <v>0</v>
      </c>
      <c r="L107" s="138">
        <f t="shared" ca="1" si="132"/>
        <v>0</v>
      </c>
      <c r="M107" s="138">
        <f t="shared" ca="1" si="132"/>
        <v>0</v>
      </c>
      <c r="N107" s="138">
        <f t="shared" ca="1" si="132"/>
        <v>0</v>
      </c>
      <c r="O107" s="138">
        <f t="shared" ca="1" si="132"/>
        <v>0</v>
      </c>
      <c r="P107" s="138">
        <f t="shared" ca="1" si="132"/>
        <v>0</v>
      </c>
      <c r="Q107" s="138">
        <f t="shared" ca="1" si="132"/>
        <v>0</v>
      </c>
      <c r="R107" s="138">
        <f t="shared" ca="1" si="133"/>
        <v>0</v>
      </c>
      <c r="S107" s="138">
        <f t="shared" ca="1" si="133"/>
        <v>0</v>
      </c>
      <c r="T107" s="138">
        <f t="shared" ca="1" si="133"/>
        <v>0</v>
      </c>
      <c r="U107" s="138">
        <f t="shared" ca="1" si="133"/>
        <v>0</v>
      </c>
      <c r="V107" s="138">
        <f t="shared" ca="1" si="133"/>
        <v>0</v>
      </c>
      <c r="W107" s="138">
        <f t="shared" ca="1" si="133"/>
        <v>0</v>
      </c>
      <c r="X107" s="138">
        <f t="shared" ca="1" si="133"/>
        <v>0</v>
      </c>
      <c r="Y107" s="138">
        <f t="shared" ca="1" si="133"/>
        <v>0</v>
      </c>
      <c r="Z107" s="138">
        <f t="shared" ca="1" si="133"/>
        <v>0</v>
      </c>
      <c r="AA107" s="138">
        <f t="shared" ca="1" si="133"/>
        <v>0</v>
      </c>
      <c r="AB107" s="138">
        <f t="shared" ca="1" si="134"/>
        <v>0</v>
      </c>
      <c r="AC107" s="138">
        <f t="shared" ca="1" si="134"/>
        <v>0</v>
      </c>
      <c r="AD107" s="138">
        <f t="shared" ca="1" si="134"/>
        <v>0</v>
      </c>
      <c r="AE107" s="138">
        <f t="shared" ca="1" si="134"/>
        <v>0</v>
      </c>
      <c r="AF107" s="138">
        <f t="shared" ca="1" si="134"/>
        <v>0</v>
      </c>
      <c r="AG107" s="138">
        <f t="shared" ca="1" si="134"/>
        <v>0</v>
      </c>
      <c r="AH107" s="138">
        <f t="shared" ca="1" si="134"/>
        <v>0</v>
      </c>
      <c r="AI107" s="138">
        <f t="shared" ca="1" si="134"/>
        <v>0</v>
      </c>
      <c r="AJ107" s="138">
        <f t="shared" ca="1" si="134"/>
        <v>0</v>
      </c>
      <c r="AK107" s="138">
        <f t="shared" ca="1" si="134"/>
        <v>0</v>
      </c>
      <c r="AL107" s="138">
        <f t="shared" ca="1" si="135"/>
        <v>0</v>
      </c>
      <c r="AM107" s="138">
        <f t="shared" ca="1" si="135"/>
        <v>0</v>
      </c>
      <c r="AN107" s="138">
        <f t="shared" ca="1" si="135"/>
        <v>0</v>
      </c>
      <c r="AO107" s="138">
        <f t="shared" ca="1" si="135"/>
        <v>0</v>
      </c>
      <c r="AP107" s="138">
        <f t="shared" ca="1" si="135"/>
        <v>0</v>
      </c>
      <c r="AQ107" s="138">
        <f t="shared" ca="1" si="135"/>
        <v>0</v>
      </c>
      <c r="AR107" s="138">
        <f t="shared" ca="1" si="135"/>
        <v>0</v>
      </c>
      <c r="AS107" s="138">
        <f t="shared" ca="1" si="135"/>
        <v>0</v>
      </c>
      <c r="AT107" s="138">
        <f t="shared" ca="1" si="135"/>
        <v>0</v>
      </c>
      <c r="AU107" s="138">
        <f t="shared" ca="1" si="135"/>
        <v>0</v>
      </c>
      <c r="AV107" s="138">
        <f t="shared" ca="1" si="136"/>
        <v>0</v>
      </c>
      <c r="AW107" s="138">
        <f t="shared" ca="1" si="136"/>
        <v>0</v>
      </c>
      <c r="AX107" s="138">
        <f t="shared" ca="1" si="136"/>
        <v>0</v>
      </c>
      <c r="AY107" s="138">
        <f t="shared" ca="1" si="136"/>
        <v>0</v>
      </c>
      <c r="AZ107" s="138">
        <f t="shared" ca="1" si="136"/>
        <v>0</v>
      </c>
      <c r="BA107" s="138">
        <f t="shared" ca="1" si="136"/>
        <v>0</v>
      </c>
      <c r="BB107" s="138">
        <f t="shared" ca="1" si="136"/>
        <v>0</v>
      </c>
      <c r="BC107" s="138">
        <f t="shared" ca="1" si="136"/>
        <v>0</v>
      </c>
      <c r="BD107" s="138">
        <f t="shared" ca="1" si="136"/>
        <v>0</v>
      </c>
      <c r="BE107" s="138">
        <f t="shared" ca="1" si="136"/>
        <v>0</v>
      </c>
      <c r="BF107" s="138">
        <f t="shared" ca="1" si="137"/>
        <v>0</v>
      </c>
      <c r="BG107" s="138">
        <f t="shared" ca="1" si="137"/>
        <v>0</v>
      </c>
      <c r="BH107" s="138">
        <f t="shared" ca="1" si="137"/>
        <v>0</v>
      </c>
      <c r="BI107" s="138">
        <f t="shared" ca="1" si="137"/>
        <v>0</v>
      </c>
      <c r="BJ107" s="138">
        <f t="shared" ca="1" si="137"/>
        <v>0</v>
      </c>
      <c r="BK107" s="138">
        <f t="shared" ca="1" si="137"/>
        <v>0</v>
      </c>
      <c r="BL107" s="138">
        <f t="shared" ca="1" si="137"/>
        <v>0</v>
      </c>
      <c r="BM107" s="138">
        <f t="shared" ca="1" si="137"/>
        <v>0</v>
      </c>
      <c r="BN107" s="138">
        <f t="shared" ca="1" si="137"/>
        <v>0</v>
      </c>
      <c r="BO107" s="138">
        <f t="shared" ca="1" si="137"/>
        <v>0</v>
      </c>
      <c r="BP107" s="138">
        <f t="shared" ca="1" si="138"/>
        <v>0</v>
      </c>
      <c r="BQ107" s="138">
        <f t="shared" ca="1" si="138"/>
        <v>0</v>
      </c>
      <c r="BR107" s="138">
        <f t="shared" ca="1" si="138"/>
        <v>0</v>
      </c>
      <c r="BS107" s="138">
        <f t="shared" ca="1" si="138"/>
        <v>0</v>
      </c>
      <c r="BT107" s="138">
        <f t="shared" ca="1" si="138"/>
        <v>0</v>
      </c>
      <c r="BU107" s="138">
        <f t="shared" ca="1" si="138"/>
        <v>0</v>
      </c>
      <c r="BV107" s="138">
        <f t="shared" ca="1" si="138"/>
        <v>0</v>
      </c>
      <c r="BW107" s="138">
        <f t="shared" ca="1" si="138"/>
        <v>0</v>
      </c>
      <c r="BX107" s="138">
        <f t="shared" ca="1" si="138"/>
        <v>0</v>
      </c>
      <c r="BY107" s="138">
        <f t="shared" ca="1" si="138"/>
        <v>0</v>
      </c>
      <c r="BZ107" s="138">
        <f t="shared" ca="1" si="139"/>
        <v>0</v>
      </c>
      <c r="CA107" s="138">
        <f t="shared" ca="1" si="139"/>
        <v>0</v>
      </c>
      <c r="CB107" s="138">
        <f t="shared" ca="1" si="139"/>
        <v>0</v>
      </c>
      <c r="CC107" s="138">
        <f t="shared" ca="1" si="139"/>
        <v>0</v>
      </c>
      <c r="CD107" s="138">
        <f t="shared" ca="1" si="139"/>
        <v>0</v>
      </c>
      <c r="CE107" s="138">
        <f t="shared" ca="1" si="139"/>
        <v>0</v>
      </c>
      <c r="CF107" s="138">
        <f t="shared" ca="1" si="139"/>
        <v>0</v>
      </c>
      <c r="CG107" s="138">
        <f t="shared" ca="1" si="139"/>
        <v>0</v>
      </c>
      <c r="CH107" s="138">
        <f t="shared" ca="1" si="139"/>
        <v>0</v>
      </c>
      <c r="CI107" s="138">
        <f t="shared" ca="1" si="139"/>
        <v>0</v>
      </c>
      <c r="CJ107" s="138">
        <f t="shared" ca="1" si="140"/>
        <v>0</v>
      </c>
      <c r="CK107" s="138">
        <f t="shared" ca="1" si="140"/>
        <v>0</v>
      </c>
      <c r="CL107" s="138">
        <f t="shared" ca="1" si="140"/>
        <v>0</v>
      </c>
      <c r="CM107" s="138">
        <f t="shared" ca="1" si="140"/>
        <v>0</v>
      </c>
      <c r="CN107" s="138">
        <f t="shared" ca="1" si="140"/>
        <v>0</v>
      </c>
      <c r="CO107" s="138">
        <f t="shared" ca="1" si="140"/>
        <v>0</v>
      </c>
      <c r="CP107" s="138">
        <f t="shared" ca="1" si="140"/>
        <v>0</v>
      </c>
      <c r="CQ107" s="138">
        <f t="shared" ca="1" si="140"/>
        <v>0</v>
      </c>
      <c r="CR107" s="138">
        <f t="shared" ca="1" si="140"/>
        <v>0</v>
      </c>
      <c r="CS107" s="138">
        <f t="shared" ca="1" si="140"/>
        <v>0</v>
      </c>
      <c r="CT107" s="138">
        <f t="shared" ca="1" si="141"/>
        <v>0</v>
      </c>
      <c r="CU107" s="138">
        <f t="shared" ca="1" si="141"/>
        <v>0</v>
      </c>
      <c r="CV107" s="138">
        <f t="shared" ca="1" si="141"/>
        <v>0</v>
      </c>
      <c r="CW107" s="138">
        <f t="shared" ca="1" si="141"/>
        <v>0</v>
      </c>
      <c r="CX107" s="138">
        <f t="shared" ca="1" si="141"/>
        <v>0</v>
      </c>
      <c r="CY107" s="138">
        <f t="shared" ca="1" si="141"/>
        <v>0</v>
      </c>
      <c r="CZ107" s="138">
        <f t="shared" ca="1" si="141"/>
        <v>0</v>
      </c>
      <c r="DA107" s="138">
        <f t="shared" ca="1" si="141"/>
        <v>0</v>
      </c>
      <c r="DB107" s="138">
        <f t="shared" ca="1" si="141"/>
        <v>0</v>
      </c>
      <c r="DC107" s="138">
        <f t="shared" ca="1" si="141"/>
        <v>0</v>
      </c>
      <c r="DE107" s="254" t="str">
        <f t="shared" ca="1" si="100"/>
        <v>H.7.</v>
      </c>
      <c r="DF107">
        <v>1</v>
      </c>
      <c r="DG107">
        <f t="shared" ca="1" si="142"/>
        <v>0</v>
      </c>
    </row>
    <row r="108" spans="1:111" hidden="1">
      <c r="A108" s="124">
        <v>96</v>
      </c>
      <c r="B108" s="205" t="str">
        <f t="shared" ref="B108:B129" ca="1" si="143">OFFSET(INDIRECT("'"&amp;Opt_alt&amp;"'!B12"),$A108,0)</f>
        <v>H.8.</v>
      </c>
      <c r="C108" s="129" t="str">
        <f t="shared" ref="C108:C129" ca="1" si="144">IF(OFFSET(INDIRECT("'"&amp;Opt_alt&amp;"'!C12"),$A108,0)="","",OFFSET(INDIRECT("'"&amp;Opt_alt&amp;"'!C12"),$A108,0))</f>
        <v>Veiklos pajamos 3 (privataus ir NVO sektoriaus)</v>
      </c>
      <c r="D108" s="114"/>
      <c r="E108" s="148" t="str">
        <f t="shared" ref="E108:E129" ca="1" si="145">IF(OFFSET(INDIRECT("'"&amp;Opt_alt&amp;"'!E12"),$A108,0)="","",OFFSET(INDIRECT("'"&amp;Opt_alt&amp;"'!E12"),$A108,0))</f>
        <v/>
      </c>
      <c r="F108" s="139">
        <f ca="1">H108+NPV(FD,I108:INDEX(I108:DC108,PAL))</f>
        <v>0</v>
      </c>
      <c r="G108" s="140">
        <f ca="1">SUMIF($H$5:$DC$5,"&lt;="&amp;PAL,$H108:$DC108)</f>
        <v>0</v>
      </c>
      <c r="H108" s="138">
        <f t="shared" ca="1" si="132"/>
        <v>0</v>
      </c>
      <c r="I108" s="138">
        <f t="shared" ca="1" si="132"/>
        <v>0</v>
      </c>
      <c r="J108" s="138">
        <f t="shared" ca="1" si="132"/>
        <v>0</v>
      </c>
      <c r="K108" s="138">
        <f t="shared" ca="1" si="132"/>
        <v>0</v>
      </c>
      <c r="L108" s="138">
        <f t="shared" ca="1" si="132"/>
        <v>0</v>
      </c>
      <c r="M108" s="138">
        <f t="shared" ca="1" si="132"/>
        <v>0</v>
      </c>
      <c r="N108" s="138">
        <f t="shared" ca="1" si="132"/>
        <v>0</v>
      </c>
      <c r="O108" s="138">
        <f t="shared" ca="1" si="132"/>
        <v>0</v>
      </c>
      <c r="P108" s="138">
        <f t="shared" ca="1" si="132"/>
        <v>0</v>
      </c>
      <c r="Q108" s="138">
        <f t="shared" ca="1" si="132"/>
        <v>0</v>
      </c>
      <c r="R108" s="138">
        <f t="shared" ca="1" si="133"/>
        <v>0</v>
      </c>
      <c r="S108" s="138">
        <f t="shared" ca="1" si="133"/>
        <v>0</v>
      </c>
      <c r="T108" s="138">
        <f t="shared" ca="1" si="133"/>
        <v>0</v>
      </c>
      <c r="U108" s="138">
        <f t="shared" ca="1" si="133"/>
        <v>0</v>
      </c>
      <c r="V108" s="138">
        <f t="shared" ca="1" si="133"/>
        <v>0</v>
      </c>
      <c r="W108" s="138">
        <f t="shared" ca="1" si="133"/>
        <v>0</v>
      </c>
      <c r="X108" s="138">
        <f t="shared" ca="1" si="133"/>
        <v>0</v>
      </c>
      <c r="Y108" s="138">
        <f t="shared" ca="1" si="133"/>
        <v>0</v>
      </c>
      <c r="Z108" s="138">
        <f t="shared" ca="1" si="133"/>
        <v>0</v>
      </c>
      <c r="AA108" s="138">
        <f t="shared" ca="1" si="133"/>
        <v>0</v>
      </c>
      <c r="AB108" s="138">
        <f t="shared" ca="1" si="134"/>
        <v>0</v>
      </c>
      <c r="AC108" s="138">
        <f t="shared" ca="1" si="134"/>
        <v>0</v>
      </c>
      <c r="AD108" s="138">
        <f t="shared" ca="1" si="134"/>
        <v>0</v>
      </c>
      <c r="AE108" s="138">
        <f t="shared" ca="1" si="134"/>
        <v>0</v>
      </c>
      <c r="AF108" s="138">
        <f t="shared" ca="1" si="134"/>
        <v>0</v>
      </c>
      <c r="AG108" s="138">
        <f t="shared" ca="1" si="134"/>
        <v>0</v>
      </c>
      <c r="AH108" s="138">
        <f t="shared" ca="1" si="134"/>
        <v>0</v>
      </c>
      <c r="AI108" s="138">
        <f t="shared" ca="1" si="134"/>
        <v>0</v>
      </c>
      <c r="AJ108" s="138">
        <f t="shared" ca="1" si="134"/>
        <v>0</v>
      </c>
      <c r="AK108" s="138">
        <f t="shared" ca="1" si="134"/>
        <v>0</v>
      </c>
      <c r="AL108" s="138">
        <f t="shared" ca="1" si="135"/>
        <v>0</v>
      </c>
      <c r="AM108" s="138">
        <f t="shared" ca="1" si="135"/>
        <v>0</v>
      </c>
      <c r="AN108" s="138">
        <f t="shared" ca="1" si="135"/>
        <v>0</v>
      </c>
      <c r="AO108" s="138">
        <f t="shared" ca="1" si="135"/>
        <v>0</v>
      </c>
      <c r="AP108" s="138">
        <f t="shared" ca="1" si="135"/>
        <v>0</v>
      </c>
      <c r="AQ108" s="138">
        <f t="shared" ca="1" si="135"/>
        <v>0</v>
      </c>
      <c r="AR108" s="138">
        <f t="shared" ca="1" si="135"/>
        <v>0</v>
      </c>
      <c r="AS108" s="138">
        <f t="shared" ca="1" si="135"/>
        <v>0</v>
      </c>
      <c r="AT108" s="138">
        <f t="shared" ca="1" si="135"/>
        <v>0</v>
      </c>
      <c r="AU108" s="138">
        <f t="shared" ca="1" si="135"/>
        <v>0</v>
      </c>
      <c r="AV108" s="138">
        <f t="shared" ca="1" si="136"/>
        <v>0</v>
      </c>
      <c r="AW108" s="138">
        <f t="shared" ca="1" si="136"/>
        <v>0</v>
      </c>
      <c r="AX108" s="138">
        <f t="shared" ca="1" si="136"/>
        <v>0</v>
      </c>
      <c r="AY108" s="138">
        <f t="shared" ca="1" si="136"/>
        <v>0</v>
      </c>
      <c r="AZ108" s="138">
        <f t="shared" ca="1" si="136"/>
        <v>0</v>
      </c>
      <c r="BA108" s="138">
        <f t="shared" ca="1" si="136"/>
        <v>0</v>
      </c>
      <c r="BB108" s="138">
        <f t="shared" ca="1" si="136"/>
        <v>0</v>
      </c>
      <c r="BC108" s="138">
        <f t="shared" ca="1" si="136"/>
        <v>0</v>
      </c>
      <c r="BD108" s="138">
        <f t="shared" ca="1" si="136"/>
        <v>0</v>
      </c>
      <c r="BE108" s="138">
        <f t="shared" ca="1" si="136"/>
        <v>0</v>
      </c>
      <c r="BF108" s="138">
        <f t="shared" ca="1" si="137"/>
        <v>0</v>
      </c>
      <c r="BG108" s="138">
        <f t="shared" ca="1" si="137"/>
        <v>0</v>
      </c>
      <c r="BH108" s="138">
        <f t="shared" ca="1" si="137"/>
        <v>0</v>
      </c>
      <c r="BI108" s="138">
        <f t="shared" ca="1" si="137"/>
        <v>0</v>
      </c>
      <c r="BJ108" s="138">
        <f t="shared" ca="1" si="137"/>
        <v>0</v>
      </c>
      <c r="BK108" s="138">
        <f t="shared" ca="1" si="137"/>
        <v>0</v>
      </c>
      <c r="BL108" s="138">
        <f t="shared" ca="1" si="137"/>
        <v>0</v>
      </c>
      <c r="BM108" s="138">
        <f t="shared" ca="1" si="137"/>
        <v>0</v>
      </c>
      <c r="BN108" s="138">
        <f t="shared" ca="1" si="137"/>
        <v>0</v>
      </c>
      <c r="BO108" s="138">
        <f t="shared" ca="1" si="137"/>
        <v>0</v>
      </c>
      <c r="BP108" s="138">
        <f t="shared" ca="1" si="138"/>
        <v>0</v>
      </c>
      <c r="BQ108" s="138">
        <f t="shared" ca="1" si="138"/>
        <v>0</v>
      </c>
      <c r="BR108" s="138">
        <f t="shared" ca="1" si="138"/>
        <v>0</v>
      </c>
      <c r="BS108" s="138">
        <f t="shared" ca="1" si="138"/>
        <v>0</v>
      </c>
      <c r="BT108" s="138">
        <f t="shared" ca="1" si="138"/>
        <v>0</v>
      </c>
      <c r="BU108" s="138">
        <f t="shared" ca="1" si="138"/>
        <v>0</v>
      </c>
      <c r="BV108" s="138">
        <f t="shared" ca="1" si="138"/>
        <v>0</v>
      </c>
      <c r="BW108" s="138">
        <f t="shared" ca="1" si="138"/>
        <v>0</v>
      </c>
      <c r="BX108" s="138">
        <f t="shared" ca="1" si="138"/>
        <v>0</v>
      </c>
      <c r="BY108" s="138">
        <f t="shared" ca="1" si="138"/>
        <v>0</v>
      </c>
      <c r="BZ108" s="138">
        <f t="shared" ca="1" si="139"/>
        <v>0</v>
      </c>
      <c r="CA108" s="138">
        <f t="shared" ca="1" si="139"/>
        <v>0</v>
      </c>
      <c r="CB108" s="138">
        <f t="shared" ca="1" si="139"/>
        <v>0</v>
      </c>
      <c r="CC108" s="138">
        <f t="shared" ca="1" si="139"/>
        <v>0</v>
      </c>
      <c r="CD108" s="138">
        <f t="shared" ca="1" si="139"/>
        <v>0</v>
      </c>
      <c r="CE108" s="138">
        <f t="shared" ca="1" si="139"/>
        <v>0</v>
      </c>
      <c r="CF108" s="138">
        <f t="shared" ca="1" si="139"/>
        <v>0</v>
      </c>
      <c r="CG108" s="138">
        <f t="shared" ca="1" si="139"/>
        <v>0</v>
      </c>
      <c r="CH108" s="138">
        <f t="shared" ca="1" si="139"/>
        <v>0</v>
      </c>
      <c r="CI108" s="138">
        <f t="shared" ca="1" si="139"/>
        <v>0</v>
      </c>
      <c r="CJ108" s="138">
        <f t="shared" ca="1" si="140"/>
        <v>0</v>
      </c>
      <c r="CK108" s="138">
        <f t="shared" ca="1" si="140"/>
        <v>0</v>
      </c>
      <c r="CL108" s="138">
        <f t="shared" ca="1" si="140"/>
        <v>0</v>
      </c>
      <c r="CM108" s="138">
        <f t="shared" ca="1" si="140"/>
        <v>0</v>
      </c>
      <c r="CN108" s="138">
        <f t="shared" ca="1" si="140"/>
        <v>0</v>
      </c>
      <c r="CO108" s="138">
        <f t="shared" ca="1" si="140"/>
        <v>0</v>
      </c>
      <c r="CP108" s="138">
        <f t="shared" ca="1" si="140"/>
        <v>0</v>
      </c>
      <c r="CQ108" s="138">
        <f t="shared" ca="1" si="140"/>
        <v>0</v>
      </c>
      <c r="CR108" s="138">
        <f t="shared" ca="1" si="140"/>
        <v>0</v>
      </c>
      <c r="CS108" s="138">
        <f t="shared" ca="1" si="140"/>
        <v>0</v>
      </c>
      <c r="CT108" s="138">
        <f t="shared" ca="1" si="141"/>
        <v>0</v>
      </c>
      <c r="CU108" s="138">
        <f t="shared" ca="1" si="141"/>
        <v>0</v>
      </c>
      <c r="CV108" s="138">
        <f t="shared" ca="1" si="141"/>
        <v>0</v>
      </c>
      <c r="CW108" s="138">
        <f t="shared" ca="1" si="141"/>
        <v>0</v>
      </c>
      <c r="CX108" s="138">
        <f t="shared" ca="1" si="141"/>
        <v>0</v>
      </c>
      <c r="CY108" s="138">
        <f t="shared" ca="1" si="141"/>
        <v>0</v>
      </c>
      <c r="CZ108" s="138">
        <f t="shared" ca="1" si="141"/>
        <v>0</v>
      </c>
      <c r="DA108" s="138">
        <f t="shared" ca="1" si="141"/>
        <v>0</v>
      </c>
      <c r="DB108" s="138">
        <f t="shared" ca="1" si="141"/>
        <v>0</v>
      </c>
      <c r="DC108" s="138">
        <f t="shared" ca="1" si="141"/>
        <v>0</v>
      </c>
      <c r="DE108" s="254" t="str">
        <f t="shared" ca="1" si="100"/>
        <v>H.8.</v>
      </c>
      <c r="DF108">
        <v>1</v>
      </c>
      <c r="DG108">
        <f t="shared" ca="1" si="142"/>
        <v>0</v>
      </c>
    </row>
    <row r="109" spans="1:111" hidden="1">
      <c r="A109" s="124">
        <v>97</v>
      </c>
      <c r="B109" s="205" t="str">
        <f t="shared" ca="1" si="143"/>
        <v>H.9.</v>
      </c>
      <c r="C109" s="129" t="str">
        <f t="shared" ca="1" si="144"/>
        <v>Veiklos pajamos 4 (privataus ir NVO sektoriaus)</v>
      </c>
      <c r="D109" s="114"/>
      <c r="E109" s="148" t="str">
        <f t="shared" ca="1" si="145"/>
        <v/>
      </c>
      <c r="F109" s="139">
        <f ca="1">H109+NPV(FD,I109:INDEX(I109:DC109,PAL))</f>
        <v>0</v>
      </c>
      <c r="G109" s="140">
        <f ca="1">SUMIF($H$5:$DC$5,"&lt;="&amp;PAL,$H109:$DC109)</f>
        <v>0</v>
      </c>
      <c r="H109" s="138">
        <f t="shared" ca="1" si="132"/>
        <v>0</v>
      </c>
      <c r="I109" s="138">
        <f t="shared" ca="1" si="132"/>
        <v>0</v>
      </c>
      <c r="J109" s="138">
        <f t="shared" ca="1" si="132"/>
        <v>0</v>
      </c>
      <c r="K109" s="138">
        <f t="shared" ca="1" si="132"/>
        <v>0</v>
      </c>
      <c r="L109" s="138">
        <f t="shared" ca="1" si="132"/>
        <v>0</v>
      </c>
      <c r="M109" s="138">
        <f t="shared" ca="1" si="132"/>
        <v>0</v>
      </c>
      <c r="N109" s="138">
        <f t="shared" ca="1" si="132"/>
        <v>0</v>
      </c>
      <c r="O109" s="138">
        <f t="shared" ca="1" si="132"/>
        <v>0</v>
      </c>
      <c r="P109" s="138">
        <f t="shared" ca="1" si="132"/>
        <v>0</v>
      </c>
      <c r="Q109" s="138">
        <f t="shared" ca="1" si="132"/>
        <v>0</v>
      </c>
      <c r="R109" s="138">
        <f t="shared" ca="1" si="133"/>
        <v>0</v>
      </c>
      <c r="S109" s="138">
        <f t="shared" ca="1" si="133"/>
        <v>0</v>
      </c>
      <c r="T109" s="138">
        <f t="shared" ca="1" si="133"/>
        <v>0</v>
      </c>
      <c r="U109" s="138">
        <f t="shared" ca="1" si="133"/>
        <v>0</v>
      </c>
      <c r="V109" s="138">
        <f t="shared" ca="1" si="133"/>
        <v>0</v>
      </c>
      <c r="W109" s="138">
        <f t="shared" ca="1" si="133"/>
        <v>0</v>
      </c>
      <c r="X109" s="138">
        <f t="shared" ca="1" si="133"/>
        <v>0</v>
      </c>
      <c r="Y109" s="138">
        <f t="shared" ca="1" si="133"/>
        <v>0</v>
      </c>
      <c r="Z109" s="138">
        <f t="shared" ca="1" si="133"/>
        <v>0</v>
      </c>
      <c r="AA109" s="138">
        <f t="shared" ca="1" si="133"/>
        <v>0</v>
      </c>
      <c r="AB109" s="138">
        <f t="shared" ca="1" si="134"/>
        <v>0</v>
      </c>
      <c r="AC109" s="138">
        <f t="shared" ca="1" si="134"/>
        <v>0</v>
      </c>
      <c r="AD109" s="138">
        <f t="shared" ca="1" si="134"/>
        <v>0</v>
      </c>
      <c r="AE109" s="138">
        <f t="shared" ca="1" si="134"/>
        <v>0</v>
      </c>
      <c r="AF109" s="138">
        <f t="shared" ca="1" si="134"/>
        <v>0</v>
      </c>
      <c r="AG109" s="138">
        <f t="shared" ca="1" si="134"/>
        <v>0</v>
      </c>
      <c r="AH109" s="138">
        <f t="shared" ca="1" si="134"/>
        <v>0</v>
      </c>
      <c r="AI109" s="138">
        <f t="shared" ca="1" si="134"/>
        <v>0</v>
      </c>
      <c r="AJ109" s="138">
        <f t="shared" ca="1" si="134"/>
        <v>0</v>
      </c>
      <c r="AK109" s="138">
        <f t="shared" ca="1" si="134"/>
        <v>0</v>
      </c>
      <c r="AL109" s="138">
        <f t="shared" ca="1" si="135"/>
        <v>0</v>
      </c>
      <c r="AM109" s="138">
        <f t="shared" ca="1" si="135"/>
        <v>0</v>
      </c>
      <c r="AN109" s="138">
        <f t="shared" ca="1" si="135"/>
        <v>0</v>
      </c>
      <c r="AO109" s="138">
        <f t="shared" ca="1" si="135"/>
        <v>0</v>
      </c>
      <c r="AP109" s="138">
        <f t="shared" ca="1" si="135"/>
        <v>0</v>
      </c>
      <c r="AQ109" s="138">
        <f t="shared" ca="1" si="135"/>
        <v>0</v>
      </c>
      <c r="AR109" s="138">
        <f t="shared" ca="1" si="135"/>
        <v>0</v>
      </c>
      <c r="AS109" s="138">
        <f t="shared" ca="1" si="135"/>
        <v>0</v>
      </c>
      <c r="AT109" s="138">
        <f t="shared" ca="1" si="135"/>
        <v>0</v>
      </c>
      <c r="AU109" s="138">
        <f t="shared" ca="1" si="135"/>
        <v>0</v>
      </c>
      <c r="AV109" s="138">
        <f t="shared" ca="1" si="136"/>
        <v>0</v>
      </c>
      <c r="AW109" s="138">
        <f t="shared" ca="1" si="136"/>
        <v>0</v>
      </c>
      <c r="AX109" s="138">
        <f t="shared" ca="1" si="136"/>
        <v>0</v>
      </c>
      <c r="AY109" s="138">
        <f t="shared" ca="1" si="136"/>
        <v>0</v>
      </c>
      <c r="AZ109" s="138">
        <f t="shared" ca="1" si="136"/>
        <v>0</v>
      </c>
      <c r="BA109" s="138">
        <f t="shared" ca="1" si="136"/>
        <v>0</v>
      </c>
      <c r="BB109" s="138">
        <f t="shared" ca="1" si="136"/>
        <v>0</v>
      </c>
      <c r="BC109" s="138">
        <f t="shared" ca="1" si="136"/>
        <v>0</v>
      </c>
      <c r="BD109" s="138">
        <f t="shared" ca="1" si="136"/>
        <v>0</v>
      </c>
      <c r="BE109" s="138">
        <f t="shared" ca="1" si="136"/>
        <v>0</v>
      </c>
      <c r="BF109" s="138">
        <f t="shared" ca="1" si="137"/>
        <v>0</v>
      </c>
      <c r="BG109" s="138">
        <f t="shared" ca="1" si="137"/>
        <v>0</v>
      </c>
      <c r="BH109" s="138">
        <f t="shared" ca="1" si="137"/>
        <v>0</v>
      </c>
      <c r="BI109" s="138">
        <f t="shared" ca="1" si="137"/>
        <v>0</v>
      </c>
      <c r="BJ109" s="138">
        <f t="shared" ca="1" si="137"/>
        <v>0</v>
      </c>
      <c r="BK109" s="138">
        <f t="shared" ca="1" si="137"/>
        <v>0</v>
      </c>
      <c r="BL109" s="138">
        <f t="shared" ca="1" si="137"/>
        <v>0</v>
      </c>
      <c r="BM109" s="138">
        <f t="shared" ca="1" si="137"/>
        <v>0</v>
      </c>
      <c r="BN109" s="138">
        <f t="shared" ca="1" si="137"/>
        <v>0</v>
      </c>
      <c r="BO109" s="138">
        <f t="shared" ca="1" si="137"/>
        <v>0</v>
      </c>
      <c r="BP109" s="138">
        <f t="shared" ca="1" si="138"/>
        <v>0</v>
      </c>
      <c r="BQ109" s="138">
        <f t="shared" ca="1" si="138"/>
        <v>0</v>
      </c>
      <c r="BR109" s="138">
        <f t="shared" ca="1" si="138"/>
        <v>0</v>
      </c>
      <c r="BS109" s="138">
        <f t="shared" ca="1" si="138"/>
        <v>0</v>
      </c>
      <c r="BT109" s="138">
        <f t="shared" ca="1" si="138"/>
        <v>0</v>
      </c>
      <c r="BU109" s="138">
        <f t="shared" ca="1" si="138"/>
        <v>0</v>
      </c>
      <c r="BV109" s="138">
        <f t="shared" ca="1" si="138"/>
        <v>0</v>
      </c>
      <c r="BW109" s="138">
        <f t="shared" ca="1" si="138"/>
        <v>0</v>
      </c>
      <c r="BX109" s="138">
        <f t="shared" ca="1" si="138"/>
        <v>0</v>
      </c>
      <c r="BY109" s="138">
        <f t="shared" ca="1" si="138"/>
        <v>0</v>
      </c>
      <c r="BZ109" s="138">
        <f t="shared" ca="1" si="139"/>
        <v>0</v>
      </c>
      <c r="CA109" s="138">
        <f t="shared" ca="1" si="139"/>
        <v>0</v>
      </c>
      <c r="CB109" s="138">
        <f t="shared" ca="1" si="139"/>
        <v>0</v>
      </c>
      <c r="CC109" s="138">
        <f t="shared" ca="1" si="139"/>
        <v>0</v>
      </c>
      <c r="CD109" s="138">
        <f t="shared" ca="1" si="139"/>
        <v>0</v>
      </c>
      <c r="CE109" s="138">
        <f t="shared" ca="1" si="139"/>
        <v>0</v>
      </c>
      <c r="CF109" s="138">
        <f t="shared" ca="1" si="139"/>
        <v>0</v>
      </c>
      <c r="CG109" s="138">
        <f t="shared" ca="1" si="139"/>
        <v>0</v>
      </c>
      <c r="CH109" s="138">
        <f t="shared" ca="1" si="139"/>
        <v>0</v>
      </c>
      <c r="CI109" s="138">
        <f t="shared" ca="1" si="139"/>
        <v>0</v>
      </c>
      <c r="CJ109" s="138">
        <f t="shared" ca="1" si="140"/>
        <v>0</v>
      </c>
      <c r="CK109" s="138">
        <f t="shared" ca="1" si="140"/>
        <v>0</v>
      </c>
      <c r="CL109" s="138">
        <f t="shared" ca="1" si="140"/>
        <v>0</v>
      </c>
      <c r="CM109" s="138">
        <f t="shared" ca="1" si="140"/>
        <v>0</v>
      </c>
      <c r="CN109" s="138">
        <f t="shared" ca="1" si="140"/>
        <v>0</v>
      </c>
      <c r="CO109" s="138">
        <f t="shared" ca="1" si="140"/>
        <v>0</v>
      </c>
      <c r="CP109" s="138">
        <f t="shared" ca="1" si="140"/>
        <v>0</v>
      </c>
      <c r="CQ109" s="138">
        <f t="shared" ca="1" si="140"/>
        <v>0</v>
      </c>
      <c r="CR109" s="138">
        <f t="shared" ca="1" si="140"/>
        <v>0</v>
      </c>
      <c r="CS109" s="138">
        <f t="shared" ca="1" si="140"/>
        <v>0</v>
      </c>
      <c r="CT109" s="138">
        <f t="shared" ca="1" si="141"/>
        <v>0</v>
      </c>
      <c r="CU109" s="138">
        <f t="shared" ca="1" si="141"/>
        <v>0</v>
      </c>
      <c r="CV109" s="138">
        <f t="shared" ca="1" si="141"/>
        <v>0</v>
      </c>
      <c r="CW109" s="138">
        <f t="shared" ca="1" si="141"/>
        <v>0</v>
      </c>
      <c r="CX109" s="138">
        <f t="shared" ca="1" si="141"/>
        <v>0</v>
      </c>
      <c r="CY109" s="138">
        <f t="shared" ca="1" si="141"/>
        <v>0</v>
      </c>
      <c r="CZ109" s="138">
        <f t="shared" ca="1" si="141"/>
        <v>0</v>
      </c>
      <c r="DA109" s="138">
        <f t="shared" ca="1" si="141"/>
        <v>0</v>
      </c>
      <c r="DB109" s="138">
        <f t="shared" ca="1" si="141"/>
        <v>0</v>
      </c>
      <c r="DC109" s="138">
        <f t="shared" ca="1" si="141"/>
        <v>0</v>
      </c>
      <c r="DE109" s="254" t="str">
        <f t="shared" ca="1" si="100"/>
        <v>H.9.</v>
      </c>
      <c r="DF109">
        <v>1</v>
      </c>
      <c r="DG109">
        <f t="shared" ca="1" si="142"/>
        <v>0</v>
      </c>
    </row>
    <row r="110" spans="1:111" hidden="1">
      <c r="A110" s="124">
        <v>98</v>
      </c>
      <c r="B110" s="205" t="str">
        <f t="shared" ca="1" si="143"/>
        <v>H.10.</v>
      </c>
      <c r="C110" s="129" t="str">
        <f t="shared" ca="1" si="144"/>
        <v>Veiklos pajamos 5 (privataus ir NVO sektoriaus)</v>
      </c>
      <c r="D110" s="114"/>
      <c r="E110" s="148" t="str">
        <f t="shared" ca="1" si="145"/>
        <v/>
      </c>
      <c r="F110" s="139">
        <f ca="1">H110+NPV(FD,I110:INDEX(I110:DC110,PAL))</f>
        <v>0</v>
      </c>
      <c r="G110" s="140">
        <f ca="1">SUMIF($H$5:$DC$5,"&lt;="&amp;PAL,$H110:$DC110)</f>
        <v>0</v>
      </c>
      <c r="H110" s="138">
        <f t="shared" ca="1" si="132"/>
        <v>0</v>
      </c>
      <c r="I110" s="138">
        <f t="shared" ca="1" si="132"/>
        <v>0</v>
      </c>
      <c r="J110" s="138">
        <f t="shared" ca="1" si="132"/>
        <v>0</v>
      </c>
      <c r="K110" s="138">
        <f t="shared" ca="1" si="132"/>
        <v>0</v>
      </c>
      <c r="L110" s="138">
        <f t="shared" ca="1" si="132"/>
        <v>0</v>
      </c>
      <c r="M110" s="138">
        <f t="shared" ca="1" si="132"/>
        <v>0</v>
      </c>
      <c r="N110" s="138">
        <f t="shared" ca="1" si="132"/>
        <v>0</v>
      </c>
      <c r="O110" s="138">
        <f t="shared" ca="1" si="132"/>
        <v>0</v>
      </c>
      <c r="P110" s="138">
        <f t="shared" ca="1" si="132"/>
        <v>0</v>
      </c>
      <c r="Q110" s="138">
        <f t="shared" ca="1" si="132"/>
        <v>0</v>
      </c>
      <c r="R110" s="138">
        <f t="shared" ca="1" si="133"/>
        <v>0</v>
      </c>
      <c r="S110" s="138">
        <f t="shared" ca="1" si="133"/>
        <v>0</v>
      </c>
      <c r="T110" s="138">
        <f t="shared" ca="1" si="133"/>
        <v>0</v>
      </c>
      <c r="U110" s="138">
        <f t="shared" ca="1" si="133"/>
        <v>0</v>
      </c>
      <c r="V110" s="138">
        <f t="shared" ca="1" si="133"/>
        <v>0</v>
      </c>
      <c r="W110" s="138">
        <f t="shared" ca="1" si="133"/>
        <v>0</v>
      </c>
      <c r="X110" s="138">
        <f t="shared" ca="1" si="133"/>
        <v>0</v>
      </c>
      <c r="Y110" s="138">
        <f t="shared" ca="1" si="133"/>
        <v>0</v>
      </c>
      <c r="Z110" s="138">
        <f t="shared" ca="1" si="133"/>
        <v>0</v>
      </c>
      <c r="AA110" s="138">
        <f t="shared" ca="1" si="133"/>
        <v>0</v>
      </c>
      <c r="AB110" s="138">
        <f t="shared" ca="1" si="134"/>
        <v>0</v>
      </c>
      <c r="AC110" s="138">
        <f t="shared" ca="1" si="134"/>
        <v>0</v>
      </c>
      <c r="AD110" s="138">
        <f t="shared" ca="1" si="134"/>
        <v>0</v>
      </c>
      <c r="AE110" s="138">
        <f t="shared" ca="1" si="134"/>
        <v>0</v>
      </c>
      <c r="AF110" s="138">
        <f t="shared" ca="1" si="134"/>
        <v>0</v>
      </c>
      <c r="AG110" s="138">
        <f t="shared" ca="1" si="134"/>
        <v>0</v>
      </c>
      <c r="AH110" s="138">
        <f t="shared" ca="1" si="134"/>
        <v>0</v>
      </c>
      <c r="AI110" s="138">
        <f t="shared" ca="1" si="134"/>
        <v>0</v>
      </c>
      <c r="AJ110" s="138">
        <f t="shared" ca="1" si="134"/>
        <v>0</v>
      </c>
      <c r="AK110" s="138">
        <f t="shared" ca="1" si="134"/>
        <v>0</v>
      </c>
      <c r="AL110" s="138">
        <f t="shared" ca="1" si="135"/>
        <v>0</v>
      </c>
      <c r="AM110" s="138">
        <f t="shared" ca="1" si="135"/>
        <v>0</v>
      </c>
      <c r="AN110" s="138">
        <f t="shared" ca="1" si="135"/>
        <v>0</v>
      </c>
      <c r="AO110" s="138">
        <f t="shared" ca="1" si="135"/>
        <v>0</v>
      </c>
      <c r="AP110" s="138">
        <f t="shared" ca="1" si="135"/>
        <v>0</v>
      </c>
      <c r="AQ110" s="138">
        <f t="shared" ca="1" si="135"/>
        <v>0</v>
      </c>
      <c r="AR110" s="138">
        <f t="shared" ca="1" si="135"/>
        <v>0</v>
      </c>
      <c r="AS110" s="138">
        <f t="shared" ca="1" si="135"/>
        <v>0</v>
      </c>
      <c r="AT110" s="138">
        <f t="shared" ca="1" si="135"/>
        <v>0</v>
      </c>
      <c r="AU110" s="138">
        <f t="shared" ca="1" si="135"/>
        <v>0</v>
      </c>
      <c r="AV110" s="138">
        <f t="shared" ca="1" si="136"/>
        <v>0</v>
      </c>
      <c r="AW110" s="138">
        <f t="shared" ca="1" si="136"/>
        <v>0</v>
      </c>
      <c r="AX110" s="138">
        <f t="shared" ca="1" si="136"/>
        <v>0</v>
      </c>
      <c r="AY110" s="138">
        <f t="shared" ca="1" si="136"/>
        <v>0</v>
      </c>
      <c r="AZ110" s="138">
        <f t="shared" ca="1" si="136"/>
        <v>0</v>
      </c>
      <c r="BA110" s="138">
        <f t="shared" ca="1" si="136"/>
        <v>0</v>
      </c>
      <c r="BB110" s="138">
        <f t="shared" ca="1" si="136"/>
        <v>0</v>
      </c>
      <c r="BC110" s="138">
        <f t="shared" ca="1" si="136"/>
        <v>0</v>
      </c>
      <c r="BD110" s="138">
        <f t="shared" ca="1" si="136"/>
        <v>0</v>
      </c>
      <c r="BE110" s="138">
        <f t="shared" ca="1" si="136"/>
        <v>0</v>
      </c>
      <c r="BF110" s="138">
        <f t="shared" ca="1" si="137"/>
        <v>0</v>
      </c>
      <c r="BG110" s="138">
        <f t="shared" ca="1" si="137"/>
        <v>0</v>
      </c>
      <c r="BH110" s="138">
        <f t="shared" ca="1" si="137"/>
        <v>0</v>
      </c>
      <c r="BI110" s="138">
        <f t="shared" ca="1" si="137"/>
        <v>0</v>
      </c>
      <c r="BJ110" s="138">
        <f t="shared" ca="1" si="137"/>
        <v>0</v>
      </c>
      <c r="BK110" s="138">
        <f t="shared" ca="1" si="137"/>
        <v>0</v>
      </c>
      <c r="BL110" s="138">
        <f t="shared" ca="1" si="137"/>
        <v>0</v>
      </c>
      <c r="BM110" s="138">
        <f t="shared" ca="1" si="137"/>
        <v>0</v>
      </c>
      <c r="BN110" s="138">
        <f t="shared" ca="1" si="137"/>
        <v>0</v>
      </c>
      <c r="BO110" s="138">
        <f t="shared" ca="1" si="137"/>
        <v>0</v>
      </c>
      <c r="BP110" s="138">
        <f t="shared" ca="1" si="138"/>
        <v>0</v>
      </c>
      <c r="BQ110" s="138">
        <f t="shared" ca="1" si="138"/>
        <v>0</v>
      </c>
      <c r="BR110" s="138">
        <f t="shared" ca="1" si="138"/>
        <v>0</v>
      </c>
      <c r="BS110" s="138">
        <f t="shared" ca="1" si="138"/>
        <v>0</v>
      </c>
      <c r="BT110" s="138">
        <f t="shared" ca="1" si="138"/>
        <v>0</v>
      </c>
      <c r="BU110" s="138">
        <f t="shared" ca="1" si="138"/>
        <v>0</v>
      </c>
      <c r="BV110" s="138">
        <f t="shared" ca="1" si="138"/>
        <v>0</v>
      </c>
      <c r="BW110" s="138">
        <f t="shared" ca="1" si="138"/>
        <v>0</v>
      </c>
      <c r="BX110" s="138">
        <f t="shared" ca="1" si="138"/>
        <v>0</v>
      </c>
      <c r="BY110" s="138">
        <f t="shared" ca="1" si="138"/>
        <v>0</v>
      </c>
      <c r="BZ110" s="138">
        <f t="shared" ca="1" si="139"/>
        <v>0</v>
      </c>
      <c r="CA110" s="138">
        <f t="shared" ca="1" si="139"/>
        <v>0</v>
      </c>
      <c r="CB110" s="138">
        <f t="shared" ca="1" si="139"/>
        <v>0</v>
      </c>
      <c r="CC110" s="138">
        <f t="shared" ca="1" si="139"/>
        <v>0</v>
      </c>
      <c r="CD110" s="138">
        <f t="shared" ca="1" si="139"/>
        <v>0</v>
      </c>
      <c r="CE110" s="138">
        <f t="shared" ca="1" si="139"/>
        <v>0</v>
      </c>
      <c r="CF110" s="138">
        <f t="shared" ca="1" si="139"/>
        <v>0</v>
      </c>
      <c r="CG110" s="138">
        <f t="shared" ca="1" si="139"/>
        <v>0</v>
      </c>
      <c r="CH110" s="138">
        <f t="shared" ca="1" si="139"/>
        <v>0</v>
      </c>
      <c r="CI110" s="138">
        <f t="shared" ca="1" si="139"/>
        <v>0</v>
      </c>
      <c r="CJ110" s="138">
        <f t="shared" ca="1" si="140"/>
        <v>0</v>
      </c>
      <c r="CK110" s="138">
        <f t="shared" ca="1" si="140"/>
        <v>0</v>
      </c>
      <c r="CL110" s="138">
        <f t="shared" ca="1" si="140"/>
        <v>0</v>
      </c>
      <c r="CM110" s="138">
        <f t="shared" ca="1" si="140"/>
        <v>0</v>
      </c>
      <c r="CN110" s="138">
        <f t="shared" ca="1" si="140"/>
        <v>0</v>
      </c>
      <c r="CO110" s="138">
        <f t="shared" ca="1" si="140"/>
        <v>0</v>
      </c>
      <c r="CP110" s="138">
        <f t="shared" ca="1" si="140"/>
        <v>0</v>
      </c>
      <c r="CQ110" s="138">
        <f t="shared" ca="1" si="140"/>
        <v>0</v>
      </c>
      <c r="CR110" s="138">
        <f t="shared" ca="1" si="140"/>
        <v>0</v>
      </c>
      <c r="CS110" s="138">
        <f t="shared" ca="1" si="140"/>
        <v>0</v>
      </c>
      <c r="CT110" s="138">
        <f t="shared" ca="1" si="141"/>
        <v>0</v>
      </c>
      <c r="CU110" s="138">
        <f t="shared" ca="1" si="141"/>
        <v>0</v>
      </c>
      <c r="CV110" s="138">
        <f t="shared" ca="1" si="141"/>
        <v>0</v>
      </c>
      <c r="CW110" s="138">
        <f t="shared" ca="1" si="141"/>
        <v>0</v>
      </c>
      <c r="CX110" s="138">
        <f t="shared" ca="1" si="141"/>
        <v>0</v>
      </c>
      <c r="CY110" s="138">
        <f t="shared" ca="1" si="141"/>
        <v>0</v>
      </c>
      <c r="CZ110" s="138">
        <f t="shared" ca="1" si="141"/>
        <v>0</v>
      </c>
      <c r="DA110" s="138">
        <f t="shared" ca="1" si="141"/>
        <v>0</v>
      </c>
      <c r="DB110" s="138">
        <f t="shared" ca="1" si="141"/>
        <v>0</v>
      </c>
      <c r="DC110" s="138">
        <f t="shared" ca="1" si="141"/>
        <v>0</v>
      </c>
      <c r="DE110" s="254" t="str">
        <f t="shared" ca="1" si="100"/>
        <v>H.10.</v>
      </c>
      <c r="DF110">
        <v>1</v>
      </c>
      <c r="DG110">
        <f t="shared" ca="1" si="142"/>
        <v>0</v>
      </c>
    </row>
    <row r="111" spans="1:111" hidden="1">
      <c r="A111" s="124">
        <v>99</v>
      </c>
      <c r="B111" s="205" t="str">
        <f t="shared" ca="1" si="143"/>
        <v>I.</v>
      </c>
      <c r="C111" s="197" t="str">
        <f t="shared" ca="1" si="144"/>
        <v>MOKESTINĖS PAJAMOS</v>
      </c>
      <c r="D111" s="132"/>
      <c r="E111" s="148" t="str">
        <f t="shared" ca="1" si="145"/>
        <v/>
      </c>
      <c r="F111" s="139">
        <f ca="1">H111+NPV(FD,I111:INDEX(I111:DC111,PAL))</f>
        <v>0</v>
      </c>
      <c r="G111" s="140">
        <f ca="1">SUMIF($H$5:$DC$5,"&lt;="&amp;PAL,$H111:$DC111)</f>
        <v>0</v>
      </c>
      <c r="H111" s="138">
        <f t="shared" ca="1" si="132"/>
        <v>0</v>
      </c>
      <c r="I111" s="138">
        <f t="shared" ca="1" si="132"/>
        <v>0</v>
      </c>
      <c r="J111" s="138">
        <f t="shared" ca="1" si="132"/>
        <v>0</v>
      </c>
      <c r="K111" s="138">
        <f t="shared" ca="1" si="132"/>
        <v>0</v>
      </c>
      <c r="L111" s="138">
        <f t="shared" ca="1" si="132"/>
        <v>0</v>
      </c>
      <c r="M111" s="138">
        <f t="shared" ca="1" si="132"/>
        <v>0</v>
      </c>
      <c r="N111" s="138">
        <f t="shared" ca="1" si="132"/>
        <v>0</v>
      </c>
      <c r="O111" s="138">
        <f t="shared" ca="1" si="132"/>
        <v>0</v>
      </c>
      <c r="P111" s="138">
        <f t="shared" ca="1" si="132"/>
        <v>0</v>
      </c>
      <c r="Q111" s="138">
        <f t="shared" ca="1" si="132"/>
        <v>0</v>
      </c>
      <c r="R111" s="138">
        <f t="shared" ca="1" si="133"/>
        <v>0</v>
      </c>
      <c r="S111" s="138">
        <f t="shared" ca="1" si="133"/>
        <v>0</v>
      </c>
      <c r="T111" s="138">
        <f t="shared" ca="1" si="133"/>
        <v>0</v>
      </c>
      <c r="U111" s="138">
        <f t="shared" ca="1" si="133"/>
        <v>0</v>
      </c>
      <c r="V111" s="138">
        <f t="shared" ca="1" si="133"/>
        <v>0</v>
      </c>
      <c r="W111" s="138">
        <f t="shared" ca="1" si="133"/>
        <v>0</v>
      </c>
      <c r="X111" s="138">
        <f t="shared" ca="1" si="133"/>
        <v>0</v>
      </c>
      <c r="Y111" s="138">
        <f t="shared" ca="1" si="133"/>
        <v>0</v>
      </c>
      <c r="Z111" s="138">
        <f t="shared" ca="1" si="133"/>
        <v>0</v>
      </c>
      <c r="AA111" s="138">
        <f t="shared" ca="1" si="133"/>
        <v>0</v>
      </c>
      <c r="AB111" s="138">
        <f t="shared" ca="1" si="134"/>
        <v>0</v>
      </c>
      <c r="AC111" s="138">
        <f t="shared" ca="1" si="134"/>
        <v>0</v>
      </c>
      <c r="AD111" s="138">
        <f t="shared" ca="1" si="134"/>
        <v>0</v>
      </c>
      <c r="AE111" s="138">
        <f t="shared" ca="1" si="134"/>
        <v>0</v>
      </c>
      <c r="AF111" s="138">
        <f t="shared" ca="1" si="134"/>
        <v>0</v>
      </c>
      <c r="AG111" s="138">
        <f t="shared" ca="1" si="134"/>
        <v>0</v>
      </c>
      <c r="AH111" s="138">
        <f t="shared" ca="1" si="134"/>
        <v>0</v>
      </c>
      <c r="AI111" s="138">
        <f t="shared" ca="1" si="134"/>
        <v>0</v>
      </c>
      <c r="AJ111" s="138">
        <f t="shared" ca="1" si="134"/>
        <v>0</v>
      </c>
      <c r="AK111" s="138">
        <f t="shared" ca="1" si="134"/>
        <v>0</v>
      </c>
      <c r="AL111" s="138">
        <f t="shared" ca="1" si="135"/>
        <v>0</v>
      </c>
      <c r="AM111" s="138">
        <f t="shared" ca="1" si="135"/>
        <v>0</v>
      </c>
      <c r="AN111" s="138">
        <f t="shared" ca="1" si="135"/>
        <v>0</v>
      </c>
      <c r="AO111" s="138">
        <f t="shared" ca="1" si="135"/>
        <v>0</v>
      </c>
      <c r="AP111" s="138">
        <f t="shared" ca="1" si="135"/>
        <v>0</v>
      </c>
      <c r="AQ111" s="138">
        <f t="shared" ca="1" si="135"/>
        <v>0</v>
      </c>
      <c r="AR111" s="138">
        <f t="shared" ca="1" si="135"/>
        <v>0</v>
      </c>
      <c r="AS111" s="138">
        <f t="shared" ca="1" si="135"/>
        <v>0</v>
      </c>
      <c r="AT111" s="138">
        <f t="shared" ca="1" si="135"/>
        <v>0</v>
      </c>
      <c r="AU111" s="138">
        <f t="shared" ca="1" si="135"/>
        <v>0</v>
      </c>
      <c r="AV111" s="138">
        <f t="shared" ca="1" si="136"/>
        <v>0</v>
      </c>
      <c r="AW111" s="138">
        <f t="shared" ca="1" si="136"/>
        <v>0</v>
      </c>
      <c r="AX111" s="138">
        <f t="shared" ca="1" si="136"/>
        <v>0</v>
      </c>
      <c r="AY111" s="138">
        <f t="shared" ca="1" si="136"/>
        <v>0</v>
      </c>
      <c r="AZ111" s="138">
        <f t="shared" ca="1" si="136"/>
        <v>0</v>
      </c>
      <c r="BA111" s="138">
        <f t="shared" ca="1" si="136"/>
        <v>0</v>
      </c>
      <c r="BB111" s="138">
        <f t="shared" ca="1" si="136"/>
        <v>0</v>
      </c>
      <c r="BC111" s="138">
        <f t="shared" ca="1" si="136"/>
        <v>0</v>
      </c>
      <c r="BD111" s="138">
        <f t="shared" ca="1" si="136"/>
        <v>0</v>
      </c>
      <c r="BE111" s="138">
        <f t="shared" ca="1" si="136"/>
        <v>0</v>
      </c>
      <c r="BF111" s="138">
        <f t="shared" ca="1" si="137"/>
        <v>0</v>
      </c>
      <c r="BG111" s="138">
        <f t="shared" ca="1" si="137"/>
        <v>0</v>
      </c>
      <c r="BH111" s="138">
        <f t="shared" ca="1" si="137"/>
        <v>0</v>
      </c>
      <c r="BI111" s="138">
        <f t="shared" ca="1" si="137"/>
        <v>0</v>
      </c>
      <c r="BJ111" s="138">
        <f t="shared" ca="1" si="137"/>
        <v>0</v>
      </c>
      <c r="BK111" s="138">
        <f t="shared" ca="1" si="137"/>
        <v>0</v>
      </c>
      <c r="BL111" s="138">
        <f t="shared" ca="1" si="137"/>
        <v>0</v>
      </c>
      <c r="BM111" s="138">
        <f t="shared" ca="1" si="137"/>
        <v>0</v>
      </c>
      <c r="BN111" s="138">
        <f t="shared" ca="1" si="137"/>
        <v>0</v>
      </c>
      <c r="BO111" s="138">
        <f t="shared" ca="1" si="137"/>
        <v>0</v>
      </c>
      <c r="BP111" s="138">
        <f t="shared" ca="1" si="138"/>
        <v>0</v>
      </c>
      <c r="BQ111" s="138">
        <f t="shared" ca="1" si="138"/>
        <v>0</v>
      </c>
      <c r="BR111" s="138">
        <f t="shared" ca="1" si="138"/>
        <v>0</v>
      </c>
      <c r="BS111" s="138">
        <f t="shared" ca="1" si="138"/>
        <v>0</v>
      </c>
      <c r="BT111" s="138">
        <f t="shared" ca="1" si="138"/>
        <v>0</v>
      </c>
      <c r="BU111" s="138">
        <f t="shared" ca="1" si="138"/>
        <v>0</v>
      </c>
      <c r="BV111" s="138">
        <f t="shared" ca="1" si="138"/>
        <v>0</v>
      </c>
      <c r="BW111" s="138">
        <f t="shared" ca="1" si="138"/>
        <v>0</v>
      </c>
      <c r="BX111" s="138">
        <f t="shared" ca="1" si="138"/>
        <v>0</v>
      </c>
      <c r="BY111" s="138">
        <f t="shared" ca="1" si="138"/>
        <v>0</v>
      </c>
      <c r="BZ111" s="138">
        <f t="shared" ca="1" si="139"/>
        <v>0</v>
      </c>
      <c r="CA111" s="138">
        <f t="shared" ca="1" si="139"/>
        <v>0</v>
      </c>
      <c r="CB111" s="138">
        <f t="shared" ca="1" si="139"/>
        <v>0</v>
      </c>
      <c r="CC111" s="138">
        <f t="shared" ca="1" si="139"/>
        <v>0</v>
      </c>
      <c r="CD111" s="138">
        <f t="shared" ca="1" si="139"/>
        <v>0</v>
      </c>
      <c r="CE111" s="138">
        <f t="shared" ca="1" si="139"/>
        <v>0</v>
      </c>
      <c r="CF111" s="138">
        <f t="shared" ca="1" si="139"/>
        <v>0</v>
      </c>
      <c r="CG111" s="138">
        <f t="shared" ca="1" si="139"/>
        <v>0</v>
      </c>
      <c r="CH111" s="138">
        <f t="shared" ca="1" si="139"/>
        <v>0</v>
      </c>
      <c r="CI111" s="138">
        <f t="shared" ca="1" si="139"/>
        <v>0</v>
      </c>
      <c r="CJ111" s="138">
        <f t="shared" ca="1" si="140"/>
        <v>0</v>
      </c>
      <c r="CK111" s="138">
        <f t="shared" ca="1" si="140"/>
        <v>0</v>
      </c>
      <c r="CL111" s="138">
        <f t="shared" ca="1" si="140"/>
        <v>0</v>
      </c>
      <c r="CM111" s="138">
        <f t="shared" ca="1" si="140"/>
        <v>0</v>
      </c>
      <c r="CN111" s="138">
        <f t="shared" ca="1" si="140"/>
        <v>0</v>
      </c>
      <c r="CO111" s="138">
        <f t="shared" ca="1" si="140"/>
        <v>0</v>
      </c>
      <c r="CP111" s="138">
        <f t="shared" ca="1" si="140"/>
        <v>0</v>
      </c>
      <c r="CQ111" s="138">
        <f t="shared" ca="1" si="140"/>
        <v>0</v>
      </c>
      <c r="CR111" s="138">
        <f t="shared" ca="1" si="140"/>
        <v>0</v>
      </c>
      <c r="CS111" s="138">
        <f t="shared" ca="1" si="140"/>
        <v>0</v>
      </c>
      <c r="CT111" s="138">
        <f t="shared" ca="1" si="141"/>
        <v>0</v>
      </c>
      <c r="CU111" s="138">
        <f t="shared" ca="1" si="141"/>
        <v>0</v>
      </c>
      <c r="CV111" s="138">
        <f t="shared" ca="1" si="141"/>
        <v>0</v>
      </c>
      <c r="CW111" s="138">
        <f t="shared" ca="1" si="141"/>
        <v>0</v>
      </c>
      <c r="CX111" s="138">
        <f t="shared" ca="1" si="141"/>
        <v>0</v>
      </c>
      <c r="CY111" s="138">
        <f t="shared" ca="1" si="141"/>
        <v>0</v>
      </c>
      <c r="CZ111" s="138">
        <f t="shared" ca="1" si="141"/>
        <v>0</v>
      </c>
      <c r="DA111" s="138">
        <f t="shared" ca="1" si="141"/>
        <v>0</v>
      </c>
      <c r="DB111" s="138">
        <f t="shared" ca="1" si="141"/>
        <v>0</v>
      </c>
      <c r="DC111" s="138">
        <f t="shared" ca="1" si="141"/>
        <v>0</v>
      </c>
      <c r="DE111" s="254" t="str">
        <f t="shared" ca="1" si="100"/>
        <v>I.</v>
      </c>
      <c r="DF111">
        <v>1</v>
      </c>
    </row>
    <row r="112" spans="1:111" ht="15" hidden="1" customHeight="1">
      <c r="A112" s="124">
        <v>100</v>
      </c>
      <c r="B112" s="205" t="str">
        <f t="shared" ca="1" si="143"/>
        <v>J.</v>
      </c>
      <c r="C112" s="197" t="str">
        <f t="shared" ca="1" si="144"/>
        <v>PVM (kuris įskaičiuotas į investicijas, veiklos sąnaudas ir pajamas) BALANSAS</v>
      </c>
      <c r="D112" s="132"/>
      <c r="E112" s="233" t="str">
        <f t="shared" ca="1" si="145"/>
        <v/>
      </c>
      <c r="F112" s="139">
        <f ca="1">H112+NPV(FD,I112:INDEX(I112:DC112,PAL))</f>
        <v>180641.61392627735</v>
      </c>
      <c r="G112" s="140">
        <f ca="1">SUMIF($H$5:$DC$5,"&lt;="&amp;PAL,$H112:$DC112)</f>
        <v>235165.28925619836</v>
      </c>
      <c r="H112" s="234">
        <f t="shared" ref="H112:Q112" ca="1" si="146">OFFSET(INDIRECT("'"&amp;Opt_alt&amp;"'!H12"),$A112,H$5)</f>
        <v>0</v>
      </c>
      <c r="I112" s="234">
        <f t="shared" ca="1" si="146"/>
        <v>8677.6859504132226</v>
      </c>
      <c r="J112" s="234">
        <f t="shared" ca="1" si="146"/>
        <v>90247.933884297527</v>
      </c>
      <c r="K112" s="234">
        <f t="shared" ca="1" si="146"/>
        <v>6074.3801652892562</v>
      </c>
      <c r="L112" s="234">
        <f t="shared" ca="1" si="146"/>
        <v>867.76859504132233</v>
      </c>
      <c r="M112" s="234">
        <f t="shared" ca="1" si="146"/>
        <v>4338.8429752066113</v>
      </c>
      <c r="N112" s="234">
        <f t="shared" ca="1" si="146"/>
        <v>0</v>
      </c>
      <c r="O112" s="234">
        <f t="shared" ca="1" si="146"/>
        <v>0</v>
      </c>
      <c r="P112" s="234">
        <f t="shared" ca="1" si="146"/>
        <v>0</v>
      </c>
      <c r="Q112" s="234">
        <f t="shared" ca="1" si="146"/>
        <v>0</v>
      </c>
      <c r="R112" s="234">
        <f t="shared" ref="R112:AA112" ca="1" si="147">OFFSET(INDIRECT("'"&amp;Opt_alt&amp;"'!H12"),$A112,R$5)</f>
        <v>20826.446280991735</v>
      </c>
      <c r="S112" s="234">
        <f t="shared" ca="1" si="147"/>
        <v>41652.89256198347</v>
      </c>
      <c r="T112" s="234">
        <f t="shared" ca="1" si="147"/>
        <v>20826.446280991735</v>
      </c>
      <c r="U112" s="234">
        <f t="shared" ca="1" si="147"/>
        <v>41652.89256198347</v>
      </c>
      <c r="V112" s="234">
        <f t="shared" ca="1" si="147"/>
        <v>0</v>
      </c>
      <c r="W112" s="234">
        <f t="shared" ca="1" si="147"/>
        <v>0</v>
      </c>
      <c r="X112" s="234">
        <f t="shared" ca="1" si="147"/>
        <v>0</v>
      </c>
      <c r="Y112" s="234">
        <f t="shared" ca="1" si="147"/>
        <v>0</v>
      </c>
      <c r="Z112" s="234">
        <f t="shared" ca="1" si="147"/>
        <v>0</v>
      </c>
      <c r="AA112" s="234">
        <f t="shared" ca="1" si="147"/>
        <v>0</v>
      </c>
      <c r="AB112" s="234">
        <f t="shared" ref="AB112:AK112" ca="1" si="148">OFFSET(INDIRECT("'"&amp;Opt_alt&amp;"'!H12"),$A112,AB$5)</f>
        <v>0</v>
      </c>
      <c r="AC112" s="234">
        <f t="shared" ca="1" si="148"/>
        <v>0</v>
      </c>
      <c r="AD112" s="234">
        <f t="shared" ca="1" si="148"/>
        <v>0</v>
      </c>
      <c r="AE112" s="234">
        <f t="shared" ca="1" si="148"/>
        <v>0</v>
      </c>
      <c r="AF112" s="234">
        <f t="shared" ca="1" si="148"/>
        <v>0</v>
      </c>
      <c r="AG112" s="234">
        <f t="shared" ca="1" si="148"/>
        <v>0</v>
      </c>
      <c r="AH112" s="234">
        <f t="shared" ca="1" si="148"/>
        <v>0</v>
      </c>
      <c r="AI112" s="234">
        <f t="shared" ca="1" si="148"/>
        <v>0</v>
      </c>
      <c r="AJ112" s="234">
        <f t="shared" ca="1" si="148"/>
        <v>0</v>
      </c>
      <c r="AK112" s="234">
        <f t="shared" ca="1" si="148"/>
        <v>0</v>
      </c>
      <c r="AL112" s="234">
        <f t="shared" ref="AL112:AU112" ca="1" si="149">OFFSET(INDIRECT("'"&amp;Opt_alt&amp;"'!H12"),$A112,AL$5)</f>
        <v>0</v>
      </c>
      <c r="AM112" s="234">
        <f t="shared" ca="1" si="149"/>
        <v>0</v>
      </c>
      <c r="AN112" s="234">
        <f t="shared" ca="1" si="149"/>
        <v>0</v>
      </c>
      <c r="AO112" s="234">
        <f t="shared" ca="1" si="149"/>
        <v>0</v>
      </c>
      <c r="AP112" s="234">
        <f t="shared" ca="1" si="149"/>
        <v>0</v>
      </c>
      <c r="AQ112" s="234">
        <f t="shared" ca="1" si="149"/>
        <v>0</v>
      </c>
      <c r="AR112" s="234">
        <f t="shared" ca="1" si="149"/>
        <v>0</v>
      </c>
      <c r="AS112" s="234">
        <f t="shared" ca="1" si="149"/>
        <v>0</v>
      </c>
      <c r="AT112" s="234">
        <f t="shared" ca="1" si="149"/>
        <v>0</v>
      </c>
      <c r="AU112" s="234">
        <f t="shared" ca="1" si="149"/>
        <v>0</v>
      </c>
      <c r="AV112" s="234">
        <f t="shared" ref="AV112:BE112" ca="1" si="150">OFFSET(INDIRECT("'"&amp;Opt_alt&amp;"'!H12"),$A112,AV$5)</f>
        <v>0</v>
      </c>
      <c r="AW112" s="234">
        <f t="shared" ca="1" si="150"/>
        <v>0</v>
      </c>
      <c r="AX112" s="234">
        <f t="shared" ca="1" si="150"/>
        <v>0</v>
      </c>
      <c r="AY112" s="234">
        <f t="shared" ca="1" si="150"/>
        <v>0</v>
      </c>
      <c r="AZ112" s="234">
        <f t="shared" ca="1" si="150"/>
        <v>0</v>
      </c>
      <c r="BA112" s="234">
        <f t="shared" ca="1" si="150"/>
        <v>0</v>
      </c>
      <c r="BB112" s="234">
        <f t="shared" ca="1" si="150"/>
        <v>0</v>
      </c>
      <c r="BC112" s="234">
        <f t="shared" ca="1" si="150"/>
        <v>0</v>
      </c>
      <c r="BD112" s="234">
        <f t="shared" ca="1" si="150"/>
        <v>0</v>
      </c>
      <c r="BE112" s="234">
        <f t="shared" ca="1" si="150"/>
        <v>0</v>
      </c>
      <c r="BF112" s="234">
        <f t="shared" ref="BF112:BO112" ca="1" si="151">OFFSET(INDIRECT("'"&amp;Opt_alt&amp;"'!H12"),$A112,BF$5)</f>
        <v>0</v>
      </c>
      <c r="BG112" s="234">
        <f t="shared" ca="1" si="151"/>
        <v>0</v>
      </c>
      <c r="BH112" s="234">
        <f t="shared" ca="1" si="151"/>
        <v>0</v>
      </c>
      <c r="BI112" s="234">
        <f t="shared" ca="1" si="151"/>
        <v>0</v>
      </c>
      <c r="BJ112" s="234">
        <f t="shared" ca="1" si="151"/>
        <v>0</v>
      </c>
      <c r="BK112" s="234">
        <f t="shared" ca="1" si="151"/>
        <v>0</v>
      </c>
      <c r="BL112" s="234">
        <f t="shared" ca="1" si="151"/>
        <v>0</v>
      </c>
      <c r="BM112" s="234">
        <f t="shared" ca="1" si="151"/>
        <v>0</v>
      </c>
      <c r="BN112" s="234">
        <f t="shared" ca="1" si="151"/>
        <v>0</v>
      </c>
      <c r="BO112" s="234">
        <f t="shared" ca="1" si="151"/>
        <v>0</v>
      </c>
      <c r="BP112" s="234">
        <f t="shared" ref="BP112:BY112" ca="1" si="152">OFFSET(INDIRECT("'"&amp;Opt_alt&amp;"'!H12"),$A112,BP$5)</f>
        <v>0</v>
      </c>
      <c r="BQ112" s="234">
        <f t="shared" ca="1" si="152"/>
        <v>0</v>
      </c>
      <c r="BR112" s="234">
        <f t="shared" ca="1" si="152"/>
        <v>0</v>
      </c>
      <c r="BS112" s="234">
        <f t="shared" ca="1" si="152"/>
        <v>0</v>
      </c>
      <c r="BT112" s="234">
        <f t="shared" ca="1" si="152"/>
        <v>0</v>
      </c>
      <c r="BU112" s="234">
        <f t="shared" ca="1" si="152"/>
        <v>0</v>
      </c>
      <c r="BV112" s="234">
        <f t="shared" ca="1" si="152"/>
        <v>0</v>
      </c>
      <c r="BW112" s="234">
        <f t="shared" ca="1" si="152"/>
        <v>0</v>
      </c>
      <c r="BX112" s="234">
        <f t="shared" ca="1" si="152"/>
        <v>0</v>
      </c>
      <c r="BY112" s="234">
        <f t="shared" ca="1" si="152"/>
        <v>0</v>
      </c>
      <c r="BZ112" s="234">
        <f t="shared" ref="BZ112:CI112" ca="1" si="153">OFFSET(INDIRECT("'"&amp;Opt_alt&amp;"'!H12"),$A112,BZ$5)</f>
        <v>0</v>
      </c>
      <c r="CA112" s="234">
        <f t="shared" ca="1" si="153"/>
        <v>0</v>
      </c>
      <c r="CB112" s="234">
        <f t="shared" ca="1" si="153"/>
        <v>0</v>
      </c>
      <c r="CC112" s="234">
        <f t="shared" ca="1" si="153"/>
        <v>0</v>
      </c>
      <c r="CD112" s="234">
        <f t="shared" ca="1" si="153"/>
        <v>0</v>
      </c>
      <c r="CE112" s="234">
        <f t="shared" ca="1" si="153"/>
        <v>0</v>
      </c>
      <c r="CF112" s="234">
        <f t="shared" ca="1" si="153"/>
        <v>0</v>
      </c>
      <c r="CG112" s="234">
        <f t="shared" ca="1" si="153"/>
        <v>0</v>
      </c>
      <c r="CH112" s="234">
        <f t="shared" ca="1" si="153"/>
        <v>0</v>
      </c>
      <c r="CI112" s="234">
        <f t="shared" ca="1" si="153"/>
        <v>0</v>
      </c>
      <c r="CJ112" s="234">
        <f t="shared" ref="CJ112:CS112" ca="1" si="154">OFFSET(INDIRECT("'"&amp;Opt_alt&amp;"'!H12"),$A112,CJ$5)</f>
        <v>0</v>
      </c>
      <c r="CK112" s="234">
        <f t="shared" ca="1" si="154"/>
        <v>0</v>
      </c>
      <c r="CL112" s="234">
        <f t="shared" ca="1" si="154"/>
        <v>0</v>
      </c>
      <c r="CM112" s="234">
        <f t="shared" ca="1" si="154"/>
        <v>0</v>
      </c>
      <c r="CN112" s="234">
        <f t="shared" ca="1" si="154"/>
        <v>0</v>
      </c>
      <c r="CO112" s="234">
        <f t="shared" ca="1" si="154"/>
        <v>0</v>
      </c>
      <c r="CP112" s="234">
        <f t="shared" ca="1" si="154"/>
        <v>0</v>
      </c>
      <c r="CQ112" s="234">
        <f t="shared" ca="1" si="154"/>
        <v>0</v>
      </c>
      <c r="CR112" s="234">
        <f t="shared" ca="1" si="154"/>
        <v>0</v>
      </c>
      <c r="CS112" s="234">
        <f t="shared" ca="1" si="154"/>
        <v>0</v>
      </c>
      <c r="CT112" s="234">
        <f t="shared" ref="CT112:DC112" ca="1" si="155">OFFSET(INDIRECT("'"&amp;Opt_alt&amp;"'!H12"),$A112,CT$5)</f>
        <v>0</v>
      </c>
      <c r="CU112" s="234">
        <f t="shared" ca="1" si="155"/>
        <v>0</v>
      </c>
      <c r="CV112" s="234">
        <f t="shared" ca="1" si="155"/>
        <v>0</v>
      </c>
      <c r="CW112" s="234">
        <f t="shared" ca="1" si="155"/>
        <v>0</v>
      </c>
      <c r="CX112" s="234">
        <f t="shared" ca="1" si="155"/>
        <v>0</v>
      </c>
      <c r="CY112" s="234">
        <f t="shared" ca="1" si="155"/>
        <v>0</v>
      </c>
      <c r="CZ112" s="234">
        <f t="shared" ca="1" si="155"/>
        <v>0</v>
      </c>
      <c r="DA112" s="234">
        <f t="shared" ca="1" si="155"/>
        <v>0</v>
      </c>
      <c r="DB112" s="234">
        <f t="shared" ca="1" si="155"/>
        <v>0</v>
      </c>
      <c r="DC112" s="235">
        <f t="shared" ca="1" si="155"/>
        <v>0</v>
      </c>
      <c r="DE112" s="254" t="str">
        <f t="shared" ca="1" si="100"/>
        <v>J.</v>
      </c>
      <c r="DF112">
        <v>1</v>
      </c>
    </row>
    <row r="113" spans="1:110" hidden="1">
      <c r="A113" s="124">
        <v>101</v>
      </c>
      <c r="B113" s="205" t="str">
        <f t="shared" ca="1" si="143"/>
        <v>J.1.</v>
      </c>
      <c r="C113" s="129" t="str">
        <f t="shared" ca="1" si="144"/>
        <v>Bendra pirkimo PVM suma (investicijoms ir reinvesticijoms)</v>
      </c>
      <c r="D113" s="114"/>
      <c r="E113" s="148" t="str">
        <f t="shared" ca="1" si="145"/>
        <v/>
      </c>
      <c r="F113" s="139">
        <f ca="1">H113+NPV(FD,I113:INDEX(I113:DC113,PAL))</f>
        <v>180641.61392627735</v>
      </c>
      <c r="G113" s="140">
        <f ca="1">SUMIF($H$5:$DC$5,"&lt;="&amp;PAL,$H113:$DC113)</f>
        <v>235165.28925619836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8677.6859504132226</v>
      </c>
      <c r="J113" s="66">
        <f t="shared" ca="1" si="156"/>
        <v>90247.933884297527</v>
      </c>
      <c r="K113" s="66">
        <f t="shared" ca="1" si="156"/>
        <v>6074.3801652892562</v>
      </c>
      <c r="L113" s="66">
        <f t="shared" ca="1" si="156"/>
        <v>867.76859504132233</v>
      </c>
      <c r="M113" s="66">
        <f t="shared" ca="1" si="156"/>
        <v>4338.8429752066113</v>
      </c>
      <c r="N113" s="66">
        <f t="shared" ca="1" si="156"/>
        <v>0</v>
      </c>
      <c r="O113" s="66">
        <f t="shared" ca="1" si="156"/>
        <v>0</v>
      </c>
      <c r="P113" s="66">
        <f t="shared" ca="1" si="156"/>
        <v>0</v>
      </c>
      <c r="Q113" s="66">
        <f t="shared" ca="1" si="156"/>
        <v>0</v>
      </c>
      <c r="R113" s="66">
        <f t="shared" ca="1" si="156"/>
        <v>20826.446280991735</v>
      </c>
      <c r="S113" s="66">
        <f t="shared" ca="1" si="156"/>
        <v>41652.89256198347</v>
      </c>
      <c r="T113" s="66">
        <f t="shared" ca="1" si="156"/>
        <v>20826.446280991735</v>
      </c>
      <c r="U113" s="66">
        <f t="shared" ca="1" si="156"/>
        <v>41652.89256198347</v>
      </c>
      <c r="V113" s="66">
        <f t="shared" ca="1" si="156"/>
        <v>0</v>
      </c>
      <c r="W113" s="66">
        <f t="shared" ca="1" si="156"/>
        <v>0</v>
      </c>
      <c r="X113" s="66">
        <f t="shared" ca="1" si="156"/>
        <v>0</v>
      </c>
      <c r="Y113" s="66">
        <f t="shared" ca="1" si="156"/>
        <v>0</v>
      </c>
      <c r="Z113" s="66">
        <f t="shared" ca="1" si="156"/>
        <v>0</v>
      </c>
      <c r="AA113" s="66">
        <f t="shared" ca="1" si="156"/>
        <v>0</v>
      </c>
      <c r="AB113" s="66">
        <f t="shared" ca="1" si="156"/>
        <v>0</v>
      </c>
      <c r="AC113" s="66">
        <f t="shared" ca="1" si="156"/>
        <v>0</v>
      </c>
      <c r="AD113" s="66">
        <f t="shared" ca="1" si="156"/>
        <v>0</v>
      </c>
      <c r="AE113" s="66">
        <f t="shared" ca="1" si="156"/>
        <v>0</v>
      </c>
      <c r="AF113" s="66">
        <f t="shared" ca="1" si="156"/>
        <v>0</v>
      </c>
      <c r="AG113" s="66">
        <f t="shared" ca="1" si="156"/>
        <v>0</v>
      </c>
      <c r="AH113" s="66">
        <f t="shared" ca="1" si="156"/>
        <v>0</v>
      </c>
      <c r="AI113" s="66">
        <f t="shared" ca="1" si="156"/>
        <v>0</v>
      </c>
      <c r="AJ113" s="66">
        <f t="shared" ca="1" si="156"/>
        <v>0</v>
      </c>
      <c r="AK113" s="66">
        <f t="shared" ca="1" si="156"/>
        <v>0</v>
      </c>
      <c r="AL113" s="66">
        <f t="shared" ca="1" si="156"/>
        <v>0</v>
      </c>
      <c r="AM113" s="66">
        <f t="shared" ca="1" si="156"/>
        <v>0</v>
      </c>
      <c r="AN113" s="66">
        <f t="shared" ca="1" si="156"/>
        <v>0</v>
      </c>
      <c r="AO113" s="66">
        <f t="shared" ca="1" si="156"/>
        <v>0</v>
      </c>
      <c r="AP113" s="66">
        <f t="shared" ca="1" si="156"/>
        <v>0</v>
      </c>
      <c r="AQ113" s="66">
        <f t="shared" ca="1" si="156"/>
        <v>0</v>
      </c>
      <c r="AR113" s="66">
        <f t="shared" ca="1" si="156"/>
        <v>0</v>
      </c>
      <c r="AS113" s="66">
        <f t="shared" ca="1" si="156"/>
        <v>0</v>
      </c>
      <c r="AT113" s="66">
        <f t="shared" ca="1" si="156"/>
        <v>0</v>
      </c>
      <c r="AU113" s="66">
        <f t="shared" ca="1" si="156"/>
        <v>0</v>
      </c>
      <c r="AV113" s="66">
        <f t="shared" ca="1" si="156"/>
        <v>0</v>
      </c>
      <c r="AW113" s="66">
        <f t="shared" ca="1" si="156"/>
        <v>0</v>
      </c>
      <c r="AX113" s="66">
        <f t="shared" ca="1" si="156"/>
        <v>0</v>
      </c>
      <c r="AY113" s="66">
        <f t="shared" ca="1" si="156"/>
        <v>0</v>
      </c>
      <c r="AZ113" s="66">
        <f t="shared" ca="1" si="156"/>
        <v>0</v>
      </c>
      <c r="BA113" s="66">
        <f t="shared" ca="1" si="156"/>
        <v>0</v>
      </c>
      <c r="BB113" s="66">
        <f t="shared" ca="1" si="156"/>
        <v>0</v>
      </c>
      <c r="BC113" s="66">
        <f t="shared" ca="1" si="156"/>
        <v>0</v>
      </c>
      <c r="BD113" s="66">
        <f t="shared" ca="1" si="156"/>
        <v>0</v>
      </c>
      <c r="BE113" s="66">
        <f t="shared" ca="1" si="156"/>
        <v>0</v>
      </c>
      <c r="BF113" s="66">
        <f t="shared" ca="1" si="156"/>
        <v>0</v>
      </c>
      <c r="BG113" s="66">
        <f t="shared" ca="1" si="156"/>
        <v>0</v>
      </c>
      <c r="BH113" s="66">
        <f t="shared" ca="1" si="156"/>
        <v>0</v>
      </c>
      <c r="BI113" s="66">
        <f t="shared" ca="1" si="156"/>
        <v>0</v>
      </c>
      <c r="BJ113" s="66">
        <f t="shared" ca="1" si="156"/>
        <v>0</v>
      </c>
      <c r="BK113" s="66">
        <f t="shared" ca="1" si="156"/>
        <v>0</v>
      </c>
      <c r="BL113" s="66">
        <f t="shared" ca="1" si="156"/>
        <v>0</v>
      </c>
      <c r="BM113" s="66">
        <f t="shared" ca="1" si="156"/>
        <v>0</v>
      </c>
      <c r="BN113" s="66">
        <f t="shared" ca="1" si="156"/>
        <v>0</v>
      </c>
      <c r="BO113" s="66">
        <f t="shared" ca="1" si="156"/>
        <v>0</v>
      </c>
      <c r="BP113" s="66">
        <f t="shared" ca="1" si="156"/>
        <v>0</v>
      </c>
      <c r="BQ113" s="66">
        <f t="shared" ca="1" si="156"/>
        <v>0</v>
      </c>
      <c r="BR113" s="66">
        <f t="shared" ca="1" si="156"/>
        <v>0</v>
      </c>
      <c r="BS113" s="66">
        <f t="shared" ca="1" si="156"/>
        <v>0</v>
      </c>
      <c r="BT113" s="66">
        <f t="shared" ca="1" si="156"/>
        <v>0</v>
      </c>
      <c r="BU113" s="66">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57"/>
        <v>0</v>
      </c>
      <c r="BW113" s="66">
        <f t="shared" ca="1" si="157"/>
        <v>0</v>
      </c>
      <c r="BX113" s="66">
        <f t="shared" ca="1" si="157"/>
        <v>0</v>
      </c>
      <c r="BY113" s="66">
        <f t="shared" ca="1" si="157"/>
        <v>0</v>
      </c>
      <c r="BZ113" s="66">
        <f t="shared" ca="1" si="157"/>
        <v>0</v>
      </c>
      <c r="CA113" s="66">
        <f t="shared" ca="1" si="157"/>
        <v>0</v>
      </c>
      <c r="CB113" s="66">
        <f t="shared" ca="1" si="157"/>
        <v>0</v>
      </c>
      <c r="CC113" s="66">
        <f t="shared" ca="1" si="157"/>
        <v>0</v>
      </c>
      <c r="CD113" s="66">
        <f t="shared" ca="1" si="157"/>
        <v>0</v>
      </c>
      <c r="CE113" s="66">
        <f t="shared" ca="1" si="157"/>
        <v>0</v>
      </c>
      <c r="CF113" s="66">
        <f t="shared" ca="1" si="157"/>
        <v>0</v>
      </c>
      <c r="CG113" s="66">
        <f t="shared" ca="1" si="157"/>
        <v>0</v>
      </c>
      <c r="CH113" s="66">
        <f t="shared" ca="1" si="157"/>
        <v>0</v>
      </c>
      <c r="CI113" s="66">
        <f t="shared" ca="1" si="157"/>
        <v>0</v>
      </c>
      <c r="CJ113" s="66">
        <f t="shared" ca="1" si="157"/>
        <v>0</v>
      </c>
      <c r="CK113" s="66">
        <f t="shared" ca="1" si="157"/>
        <v>0</v>
      </c>
      <c r="CL113" s="66">
        <f t="shared" ca="1" si="157"/>
        <v>0</v>
      </c>
      <c r="CM113" s="66">
        <f t="shared" ca="1" si="157"/>
        <v>0</v>
      </c>
      <c r="CN113" s="66">
        <f t="shared" ca="1" si="157"/>
        <v>0</v>
      </c>
      <c r="CO113" s="66">
        <f t="shared" ca="1" si="157"/>
        <v>0</v>
      </c>
      <c r="CP113" s="66">
        <f t="shared" ca="1" si="157"/>
        <v>0</v>
      </c>
      <c r="CQ113" s="66">
        <f t="shared" ca="1" si="157"/>
        <v>0</v>
      </c>
      <c r="CR113" s="66">
        <f t="shared" ca="1" si="157"/>
        <v>0</v>
      </c>
      <c r="CS113" s="66">
        <f t="shared" ca="1" si="157"/>
        <v>0</v>
      </c>
      <c r="CT113" s="66">
        <f t="shared" ca="1" si="157"/>
        <v>0</v>
      </c>
      <c r="CU113" s="66">
        <f t="shared" ca="1" si="157"/>
        <v>0</v>
      </c>
      <c r="CV113" s="66">
        <f t="shared" ca="1" si="157"/>
        <v>0</v>
      </c>
      <c r="CW113" s="66">
        <f t="shared" ca="1" si="157"/>
        <v>0</v>
      </c>
      <c r="CX113" s="66">
        <f t="shared" ca="1" si="157"/>
        <v>0</v>
      </c>
      <c r="CY113" s="66">
        <f t="shared" ca="1" si="157"/>
        <v>0</v>
      </c>
      <c r="CZ113" s="66">
        <f t="shared" ca="1" si="157"/>
        <v>0</v>
      </c>
      <c r="DA113" s="66">
        <f t="shared" ca="1" si="157"/>
        <v>0</v>
      </c>
      <c r="DB113" s="66">
        <f t="shared" ca="1" si="157"/>
        <v>0</v>
      </c>
      <c r="DC113" s="66">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4" t="str">
        <f t="shared" ca="1" si="100"/>
        <v>J.1.</v>
      </c>
      <c r="DF113">
        <v>1</v>
      </c>
    </row>
    <row r="114" spans="1:110" hidden="1">
      <c r="A114" s="124">
        <v>102</v>
      </c>
      <c r="B114" s="205" t="str">
        <f t="shared" ca="1" si="143"/>
        <v>J.2.</v>
      </c>
      <c r="C114" s="129" t="str">
        <f t="shared" ca="1" si="144"/>
        <v>Bendra pirkimo PVM suma (veiklos sąnaudoms)</v>
      </c>
      <c r="D114" s="130"/>
      <c r="E114" s="148" t="str">
        <f t="shared" ca="1" si="145"/>
        <v/>
      </c>
      <c r="F114" s="139">
        <f ca="1">H114+NPV(FD,I114:INDEX(I114:DC114,PAL))</f>
        <v>0</v>
      </c>
      <c r="G114" s="143">
        <f ca="1">G115+G116-G117</f>
        <v>-1744156871.0377769</v>
      </c>
      <c r="H114" s="66">
        <f ca="1">SUMPRODUCT($DG90:$DG99,H90:H99,1/($DG90:$DG99+100))</f>
        <v>0</v>
      </c>
      <c r="I114" s="66">
        <f t="shared" ref="I114:BT114" ca="1" si="158">SUMPRODUCT($DG90:$DG99,I90:I99,1/($DG90:$DG99+100))</f>
        <v>0</v>
      </c>
      <c r="J114" s="66">
        <f t="shared" ca="1" si="158"/>
        <v>0</v>
      </c>
      <c r="K114" s="66">
        <f t="shared" ca="1" si="158"/>
        <v>0</v>
      </c>
      <c r="L114" s="66">
        <f t="shared" ca="1" si="158"/>
        <v>0</v>
      </c>
      <c r="M114" s="66">
        <f t="shared" ca="1" si="158"/>
        <v>0</v>
      </c>
      <c r="N114" s="66">
        <f t="shared" ca="1" si="158"/>
        <v>0</v>
      </c>
      <c r="O114" s="66">
        <f t="shared" ca="1" si="158"/>
        <v>0</v>
      </c>
      <c r="P114" s="66">
        <f t="shared" ca="1" si="158"/>
        <v>0</v>
      </c>
      <c r="Q114" s="66">
        <f t="shared" ca="1" si="158"/>
        <v>0</v>
      </c>
      <c r="R114" s="66">
        <f t="shared" ca="1" si="158"/>
        <v>0</v>
      </c>
      <c r="S114" s="66">
        <f t="shared" ca="1" si="158"/>
        <v>0</v>
      </c>
      <c r="T114" s="66">
        <f t="shared" ca="1" si="158"/>
        <v>0</v>
      </c>
      <c r="U114" s="66">
        <f t="shared" ca="1" si="158"/>
        <v>0</v>
      </c>
      <c r="V114" s="66">
        <f t="shared" ca="1" si="158"/>
        <v>0</v>
      </c>
      <c r="W114" s="66">
        <f t="shared" ca="1" si="158"/>
        <v>0</v>
      </c>
      <c r="X114" s="66">
        <f t="shared" ca="1" si="158"/>
        <v>0</v>
      </c>
      <c r="Y114" s="66">
        <f t="shared" ca="1" si="158"/>
        <v>0</v>
      </c>
      <c r="Z114" s="66">
        <f t="shared" ca="1" si="158"/>
        <v>0</v>
      </c>
      <c r="AA114" s="66">
        <f t="shared" ca="1" si="158"/>
        <v>0</v>
      </c>
      <c r="AB114" s="66">
        <f t="shared" ca="1" si="158"/>
        <v>0</v>
      </c>
      <c r="AC114" s="66">
        <f t="shared" ca="1" si="158"/>
        <v>0</v>
      </c>
      <c r="AD114" s="66">
        <f t="shared" ca="1" si="158"/>
        <v>0</v>
      </c>
      <c r="AE114" s="66">
        <f t="shared" ca="1" si="158"/>
        <v>0</v>
      </c>
      <c r="AF114" s="66">
        <f t="shared" ca="1" si="158"/>
        <v>0</v>
      </c>
      <c r="AG114" s="66">
        <f t="shared" ca="1" si="158"/>
        <v>0</v>
      </c>
      <c r="AH114" s="66">
        <f t="shared" ca="1" si="158"/>
        <v>0</v>
      </c>
      <c r="AI114" s="66">
        <f t="shared" ca="1" si="158"/>
        <v>0</v>
      </c>
      <c r="AJ114" s="66">
        <f t="shared" ca="1" si="158"/>
        <v>0</v>
      </c>
      <c r="AK114" s="66">
        <f t="shared" ca="1" si="158"/>
        <v>0</v>
      </c>
      <c r="AL114" s="66">
        <f t="shared" ca="1" si="158"/>
        <v>0</v>
      </c>
      <c r="AM114" s="66">
        <f t="shared" ca="1" si="158"/>
        <v>0</v>
      </c>
      <c r="AN114" s="66">
        <f t="shared" ca="1" si="158"/>
        <v>0</v>
      </c>
      <c r="AO114" s="66">
        <f t="shared" ca="1" si="158"/>
        <v>0</v>
      </c>
      <c r="AP114" s="66">
        <f t="shared" ca="1" si="158"/>
        <v>0</v>
      </c>
      <c r="AQ114" s="66">
        <f t="shared" ca="1" si="158"/>
        <v>0</v>
      </c>
      <c r="AR114" s="66">
        <f t="shared" ca="1" si="158"/>
        <v>0</v>
      </c>
      <c r="AS114" s="66">
        <f t="shared" ca="1" si="158"/>
        <v>0</v>
      </c>
      <c r="AT114" s="66">
        <f t="shared" ca="1" si="158"/>
        <v>0</v>
      </c>
      <c r="AU114" s="66">
        <f t="shared" ca="1" si="158"/>
        <v>0</v>
      </c>
      <c r="AV114" s="66">
        <f t="shared" ca="1" si="158"/>
        <v>0</v>
      </c>
      <c r="AW114" s="66">
        <f t="shared" ca="1" si="158"/>
        <v>0</v>
      </c>
      <c r="AX114" s="66">
        <f t="shared" ca="1" si="158"/>
        <v>0</v>
      </c>
      <c r="AY114" s="66">
        <f t="shared" ca="1" si="158"/>
        <v>0</v>
      </c>
      <c r="AZ114" s="66">
        <f t="shared" ca="1" si="158"/>
        <v>0</v>
      </c>
      <c r="BA114" s="66">
        <f t="shared" ca="1" si="158"/>
        <v>0</v>
      </c>
      <c r="BB114" s="66">
        <f t="shared" ca="1" si="158"/>
        <v>0</v>
      </c>
      <c r="BC114" s="66">
        <f t="shared" ca="1" si="158"/>
        <v>0</v>
      </c>
      <c r="BD114" s="66">
        <f t="shared" ca="1" si="158"/>
        <v>0</v>
      </c>
      <c r="BE114" s="66">
        <f t="shared" ca="1" si="158"/>
        <v>0</v>
      </c>
      <c r="BF114" s="66">
        <f t="shared" ca="1" si="158"/>
        <v>0</v>
      </c>
      <c r="BG114" s="66">
        <f t="shared" ca="1" si="158"/>
        <v>0</v>
      </c>
      <c r="BH114" s="66">
        <f t="shared" ca="1" si="158"/>
        <v>0</v>
      </c>
      <c r="BI114" s="66">
        <f t="shared" ca="1" si="158"/>
        <v>0</v>
      </c>
      <c r="BJ114" s="66">
        <f t="shared" ca="1" si="158"/>
        <v>0</v>
      </c>
      <c r="BK114" s="66">
        <f t="shared" ca="1" si="158"/>
        <v>0</v>
      </c>
      <c r="BL114" s="66">
        <f t="shared" ca="1" si="158"/>
        <v>0</v>
      </c>
      <c r="BM114" s="66">
        <f t="shared" ca="1" si="158"/>
        <v>0</v>
      </c>
      <c r="BN114" s="66">
        <f t="shared" ca="1" si="158"/>
        <v>0</v>
      </c>
      <c r="BO114" s="66">
        <f t="shared" ca="1" si="158"/>
        <v>0</v>
      </c>
      <c r="BP114" s="66">
        <f t="shared" ca="1" si="158"/>
        <v>0</v>
      </c>
      <c r="BQ114" s="66">
        <f t="shared" ca="1" si="158"/>
        <v>0</v>
      </c>
      <c r="BR114" s="66">
        <f t="shared" ca="1" si="158"/>
        <v>0</v>
      </c>
      <c r="BS114" s="66">
        <f t="shared" ca="1" si="158"/>
        <v>0</v>
      </c>
      <c r="BT114" s="66">
        <f t="shared" ca="1" si="158"/>
        <v>0</v>
      </c>
      <c r="BU114" s="66">
        <f t="shared" ref="BU114:DC114" ca="1" si="159">SUMPRODUCT($DG90:$DG99,BU90:BU99,1/($DG90:$DG99+100))</f>
        <v>0</v>
      </c>
      <c r="BV114" s="66">
        <f t="shared" ca="1" si="159"/>
        <v>0</v>
      </c>
      <c r="BW114" s="66">
        <f t="shared" ca="1" si="159"/>
        <v>0</v>
      </c>
      <c r="BX114" s="66">
        <f t="shared" ca="1" si="159"/>
        <v>0</v>
      </c>
      <c r="BY114" s="66">
        <f t="shared" ca="1" si="159"/>
        <v>0</v>
      </c>
      <c r="BZ114" s="66">
        <f t="shared" ca="1" si="159"/>
        <v>0</v>
      </c>
      <c r="CA114" s="66">
        <f t="shared" ca="1" si="159"/>
        <v>0</v>
      </c>
      <c r="CB114" s="66">
        <f t="shared" ca="1" si="159"/>
        <v>0</v>
      </c>
      <c r="CC114" s="66">
        <f t="shared" ca="1" si="159"/>
        <v>0</v>
      </c>
      <c r="CD114" s="66">
        <f t="shared" ca="1" si="159"/>
        <v>0</v>
      </c>
      <c r="CE114" s="66">
        <f t="shared" ca="1" si="159"/>
        <v>0</v>
      </c>
      <c r="CF114" s="66">
        <f t="shared" ca="1" si="159"/>
        <v>0</v>
      </c>
      <c r="CG114" s="66">
        <f t="shared" ca="1" si="159"/>
        <v>0</v>
      </c>
      <c r="CH114" s="66">
        <f t="shared" ca="1" si="159"/>
        <v>0</v>
      </c>
      <c r="CI114" s="66">
        <f t="shared" ca="1" si="159"/>
        <v>0</v>
      </c>
      <c r="CJ114" s="66">
        <f t="shared" ca="1" si="159"/>
        <v>0</v>
      </c>
      <c r="CK114" s="66">
        <f t="shared" ca="1" si="159"/>
        <v>0</v>
      </c>
      <c r="CL114" s="66">
        <f t="shared" ca="1" si="159"/>
        <v>0</v>
      </c>
      <c r="CM114" s="66">
        <f t="shared" ca="1" si="159"/>
        <v>0</v>
      </c>
      <c r="CN114" s="66">
        <f t="shared" ca="1" si="159"/>
        <v>0</v>
      </c>
      <c r="CO114" s="66">
        <f t="shared" ca="1" si="159"/>
        <v>0</v>
      </c>
      <c r="CP114" s="66">
        <f t="shared" ca="1" si="159"/>
        <v>0</v>
      </c>
      <c r="CQ114" s="66">
        <f t="shared" ca="1" si="159"/>
        <v>0</v>
      </c>
      <c r="CR114" s="66">
        <f t="shared" ca="1" si="159"/>
        <v>0</v>
      </c>
      <c r="CS114" s="66">
        <f t="shared" ca="1" si="159"/>
        <v>0</v>
      </c>
      <c r="CT114" s="66">
        <f t="shared" ca="1" si="159"/>
        <v>0</v>
      </c>
      <c r="CU114" s="66">
        <f t="shared" ca="1" si="159"/>
        <v>0</v>
      </c>
      <c r="CV114" s="66">
        <f t="shared" ca="1" si="159"/>
        <v>0</v>
      </c>
      <c r="CW114" s="66">
        <f t="shared" ca="1" si="159"/>
        <v>0</v>
      </c>
      <c r="CX114" s="66">
        <f t="shared" ca="1" si="159"/>
        <v>0</v>
      </c>
      <c r="CY114" s="66">
        <f t="shared" ca="1" si="159"/>
        <v>0</v>
      </c>
      <c r="CZ114" s="66">
        <f t="shared" ca="1" si="159"/>
        <v>0</v>
      </c>
      <c r="DA114" s="66">
        <f t="shared" ca="1" si="159"/>
        <v>0</v>
      </c>
      <c r="DB114" s="66">
        <f t="shared" ca="1" si="159"/>
        <v>0</v>
      </c>
      <c r="DC114" s="66">
        <f t="shared" ca="1" si="159"/>
        <v>0</v>
      </c>
      <c r="DE114" s="254" t="str">
        <f t="shared" ca="1" si="100"/>
        <v>J.2.</v>
      </c>
      <c r="DF114">
        <v>1</v>
      </c>
    </row>
    <row r="115" spans="1:110" hidden="1">
      <c r="A115" s="124">
        <v>103</v>
      </c>
      <c r="B115" s="205" t="str">
        <f t="shared" ca="1" si="143"/>
        <v>J.3.</v>
      </c>
      <c r="C115" s="129" t="str">
        <f t="shared" ca="1" si="144"/>
        <v>Bendra pardavimo PVM suma</v>
      </c>
      <c r="D115" s="114"/>
      <c r="E115" s="148" t="str">
        <f t="shared" ca="1" si="145"/>
        <v/>
      </c>
      <c r="F115" s="139">
        <f ca="1">H115+NPV(FD,I115:INDEX(I115:DC115,PAL))</f>
        <v>0</v>
      </c>
      <c r="G115" s="140">
        <f ca="1">SUMIF($H$5:$DC$5,"&lt;="&amp;PAL,$H115:$DC115)</f>
        <v>0</v>
      </c>
      <c r="H115" s="66">
        <f ca="1">SUMPRODUCT($DG101:$DG110,H101:H110,1/($DG101:$DG110+100))</f>
        <v>0</v>
      </c>
      <c r="I115" s="66">
        <f t="shared" ref="I115:BT115" ca="1" si="160">SUMPRODUCT($DG101:$DG110,I101:I110,1/($DG101:$DG110+100))</f>
        <v>0</v>
      </c>
      <c r="J115" s="66">
        <f t="shared" ca="1" si="160"/>
        <v>0</v>
      </c>
      <c r="K115" s="66">
        <f t="shared" ca="1" si="160"/>
        <v>0</v>
      </c>
      <c r="L115" s="66">
        <f t="shared" ca="1" si="160"/>
        <v>0</v>
      </c>
      <c r="M115" s="66">
        <f t="shared" ca="1" si="160"/>
        <v>0</v>
      </c>
      <c r="N115" s="66">
        <f t="shared" ca="1" si="160"/>
        <v>0</v>
      </c>
      <c r="O115" s="66">
        <f t="shared" ca="1" si="160"/>
        <v>0</v>
      </c>
      <c r="P115" s="66">
        <f t="shared" ca="1" si="160"/>
        <v>0</v>
      </c>
      <c r="Q115" s="66">
        <f t="shared" ca="1" si="160"/>
        <v>0</v>
      </c>
      <c r="R115" s="66">
        <f t="shared" ca="1" si="160"/>
        <v>0</v>
      </c>
      <c r="S115" s="66">
        <f t="shared" ca="1" si="160"/>
        <v>0</v>
      </c>
      <c r="T115" s="66">
        <f t="shared" ca="1" si="160"/>
        <v>0</v>
      </c>
      <c r="U115" s="66">
        <f t="shared" ca="1" si="160"/>
        <v>0</v>
      </c>
      <c r="V115" s="66">
        <f t="shared" ca="1" si="160"/>
        <v>0</v>
      </c>
      <c r="W115" s="66">
        <f t="shared" ca="1" si="160"/>
        <v>0</v>
      </c>
      <c r="X115" s="66">
        <f t="shared" ca="1" si="160"/>
        <v>0</v>
      </c>
      <c r="Y115" s="66">
        <f t="shared" ca="1" si="160"/>
        <v>0</v>
      </c>
      <c r="Z115" s="66">
        <f t="shared" ca="1" si="160"/>
        <v>0</v>
      </c>
      <c r="AA115" s="66">
        <f t="shared" ca="1" si="160"/>
        <v>0</v>
      </c>
      <c r="AB115" s="66">
        <f t="shared" ca="1" si="160"/>
        <v>0</v>
      </c>
      <c r="AC115" s="66">
        <f t="shared" ca="1" si="160"/>
        <v>0</v>
      </c>
      <c r="AD115" s="66">
        <f t="shared" ca="1" si="160"/>
        <v>0</v>
      </c>
      <c r="AE115" s="66">
        <f t="shared" ca="1" si="160"/>
        <v>0</v>
      </c>
      <c r="AF115" s="66">
        <f t="shared" ca="1" si="160"/>
        <v>0</v>
      </c>
      <c r="AG115" s="66">
        <f t="shared" ca="1" si="160"/>
        <v>0</v>
      </c>
      <c r="AH115" s="66">
        <f t="shared" ca="1" si="160"/>
        <v>0</v>
      </c>
      <c r="AI115" s="66">
        <f t="shared" ca="1" si="160"/>
        <v>0</v>
      </c>
      <c r="AJ115" s="66">
        <f t="shared" ca="1" si="160"/>
        <v>0</v>
      </c>
      <c r="AK115" s="66">
        <f t="shared" ca="1" si="160"/>
        <v>0</v>
      </c>
      <c r="AL115" s="66">
        <f t="shared" ca="1" si="160"/>
        <v>0</v>
      </c>
      <c r="AM115" s="66">
        <f t="shared" ca="1" si="160"/>
        <v>0</v>
      </c>
      <c r="AN115" s="66">
        <f t="shared" ca="1" si="160"/>
        <v>0</v>
      </c>
      <c r="AO115" s="66">
        <f t="shared" ca="1" si="160"/>
        <v>0</v>
      </c>
      <c r="AP115" s="66">
        <f t="shared" ca="1" si="160"/>
        <v>0</v>
      </c>
      <c r="AQ115" s="66">
        <f t="shared" ca="1" si="160"/>
        <v>0</v>
      </c>
      <c r="AR115" s="66">
        <f t="shared" ca="1" si="160"/>
        <v>0</v>
      </c>
      <c r="AS115" s="66">
        <f t="shared" ca="1" si="160"/>
        <v>0</v>
      </c>
      <c r="AT115" s="66">
        <f t="shared" ca="1" si="160"/>
        <v>0</v>
      </c>
      <c r="AU115" s="66">
        <f t="shared" ca="1" si="160"/>
        <v>0</v>
      </c>
      <c r="AV115" s="66">
        <f t="shared" ca="1" si="160"/>
        <v>0</v>
      </c>
      <c r="AW115" s="66">
        <f t="shared" ca="1" si="160"/>
        <v>0</v>
      </c>
      <c r="AX115" s="66">
        <f t="shared" ca="1" si="160"/>
        <v>0</v>
      </c>
      <c r="AY115" s="66">
        <f t="shared" ca="1" si="160"/>
        <v>0</v>
      </c>
      <c r="AZ115" s="66">
        <f t="shared" ca="1" si="160"/>
        <v>0</v>
      </c>
      <c r="BA115" s="66">
        <f t="shared" ca="1" si="160"/>
        <v>0</v>
      </c>
      <c r="BB115" s="66">
        <f t="shared" ca="1" si="160"/>
        <v>0</v>
      </c>
      <c r="BC115" s="66">
        <f t="shared" ca="1" si="160"/>
        <v>0</v>
      </c>
      <c r="BD115" s="66">
        <f t="shared" ca="1" si="160"/>
        <v>0</v>
      </c>
      <c r="BE115" s="66">
        <f t="shared" ca="1" si="160"/>
        <v>0</v>
      </c>
      <c r="BF115" s="66">
        <f t="shared" ca="1" si="160"/>
        <v>0</v>
      </c>
      <c r="BG115" s="66">
        <f t="shared" ca="1" si="160"/>
        <v>0</v>
      </c>
      <c r="BH115" s="66">
        <f t="shared" ca="1" si="160"/>
        <v>0</v>
      </c>
      <c r="BI115" s="66">
        <f t="shared" ca="1" si="160"/>
        <v>0</v>
      </c>
      <c r="BJ115" s="66">
        <f t="shared" ca="1" si="160"/>
        <v>0</v>
      </c>
      <c r="BK115" s="66">
        <f t="shared" ca="1" si="160"/>
        <v>0</v>
      </c>
      <c r="BL115" s="66">
        <f t="shared" ca="1" si="160"/>
        <v>0</v>
      </c>
      <c r="BM115" s="66">
        <f t="shared" ca="1" si="160"/>
        <v>0</v>
      </c>
      <c r="BN115" s="66">
        <f t="shared" ca="1" si="160"/>
        <v>0</v>
      </c>
      <c r="BO115" s="66">
        <f t="shared" ca="1" si="160"/>
        <v>0</v>
      </c>
      <c r="BP115" s="66">
        <f t="shared" ca="1" si="160"/>
        <v>0</v>
      </c>
      <c r="BQ115" s="66">
        <f t="shared" ca="1" si="160"/>
        <v>0</v>
      </c>
      <c r="BR115" s="66">
        <f t="shared" ca="1" si="160"/>
        <v>0</v>
      </c>
      <c r="BS115" s="66">
        <f t="shared" ca="1" si="160"/>
        <v>0</v>
      </c>
      <c r="BT115" s="66">
        <f t="shared" ca="1" si="160"/>
        <v>0</v>
      </c>
      <c r="BU115" s="66">
        <f t="shared" ref="BU115:DC115" ca="1" si="161">SUMPRODUCT($DG101:$DG110,BU101:BU110,1/($DG101:$DG110+100))</f>
        <v>0</v>
      </c>
      <c r="BV115" s="66">
        <f t="shared" ca="1" si="161"/>
        <v>0</v>
      </c>
      <c r="BW115" s="66">
        <f t="shared" ca="1" si="161"/>
        <v>0</v>
      </c>
      <c r="BX115" s="66">
        <f t="shared" ca="1" si="161"/>
        <v>0</v>
      </c>
      <c r="BY115" s="66">
        <f t="shared" ca="1" si="161"/>
        <v>0</v>
      </c>
      <c r="BZ115" s="66">
        <f t="shared" ca="1" si="161"/>
        <v>0</v>
      </c>
      <c r="CA115" s="66">
        <f t="shared" ca="1" si="161"/>
        <v>0</v>
      </c>
      <c r="CB115" s="66">
        <f t="shared" ca="1" si="161"/>
        <v>0</v>
      </c>
      <c r="CC115" s="66">
        <f t="shared" ca="1" si="161"/>
        <v>0</v>
      </c>
      <c r="CD115" s="66">
        <f t="shared" ca="1" si="161"/>
        <v>0</v>
      </c>
      <c r="CE115" s="66">
        <f t="shared" ca="1" si="161"/>
        <v>0</v>
      </c>
      <c r="CF115" s="66">
        <f t="shared" ca="1" si="161"/>
        <v>0</v>
      </c>
      <c r="CG115" s="66">
        <f t="shared" ca="1" si="161"/>
        <v>0</v>
      </c>
      <c r="CH115" s="66">
        <f t="shared" ca="1" si="161"/>
        <v>0</v>
      </c>
      <c r="CI115" s="66">
        <f t="shared" ca="1" si="161"/>
        <v>0</v>
      </c>
      <c r="CJ115" s="66">
        <f t="shared" ca="1" si="161"/>
        <v>0</v>
      </c>
      <c r="CK115" s="66">
        <f t="shared" ca="1" si="161"/>
        <v>0</v>
      </c>
      <c r="CL115" s="66">
        <f t="shared" ca="1" si="161"/>
        <v>0</v>
      </c>
      <c r="CM115" s="66">
        <f t="shared" ca="1" si="161"/>
        <v>0</v>
      </c>
      <c r="CN115" s="66">
        <f t="shared" ca="1" si="161"/>
        <v>0</v>
      </c>
      <c r="CO115" s="66">
        <f t="shared" ca="1" si="161"/>
        <v>0</v>
      </c>
      <c r="CP115" s="66">
        <f t="shared" ca="1" si="161"/>
        <v>0</v>
      </c>
      <c r="CQ115" s="66">
        <f t="shared" ca="1" si="161"/>
        <v>0</v>
      </c>
      <c r="CR115" s="66">
        <f t="shared" ca="1" si="161"/>
        <v>0</v>
      </c>
      <c r="CS115" s="66">
        <f t="shared" ca="1" si="161"/>
        <v>0</v>
      </c>
      <c r="CT115" s="66">
        <f t="shared" ca="1" si="161"/>
        <v>0</v>
      </c>
      <c r="CU115" s="66">
        <f t="shared" ca="1" si="161"/>
        <v>0</v>
      </c>
      <c r="CV115" s="66">
        <f t="shared" ca="1" si="161"/>
        <v>0</v>
      </c>
      <c r="CW115" s="66">
        <f t="shared" ca="1" si="161"/>
        <v>0</v>
      </c>
      <c r="CX115" s="66">
        <f t="shared" ca="1" si="161"/>
        <v>0</v>
      </c>
      <c r="CY115" s="66">
        <f t="shared" ca="1" si="161"/>
        <v>0</v>
      </c>
      <c r="CZ115" s="66">
        <f t="shared" ca="1" si="161"/>
        <v>0</v>
      </c>
      <c r="DA115" s="66">
        <f t="shared" ca="1" si="161"/>
        <v>0</v>
      </c>
      <c r="DB115" s="66">
        <f t="shared" ca="1" si="161"/>
        <v>0</v>
      </c>
      <c r="DC115" s="66">
        <f t="shared" ca="1" si="161"/>
        <v>0</v>
      </c>
      <c r="DE115" s="254" t="str">
        <f t="shared" ca="1" si="100"/>
        <v>J.3.</v>
      </c>
      <c r="DF115">
        <v>1</v>
      </c>
    </row>
    <row r="116" spans="1:110" ht="57.6" hidden="1">
      <c r="A116" s="124">
        <v>104</v>
      </c>
      <c r="B116" s="205" t="str">
        <f t="shared" ca="1" si="143"/>
        <v>K.</v>
      </c>
      <c r="C116" s="197" t="str">
        <f t="shared" ca="1" si="144"/>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114"/>
      <c r="E116" s="148" t="str">
        <f t="shared" ca="1" si="145"/>
        <v/>
      </c>
      <c r="F116" s="139">
        <f ca="1">H116+NPV(FD,I116:INDEX(I116:DC116,PAL))</f>
        <v>34.342439635093235</v>
      </c>
      <c r="G116" s="140">
        <f ca="1">SUMIF($H$5:$DC$5,"&lt;="&amp;PAL,$H116:$DC116)</f>
        <v>47</v>
      </c>
      <c r="H116" s="138">
        <f t="shared" ref="H116:AM116" ca="1" si="162">OFFSET(INDIRECT("'"&amp;Opt_alt&amp;"'!H12"),$A116,H$5)*$DF116</f>
        <v>0</v>
      </c>
      <c r="I116" s="138">
        <f t="shared" ca="1" si="162"/>
        <v>0</v>
      </c>
      <c r="J116" s="138">
        <f t="shared" ca="1" si="162"/>
        <v>0</v>
      </c>
      <c r="K116" s="138">
        <f t="shared" ca="1" si="162"/>
        <v>0</v>
      </c>
      <c r="L116" s="138">
        <f t="shared" ca="1" si="162"/>
        <v>0</v>
      </c>
      <c r="M116" s="138">
        <f t="shared" ca="1" si="162"/>
        <v>0</v>
      </c>
      <c r="N116" s="138">
        <f t="shared" ca="1" si="162"/>
        <v>0</v>
      </c>
      <c r="O116" s="138">
        <f t="shared" ca="1" si="162"/>
        <v>0</v>
      </c>
      <c r="P116" s="138">
        <f t="shared" ca="1" si="162"/>
        <v>47</v>
      </c>
      <c r="Q116" s="138">
        <f t="shared" ca="1" si="162"/>
        <v>0</v>
      </c>
      <c r="R116" s="138">
        <f t="shared" ca="1" si="162"/>
        <v>0</v>
      </c>
      <c r="S116" s="138">
        <f t="shared" ca="1" si="162"/>
        <v>0</v>
      </c>
      <c r="T116" s="138">
        <f t="shared" ca="1" si="162"/>
        <v>0</v>
      </c>
      <c r="U116" s="138">
        <f t="shared" ca="1" si="162"/>
        <v>0</v>
      </c>
      <c r="V116" s="138">
        <f t="shared" ca="1" si="162"/>
        <v>0</v>
      </c>
      <c r="W116" s="138">
        <f t="shared" ca="1" si="162"/>
        <v>0</v>
      </c>
      <c r="X116" s="138">
        <f t="shared" ca="1" si="162"/>
        <v>0</v>
      </c>
      <c r="Y116" s="138">
        <f t="shared" ca="1" si="162"/>
        <v>0</v>
      </c>
      <c r="Z116" s="138">
        <f t="shared" ca="1" si="162"/>
        <v>0</v>
      </c>
      <c r="AA116" s="138">
        <f t="shared" ca="1" si="162"/>
        <v>0</v>
      </c>
      <c r="AB116" s="138">
        <f t="shared" ca="1" si="162"/>
        <v>0</v>
      </c>
      <c r="AC116" s="138">
        <f t="shared" ca="1" si="162"/>
        <v>0</v>
      </c>
      <c r="AD116" s="138">
        <f t="shared" ca="1" si="162"/>
        <v>0</v>
      </c>
      <c r="AE116" s="138">
        <f t="shared" ca="1" si="162"/>
        <v>0</v>
      </c>
      <c r="AF116" s="138">
        <f t="shared" ca="1" si="162"/>
        <v>0</v>
      </c>
      <c r="AG116" s="138">
        <f t="shared" ca="1" si="162"/>
        <v>0</v>
      </c>
      <c r="AH116" s="138">
        <f t="shared" ca="1" si="162"/>
        <v>0</v>
      </c>
      <c r="AI116" s="138">
        <f t="shared" ca="1" si="162"/>
        <v>0</v>
      </c>
      <c r="AJ116" s="138">
        <f t="shared" ca="1" si="162"/>
        <v>0</v>
      </c>
      <c r="AK116" s="138">
        <f t="shared" ca="1" si="162"/>
        <v>0</v>
      </c>
      <c r="AL116" s="138">
        <f t="shared" ca="1" si="162"/>
        <v>0</v>
      </c>
      <c r="AM116" s="138">
        <f t="shared" ca="1" si="162"/>
        <v>0</v>
      </c>
      <c r="AN116" s="138">
        <f t="shared" ref="AN116:BS116" ca="1" si="163">OFFSET(INDIRECT("'"&amp;Opt_alt&amp;"'!H12"),$A116,AN$5)*$DF116</f>
        <v>0</v>
      </c>
      <c r="AO116" s="138">
        <f t="shared" ca="1" si="163"/>
        <v>0</v>
      </c>
      <c r="AP116" s="138">
        <f t="shared" ca="1" si="163"/>
        <v>0</v>
      </c>
      <c r="AQ116" s="138">
        <f t="shared" ca="1" si="163"/>
        <v>0</v>
      </c>
      <c r="AR116" s="138">
        <f t="shared" ca="1" si="163"/>
        <v>0</v>
      </c>
      <c r="AS116" s="138">
        <f t="shared" ca="1" si="163"/>
        <v>0</v>
      </c>
      <c r="AT116" s="138">
        <f t="shared" ca="1" si="163"/>
        <v>0</v>
      </c>
      <c r="AU116" s="138">
        <f t="shared" ca="1" si="163"/>
        <v>0</v>
      </c>
      <c r="AV116" s="138">
        <f t="shared" ca="1" si="163"/>
        <v>0</v>
      </c>
      <c r="AW116" s="138">
        <f t="shared" ca="1" si="163"/>
        <v>0</v>
      </c>
      <c r="AX116" s="138">
        <f t="shared" ca="1" si="163"/>
        <v>0</v>
      </c>
      <c r="AY116" s="138">
        <f t="shared" ca="1" si="163"/>
        <v>0</v>
      </c>
      <c r="AZ116" s="138">
        <f t="shared" ca="1" si="163"/>
        <v>0</v>
      </c>
      <c r="BA116" s="138">
        <f t="shared" ca="1" si="163"/>
        <v>0</v>
      </c>
      <c r="BB116" s="138">
        <f t="shared" ca="1" si="163"/>
        <v>0</v>
      </c>
      <c r="BC116" s="138">
        <f t="shared" ca="1" si="163"/>
        <v>0</v>
      </c>
      <c r="BD116" s="138">
        <f t="shared" ca="1" si="163"/>
        <v>0</v>
      </c>
      <c r="BE116" s="138">
        <f t="shared" ca="1" si="163"/>
        <v>0</v>
      </c>
      <c r="BF116" s="138">
        <f t="shared" ca="1" si="163"/>
        <v>0</v>
      </c>
      <c r="BG116" s="138">
        <f t="shared" ca="1" si="163"/>
        <v>0</v>
      </c>
      <c r="BH116" s="138">
        <f t="shared" ca="1" si="163"/>
        <v>0</v>
      </c>
      <c r="BI116" s="138">
        <f t="shared" ca="1" si="163"/>
        <v>0</v>
      </c>
      <c r="BJ116" s="138">
        <f t="shared" ca="1" si="163"/>
        <v>0</v>
      </c>
      <c r="BK116" s="138">
        <f t="shared" ca="1" si="163"/>
        <v>0</v>
      </c>
      <c r="BL116" s="138">
        <f t="shared" ca="1" si="163"/>
        <v>0</v>
      </c>
      <c r="BM116" s="138">
        <f t="shared" ca="1" si="163"/>
        <v>0</v>
      </c>
      <c r="BN116" s="138">
        <f t="shared" ca="1" si="163"/>
        <v>0</v>
      </c>
      <c r="BO116" s="138">
        <f t="shared" ca="1" si="163"/>
        <v>0</v>
      </c>
      <c r="BP116" s="138">
        <f t="shared" ca="1" si="163"/>
        <v>0</v>
      </c>
      <c r="BQ116" s="138">
        <f t="shared" ca="1" si="163"/>
        <v>0</v>
      </c>
      <c r="BR116" s="138">
        <f t="shared" ca="1" si="163"/>
        <v>0</v>
      </c>
      <c r="BS116" s="138">
        <f t="shared" ca="1" si="163"/>
        <v>0</v>
      </c>
      <c r="BT116" s="138">
        <f t="shared" ref="BT116:DC116" ca="1" si="164">OFFSET(INDIRECT("'"&amp;Opt_alt&amp;"'!H12"),$A116,BT$5)*$DF116</f>
        <v>0</v>
      </c>
      <c r="BU116" s="138">
        <f t="shared" ca="1" si="164"/>
        <v>0</v>
      </c>
      <c r="BV116" s="138">
        <f t="shared" ca="1" si="164"/>
        <v>0</v>
      </c>
      <c r="BW116" s="138">
        <f t="shared" ca="1" si="164"/>
        <v>0</v>
      </c>
      <c r="BX116" s="138">
        <f t="shared" ca="1" si="164"/>
        <v>0</v>
      </c>
      <c r="BY116" s="138">
        <f t="shared" ca="1" si="164"/>
        <v>0</v>
      </c>
      <c r="BZ116" s="138">
        <f t="shared" ca="1" si="164"/>
        <v>0</v>
      </c>
      <c r="CA116" s="138">
        <f t="shared" ca="1" si="164"/>
        <v>0</v>
      </c>
      <c r="CB116" s="138">
        <f t="shared" ca="1" si="164"/>
        <v>0</v>
      </c>
      <c r="CC116" s="138">
        <f t="shared" ca="1" si="164"/>
        <v>0</v>
      </c>
      <c r="CD116" s="138">
        <f t="shared" ca="1" si="164"/>
        <v>0</v>
      </c>
      <c r="CE116" s="138">
        <f t="shared" ca="1" si="164"/>
        <v>0</v>
      </c>
      <c r="CF116" s="138">
        <f t="shared" ca="1" si="164"/>
        <v>0</v>
      </c>
      <c r="CG116" s="138">
        <f t="shared" ca="1" si="164"/>
        <v>0</v>
      </c>
      <c r="CH116" s="138">
        <f t="shared" ca="1" si="164"/>
        <v>0</v>
      </c>
      <c r="CI116" s="138">
        <f t="shared" ca="1" si="164"/>
        <v>0</v>
      </c>
      <c r="CJ116" s="138">
        <f t="shared" ca="1" si="164"/>
        <v>0</v>
      </c>
      <c r="CK116" s="138">
        <f t="shared" ca="1" si="164"/>
        <v>0</v>
      </c>
      <c r="CL116" s="138">
        <f t="shared" ca="1" si="164"/>
        <v>0</v>
      </c>
      <c r="CM116" s="138">
        <f t="shared" ca="1" si="164"/>
        <v>0</v>
      </c>
      <c r="CN116" s="138">
        <f t="shared" ca="1" si="164"/>
        <v>0</v>
      </c>
      <c r="CO116" s="138">
        <f t="shared" ca="1" si="164"/>
        <v>0</v>
      </c>
      <c r="CP116" s="138">
        <f t="shared" ca="1" si="164"/>
        <v>0</v>
      </c>
      <c r="CQ116" s="138">
        <f t="shared" ca="1" si="164"/>
        <v>0</v>
      </c>
      <c r="CR116" s="138">
        <f t="shared" ca="1" si="164"/>
        <v>0</v>
      </c>
      <c r="CS116" s="138">
        <f t="shared" ca="1" si="164"/>
        <v>0</v>
      </c>
      <c r="CT116" s="138">
        <f t="shared" ca="1" si="164"/>
        <v>0</v>
      </c>
      <c r="CU116" s="138">
        <f t="shared" ca="1" si="164"/>
        <v>0</v>
      </c>
      <c r="CV116" s="138">
        <f t="shared" ca="1" si="164"/>
        <v>0</v>
      </c>
      <c r="CW116" s="138">
        <f t="shared" ca="1" si="164"/>
        <v>0</v>
      </c>
      <c r="CX116" s="138">
        <f t="shared" ca="1" si="164"/>
        <v>0</v>
      </c>
      <c r="CY116" s="138">
        <f t="shared" ca="1" si="164"/>
        <v>0</v>
      </c>
      <c r="CZ116" s="138">
        <f t="shared" ca="1" si="164"/>
        <v>0</v>
      </c>
      <c r="DA116" s="138">
        <f t="shared" ca="1" si="164"/>
        <v>0</v>
      </c>
      <c r="DB116" s="138">
        <f t="shared" ca="1" si="164"/>
        <v>0</v>
      </c>
      <c r="DC116" s="138">
        <f t="shared" ca="1" si="164"/>
        <v>0</v>
      </c>
      <c r="DD116" s="65"/>
      <c r="DE116" s="254" t="str">
        <f t="shared" ca="1" si="100"/>
        <v>K.</v>
      </c>
      <c r="DF116">
        <v>1</v>
      </c>
    </row>
    <row r="117" spans="1:110" hidden="1">
      <c r="A117" s="124">
        <v>105</v>
      </c>
      <c r="B117" s="205" t="str">
        <f t="shared" ca="1" si="143"/>
        <v>L.</v>
      </c>
      <c r="C117" s="197" t="str">
        <f t="shared" ca="1" si="144"/>
        <v>SOCIALINIS - EKONOMINIS POVEIKIS</v>
      </c>
      <c r="D117" s="130"/>
      <c r="E117" s="233" t="str">
        <f t="shared" ca="1" si="145"/>
        <v/>
      </c>
      <c r="F117" s="139">
        <f ca="1">H117+NPV(SD,I117:INDEX(I117:DC117,PAL))</f>
        <v>993494049.10936689</v>
      </c>
      <c r="G117" s="140">
        <f ca="1">SUMIF($H$5:$DC$5,"&lt;="&amp;PAL,$H117:$DC117)</f>
        <v>1744156918.0377769</v>
      </c>
      <c r="H117" s="234">
        <f ca="1">H118-H126</f>
        <v>0</v>
      </c>
      <c r="I117" s="234">
        <f t="shared" ref="I117:BT117" ca="1" si="165">I118-I126</f>
        <v>986517.07499999995</v>
      </c>
      <c r="J117" s="234">
        <f t="shared" ca="1" si="165"/>
        <v>29971710.582949981</v>
      </c>
      <c r="K117" s="234">
        <f t="shared" ca="1" si="165"/>
        <v>39813188.262664638</v>
      </c>
      <c r="L117" s="234">
        <f t="shared" ca="1" si="165"/>
        <v>79971113.424679369</v>
      </c>
      <c r="M117" s="234">
        <f t="shared" ca="1" si="165"/>
        <v>81973812.617989585</v>
      </c>
      <c r="N117" s="234">
        <f t="shared" ca="1" si="165"/>
        <v>84031667.615582794</v>
      </c>
      <c r="O117" s="234">
        <f t="shared" ca="1" si="165"/>
        <v>86146238.087174118</v>
      </c>
      <c r="P117" s="234">
        <f t="shared" ca="1" si="165"/>
        <v>88319128.153823182</v>
      </c>
      <c r="Q117" s="234">
        <f t="shared" ca="1" si="165"/>
        <v>90551987.658498988</v>
      </c>
      <c r="R117" s="234">
        <f t="shared" ca="1" si="165"/>
        <v>92846513.473009497</v>
      </c>
      <c r="S117" s="234">
        <f t="shared" ca="1" si="165"/>
        <v>95204450.842344388</v>
      </c>
      <c r="T117" s="234">
        <f t="shared" ca="1" si="165"/>
        <v>97627594.767496973</v>
      </c>
      <c r="U117" s="234">
        <f t="shared" ca="1" si="165"/>
        <v>100117791.42787302</v>
      </c>
      <c r="V117" s="234">
        <f t="shared" ca="1" si="165"/>
        <v>102676939.64441568</v>
      </c>
      <c r="W117" s="234">
        <f t="shared" ca="1" si="165"/>
        <v>105306992.38461655</v>
      </c>
      <c r="X117" s="234">
        <f t="shared" ca="1" si="165"/>
        <v>108009958.31061207</v>
      </c>
      <c r="Y117" s="234">
        <f t="shared" ca="1" si="165"/>
        <v>110787903.37159793</v>
      </c>
      <c r="Z117" s="234">
        <f t="shared" ca="1" si="165"/>
        <v>113642952.44183469</v>
      </c>
      <c r="AA117" s="234">
        <f t="shared" ca="1" si="165"/>
        <v>116577291.00554751</v>
      </c>
      <c r="AB117" s="234">
        <f t="shared" ca="1" si="165"/>
        <v>119593166.89006588</v>
      </c>
      <c r="AC117" s="234" t="e">
        <f t="shared" ca="1" si="165"/>
        <v>#REF!</v>
      </c>
      <c r="AD117" s="234" t="e">
        <f t="shared" ca="1" si="165"/>
        <v>#REF!</v>
      </c>
      <c r="AE117" s="234" t="e">
        <f t="shared" ca="1" si="165"/>
        <v>#REF!</v>
      </c>
      <c r="AF117" s="234" t="e">
        <f t="shared" ca="1" si="165"/>
        <v>#REF!</v>
      </c>
      <c r="AG117" s="234" t="e">
        <f t="shared" ca="1" si="165"/>
        <v>#REF!</v>
      </c>
      <c r="AH117" s="234" t="e">
        <f t="shared" ca="1" si="165"/>
        <v>#REF!</v>
      </c>
      <c r="AI117" s="234" t="e">
        <f t="shared" ca="1" si="165"/>
        <v>#REF!</v>
      </c>
      <c r="AJ117" s="234" t="e">
        <f t="shared" ca="1" si="165"/>
        <v>#REF!</v>
      </c>
      <c r="AK117" s="234" t="e">
        <f t="shared" ca="1" si="165"/>
        <v>#REF!</v>
      </c>
      <c r="AL117" s="234" t="e">
        <f t="shared" ca="1" si="165"/>
        <v>#REF!</v>
      </c>
      <c r="AM117" s="234" t="e">
        <f t="shared" ca="1" si="165"/>
        <v>#REF!</v>
      </c>
      <c r="AN117" s="234" t="e">
        <f t="shared" ca="1" si="165"/>
        <v>#REF!</v>
      </c>
      <c r="AO117" s="234" t="e">
        <f t="shared" ca="1" si="165"/>
        <v>#REF!</v>
      </c>
      <c r="AP117" s="234" t="e">
        <f t="shared" ca="1" si="165"/>
        <v>#REF!</v>
      </c>
      <c r="AQ117" s="234" t="e">
        <f t="shared" ca="1" si="165"/>
        <v>#REF!</v>
      </c>
      <c r="AR117" s="234" t="e">
        <f t="shared" ca="1" si="165"/>
        <v>#REF!</v>
      </c>
      <c r="AS117" s="234" t="e">
        <f t="shared" ca="1" si="165"/>
        <v>#REF!</v>
      </c>
      <c r="AT117" s="234" t="e">
        <f t="shared" ca="1" si="165"/>
        <v>#REF!</v>
      </c>
      <c r="AU117" s="234" t="e">
        <f t="shared" ca="1" si="165"/>
        <v>#REF!</v>
      </c>
      <c r="AV117" s="234" t="e">
        <f t="shared" ca="1" si="165"/>
        <v>#REF!</v>
      </c>
      <c r="AW117" s="234" t="e">
        <f t="shared" ca="1" si="165"/>
        <v>#REF!</v>
      </c>
      <c r="AX117" s="234" t="e">
        <f t="shared" ca="1" si="165"/>
        <v>#REF!</v>
      </c>
      <c r="AY117" s="234" t="e">
        <f t="shared" ca="1" si="165"/>
        <v>#REF!</v>
      </c>
      <c r="AZ117" s="234" t="e">
        <f t="shared" ca="1" si="165"/>
        <v>#REF!</v>
      </c>
      <c r="BA117" s="234" t="e">
        <f t="shared" ca="1" si="165"/>
        <v>#REF!</v>
      </c>
      <c r="BB117" s="234" t="e">
        <f t="shared" ca="1" si="165"/>
        <v>#REF!</v>
      </c>
      <c r="BC117" s="234" t="e">
        <f t="shared" ca="1" si="165"/>
        <v>#REF!</v>
      </c>
      <c r="BD117" s="234" t="e">
        <f t="shared" ca="1" si="165"/>
        <v>#REF!</v>
      </c>
      <c r="BE117" s="234" t="e">
        <f t="shared" ca="1" si="165"/>
        <v>#REF!</v>
      </c>
      <c r="BF117" s="234" t="e">
        <f t="shared" ca="1" si="165"/>
        <v>#REF!</v>
      </c>
      <c r="BG117" s="234" t="e">
        <f t="shared" ca="1" si="165"/>
        <v>#REF!</v>
      </c>
      <c r="BH117" s="234" t="e">
        <f t="shared" ca="1" si="165"/>
        <v>#REF!</v>
      </c>
      <c r="BI117" s="234" t="e">
        <f t="shared" ca="1" si="165"/>
        <v>#REF!</v>
      </c>
      <c r="BJ117" s="234" t="e">
        <f t="shared" ca="1" si="165"/>
        <v>#REF!</v>
      </c>
      <c r="BK117" s="234" t="e">
        <f t="shared" ca="1" si="165"/>
        <v>#REF!</v>
      </c>
      <c r="BL117" s="234" t="e">
        <f t="shared" ca="1" si="165"/>
        <v>#REF!</v>
      </c>
      <c r="BM117" s="234" t="e">
        <f t="shared" ca="1" si="165"/>
        <v>#REF!</v>
      </c>
      <c r="BN117" s="234" t="e">
        <f t="shared" ca="1" si="165"/>
        <v>#REF!</v>
      </c>
      <c r="BO117" s="234" t="e">
        <f t="shared" ca="1" si="165"/>
        <v>#REF!</v>
      </c>
      <c r="BP117" s="234" t="e">
        <f t="shared" ca="1" si="165"/>
        <v>#REF!</v>
      </c>
      <c r="BQ117" s="234" t="e">
        <f t="shared" ca="1" si="165"/>
        <v>#REF!</v>
      </c>
      <c r="BR117" s="234" t="e">
        <f t="shared" ca="1" si="165"/>
        <v>#REF!</v>
      </c>
      <c r="BS117" s="234" t="e">
        <f t="shared" ca="1" si="165"/>
        <v>#REF!</v>
      </c>
      <c r="BT117" s="234" t="e">
        <f t="shared" ca="1" si="165"/>
        <v>#REF!</v>
      </c>
      <c r="BU117" s="234" t="e">
        <f t="shared" ref="BU117:DC117" ca="1" si="166">BU118-BU126</f>
        <v>#REF!</v>
      </c>
      <c r="BV117" s="234" t="e">
        <f t="shared" ca="1" si="166"/>
        <v>#REF!</v>
      </c>
      <c r="BW117" s="234" t="e">
        <f t="shared" ca="1" si="166"/>
        <v>#REF!</v>
      </c>
      <c r="BX117" s="234" t="e">
        <f t="shared" ca="1" si="166"/>
        <v>#REF!</v>
      </c>
      <c r="BY117" s="234" t="e">
        <f t="shared" ca="1" si="166"/>
        <v>#REF!</v>
      </c>
      <c r="BZ117" s="234" t="e">
        <f t="shared" ca="1" si="166"/>
        <v>#REF!</v>
      </c>
      <c r="CA117" s="234" t="e">
        <f t="shared" ca="1" si="166"/>
        <v>#REF!</v>
      </c>
      <c r="CB117" s="234" t="e">
        <f t="shared" ca="1" si="166"/>
        <v>#REF!</v>
      </c>
      <c r="CC117" s="234" t="e">
        <f t="shared" ca="1" si="166"/>
        <v>#REF!</v>
      </c>
      <c r="CD117" s="234" t="e">
        <f t="shared" ca="1" si="166"/>
        <v>#REF!</v>
      </c>
      <c r="CE117" s="234" t="e">
        <f t="shared" ca="1" si="166"/>
        <v>#REF!</v>
      </c>
      <c r="CF117" s="234" t="e">
        <f t="shared" ca="1" si="166"/>
        <v>#REF!</v>
      </c>
      <c r="CG117" s="234" t="e">
        <f t="shared" ca="1" si="166"/>
        <v>#REF!</v>
      </c>
      <c r="CH117" s="234" t="e">
        <f t="shared" ca="1" si="166"/>
        <v>#REF!</v>
      </c>
      <c r="CI117" s="234" t="e">
        <f t="shared" ca="1" si="166"/>
        <v>#REF!</v>
      </c>
      <c r="CJ117" s="234" t="e">
        <f t="shared" ca="1" si="166"/>
        <v>#REF!</v>
      </c>
      <c r="CK117" s="234" t="e">
        <f t="shared" ca="1" si="166"/>
        <v>#REF!</v>
      </c>
      <c r="CL117" s="234" t="e">
        <f t="shared" ca="1" si="166"/>
        <v>#REF!</v>
      </c>
      <c r="CM117" s="234" t="e">
        <f t="shared" ca="1" si="166"/>
        <v>#REF!</v>
      </c>
      <c r="CN117" s="234" t="e">
        <f t="shared" ca="1" si="166"/>
        <v>#REF!</v>
      </c>
      <c r="CO117" s="234" t="e">
        <f t="shared" ca="1" si="166"/>
        <v>#REF!</v>
      </c>
      <c r="CP117" s="234" t="e">
        <f t="shared" ca="1" si="166"/>
        <v>#REF!</v>
      </c>
      <c r="CQ117" s="234" t="e">
        <f t="shared" ca="1" si="166"/>
        <v>#REF!</v>
      </c>
      <c r="CR117" s="234" t="e">
        <f t="shared" ca="1" si="166"/>
        <v>#REF!</v>
      </c>
      <c r="CS117" s="234" t="e">
        <f t="shared" ca="1" si="166"/>
        <v>#REF!</v>
      </c>
      <c r="CT117" s="234" t="e">
        <f t="shared" ca="1" si="166"/>
        <v>#REF!</v>
      </c>
      <c r="CU117" s="234" t="e">
        <f t="shared" ca="1" si="166"/>
        <v>#REF!</v>
      </c>
      <c r="CV117" s="234" t="e">
        <f t="shared" ca="1" si="166"/>
        <v>#REF!</v>
      </c>
      <c r="CW117" s="234" t="e">
        <f t="shared" ca="1" si="166"/>
        <v>#REF!</v>
      </c>
      <c r="CX117" s="234" t="e">
        <f t="shared" ca="1" si="166"/>
        <v>#REF!</v>
      </c>
      <c r="CY117" s="234" t="e">
        <f t="shared" ca="1" si="166"/>
        <v>#REF!</v>
      </c>
      <c r="CZ117" s="234" t="e">
        <f t="shared" ca="1" si="166"/>
        <v>#REF!</v>
      </c>
      <c r="DA117" s="234" t="e">
        <f t="shared" ca="1" si="166"/>
        <v>#REF!</v>
      </c>
      <c r="DB117" s="234" t="e">
        <f t="shared" ca="1" si="166"/>
        <v>#REF!</v>
      </c>
      <c r="DC117" s="234" t="e">
        <f t="shared" ca="1" si="166"/>
        <v>#REF!</v>
      </c>
      <c r="DD117" s="65"/>
      <c r="DE117" s="254" t="str">
        <f t="shared" ca="1" si="100"/>
        <v>L.</v>
      </c>
      <c r="DF117">
        <v>1</v>
      </c>
    </row>
    <row r="118" spans="1:110" hidden="1">
      <c r="A118" s="124">
        <v>106</v>
      </c>
      <c r="B118" s="205" t="str">
        <f t="shared" ca="1" si="143"/>
        <v>L.1.</v>
      </c>
      <c r="C118" s="197" t="str">
        <f t="shared" ca="1" si="144"/>
        <v>Socialinio - ekonominio poveikio nauda</v>
      </c>
      <c r="D118" s="130" t="str">
        <f>IF(Result_mat=0,"",Result_mat)</f>
        <v>proc.</v>
      </c>
      <c r="E118" s="233" t="str">
        <f t="shared" ca="1" si="145"/>
        <v/>
      </c>
      <c r="F118" s="139">
        <f ca="1">H118+NPV(SD,I118:INDEX(I118:DC118,PAL))</f>
        <v>993494049.10936689</v>
      </c>
      <c r="G118" s="140">
        <f ca="1">SUMIF($H$5:$DC$5,"&lt;="&amp;PAL,$H118:$DC118)</f>
        <v>1744156918.0377769</v>
      </c>
      <c r="H118" s="234">
        <f ca="1">SUM(H119:H125)</f>
        <v>0</v>
      </c>
      <c r="I118" s="234">
        <f t="shared" ref="I118:BT118" ca="1" si="167">SUM(I119:I125)</f>
        <v>986517.07499999995</v>
      </c>
      <c r="J118" s="234">
        <f t="shared" ca="1" si="167"/>
        <v>29971710.582949981</v>
      </c>
      <c r="K118" s="234">
        <f t="shared" ca="1" si="167"/>
        <v>39813188.262664638</v>
      </c>
      <c r="L118" s="234">
        <f t="shared" ca="1" si="167"/>
        <v>79971113.424679369</v>
      </c>
      <c r="M118" s="234">
        <f t="shared" ca="1" si="167"/>
        <v>81973812.617989585</v>
      </c>
      <c r="N118" s="234">
        <f t="shared" ca="1" si="167"/>
        <v>84031667.615582794</v>
      </c>
      <c r="O118" s="234">
        <f t="shared" ca="1" si="167"/>
        <v>86146238.087174118</v>
      </c>
      <c r="P118" s="234">
        <f t="shared" ca="1" si="167"/>
        <v>88319128.153823182</v>
      </c>
      <c r="Q118" s="234">
        <f t="shared" ca="1" si="167"/>
        <v>90551987.658498988</v>
      </c>
      <c r="R118" s="234">
        <f t="shared" ca="1" si="167"/>
        <v>92846513.473009497</v>
      </c>
      <c r="S118" s="234">
        <f t="shared" ca="1" si="167"/>
        <v>95204450.842344388</v>
      </c>
      <c r="T118" s="234">
        <f t="shared" ca="1" si="167"/>
        <v>97627594.767496973</v>
      </c>
      <c r="U118" s="234">
        <f t="shared" ca="1" si="167"/>
        <v>100117791.42787302</v>
      </c>
      <c r="V118" s="234">
        <f t="shared" ca="1" si="167"/>
        <v>102676939.64441568</v>
      </c>
      <c r="W118" s="234">
        <f t="shared" ca="1" si="167"/>
        <v>105306992.38461655</v>
      </c>
      <c r="X118" s="234">
        <f t="shared" ca="1" si="167"/>
        <v>108009958.31061207</v>
      </c>
      <c r="Y118" s="234">
        <f t="shared" ca="1" si="167"/>
        <v>110787903.37159793</v>
      </c>
      <c r="Z118" s="234">
        <f t="shared" ca="1" si="167"/>
        <v>113642952.44183469</v>
      </c>
      <c r="AA118" s="234">
        <f t="shared" ca="1" si="167"/>
        <v>116577291.00554751</v>
      </c>
      <c r="AB118" s="234">
        <f t="shared" ca="1" si="167"/>
        <v>119593166.89006588</v>
      </c>
      <c r="AC118" s="234" t="e">
        <f t="shared" ca="1" si="167"/>
        <v>#REF!</v>
      </c>
      <c r="AD118" s="234" t="e">
        <f t="shared" ca="1" si="167"/>
        <v>#REF!</v>
      </c>
      <c r="AE118" s="234" t="e">
        <f t="shared" ca="1" si="167"/>
        <v>#REF!</v>
      </c>
      <c r="AF118" s="234" t="e">
        <f t="shared" ca="1" si="167"/>
        <v>#REF!</v>
      </c>
      <c r="AG118" s="234" t="e">
        <f t="shared" ca="1" si="167"/>
        <v>#REF!</v>
      </c>
      <c r="AH118" s="234" t="e">
        <f t="shared" ca="1" si="167"/>
        <v>#REF!</v>
      </c>
      <c r="AI118" s="234" t="e">
        <f t="shared" ca="1" si="167"/>
        <v>#REF!</v>
      </c>
      <c r="AJ118" s="234" t="e">
        <f t="shared" ca="1" si="167"/>
        <v>#REF!</v>
      </c>
      <c r="AK118" s="234" t="e">
        <f t="shared" ca="1" si="167"/>
        <v>#REF!</v>
      </c>
      <c r="AL118" s="234" t="e">
        <f t="shared" ca="1" si="167"/>
        <v>#REF!</v>
      </c>
      <c r="AM118" s="234" t="e">
        <f t="shared" ca="1" si="167"/>
        <v>#REF!</v>
      </c>
      <c r="AN118" s="234" t="e">
        <f t="shared" ca="1" si="167"/>
        <v>#REF!</v>
      </c>
      <c r="AO118" s="234" t="e">
        <f t="shared" ca="1" si="167"/>
        <v>#REF!</v>
      </c>
      <c r="AP118" s="234" t="e">
        <f t="shared" ca="1" si="167"/>
        <v>#REF!</v>
      </c>
      <c r="AQ118" s="234" t="e">
        <f t="shared" ca="1" si="167"/>
        <v>#REF!</v>
      </c>
      <c r="AR118" s="234" t="e">
        <f t="shared" ca="1" si="167"/>
        <v>#REF!</v>
      </c>
      <c r="AS118" s="234" t="e">
        <f t="shared" ca="1" si="167"/>
        <v>#REF!</v>
      </c>
      <c r="AT118" s="234" t="e">
        <f t="shared" ca="1" si="167"/>
        <v>#REF!</v>
      </c>
      <c r="AU118" s="234" t="e">
        <f t="shared" ca="1" si="167"/>
        <v>#REF!</v>
      </c>
      <c r="AV118" s="234" t="e">
        <f t="shared" ca="1" si="167"/>
        <v>#REF!</v>
      </c>
      <c r="AW118" s="234" t="e">
        <f t="shared" ca="1" si="167"/>
        <v>#REF!</v>
      </c>
      <c r="AX118" s="234" t="e">
        <f t="shared" ca="1" si="167"/>
        <v>#REF!</v>
      </c>
      <c r="AY118" s="234" t="e">
        <f t="shared" ca="1" si="167"/>
        <v>#REF!</v>
      </c>
      <c r="AZ118" s="234" t="e">
        <f t="shared" ca="1" si="167"/>
        <v>#REF!</v>
      </c>
      <c r="BA118" s="234" t="e">
        <f t="shared" ca="1" si="167"/>
        <v>#REF!</v>
      </c>
      <c r="BB118" s="234" t="e">
        <f t="shared" ca="1" si="167"/>
        <v>#REF!</v>
      </c>
      <c r="BC118" s="234" t="e">
        <f t="shared" ca="1" si="167"/>
        <v>#REF!</v>
      </c>
      <c r="BD118" s="234" t="e">
        <f t="shared" ca="1" si="167"/>
        <v>#REF!</v>
      </c>
      <c r="BE118" s="234" t="e">
        <f t="shared" ca="1" si="167"/>
        <v>#REF!</v>
      </c>
      <c r="BF118" s="234" t="e">
        <f t="shared" ca="1" si="167"/>
        <v>#REF!</v>
      </c>
      <c r="BG118" s="234" t="e">
        <f t="shared" ca="1" si="167"/>
        <v>#REF!</v>
      </c>
      <c r="BH118" s="234" t="e">
        <f t="shared" ca="1" si="167"/>
        <v>#REF!</v>
      </c>
      <c r="BI118" s="234" t="e">
        <f t="shared" ca="1" si="167"/>
        <v>#REF!</v>
      </c>
      <c r="BJ118" s="234" t="e">
        <f t="shared" ca="1" si="167"/>
        <v>#REF!</v>
      </c>
      <c r="BK118" s="234" t="e">
        <f t="shared" ca="1" si="167"/>
        <v>#REF!</v>
      </c>
      <c r="BL118" s="234" t="e">
        <f t="shared" ca="1" si="167"/>
        <v>#REF!</v>
      </c>
      <c r="BM118" s="234" t="e">
        <f t="shared" ca="1" si="167"/>
        <v>#REF!</v>
      </c>
      <c r="BN118" s="234" t="e">
        <f t="shared" ca="1" si="167"/>
        <v>#REF!</v>
      </c>
      <c r="BO118" s="234" t="e">
        <f t="shared" ca="1" si="167"/>
        <v>#REF!</v>
      </c>
      <c r="BP118" s="234" t="e">
        <f t="shared" ca="1" si="167"/>
        <v>#REF!</v>
      </c>
      <c r="BQ118" s="234" t="e">
        <f t="shared" ca="1" si="167"/>
        <v>#REF!</v>
      </c>
      <c r="BR118" s="234" t="e">
        <f t="shared" ca="1" si="167"/>
        <v>#REF!</v>
      </c>
      <c r="BS118" s="234" t="e">
        <f t="shared" ca="1" si="167"/>
        <v>#REF!</v>
      </c>
      <c r="BT118" s="234" t="e">
        <f t="shared" ca="1" si="167"/>
        <v>#REF!</v>
      </c>
      <c r="BU118" s="234" t="e">
        <f t="shared" ref="BU118:DC118" ca="1" si="168">SUM(BU119:BU125)</f>
        <v>#REF!</v>
      </c>
      <c r="BV118" s="234" t="e">
        <f t="shared" ca="1" si="168"/>
        <v>#REF!</v>
      </c>
      <c r="BW118" s="234" t="e">
        <f t="shared" ca="1" si="168"/>
        <v>#REF!</v>
      </c>
      <c r="BX118" s="234" t="e">
        <f t="shared" ca="1" si="168"/>
        <v>#REF!</v>
      </c>
      <c r="BY118" s="234" t="e">
        <f t="shared" ca="1" si="168"/>
        <v>#REF!</v>
      </c>
      <c r="BZ118" s="234" t="e">
        <f t="shared" ca="1" si="168"/>
        <v>#REF!</v>
      </c>
      <c r="CA118" s="234" t="e">
        <f t="shared" ca="1" si="168"/>
        <v>#REF!</v>
      </c>
      <c r="CB118" s="234" t="e">
        <f t="shared" ca="1" si="168"/>
        <v>#REF!</v>
      </c>
      <c r="CC118" s="234" t="e">
        <f t="shared" ca="1" si="168"/>
        <v>#REF!</v>
      </c>
      <c r="CD118" s="234" t="e">
        <f t="shared" ca="1" si="168"/>
        <v>#REF!</v>
      </c>
      <c r="CE118" s="234" t="e">
        <f t="shared" ca="1" si="168"/>
        <v>#REF!</v>
      </c>
      <c r="CF118" s="234" t="e">
        <f t="shared" ca="1" si="168"/>
        <v>#REF!</v>
      </c>
      <c r="CG118" s="234" t="e">
        <f t="shared" ca="1" si="168"/>
        <v>#REF!</v>
      </c>
      <c r="CH118" s="234" t="e">
        <f t="shared" ca="1" si="168"/>
        <v>#REF!</v>
      </c>
      <c r="CI118" s="234" t="e">
        <f t="shared" ca="1" si="168"/>
        <v>#REF!</v>
      </c>
      <c r="CJ118" s="234" t="e">
        <f t="shared" ca="1" si="168"/>
        <v>#REF!</v>
      </c>
      <c r="CK118" s="234" t="e">
        <f t="shared" ca="1" si="168"/>
        <v>#REF!</v>
      </c>
      <c r="CL118" s="234" t="e">
        <f t="shared" ca="1" si="168"/>
        <v>#REF!</v>
      </c>
      <c r="CM118" s="234" t="e">
        <f t="shared" ca="1" si="168"/>
        <v>#REF!</v>
      </c>
      <c r="CN118" s="234" t="e">
        <f t="shared" ca="1" si="168"/>
        <v>#REF!</v>
      </c>
      <c r="CO118" s="234" t="e">
        <f t="shared" ca="1" si="168"/>
        <v>#REF!</v>
      </c>
      <c r="CP118" s="234" t="e">
        <f t="shared" ca="1" si="168"/>
        <v>#REF!</v>
      </c>
      <c r="CQ118" s="234" t="e">
        <f t="shared" ca="1" si="168"/>
        <v>#REF!</v>
      </c>
      <c r="CR118" s="234" t="e">
        <f t="shared" ca="1" si="168"/>
        <v>#REF!</v>
      </c>
      <c r="CS118" s="234" t="e">
        <f t="shared" ca="1" si="168"/>
        <v>#REF!</v>
      </c>
      <c r="CT118" s="234" t="e">
        <f t="shared" ca="1" si="168"/>
        <v>#REF!</v>
      </c>
      <c r="CU118" s="234" t="e">
        <f t="shared" ca="1" si="168"/>
        <v>#REF!</v>
      </c>
      <c r="CV118" s="234" t="e">
        <f t="shared" ca="1" si="168"/>
        <v>#REF!</v>
      </c>
      <c r="CW118" s="234" t="e">
        <f t="shared" ca="1" si="168"/>
        <v>#REF!</v>
      </c>
      <c r="CX118" s="234" t="e">
        <f t="shared" ca="1" si="168"/>
        <v>#REF!</v>
      </c>
      <c r="CY118" s="234" t="e">
        <f t="shared" ca="1" si="168"/>
        <v>#REF!</v>
      </c>
      <c r="CZ118" s="234" t="e">
        <f t="shared" ca="1" si="168"/>
        <v>#REF!</v>
      </c>
      <c r="DA118" s="234" t="e">
        <f t="shared" ca="1" si="168"/>
        <v>#REF!</v>
      </c>
      <c r="DB118" s="234" t="e">
        <f t="shared" ca="1" si="168"/>
        <v>#REF!</v>
      </c>
      <c r="DC118" s="234" t="e">
        <f t="shared" ca="1" si="168"/>
        <v>#REF!</v>
      </c>
      <c r="DE118" s="254" t="str">
        <f t="shared" ca="1" si="100"/>
        <v>L.1.</v>
      </c>
      <c r="DF118">
        <v>1</v>
      </c>
    </row>
    <row r="119" spans="1:110" hidden="1">
      <c r="A119" s="124">
        <v>107</v>
      </c>
      <c r="B119" s="205" t="str">
        <f t="shared" ca="1" si="143"/>
        <v>L.1.1.</v>
      </c>
      <c r="C119" s="129" t="str">
        <f t="shared" ca="1" si="144"/>
        <v>Ekonominės diplomatijos plėtros sukurta pridėtinė vertė</v>
      </c>
      <c r="D119" s="135"/>
      <c r="E119" s="148" t="str">
        <f t="shared" ca="1" si="145"/>
        <v/>
      </c>
      <c r="F119" s="139">
        <f ca="1">H119+NPV(SD,I119:INDEX(I119:DC119,PAL))</f>
        <v>857433405.79222178</v>
      </c>
      <c r="G119" s="140">
        <f ca="1">SUMIF($H$5:$DC$5,"&lt;="&amp;PAL,$H119:$DC119)</f>
        <v>1515715508.6061361</v>
      </c>
      <c r="H119" s="138">
        <f t="shared" ref="H119:Q125" ca="1" si="169">OFFSET(INDIRECT("'"&amp;Opt_alt&amp;"'!H12"),$A119,H$5)*$DF119</f>
        <v>0</v>
      </c>
      <c r="I119" s="138">
        <f t="shared" ca="1" si="169"/>
        <v>0</v>
      </c>
      <c r="J119" s="138">
        <f t="shared" ca="1" si="169"/>
        <v>20837071.555999976</v>
      </c>
      <c r="K119" s="138">
        <f t="shared" ca="1" si="169"/>
        <v>29659896.624052979</v>
      </c>
      <c r="L119" s="138">
        <f t="shared" ca="1" si="169"/>
        <v>68548109.700628564</v>
      </c>
      <c r="M119" s="138">
        <f t="shared" ca="1" si="169"/>
        <v>70453951.40923135</v>
      </c>
      <c r="N119" s="138">
        <f t="shared" ca="1" si="169"/>
        <v>72413829.707424104</v>
      </c>
      <c r="O119" s="138">
        <f t="shared" ca="1" si="169"/>
        <v>74429287.326307654</v>
      </c>
      <c r="P119" s="138">
        <f t="shared" ca="1" si="169"/>
        <v>76501911.152452901</v>
      </c>
      <c r="Q119" s="138">
        <f t="shared" ca="1" si="169"/>
        <v>78633333.492998987</v>
      </c>
      <c r="R119" s="138">
        <f t="shared" ref="R119:AA125" ca="1" si="170">OFFSET(INDIRECT("'"&amp;Opt_alt&amp;"'!H12"),$A119,R$5)*$DF119</f>
        <v>80825233.377014697</v>
      </c>
      <c r="S119" s="138">
        <f t="shared" ca="1" si="170"/>
        <v>83079337.894167215</v>
      </c>
      <c r="T119" s="138">
        <f t="shared" ca="1" si="170"/>
        <v>85397423.571763933</v>
      </c>
      <c r="U119" s="138">
        <f t="shared" ca="1" si="170"/>
        <v>87781317.791271195</v>
      </c>
      <c r="V119" s="138">
        <f t="shared" ca="1" si="170"/>
        <v>90232900.245439783</v>
      </c>
      <c r="W119" s="138">
        <f t="shared" ca="1" si="170"/>
        <v>92754104.437201709</v>
      </c>
      <c r="X119" s="138">
        <f t="shared" ca="1" si="170"/>
        <v>95346919.221538752</v>
      </c>
      <c r="Y119" s="138">
        <f t="shared" ca="1" si="170"/>
        <v>98013390.391550809</v>
      </c>
      <c r="Z119" s="138">
        <f t="shared" ca="1" si="170"/>
        <v>100755622.30999547</v>
      </c>
      <c r="AA119" s="138">
        <f t="shared" ca="1" si="170"/>
        <v>103575779.58760116</v>
      </c>
      <c r="AB119" s="138">
        <f t="shared" ref="AB119:AK125" ca="1" si="171">OFFSET(INDIRECT("'"&amp;Opt_alt&amp;"'!H12"),$A119,AB$5)*$DF119</f>
        <v>106476088.80949479</v>
      </c>
      <c r="AC119" s="138" t="e">
        <f t="shared" ca="1" si="171"/>
        <v>#REF!</v>
      </c>
      <c r="AD119" s="138" t="e">
        <f t="shared" ca="1" si="171"/>
        <v>#REF!</v>
      </c>
      <c r="AE119" s="138" t="e">
        <f t="shared" ca="1" si="171"/>
        <v>#REF!</v>
      </c>
      <c r="AF119" s="138" t="e">
        <f t="shared" ca="1" si="171"/>
        <v>#REF!</v>
      </c>
      <c r="AG119" s="138" t="e">
        <f t="shared" ca="1" si="171"/>
        <v>#REF!</v>
      </c>
      <c r="AH119" s="138" t="e">
        <f t="shared" ca="1" si="171"/>
        <v>#REF!</v>
      </c>
      <c r="AI119" s="138" t="e">
        <f t="shared" ca="1" si="171"/>
        <v>#REF!</v>
      </c>
      <c r="AJ119" s="138" t="e">
        <f t="shared" ca="1" si="171"/>
        <v>#REF!</v>
      </c>
      <c r="AK119" s="138" t="e">
        <f t="shared" ca="1" si="171"/>
        <v>#REF!</v>
      </c>
      <c r="AL119" s="138" t="e">
        <f t="shared" ref="AL119:AU125" ca="1" si="172">OFFSET(INDIRECT("'"&amp;Opt_alt&amp;"'!H12"),$A119,AL$5)*$DF119</f>
        <v>#REF!</v>
      </c>
      <c r="AM119" s="138" t="e">
        <f t="shared" ca="1" si="172"/>
        <v>#REF!</v>
      </c>
      <c r="AN119" s="138" t="e">
        <f t="shared" ca="1" si="172"/>
        <v>#REF!</v>
      </c>
      <c r="AO119" s="138" t="e">
        <f t="shared" ca="1" si="172"/>
        <v>#REF!</v>
      </c>
      <c r="AP119" s="138" t="e">
        <f t="shared" ca="1" si="172"/>
        <v>#REF!</v>
      </c>
      <c r="AQ119" s="138" t="e">
        <f t="shared" ca="1" si="172"/>
        <v>#REF!</v>
      </c>
      <c r="AR119" s="138" t="e">
        <f t="shared" ca="1" si="172"/>
        <v>#REF!</v>
      </c>
      <c r="AS119" s="138" t="e">
        <f t="shared" ca="1" si="172"/>
        <v>#REF!</v>
      </c>
      <c r="AT119" s="138" t="e">
        <f t="shared" ca="1" si="172"/>
        <v>#REF!</v>
      </c>
      <c r="AU119" s="138" t="e">
        <f t="shared" ca="1" si="172"/>
        <v>#REF!</v>
      </c>
      <c r="AV119" s="138" t="e">
        <f t="shared" ref="AV119:BE125" ca="1" si="173">OFFSET(INDIRECT("'"&amp;Opt_alt&amp;"'!H12"),$A119,AV$5)*$DF119</f>
        <v>#REF!</v>
      </c>
      <c r="AW119" s="138" t="e">
        <f t="shared" ca="1" si="173"/>
        <v>#REF!</v>
      </c>
      <c r="AX119" s="138" t="e">
        <f t="shared" ca="1" si="173"/>
        <v>#REF!</v>
      </c>
      <c r="AY119" s="138" t="e">
        <f t="shared" ca="1" si="173"/>
        <v>#REF!</v>
      </c>
      <c r="AZ119" s="138" t="e">
        <f t="shared" ca="1" si="173"/>
        <v>#REF!</v>
      </c>
      <c r="BA119" s="138" t="e">
        <f t="shared" ca="1" si="173"/>
        <v>#REF!</v>
      </c>
      <c r="BB119" s="138" t="e">
        <f t="shared" ca="1" si="173"/>
        <v>#REF!</v>
      </c>
      <c r="BC119" s="138" t="e">
        <f t="shared" ca="1" si="173"/>
        <v>#REF!</v>
      </c>
      <c r="BD119" s="138" t="e">
        <f t="shared" ca="1" si="173"/>
        <v>#REF!</v>
      </c>
      <c r="BE119" s="138" t="e">
        <f t="shared" ca="1" si="173"/>
        <v>#REF!</v>
      </c>
      <c r="BF119" s="138" t="e">
        <f t="shared" ref="BF119:BO125" ca="1" si="174">OFFSET(INDIRECT("'"&amp;Opt_alt&amp;"'!H12"),$A119,BF$5)*$DF119</f>
        <v>#REF!</v>
      </c>
      <c r="BG119" s="138" t="e">
        <f t="shared" ca="1" si="174"/>
        <v>#REF!</v>
      </c>
      <c r="BH119" s="138" t="e">
        <f t="shared" ca="1" si="174"/>
        <v>#REF!</v>
      </c>
      <c r="BI119" s="138" t="e">
        <f t="shared" ca="1" si="174"/>
        <v>#REF!</v>
      </c>
      <c r="BJ119" s="138" t="e">
        <f t="shared" ca="1" si="174"/>
        <v>#REF!</v>
      </c>
      <c r="BK119" s="138" t="e">
        <f t="shared" ca="1" si="174"/>
        <v>#REF!</v>
      </c>
      <c r="BL119" s="138" t="e">
        <f t="shared" ca="1" si="174"/>
        <v>#REF!</v>
      </c>
      <c r="BM119" s="138" t="e">
        <f t="shared" ca="1" si="174"/>
        <v>#REF!</v>
      </c>
      <c r="BN119" s="138" t="e">
        <f t="shared" ca="1" si="174"/>
        <v>#REF!</v>
      </c>
      <c r="BO119" s="138" t="e">
        <f t="shared" ca="1" si="174"/>
        <v>#REF!</v>
      </c>
      <c r="BP119" s="138" t="e">
        <f t="shared" ref="BP119:BY125" ca="1" si="175">OFFSET(INDIRECT("'"&amp;Opt_alt&amp;"'!H12"),$A119,BP$5)*$DF119</f>
        <v>#REF!</v>
      </c>
      <c r="BQ119" s="138" t="e">
        <f t="shared" ca="1" si="175"/>
        <v>#REF!</v>
      </c>
      <c r="BR119" s="138" t="e">
        <f t="shared" ca="1" si="175"/>
        <v>#REF!</v>
      </c>
      <c r="BS119" s="138" t="e">
        <f t="shared" ca="1" si="175"/>
        <v>#REF!</v>
      </c>
      <c r="BT119" s="138" t="e">
        <f t="shared" ca="1" si="175"/>
        <v>#REF!</v>
      </c>
      <c r="BU119" s="138" t="e">
        <f t="shared" ca="1" si="175"/>
        <v>#REF!</v>
      </c>
      <c r="BV119" s="138" t="e">
        <f t="shared" ca="1" si="175"/>
        <v>#REF!</v>
      </c>
      <c r="BW119" s="138" t="e">
        <f t="shared" ca="1" si="175"/>
        <v>#REF!</v>
      </c>
      <c r="BX119" s="138" t="e">
        <f t="shared" ca="1" si="175"/>
        <v>#REF!</v>
      </c>
      <c r="BY119" s="138" t="e">
        <f t="shared" ca="1" si="175"/>
        <v>#REF!</v>
      </c>
      <c r="BZ119" s="138" t="e">
        <f t="shared" ref="BZ119:CI125" ca="1" si="176">OFFSET(INDIRECT("'"&amp;Opt_alt&amp;"'!H12"),$A119,BZ$5)*$DF119</f>
        <v>#REF!</v>
      </c>
      <c r="CA119" s="138" t="e">
        <f t="shared" ca="1" si="176"/>
        <v>#REF!</v>
      </c>
      <c r="CB119" s="138" t="e">
        <f t="shared" ca="1" si="176"/>
        <v>#REF!</v>
      </c>
      <c r="CC119" s="138" t="e">
        <f t="shared" ca="1" si="176"/>
        <v>#REF!</v>
      </c>
      <c r="CD119" s="138" t="e">
        <f t="shared" ca="1" si="176"/>
        <v>#REF!</v>
      </c>
      <c r="CE119" s="138" t="e">
        <f t="shared" ca="1" si="176"/>
        <v>#REF!</v>
      </c>
      <c r="CF119" s="138" t="e">
        <f t="shared" ca="1" si="176"/>
        <v>#REF!</v>
      </c>
      <c r="CG119" s="138" t="e">
        <f t="shared" ca="1" si="176"/>
        <v>#REF!</v>
      </c>
      <c r="CH119" s="138" t="e">
        <f t="shared" ca="1" si="176"/>
        <v>#REF!</v>
      </c>
      <c r="CI119" s="138" t="e">
        <f t="shared" ca="1" si="176"/>
        <v>#REF!</v>
      </c>
      <c r="CJ119" s="138" t="e">
        <f t="shared" ref="CJ119:CS125" ca="1" si="177">OFFSET(INDIRECT("'"&amp;Opt_alt&amp;"'!H12"),$A119,CJ$5)*$DF119</f>
        <v>#REF!</v>
      </c>
      <c r="CK119" s="138" t="e">
        <f t="shared" ca="1" si="177"/>
        <v>#REF!</v>
      </c>
      <c r="CL119" s="138" t="e">
        <f t="shared" ca="1" si="177"/>
        <v>#REF!</v>
      </c>
      <c r="CM119" s="138" t="e">
        <f t="shared" ca="1" si="177"/>
        <v>#REF!</v>
      </c>
      <c r="CN119" s="138" t="e">
        <f t="shared" ca="1" si="177"/>
        <v>#REF!</v>
      </c>
      <c r="CO119" s="138" t="e">
        <f t="shared" ca="1" si="177"/>
        <v>#REF!</v>
      </c>
      <c r="CP119" s="138" t="e">
        <f t="shared" ca="1" si="177"/>
        <v>#REF!</v>
      </c>
      <c r="CQ119" s="138" t="e">
        <f t="shared" ca="1" si="177"/>
        <v>#REF!</v>
      </c>
      <c r="CR119" s="138" t="e">
        <f t="shared" ca="1" si="177"/>
        <v>#REF!</v>
      </c>
      <c r="CS119" s="138" t="e">
        <f t="shared" ca="1" si="177"/>
        <v>#REF!</v>
      </c>
      <c r="CT119" s="138" t="e">
        <f t="shared" ref="CT119:DC125" ca="1" si="178">OFFSET(INDIRECT("'"&amp;Opt_alt&amp;"'!H12"),$A119,CT$5)*$DF119</f>
        <v>#REF!</v>
      </c>
      <c r="CU119" s="138" t="e">
        <f t="shared" ca="1" si="178"/>
        <v>#REF!</v>
      </c>
      <c r="CV119" s="138" t="e">
        <f t="shared" ca="1" si="178"/>
        <v>#REF!</v>
      </c>
      <c r="CW119" s="138" t="e">
        <f t="shared" ca="1" si="178"/>
        <v>#REF!</v>
      </c>
      <c r="CX119" s="138" t="e">
        <f t="shared" ca="1" si="178"/>
        <v>#REF!</v>
      </c>
      <c r="CY119" s="138" t="e">
        <f t="shared" ca="1" si="178"/>
        <v>#REF!</v>
      </c>
      <c r="CZ119" s="138" t="e">
        <f t="shared" ca="1" si="178"/>
        <v>#REF!</v>
      </c>
      <c r="DA119" s="138" t="e">
        <f t="shared" ca="1" si="178"/>
        <v>#REF!</v>
      </c>
      <c r="DB119" s="138" t="e">
        <f t="shared" ca="1" si="178"/>
        <v>#REF!</v>
      </c>
      <c r="DC119" s="138" t="e">
        <f t="shared" ca="1" si="178"/>
        <v>#REF!</v>
      </c>
      <c r="DE119" s="254" t="str">
        <f t="shared" ca="1" si="100"/>
        <v>L.1.1.</v>
      </c>
      <c r="DF119">
        <v>1</v>
      </c>
    </row>
    <row r="120" spans="1:110" hidden="1">
      <c r="A120" s="124">
        <v>108</v>
      </c>
      <c r="B120" s="205" t="str">
        <f t="shared" ca="1" si="143"/>
        <v>L.1.2.</v>
      </c>
      <c r="C120" s="129" t="str">
        <f t="shared" ca="1" si="144"/>
        <v>Naujų atstovybių sukurta pridėtinė vertė</v>
      </c>
      <c r="D120" s="135"/>
      <c r="E120" s="148" t="str">
        <f t="shared" ca="1" si="145"/>
        <v/>
      </c>
      <c r="F120" s="139">
        <f ca="1">H120+NPV(SD,I120:INDEX(I120:DC120,PAL))</f>
        <v>136060643.31714535</v>
      </c>
      <c r="G120" s="140">
        <f ca="1">SUMIF($H$5:$DC$5,"&lt;="&amp;PAL,$H120:$DC120)</f>
        <v>228441409.4316408</v>
      </c>
      <c r="H120" s="138">
        <f t="shared" ca="1" si="169"/>
        <v>0</v>
      </c>
      <c r="I120" s="138">
        <f t="shared" ca="1" si="169"/>
        <v>986517.07499999995</v>
      </c>
      <c r="J120" s="138">
        <f t="shared" ca="1" si="169"/>
        <v>9134639.0269500073</v>
      </c>
      <c r="K120" s="138">
        <f t="shared" ca="1" si="169"/>
        <v>10153291.638611658</v>
      </c>
      <c r="L120" s="138">
        <f t="shared" ca="1" si="169"/>
        <v>11423003.724050811</v>
      </c>
      <c r="M120" s="138">
        <f t="shared" ca="1" si="169"/>
        <v>11519861.208758241</v>
      </c>
      <c r="N120" s="138">
        <f t="shared" ca="1" si="169"/>
        <v>11617837.908158684</v>
      </c>
      <c r="O120" s="138">
        <f t="shared" ca="1" si="169"/>
        <v>11716950.760866467</v>
      </c>
      <c r="P120" s="138">
        <f t="shared" ca="1" si="169"/>
        <v>11817217.001370283</v>
      </c>
      <c r="Q120" s="138">
        <f t="shared" ca="1" si="169"/>
        <v>11918654.165499995</v>
      </c>
      <c r="R120" s="138">
        <f t="shared" ca="1" si="170"/>
        <v>12021280.095994797</v>
      </c>
      <c r="S120" s="138">
        <f t="shared" ca="1" si="170"/>
        <v>12125112.948177168</v>
      </c>
      <c r="T120" s="138">
        <f t="shared" ca="1" si="170"/>
        <v>12230171.195733035</v>
      </c>
      <c r="U120" s="138">
        <f t="shared" ca="1" si="170"/>
        <v>12336473.636601824</v>
      </c>
      <c r="V120" s="138">
        <f t="shared" ca="1" si="170"/>
        <v>12444039.398975886</v>
      </c>
      <c r="W120" s="138">
        <f t="shared" ca="1" si="170"/>
        <v>12552887.947414845</v>
      </c>
      <c r="X120" s="138">
        <f t="shared" ca="1" si="170"/>
        <v>12663039.089073319</v>
      </c>
      <c r="Y120" s="138">
        <f t="shared" ca="1" si="170"/>
        <v>12774512.980047116</v>
      </c>
      <c r="Z120" s="138">
        <f t="shared" ca="1" si="170"/>
        <v>12887330.131839219</v>
      </c>
      <c r="AA120" s="138">
        <f t="shared" ca="1" si="170"/>
        <v>13001511.417946352</v>
      </c>
      <c r="AB120" s="138">
        <f t="shared" ca="1" si="171"/>
        <v>13117078.080571093</v>
      </c>
      <c r="AC120" s="138">
        <f t="shared" ca="1" si="171"/>
        <v>0</v>
      </c>
      <c r="AD120" s="138">
        <f t="shared" ca="1" si="171"/>
        <v>0</v>
      </c>
      <c r="AE120" s="138">
        <f t="shared" ca="1" si="171"/>
        <v>0</v>
      </c>
      <c r="AF120" s="138">
        <f t="shared" ca="1" si="171"/>
        <v>0</v>
      </c>
      <c r="AG120" s="138">
        <f t="shared" ca="1" si="171"/>
        <v>0</v>
      </c>
      <c r="AH120" s="138">
        <f t="shared" ca="1" si="171"/>
        <v>0</v>
      </c>
      <c r="AI120" s="138">
        <f t="shared" ca="1" si="171"/>
        <v>0</v>
      </c>
      <c r="AJ120" s="138">
        <f t="shared" ca="1" si="171"/>
        <v>0</v>
      </c>
      <c r="AK120" s="138">
        <f t="shared" ca="1" si="171"/>
        <v>0</v>
      </c>
      <c r="AL120" s="138">
        <f t="shared" ca="1" si="172"/>
        <v>0</v>
      </c>
      <c r="AM120" s="138">
        <f t="shared" ca="1" si="172"/>
        <v>0</v>
      </c>
      <c r="AN120" s="138">
        <f t="shared" ca="1" si="172"/>
        <v>0</v>
      </c>
      <c r="AO120" s="138">
        <f t="shared" ca="1" si="172"/>
        <v>0</v>
      </c>
      <c r="AP120" s="138">
        <f t="shared" ca="1" si="172"/>
        <v>0</v>
      </c>
      <c r="AQ120" s="138">
        <f t="shared" ca="1" si="172"/>
        <v>0</v>
      </c>
      <c r="AR120" s="138">
        <f t="shared" ca="1" si="172"/>
        <v>0</v>
      </c>
      <c r="AS120" s="138">
        <f t="shared" ca="1" si="172"/>
        <v>0</v>
      </c>
      <c r="AT120" s="138">
        <f t="shared" ca="1" si="172"/>
        <v>0</v>
      </c>
      <c r="AU120" s="138">
        <f t="shared" ca="1" si="172"/>
        <v>0</v>
      </c>
      <c r="AV120" s="138">
        <f t="shared" ca="1" si="173"/>
        <v>0</v>
      </c>
      <c r="AW120" s="138">
        <f t="shared" ca="1" si="173"/>
        <v>0</v>
      </c>
      <c r="AX120" s="138">
        <f t="shared" ca="1" si="173"/>
        <v>0</v>
      </c>
      <c r="AY120" s="138">
        <f t="shared" ca="1" si="173"/>
        <v>0</v>
      </c>
      <c r="AZ120" s="138">
        <f t="shared" ca="1" si="173"/>
        <v>0</v>
      </c>
      <c r="BA120" s="138">
        <f t="shared" ca="1" si="173"/>
        <v>0</v>
      </c>
      <c r="BB120" s="138">
        <f t="shared" ca="1" si="173"/>
        <v>0</v>
      </c>
      <c r="BC120" s="138">
        <f t="shared" ca="1" si="173"/>
        <v>0</v>
      </c>
      <c r="BD120" s="138">
        <f t="shared" ca="1" si="173"/>
        <v>0</v>
      </c>
      <c r="BE120" s="138">
        <f t="shared" ca="1" si="173"/>
        <v>0</v>
      </c>
      <c r="BF120" s="138">
        <f t="shared" ca="1" si="174"/>
        <v>0</v>
      </c>
      <c r="BG120" s="138">
        <f t="shared" ca="1" si="174"/>
        <v>0</v>
      </c>
      <c r="BH120" s="138">
        <f t="shared" ca="1" si="174"/>
        <v>0</v>
      </c>
      <c r="BI120" s="138">
        <f t="shared" ca="1" si="174"/>
        <v>0</v>
      </c>
      <c r="BJ120" s="138">
        <f t="shared" ca="1" si="174"/>
        <v>0</v>
      </c>
      <c r="BK120" s="138">
        <f t="shared" ca="1" si="174"/>
        <v>0</v>
      </c>
      <c r="BL120" s="138">
        <f t="shared" ca="1" si="174"/>
        <v>0</v>
      </c>
      <c r="BM120" s="138">
        <f t="shared" ca="1" si="174"/>
        <v>0</v>
      </c>
      <c r="BN120" s="138">
        <f t="shared" ca="1" si="174"/>
        <v>0</v>
      </c>
      <c r="BO120" s="138">
        <f t="shared" ca="1" si="174"/>
        <v>0</v>
      </c>
      <c r="BP120" s="138">
        <f t="shared" ca="1" si="175"/>
        <v>0</v>
      </c>
      <c r="BQ120" s="138">
        <f t="shared" ca="1" si="175"/>
        <v>0</v>
      </c>
      <c r="BR120" s="138">
        <f t="shared" ca="1" si="175"/>
        <v>0</v>
      </c>
      <c r="BS120" s="138">
        <f t="shared" ca="1" si="175"/>
        <v>0</v>
      </c>
      <c r="BT120" s="138">
        <f t="shared" ca="1" si="175"/>
        <v>0</v>
      </c>
      <c r="BU120" s="138">
        <f t="shared" ca="1" si="175"/>
        <v>0</v>
      </c>
      <c r="BV120" s="138">
        <f t="shared" ca="1" si="175"/>
        <v>0</v>
      </c>
      <c r="BW120" s="138">
        <f t="shared" ca="1" si="175"/>
        <v>0</v>
      </c>
      <c r="BX120" s="138">
        <f t="shared" ca="1" si="175"/>
        <v>0</v>
      </c>
      <c r="BY120" s="138">
        <f t="shared" ca="1" si="175"/>
        <v>0</v>
      </c>
      <c r="BZ120" s="138">
        <f t="shared" ca="1" si="176"/>
        <v>0</v>
      </c>
      <c r="CA120" s="138">
        <f t="shared" ca="1" si="176"/>
        <v>0</v>
      </c>
      <c r="CB120" s="138">
        <f t="shared" ca="1" si="176"/>
        <v>0</v>
      </c>
      <c r="CC120" s="138">
        <f t="shared" ca="1" si="176"/>
        <v>0</v>
      </c>
      <c r="CD120" s="138">
        <f t="shared" ca="1" si="176"/>
        <v>0</v>
      </c>
      <c r="CE120" s="138">
        <f t="shared" ca="1" si="176"/>
        <v>0</v>
      </c>
      <c r="CF120" s="138">
        <f t="shared" ca="1" si="176"/>
        <v>0</v>
      </c>
      <c r="CG120" s="138">
        <f t="shared" ca="1" si="176"/>
        <v>0</v>
      </c>
      <c r="CH120" s="138">
        <f t="shared" ca="1" si="176"/>
        <v>0</v>
      </c>
      <c r="CI120" s="138">
        <f t="shared" ca="1" si="176"/>
        <v>0</v>
      </c>
      <c r="CJ120" s="138">
        <f t="shared" ca="1" si="177"/>
        <v>0</v>
      </c>
      <c r="CK120" s="138">
        <f t="shared" ca="1" si="177"/>
        <v>0</v>
      </c>
      <c r="CL120" s="138">
        <f t="shared" ca="1" si="177"/>
        <v>0</v>
      </c>
      <c r="CM120" s="138">
        <f t="shared" ca="1" si="177"/>
        <v>0</v>
      </c>
      <c r="CN120" s="138">
        <f t="shared" ca="1" si="177"/>
        <v>0</v>
      </c>
      <c r="CO120" s="138">
        <f t="shared" ca="1" si="177"/>
        <v>0</v>
      </c>
      <c r="CP120" s="138">
        <f t="shared" ca="1" si="177"/>
        <v>0</v>
      </c>
      <c r="CQ120" s="138">
        <f t="shared" ca="1" si="177"/>
        <v>0</v>
      </c>
      <c r="CR120" s="138">
        <f t="shared" ca="1" si="177"/>
        <v>0</v>
      </c>
      <c r="CS120" s="138">
        <f t="shared" ca="1" si="177"/>
        <v>0</v>
      </c>
      <c r="CT120" s="138">
        <f t="shared" ca="1" si="178"/>
        <v>0</v>
      </c>
      <c r="CU120" s="138">
        <f t="shared" ca="1" si="178"/>
        <v>0</v>
      </c>
      <c r="CV120" s="138">
        <f t="shared" ca="1" si="178"/>
        <v>0</v>
      </c>
      <c r="CW120" s="138">
        <f t="shared" ca="1" si="178"/>
        <v>0</v>
      </c>
      <c r="CX120" s="138">
        <f t="shared" ca="1" si="178"/>
        <v>0</v>
      </c>
      <c r="CY120" s="138">
        <f t="shared" ca="1" si="178"/>
        <v>0</v>
      </c>
      <c r="CZ120" s="138">
        <f t="shared" ca="1" si="178"/>
        <v>0</v>
      </c>
      <c r="DA120" s="138">
        <f t="shared" ca="1" si="178"/>
        <v>0</v>
      </c>
      <c r="DB120" s="138">
        <f t="shared" ca="1" si="178"/>
        <v>0</v>
      </c>
      <c r="DC120" s="138">
        <f t="shared" ca="1" si="178"/>
        <v>0</v>
      </c>
      <c r="DE120" s="254" t="str">
        <f t="shared" ca="1" si="100"/>
        <v>L.1.2.</v>
      </c>
      <c r="DF120">
        <v>1</v>
      </c>
    </row>
    <row r="121" spans="1:110" hidden="1">
      <c r="A121" s="124">
        <v>109</v>
      </c>
      <c r="B121" s="205" t="str">
        <f t="shared" ca="1" si="143"/>
        <v>L.1.3.</v>
      </c>
      <c r="C121" s="129" t="str">
        <f t="shared" ca="1" si="144"/>
        <v/>
      </c>
      <c r="D121" s="135"/>
      <c r="E121" s="148" t="str">
        <f t="shared" ca="1" si="145"/>
        <v/>
      </c>
      <c r="F121" s="139">
        <f ca="1">H121+NPV(SD,I121:INDEX(I121:DC121,PAL))</f>
        <v>0</v>
      </c>
      <c r="G121" s="140">
        <f ca="1">SUMIF($H$5:$DC$5,"&lt;="&amp;PAL,$H121:$DC121)</f>
        <v>0</v>
      </c>
      <c r="H121" s="138">
        <f t="shared" ca="1" si="169"/>
        <v>0</v>
      </c>
      <c r="I121" s="138">
        <f t="shared" ca="1" si="169"/>
        <v>0</v>
      </c>
      <c r="J121" s="138">
        <f t="shared" ca="1" si="169"/>
        <v>0</v>
      </c>
      <c r="K121" s="138">
        <f t="shared" ca="1" si="169"/>
        <v>0</v>
      </c>
      <c r="L121" s="138">
        <f t="shared" ca="1" si="169"/>
        <v>0</v>
      </c>
      <c r="M121" s="138">
        <f t="shared" ca="1" si="169"/>
        <v>0</v>
      </c>
      <c r="N121" s="138">
        <f t="shared" ca="1" si="169"/>
        <v>0</v>
      </c>
      <c r="O121" s="138">
        <f t="shared" ca="1" si="169"/>
        <v>0</v>
      </c>
      <c r="P121" s="138">
        <f t="shared" ca="1" si="169"/>
        <v>0</v>
      </c>
      <c r="Q121" s="138">
        <f t="shared" ca="1" si="169"/>
        <v>0</v>
      </c>
      <c r="R121" s="138">
        <f t="shared" ca="1" si="170"/>
        <v>0</v>
      </c>
      <c r="S121" s="138">
        <f t="shared" ca="1" si="170"/>
        <v>0</v>
      </c>
      <c r="T121" s="138">
        <f t="shared" ca="1" si="170"/>
        <v>0</v>
      </c>
      <c r="U121" s="138">
        <f t="shared" ca="1" si="170"/>
        <v>0</v>
      </c>
      <c r="V121" s="138">
        <f t="shared" ca="1" si="170"/>
        <v>0</v>
      </c>
      <c r="W121" s="138">
        <f t="shared" ca="1" si="170"/>
        <v>0</v>
      </c>
      <c r="X121" s="138">
        <f t="shared" ca="1" si="170"/>
        <v>0</v>
      </c>
      <c r="Y121" s="138">
        <f t="shared" ca="1" si="170"/>
        <v>0</v>
      </c>
      <c r="Z121" s="138">
        <f t="shared" ca="1" si="170"/>
        <v>0</v>
      </c>
      <c r="AA121" s="138">
        <f t="shared" ca="1" si="170"/>
        <v>0</v>
      </c>
      <c r="AB121" s="138">
        <f t="shared" ca="1" si="171"/>
        <v>0</v>
      </c>
      <c r="AC121" s="138">
        <f t="shared" ca="1" si="171"/>
        <v>0</v>
      </c>
      <c r="AD121" s="138">
        <f t="shared" ca="1" si="171"/>
        <v>0</v>
      </c>
      <c r="AE121" s="138">
        <f t="shared" ca="1" si="171"/>
        <v>0</v>
      </c>
      <c r="AF121" s="138">
        <f t="shared" ca="1" si="171"/>
        <v>0</v>
      </c>
      <c r="AG121" s="138">
        <f t="shared" ca="1" si="171"/>
        <v>0</v>
      </c>
      <c r="AH121" s="138">
        <f t="shared" ca="1" si="171"/>
        <v>0</v>
      </c>
      <c r="AI121" s="138">
        <f t="shared" ca="1" si="171"/>
        <v>0</v>
      </c>
      <c r="AJ121" s="138">
        <f t="shared" ca="1" si="171"/>
        <v>0</v>
      </c>
      <c r="AK121" s="138">
        <f t="shared" ca="1" si="171"/>
        <v>0</v>
      </c>
      <c r="AL121" s="138">
        <f t="shared" ca="1" si="172"/>
        <v>0</v>
      </c>
      <c r="AM121" s="138">
        <f t="shared" ca="1" si="172"/>
        <v>0</v>
      </c>
      <c r="AN121" s="138">
        <f t="shared" ca="1" si="172"/>
        <v>0</v>
      </c>
      <c r="AO121" s="138">
        <f t="shared" ca="1" si="172"/>
        <v>0</v>
      </c>
      <c r="AP121" s="138">
        <f t="shared" ca="1" si="172"/>
        <v>0</v>
      </c>
      <c r="AQ121" s="138">
        <f t="shared" ca="1" si="172"/>
        <v>0</v>
      </c>
      <c r="AR121" s="138">
        <f t="shared" ca="1" si="172"/>
        <v>0</v>
      </c>
      <c r="AS121" s="138">
        <f t="shared" ca="1" si="172"/>
        <v>0</v>
      </c>
      <c r="AT121" s="138">
        <f t="shared" ca="1" si="172"/>
        <v>0</v>
      </c>
      <c r="AU121" s="138">
        <f t="shared" ca="1" si="172"/>
        <v>0</v>
      </c>
      <c r="AV121" s="138">
        <f t="shared" ca="1" si="173"/>
        <v>0</v>
      </c>
      <c r="AW121" s="138">
        <f t="shared" ca="1" si="173"/>
        <v>0</v>
      </c>
      <c r="AX121" s="138">
        <f t="shared" ca="1" si="173"/>
        <v>0</v>
      </c>
      <c r="AY121" s="138">
        <f t="shared" ca="1" si="173"/>
        <v>0</v>
      </c>
      <c r="AZ121" s="138">
        <f t="shared" ca="1" si="173"/>
        <v>0</v>
      </c>
      <c r="BA121" s="138">
        <f t="shared" ca="1" si="173"/>
        <v>0</v>
      </c>
      <c r="BB121" s="138">
        <f t="shared" ca="1" si="173"/>
        <v>0</v>
      </c>
      <c r="BC121" s="138">
        <f t="shared" ca="1" si="173"/>
        <v>0</v>
      </c>
      <c r="BD121" s="138">
        <f t="shared" ca="1" si="173"/>
        <v>0</v>
      </c>
      <c r="BE121" s="138">
        <f t="shared" ca="1" si="173"/>
        <v>0</v>
      </c>
      <c r="BF121" s="138">
        <f t="shared" ca="1" si="174"/>
        <v>0</v>
      </c>
      <c r="BG121" s="138">
        <f t="shared" ca="1" si="174"/>
        <v>0</v>
      </c>
      <c r="BH121" s="138">
        <f t="shared" ca="1" si="174"/>
        <v>0</v>
      </c>
      <c r="BI121" s="138">
        <f t="shared" ca="1" si="174"/>
        <v>0</v>
      </c>
      <c r="BJ121" s="138">
        <f t="shared" ca="1" si="174"/>
        <v>0</v>
      </c>
      <c r="BK121" s="138">
        <f t="shared" ca="1" si="174"/>
        <v>0</v>
      </c>
      <c r="BL121" s="138">
        <f t="shared" ca="1" si="174"/>
        <v>0</v>
      </c>
      <c r="BM121" s="138">
        <f t="shared" ca="1" si="174"/>
        <v>0</v>
      </c>
      <c r="BN121" s="138">
        <f t="shared" ca="1" si="174"/>
        <v>0</v>
      </c>
      <c r="BO121" s="138">
        <f t="shared" ca="1" si="174"/>
        <v>0</v>
      </c>
      <c r="BP121" s="138">
        <f t="shared" ca="1" si="175"/>
        <v>0</v>
      </c>
      <c r="BQ121" s="138">
        <f t="shared" ca="1" si="175"/>
        <v>0</v>
      </c>
      <c r="BR121" s="138">
        <f t="shared" ca="1" si="175"/>
        <v>0</v>
      </c>
      <c r="BS121" s="138">
        <f t="shared" ca="1" si="175"/>
        <v>0</v>
      </c>
      <c r="BT121" s="138">
        <f t="shared" ca="1" si="175"/>
        <v>0</v>
      </c>
      <c r="BU121" s="138">
        <f t="shared" ca="1" si="175"/>
        <v>0</v>
      </c>
      <c r="BV121" s="138">
        <f t="shared" ca="1" si="175"/>
        <v>0</v>
      </c>
      <c r="BW121" s="138">
        <f t="shared" ca="1" si="175"/>
        <v>0</v>
      </c>
      <c r="BX121" s="138">
        <f t="shared" ca="1" si="175"/>
        <v>0</v>
      </c>
      <c r="BY121" s="138">
        <f t="shared" ca="1" si="175"/>
        <v>0</v>
      </c>
      <c r="BZ121" s="138">
        <f t="shared" ca="1" si="176"/>
        <v>0</v>
      </c>
      <c r="CA121" s="138">
        <f t="shared" ca="1" si="176"/>
        <v>0</v>
      </c>
      <c r="CB121" s="138">
        <f t="shared" ca="1" si="176"/>
        <v>0</v>
      </c>
      <c r="CC121" s="138">
        <f t="shared" ca="1" si="176"/>
        <v>0</v>
      </c>
      <c r="CD121" s="138">
        <f t="shared" ca="1" si="176"/>
        <v>0</v>
      </c>
      <c r="CE121" s="138">
        <f t="shared" ca="1" si="176"/>
        <v>0</v>
      </c>
      <c r="CF121" s="138">
        <f t="shared" ca="1" si="176"/>
        <v>0</v>
      </c>
      <c r="CG121" s="138">
        <f t="shared" ca="1" si="176"/>
        <v>0</v>
      </c>
      <c r="CH121" s="138">
        <f t="shared" ca="1" si="176"/>
        <v>0</v>
      </c>
      <c r="CI121" s="138">
        <f t="shared" ca="1" si="176"/>
        <v>0</v>
      </c>
      <c r="CJ121" s="138">
        <f t="shared" ca="1" si="177"/>
        <v>0</v>
      </c>
      <c r="CK121" s="138">
        <f t="shared" ca="1" si="177"/>
        <v>0</v>
      </c>
      <c r="CL121" s="138">
        <f t="shared" ca="1" si="177"/>
        <v>0</v>
      </c>
      <c r="CM121" s="138">
        <f t="shared" ca="1" si="177"/>
        <v>0</v>
      </c>
      <c r="CN121" s="138">
        <f t="shared" ca="1" si="177"/>
        <v>0</v>
      </c>
      <c r="CO121" s="138">
        <f t="shared" ca="1" si="177"/>
        <v>0</v>
      </c>
      <c r="CP121" s="138">
        <f t="shared" ca="1" si="177"/>
        <v>0</v>
      </c>
      <c r="CQ121" s="138">
        <f t="shared" ca="1" si="177"/>
        <v>0</v>
      </c>
      <c r="CR121" s="138">
        <f t="shared" ca="1" si="177"/>
        <v>0</v>
      </c>
      <c r="CS121" s="138">
        <f t="shared" ca="1" si="177"/>
        <v>0</v>
      </c>
      <c r="CT121" s="138">
        <f t="shared" ca="1" si="178"/>
        <v>0</v>
      </c>
      <c r="CU121" s="138">
        <f t="shared" ca="1" si="178"/>
        <v>0</v>
      </c>
      <c r="CV121" s="138">
        <f t="shared" ca="1" si="178"/>
        <v>0</v>
      </c>
      <c r="CW121" s="138">
        <f t="shared" ca="1" si="178"/>
        <v>0</v>
      </c>
      <c r="CX121" s="138">
        <f t="shared" ca="1" si="178"/>
        <v>0</v>
      </c>
      <c r="CY121" s="138">
        <f t="shared" ca="1" si="178"/>
        <v>0</v>
      </c>
      <c r="CZ121" s="138">
        <f t="shared" ca="1" si="178"/>
        <v>0</v>
      </c>
      <c r="DA121" s="138">
        <f t="shared" ca="1" si="178"/>
        <v>0</v>
      </c>
      <c r="DB121" s="138">
        <f t="shared" ca="1" si="178"/>
        <v>0</v>
      </c>
      <c r="DC121" s="138">
        <f t="shared" ca="1" si="178"/>
        <v>0</v>
      </c>
      <c r="DE121" s="254" t="str">
        <f t="shared" ca="1" si="100"/>
        <v>L.1.3.</v>
      </c>
      <c r="DF121">
        <v>1</v>
      </c>
    </row>
    <row r="122" spans="1:110" hidden="1">
      <c r="A122" s="124">
        <v>110</v>
      </c>
      <c r="B122" s="205" t="str">
        <f t="shared" ca="1" si="143"/>
        <v>L.1.4.</v>
      </c>
      <c r="C122" s="129" t="str">
        <f t="shared" ca="1" si="144"/>
        <v/>
      </c>
      <c r="D122" s="135"/>
      <c r="E122" s="148" t="str">
        <f t="shared" ca="1" si="145"/>
        <v/>
      </c>
      <c r="F122" s="139">
        <f ca="1">H122+NPV(SD,I122:INDEX(I122:DC122,PAL))</f>
        <v>0</v>
      </c>
      <c r="G122" s="140">
        <f ca="1">SUMIF($H$5:$DC$5,"&lt;="&amp;PAL,$H122:$DC122)</f>
        <v>0</v>
      </c>
      <c r="H122" s="138">
        <f t="shared" ca="1" si="169"/>
        <v>0</v>
      </c>
      <c r="I122" s="138">
        <f t="shared" ca="1" si="169"/>
        <v>0</v>
      </c>
      <c r="J122" s="138">
        <f t="shared" ca="1" si="169"/>
        <v>0</v>
      </c>
      <c r="K122" s="138">
        <f t="shared" ca="1" si="169"/>
        <v>0</v>
      </c>
      <c r="L122" s="138">
        <f t="shared" ca="1" si="169"/>
        <v>0</v>
      </c>
      <c r="M122" s="138">
        <f t="shared" ca="1" si="169"/>
        <v>0</v>
      </c>
      <c r="N122" s="138">
        <f t="shared" ca="1" si="169"/>
        <v>0</v>
      </c>
      <c r="O122" s="138">
        <f t="shared" ca="1" si="169"/>
        <v>0</v>
      </c>
      <c r="P122" s="138">
        <f t="shared" ca="1" si="169"/>
        <v>0</v>
      </c>
      <c r="Q122" s="138">
        <f t="shared" ca="1" si="169"/>
        <v>0</v>
      </c>
      <c r="R122" s="138">
        <f t="shared" ca="1" si="170"/>
        <v>0</v>
      </c>
      <c r="S122" s="138">
        <f t="shared" ca="1" si="170"/>
        <v>0</v>
      </c>
      <c r="T122" s="138">
        <f t="shared" ca="1" si="170"/>
        <v>0</v>
      </c>
      <c r="U122" s="138">
        <f t="shared" ca="1" si="170"/>
        <v>0</v>
      </c>
      <c r="V122" s="138">
        <f t="shared" ca="1" si="170"/>
        <v>0</v>
      </c>
      <c r="W122" s="138">
        <f t="shared" ca="1" si="170"/>
        <v>0</v>
      </c>
      <c r="X122" s="138">
        <f t="shared" ca="1" si="170"/>
        <v>0</v>
      </c>
      <c r="Y122" s="138">
        <f t="shared" ca="1" si="170"/>
        <v>0</v>
      </c>
      <c r="Z122" s="138">
        <f t="shared" ca="1" si="170"/>
        <v>0</v>
      </c>
      <c r="AA122" s="138">
        <f t="shared" ca="1" si="170"/>
        <v>0</v>
      </c>
      <c r="AB122" s="138">
        <f t="shared" ca="1" si="171"/>
        <v>0</v>
      </c>
      <c r="AC122" s="138">
        <f t="shared" ca="1" si="171"/>
        <v>0</v>
      </c>
      <c r="AD122" s="138">
        <f t="shared" ca="1" si="171"/>
        <v>0</v>
      </c>
      <c r="AE122" s="138">
        <f t="shared" ca="1" si="171"/>
        <v>0</v>
      </c>
      <c r="AF122" s="138">
        <f t="shared" ca="1" si="171"/>
        <v>0</v>
      </c>
      <c r="AG122" s="138">
        <f t="shared" ca="1" si="171"/>
        <v>0</v>
      </c>
      <c r="AH122" s="138">
        <f t="shared" ca="1" si="171"/>
        <v>0</v>
      </c>
      <c r="AI122" s="138">
        <f t="shared" ca="1" si="171"/>
        <v>0</v>
      </c>
      <c r="AJ122" s="138">
        <f t="shared" ca="1" si="171"/>
        <v>0</v>
      </c>
      <c r="AK122" s="138">
        <f t="shared" ca="1" si="171"/>
        <v>0</v>
      </c>
      <c r="AL122" s="138">
        <f t="shared" ca="1" si="172"/>
        <v>0</v>
      </c>
      <c r="AM122" s="138">
        <f t="shared" ca="1" si="172"/>
        <v>0</v>
      </c>
      <c r="AN122" s="138">
        <f t="shared" ca="1" si="172"/>
        <v>0</v>
      </c>
      <c r="AO122" s="138">
        <f t="shared" ca="1" si="172"/>
        <v>0</v>
      </c>
      <c r="AP122" s="138">
        <f t="shared" ca="1" si="172"/>
        <v>0</v>
      </c>
      <c r="AQ122" s="138">
        <f t="shared" ca="1" si="172"/>
        <v>0</v>
      </c>
      <c r="AR122" s="138">
        <f t="shared" ca="1" si="172"/>
        <v>0</v>
      </c>
      <c r="AS122" s="138">
        <f t="shared" ca="1" si="172"/>
        <v>0</v>
      </c>
      <c r="AT122" s="138">
        <f t="shared" ca="1" si="172"/>
        <v>0</v>
      </c>
      <c r="AU122" s="138">
        <f t="shared" ca="1" si="172"/>
        <v>0</v>
      </c>
      <c r="AV122" s="138">
        <f t="shared" ca="1" si="173"/>
        <v>0</v>
      </c>
      <c r="AW122" s="138">
        <f t="shared" ca="1" si="173"/>
        <v>0</v>
      </c>
      <c r="AX122" s="138">
        <f t="shared" ca="1" si="173"/>
        <v>0</v>
      </c>
      <c r="AY122" s="138">
        <f t="shared" ca="1" si="173"/>
        <v>0</v>
      </c>
      <c r="AZ122" s="138">
        <f t="shared" ca="1" si="173"/>
        <v>0</v>
      </c>
      <c r="BA122" s="138">
        <f t="shared" ca="1" si="173"/>
        <v>0</v>
      </c>
      <c r="BB122" s="138">
        <f t="shared" ca="1" si="173"/>
        <v>0</v>
      </c>
      <c r="BC122" s="138">
        <f t="shared" ca="1" si="173"/>
        <v>0</v>
      </c>
      <c r="BD122" s="138">
        <f t="shared" ca="1" si="173"/>
        <v>0</v>
      </c>
      <c r="BE122" s="138">
        <f t="shared" ca="1" si="173"/>
        <v>0</v>
      </c>
      <c r="BF122" s="138">
        <f t="shared" ca="1" si="174"/>
        <v>0</v>
      </c>
      <c r="BG122" s="138">
        <f t="shared" ca="1" si="174"/>
        <v>0</v>
      </c>
      <c r="BH122" s="138">
        <f t="shared" ca="1" si="174"/>
        <v>0</v>
      </c>
      <c r="BI122" s="138">
        <f t="shared" ca="1" si="174"/>
        <v>0</v>
      </c>
      <c r="BJ122" s="138">
        <f t="shared" ca="1" si="174"/>
        <v>0</v>
      </c>
      <c r="BK122" s="138">
        <f t="shared" ca="1" si="174"/>
        <v>0</v>
      </c>
      <c r="BL122" s="138">
        <f t="shared" ca="1" si="174"/>
        <v>0</v>
      </c>
      <c r="BM122" s="138">
        <f t="shared" ca="1" si="174"/>
        <v>0</v>
      </c>
      <c r="BN122" s="138">
        <f t="shared" ca="1" si="174"/>
        <v>0</v>
      </c>
      <c r="BO122" s="138">
        <f t="shared" ca="1" si="174"/>
        <v>0</v>
      </c>
      <c r="BP122" s="138">
        <f t="shared" ca="1" si="175"/>
        <v>0</v>
      </c>
      <c r="BQ122" s="138">
        <f t="shared" ca="1" si="175"/>
        <v>0</v>
      </c>
      <c r="BR122" s="138">
        <f t="shared" ca="1" si="175"/>
        <v>0</v>
      </c>
      <c r="BS122" s="138">
        <f t="shared" ca="1" si="175"/>
        <v>0</v>
      </c>
      <c r="BT122" s="138">
        <f t="shared" ca="1" si="175"/>
        <v>0</v>
      </c>
      <c r="BU122" s="138">
        <f t="shared" ca="1" si="175"/>
        <v>0</v>
      </c>
      <c r="BV122" s="138">
        <f t="shared" ca="1" si="175"/>
        <v>0</v>
      </c>
      <c r="BW122" s="138">
        <f t="shared" ca="1" si="175"/>
        <v>0</v>
      </c>
      <c r="BX122" s="138">
        <f t="shared" ca="1" si="175"/>
        <v>0</v>
      </c>
      <c r="BY122" s="138">
        <f t="shared" ca="1" si="175"/>
        <v>0</v>
      </c>
      <c r="BZ122" s="138">
        <f t="shared" ca="1" si="176"/>
        <v>0</v>
      </c>
      <c r="CA122" s="138">
        <f t="shared" ca="1" si="176"/>
        <v>0</v>
      </c>
      <c r="CB122" s="138">
        <f t="shared" ca="1" si="176"/>
        <v>0</v>
      </c>
      <c r="CC122" s="138">
        <f t="shared" ca="1" si="176"/>
        <v>0</v>
      </c>
      <c r="CD122" s="138">
        <f t="shared" ca="1" si="176"/>
        <v>0</v>
      </c>
      <c r="CE122" s="138">
        <f t="shared" ca="1" si="176"/>
        <v>0</v>
      </c>
      <c r="CF122" s="138">
        <f t="shared" ca="1" si="176"/>
        <v>0</v>
      </c>
      <c r="CG122" s="138">
        <f t="shared" ca="1" si="176"/>
        <v>0</v>
      </c>
      <c r="CH122" s="138">
        <f t="shared" ca="1" si="176"/>
        <v>0</v>
      </c>
      <c r="CI122" s="138">
        <f t="shared" ca="1" si="176"/>
        <v>0</v>
      </c>
      <c r="CJ122" s="138">
        <f t="shared" ca="1" si="177"/>
        <v>0</v>
      </c>
      <c r="CK122" s="138">
        <f t="shared" ca="1" si="177"/>
        <v>0</v>
      </c>
      <c r="CL122" s="138">
        <f t="shared" ca="1" si="177"/>
        <v>0</v>
      </c>
      <c r="CM122" s="138">
        <f t="shared" ca="1" si="177"/>
        <v>0</v>
      </c>
      <c r="CN122" s="138">
        <f t="shared" ca="1" si="177"/>
        <v>0</v>
      </c>
      <c r="CO122" s="138">
        <f t="shared" ca="1" si="177"/>
        <v>0</v>
      </c>
      <c r="CP122" s="138">
        <f t="shared" ca="1" si="177"/>
        <v>0</v>
      </c>
      <c r="CQ122" s="138">
        <f t="shared" ca="1" si="177"/>
        <v>0</v>
      </c>
      <c r="CR122" s="138">
        <f t="shared" ca="1" si="177"/>
        <v>0</v>
      </c>
      <c r="CS122" s="138">
        <f t="shared" ca="1" si="177"/>
        <v>0</v>
      </c>
      <c r="CT122" s="138">
        <f t="shared" ca="1" si="178"/>
        <v>0</v>
      </c>
      <c r="CU122" s="138">
        <f t="shared" ca="1" si="178"/>
        <v>0</v>
      </c>
      <c r="CV122" s="138">
        <f t="shared" ca="1" si="178"/>
        <v>0</v>
      </c>
      <c r="CW122" s="138">
        <f t="shared" ca="1" si="178"/>
        <v>0</v>
      </c>
      <c r="CX122" s="138">
        <f t="shared" ca="1" si="178"/>
        <v>0</v>
      </c>
      <c r="CY122" s="138">
        <f t="shared" ca="1" si="178"/>
        <v>0</v>
      </c>
      <c r="CZ122" s="138">
        <f t="shared" ca="1" si="178"/>
        <v>0</v>
      </c>
      <c r="DA122" s="138">
        <f t="shared" ca="1" si="178"/>
        <v>0</v>
      </c>
      <c r="DB122" s="138">
        <f t="shared" ca="1" si="178"/>
        <v>0</v>
      </c>
      <c r="DC122" s="138">
        <f t="shared" ca="1" si="178"/>
        <v>0</v>
      </c>
      <c r="DE122" s="254" t="str">
        <f t="shared" ca="1" si="100"/>
        <v>L.1.4.</v>
      </c>
      <c r="DF122">
        <v>1</v>
      </c>
    </row>
    <row r="123" spans="1:110" hidden="1">
      <c r="A123" s="124">
        <v>111</v>
      </c>
      <c r="B123" s="205" t="str">
        <f t="shared" ca="1" si="143"/>
        <v>L.1.5.</v>
      </c>
      <c r="C123" s="129" t="str">
        <f t="shared" ca="1" si="144"/>
        <v/>
      </c>
      <c r="D123" s="135"/>
      <c r="E123" s="148" t="str">
        <f t="shared" ca="1" si="145"/>
        <v/>
      </c>
      <c r="F123" s="139">
        <f ca="1">H123+NPV(SD,I123:INDEX(I123:DC123,PAL))</f>
        <v>0</v>
      </c>
      <c r="G123" s="140">
        <f ca="1">SUMIF($H$5:$DC$5,"&lt;="&amp;PAL,$H123:$DC123)</f>
        <v>0</v>
      </c>
      <c r="H123" s="138">
        <f t="shared" ca="1" si="169"/>
        <v>0</v>
      </c>
      <c r="I123" s="138">
        <f t="shared" ca="1" si="169"/>
        <v>0</v>
      </c>
      <c r="J123" s="138">
        <f t="shared" ca="1" si="169"/>
        <v>0</v>
      </c>
      <c r="K123" s="138">
        <f t="shared" ca="1" si="169"/>
        <v>0</v>
      </c>
      <c r="L123" s="138">
        <f t="shared" ca="1" si="169"/>
        <v>0</v>
      </c>
      <c r="M123" s="138">
        <f t="shared" ca="1" si="169"/>
        <v>0</v>
      </c>
      <c r="N123" s="138">
        <f t="shared" ca="1" si="169"/>
        <v>0</v>
      </c>
      <c r="O123" s="138">
        <f t="shared" ca="1" si="169"/>
        <v>0</v>
      </c>
      <c r="P123" s="138">
        <f t="shared" ca="1" si="169"/>
        <v>0</v>
      </c>
      <c r="Q123" s="138">
        <f t="shared" ca="1" si="169"/>
        <v>0</v>
      </c>
      <c r="R123" s="138">
        <f t="shared" ca="1" si="170"/>
        <v>0</v>
      </c>
      <c r="S123" s="138">
        <f t="shared" ca="1" si="170"/>
        <v>0</v>
      </c>
      <c r="T123" s="138">
        <f t="shared" ca="1" si="170"/>
        <v>0</v>
      </c>
      <c r="U123" s="138">
        <f t="shared" ca="1" si="170"/>
        <v>0</v>
      </c>
      <c r="V123" s="138">
        <f t="shared" ca="1" si="170"/>
        <v>0</v>
      </c>
      <c r="W123" s="138">
        <f t="shared" ca="1" si="170"/>
        <v>0</v>
      </c>
      <c r="X123" s="138">
        <f t="shared" ca="1" si="170"/>
        <v>0</v>
      </c>
      <c r="Y123" s="138">
        <f t="shared" ca="1" si="170"/>
        <v>0</v>
      </c>
      <c r="Z123" s="138">
        <f t="shared" ca="1" si="170"/>
        <v>0</v>
      </c>
      <c r="AA123" s="138">
        <f t="shared" ca="1" si="170"/>
        <v>0</v>
      </c>
      <c r="AB123" s="138">
        <f t="shared" ca="1" si="171"/>
        <v>0</v>
      </c>
      <c r="AC123" s="138">
        <f t="shared" ca="1" si="171"/>
        <v>0</v>
      </c>
      <c r="AD123" s="138">
        <f t="shared" ca="1" si="171"/>
        <v>0</v>
      </c>
      <c r="AE123" s="138">
        <f t="shared" ca="1" si="171"/>
        <v>0</v>
      </c>
      <c r="AF123" s="138">
        <f t="shared" ca="1" si="171"/>
        <v>0</v>
      </c>
      <c r="AG123" s="138">
        <f t="shared" ca="1" si="171"/>
        <v>0</v>
      </c>
      <c r="AH123" s="138">
        <f t="shared" ca="1" si="171"/>
        <v>0</v>
      </c>
      <c r="AI123" s="138">
        <f t="shared" ca="1" si="171"/>
        <v>0</v>
      </c>
      <c r="AJ123" s="138">
        <f t="shared" ca="1" si="171"/>
        <v>0</v>
      </c>
      <c r="AK123" s="138">
        <f t="shared" ca="1" si="171"/>
        <v>0</v>
      </c>
      <c r="AL123" s="138">
        <f t="shared" ca="1" si="172"/>
        <v>0</v>
      </c>
      <c r="AM123" s="138">
        <f t="shared" ca="1" si="172"/>
        <v>0</v>
      </c>
      <c r="AN123" s="138">
        <f t="shared" ca="1" si="172"/>
        <v>0</v>
      </c>
      <c r="AO123" s="138">
        <f t="shared" ca="1" si="172"/>
        <v>0</v>
      </c>
      <c r="AP123" s="138">
        <f t="shared" ca="1" si="172"/>
        <v>0</v>
      </c>
      <c r="AQ123" s="138">
        <f t="shared" ca="1" si="172"/>
        <v>0</v>
      </c>
      <c r="AR123" s="138">
        <f t="shared" ca="1" si="172"/>
        <v>0</v>
      </c>
      <c r="AS123" s="138">
        <f t="shared" ca="1" si="172"/>
        <v>0</v>
      </c>
      <c r="AT123" s="138">
        <f t="shared" ca="1" si="172"/>
        <v>0</v>
      </c>
      <c r="AU123" s="138">
        <f t="shared" ca="1" si="172"/>
        <v>0</v>
      </c>
      <c r="AV123" s="138">
        <f t="shared" ca="1" si="173"/>
        <v>0</v>
      </c>
      <c r="AW123" s="138">
        <f t="shared" ca="1" si="173"/>
        <v>0</v>
      </c>
      <c r="AX123" s="138">
        <f t="shared" ca="1" si="173"/>
        <v>0</v>
      </c>
      <c r="AY123" s="138">
        <f t="shared" ca="1" si="173"/>
        <v>0</v>
      </c>
      <c r="AZ123" s="138">
        <f t="shared" ca="1" si="173"/>
        <v>0</v>
      </c>
      <c r="BA123" s="138">
        <f t="shared" ca="1" si="173"/>
        <v>0</v>
      </c>
      <c r="BB123" s="138">
        <f t="shared" ca="1" si="173"/>
        <v>0</v>
      </c>
      <c r="BC123" s="138">
        <f t="shared" ca="1" si="173"/>
        <v>0</v>
      </c>
      <c r="BD123" s="138">
        <f t="shared" ca="1" si="173"/>
        <v>0</v>
      </c>
      <c r="BE123" s="138">
        <f t="shared" ca="1" si="173"/>
        <v>0</v>
      </c>
      <c r="BF123" s="138">
        <f t="shared" ca="1" si="174"/>
        <v>0</v>
      </c>
      <c r="BG123" s="138">
        <f t="shared" ca="1" si="174"/>
        <v>0</v>
      </c>
      <c r="BH123" s="138">
        <f t="shared" ca="1" si="174"/>
        <v>0</v>
      </c>
      <c r="BI123" s="138">
        <f t="shared" ca="1" si="174"/>
        <v>0</v>
      </c>
      <c r="BJ123" s="138">
        <f t="shared" ca="1" si="174"/>
        <v>0</v>
      </c>
      <c r="BK123" s="138">
        <f t="shared" ca="1" si="174"/>
        <v>0</v>
      </c>
      <c r="BL123" s="138">
        <f t="shared" ca="1" si="174"/>
        <v>0</v>
      </c>
      <c r="BM123" s="138">
        <f t="shared" ca="1" si="174"/>
        <v>0</v>
      </c>
      <c r="BN123" s="138">
        <f t="shared" ca="1" si="174"/>
        <v>0</v>
      </c>
      <c r="BO123" s="138">
        <f t="shared" ca="1" si="174"/>
        <v>0</v>
      </c>
      <c r="BP123" s="138">
        <f t="shared" ca="1" si="175"/>
        <v>0</v>
      </c>
      <c r="BQ123" s="138">
        <f t="shared" ca="1" si="175"/>
        <v>0</v>
      </c>
      <c r="BR123" s="138">
        <f t="shared" ca="1" si="175"/>
        <v>0</v>
      </c>
      <c r="BS123" s="138">
        <f t="shared" ca="1" si="175"/>
        <v>0</v>
      </c>
      <c r="BT123" s="138">
        <f t="shared" ca="1" si="175"/>
        <v>0</v>
      </c>
      <c r="BU123" s="138">
        <f t="shared" ca="1" si="175"/>
        <v>0</v>
      </c>
      <c r="BV123" s="138">
        <f t="shared" ca="1" si="175"/>
        <v>0</v>
      </c>
      <c r="BW123" s="138">
        <f t="shared" ca="1" si="175"/>
        <v>0</v>
      </c>
      <c r="BX123" s="138">
        <f t="shared" ca="1" si="175"/>
        <v>0</v>
      </c>
      <c r="BY123" s="138">
        <f t="shared" ca="1" si="175"/>
        <v>0</v>
      </c>
      <c r="BZ123" s="138">
        <f t="shared" ca="1" si="176"/>
        <v>0</v>
      </c>
      <c r="CA123" s="138">
        <f t="shared" ca="1" si="176"/>
        <v>0</v>
      </c>
      <c r="CB123" s="138">
        <f t="shared" ca="1" si="176"/>
        <v>0</v>
      </c>
      <c r="CC123" s="138">
        <f t="shared" ca="1" si="176"/>
        <v>0</v>
      </c>
      <c r="CD123" s="138">
        <f t="shared" ca="1" si="176"/>
        <v>0</v>
      </c>
      <c r="CE123" s="138">
        <f t="shared" ca="1" si="176"/>
        <v>0</v>
      </c>
      <c r="CF123" s="138">
        <f t="shared" ca="1" si="176"/>
        <v>0</v>
      </c>
      <c r="CG123" s="138">
        <f t="shared" ca="1" si="176"/>
        <v>0</v>
      </c>
      <c r="CH123" s="138">
        <f t="shared" ca="1" si="176"/>
        <v>0</v>
      </c>
      <c r="CI123" s="138">
        <f t="shared" ca="1" si="176"/>
        <v>0</v>
      </c>
      <c r="CJ123" s="138">
        <f t="shared" ca="1" si="177"/>
        <v>0</v>
      </c>
      <c r="CK123" s="138">
        <f t="shared" ca="1" si="177"/>
        <v>0</v>
      </c>
      <c r="CL123" s="138">
        <f t="shared" ca="1" si="177"/>
        <v>0</v>
      </c>
      <c r="CM123" s="138">
        <f t="shared" ca="1" si="177"/>
        <v>0</v>
      </c>
      <c r="CN123" s="138">
        <f t="shared" ca="1" si="177"/>
        <v>0</v>
      </c>
      <c r="CO123" s="138">
        <f t="shared" ca="1" si="177"/>
        <v>0</v>
      </c>
      <c r="CP123" s="138">
        <f t="shared" ca="1" si="177"/>
        <v>0</v>
      </c>
      <c r="CQ123" s="138">
        <f t="shared" ca="1" si="177"/>
        <v>0</v>
      </c>
      <c r="CR123" s="138">
        <f t="shared" ca="1" si="177"/>
        <v>0</v>
      </c>
      <c r="CS123" s="138">
        <f t="shared" ca="1" si="177"/>
        <v>0</v>
      </c>
      <c r="CT123" s="138">
        <f t="shared" ca="1" si="178"/>
        <v>0</v>
      </c>
      <c r="CU123" s="138">
        <f t="shared" ca="1" si="178"/>
        <v>0</v>
      </c>
      <c r="CV123" s="138">
        <f t="shared" ca="1" si="178"/>
        <v>0</v>
      </c>
      <c r="CW123" s="138">
        <f t="shared" ca="1" si="178"/>
        <v>0</v>
      </c>
      <c r="CX123" s="138">
        <f t="shared" ca="1" si="178"/>
        <v>0</v>
      </c>
      <c r="CY123" s="138">
        <f t="shared" ca="1" si="178"/>
        <v>0</v>
      </c>
      <c r="CZ123" s="138">
        <f t="shared" ca="1" si="178"/>
        <v>0</v>
      </c>
      <c r="DA123" s="138">
        <f t="shared" ca="1" si="178"/>
        <v>0</v>
      </c>
      <c r="DB123" s="138">
        <f t="shared" ca="1" si="178"/>
        <v>0</v>
      </c>
      <c r="DC123" s="138">
        <f t="shared" ca="1" si="178"/>
        <v>0</v>
      </c>
      <c r="DE123" s="254" t="str">
        <f t="shared" ca="1" si="100"/>
        <v>L.1.5.</v>
      </c>
      <c r="DF123">
        <v>1</v>
      </c>
    </row>
    <row r="124" spans="1:110" hidden="1">
      <c r="A124" s="124">
        <v>112</v>
      </c>
      <c r="B124" s="205" t="str">
        <f t="shared" ca="1" si="143"/>
        <v>L.1.6.</v>
      </c>
      <c r="C124" s="129" t="str">
        <f t="shared" ca="1" si="144"/>
        <v/>
      </c>
      <c r="D124" s="135"/>
      <c r="E124" s="148" t="str">
        <f t="shared" ca="1" si="145"/>
        <v/>
      </c>
      <c r="F124" s="139">
        <f ca="1">H124+NPV(SD,I124:INDEX(I124:DC124,PAL))</f>
        <v>0</v>
      </c>
      <c r="G124" s="140">
        <f ca="1">SUMIF($H$5:$DC$5,"&lt;="&amp;PAL,$H124:$DC124)</f>
        <v>0</v>
      </c>
      <c r="H124" s="138">
        <f t="shared" ca="1" si="169"/>
        <v>0</v>
      </c>
      <c r="I124" s="138">
        <f t="shared" ca="1" si="169"/>
        <v>0</v>
      </c>
      <c r="J124" s="138">
        <f t="shared" ca="1" si="169"/>
        <v>0</v>
      </c>
      <c r="K124" s="138">
        <f t="shared" ca="1" si="169"/>
        <v>0</v>
      </c>
      <c r="L124" s="138">
        <f t="shared" ca="1" si="169"/>
        <v>0</v>
      </c>
      <c r="M124" s="138">
        <f t="shared" ca="1" si="169"/>
        <v>0</v>
      </c>
      <c r="N124" s="138">
        <f t="shared" ca="1" si="169"/>
        <v>0</v>
      </c>
      <c r="O124" s="138">
        <f t="shared" ca="1" si="169"/>
        <v>0</v>
      </c>
      <c r="P124" s="138">
        <f t="shared" ca="1" si="169"/>
        <v>0</v>
      </c>
      <c r="Q124" s="138">
        <f t="shared" ca="1" si="169"/>
        <v>0</v>
      </c>
      <c r="R124" s="138">
        <f t="shared" ca="1" si="170"/>
        <v>0</v>
      </c>
      <c r="S124" s="138">
        <f t="shared" ca="1" si="170"/>
        <v>0</v>
      </c>
      <c r="T124" s="138">
        <f t="shared" ca="1" si="170"/>
        <v>0</v>
      </c>
      <c r="U124" s="138">
        <f t="shared" ca="1" si="170"/>
        <v>0</v>
      </c>
      <c r="V124" s="138">
        <f t="shared" ca="1" si="170"/>
        <v>0</v>
      </c>
      <c r="W124" s="138">
        <f t="shared" ca="1" si="170"/>
        <v>0</v>
      </c>
      <c r="X124" s="138">
        <f t="shared" ca="1" si="170"/>
        <v>0</v>
      </c>
      <c r="Y124" s="138">
        <f t="shared" ca="1" si="170"/>
        <v>0</v>
      </c>
      <c r="Z124" s="138">
        <f t="shared" ca="1" si="170"/>
        <v>0</v>
      </c>
      <c r="AA124" s="138">
        <f t="shared" ca="1" si="170"/>
        <v>0</v>
      </c>
      <c r="AB124" s="138">
        <f t="shared" ca="1" si="171"/>
        <v>0</v>
      </c>
      <c r="AC124" s="138">
        <f t="shared" ca="1" si="171"/>
        <v>0</v>
      </c>
      <c r="AD124" s="138">
        <f t="shared" ca="1" si="171"/>
        <v>0</v>
      </c>
      <c r="AE124" s="138">
        <f t="shared" ca="1" si="171"/>
        <v>0</v>
      </c>
      <c r="AF124" s="138">
        <f t="shared" ca="1" si="171"/>
        <v>0</v>
      </c>
      <c r="AG124" s="138">
        <f t="shared" ca="1" si="171"/>
        <v>0</v>
      </c>
      <c r="AH124" s="138">
        <f t="shared" ca="1" si="171"/>
        <v>0</v>
      </c>
      <c r="AI124" s="138">
        <f t="shared" ca="1" si="171"/>
        <v>0</v>
      </c>
      <c r="AJ124" s="138">
        <f t="shared" ca="1" si="171"/>
        <v>0</v>
      </c>
      <c r="AK124" s="138">
        <f t="shared" ca="1" si="171"/>
        <v>0</v>
      </c>
      <c r="AL124" s="138">
        <f t="shared" ca="1" si="172"/>
        <v>0</v>
      </c>
      <c r="AM124" s="138">
        <f t="shared" ca="1" si="172"/>
        <v>0</v>
      </c>
      <c r="AN124" s="138">
        <f t="shared" ca="1" si="172"/>
        <v>0</v>
      </c>
      <c r="AO124" s="138">
        <f t="shared" ca="1" si="172"/>
        <v>0</v>
      </c>
      <c r="AP124" s="138">
        <f t="shared" ca="1" si="172"/>
        <v>0</v>
      </c>
      <c r="AQ124" s="138">
        <f t="shared" ca="1" si="172"/>
        <v>0</v>
      </c>
      <c r="AR124" s="138">
        <f t="shared" ca="1" si="172"/>
        <v>0</v>
      </c>
      <c r="AS124" s="138">
        <f t="shared" ca="1" si="172"/>
        <v>0</v>
      </c>
      <c r="AT124" s="138">
        <f t="shared" ca="1" si="172"/>
        <v>0</v>
      </c>
      <c r="AU124" s="138">
        <f t="shared" ca="1" si="172"/>
        <v>0</v>
      </c>
      <c r="AV124" s="138">
        <f t="shared" ca="1" si="173"/>
        <v>0</v>
      </c>
      <c r="AW124" s="138">
        <f t="shared" ca="1" si="173"/>
        <v>0</v>
      </c>
      <c r="AX124" s="138">
        <f t="shared" ca="1" si="173"/>
        <v>0</v>
      </c>
      <c r="AY124" s="138">
        <f t="shared" ca="1" si="173"/>
        <v>0</v>
      </c>
      <c r="AZ124" s="138">
        <f t="shared" ca="1" si="173"/>
        <v>0</v>
      </c>
      <c r="BA124" s="138">
        <f t="shared" ca="1" si="173"/>
        <v>0</v>
      </c>
      <c r="BB124" s="138">
        <f t="shared" ca="1" si="173"/>
        <v>0</v>
      </c>
      <c r="BC124" s="138">
        <f t="shared" ca="1" si="173"/>
        <v>0</v>
      </c>
      <c r="BD124" s="138">
        <f t="shared" ca="1" si="173"/>
        <v>0</v>
      </c>
      <c r="BE124" s="138">
        <f t="shared" ca="1" si="173"/>
        <v>0</v>
      </c>
      <c r="BF124" s="138">
        <f t="shared" ca="1" si="174"/>
        <v>0</v>
      </c>
      <c r="BG124" s="138">
        <f t="shared" ca="1" si="174"/>
        <v>0</v>
      </c>
      <c r="BH124" s="138">
        <f t="shared" ca="1" si="174"/>
        <v>0</v>
      </c>
      <c r="BI124" s="138">
        <f t="shared" ca="1" si="174"/>
        <v>0</v>
      </c>
      <c r="BJ124" s="138">
        <f t="shared" ca="1" si="174"/>
        <v>0</v>
      </c>
      <c r="BK124" s="138">
        <f t="shared" ca="1" si="174"/>
        <v>0</v>
      </c>
      <c r="BL124" s="138">
        <f t="shared" ca="1" si="174"/>
        <v>0</v>
      </c>
      <c r="BM124" s="138">
        <f t="shared" ca="1" si="174"/>
        <v>0</v>
      </c>
      <c r="BN124" s="138">
        <f t="shared" ca="1" si="174"/>
        <v>0</v>
      </c>
      <c r="BO124" s="138">
        <f t="shared" ca="1" si="174"/>
        <v>0</v>
      </c>
      <c r="BP124" s="138">
        <f t="shared" ca="1" si="175"/>
        <v>0</v>
      </c>
      <c r="BQ124" s="138">
        <f t="shared" ca="1" si="175"/>
        <v>0</v>
      </c>
      <c r="BR124" s="138">
        <f t="shared" ca="1" si="175"/>
        <v>0</v>
      </c>
      <c r="BS124" s="138">
        <f t="shared" ca="1" si="175"/>
        <v>0</v>
      </c>
      <c r="BT124" s="138">
        <f t="shared" ca="1" si="175"/>
        <v>0</v>
      </c>
      <c r="BU124" s="138">
        <f t="shared" ca="1" si="175"/>
        <v>0</v>
      </c>
      <c r="BV124" s="138">
        <f t="shared" ca="1" si="175"/>
        <v>0</v>
      </c>
      <c r="BW124" s="138">
        <f t="shared" ca="1" si="175"/>
        <v>0</v>
      </c>
      <c r="BX124" s="138">
        <f t="shared" ca="1" si="175"/>
        <v>0</v>
      </c>
      <c r="BY124" s="138">
        <f t="shared" ca="1" si="175"/>
        <v>0</v>
      </c>
      <c r="BZ124" s="138">
        <f t="shared" ca="1" si="176"/>
        <v>0</v>
      </c>
      <c r="CA124" s="138">
        <f t="shared" ca="1" si="176"/>
        <v>0</v>
      </c>
      <c r="CB124" s="138">
        <f t="shared" ca="1" si="176"/>
        <v>0</v>
      </c>
      <c r="CC124" s="138">
        <f t="shared" ca="1" si="176"/>
        <v>0</v>
      </c>
      <c r="CD124" s="138">
        <f t="shared" ca="1" si="176"/>
        <v>0</v>
      </c>
      <c r="CE124" s="138">
        <f t="shared" ca="1" si="176"/>
        <v>0</v>
      </c>
      <c r="CF124" s="138">
        <f t="shared" ca="1" si="176"/>
        <v>0</v>
      </c>
      <c r="CG124" s="138">
        <f t="shared" ca="1" si="176"/>
        <v>0</v>
      </c>
      <c r="CH124" s="138">
        <f t="shared" ca="1" si="176"/>
        <v>0</v>
      </c>
      <c r="CI124" s="138">
        <f t="shared" ca="1" si="176"/>
        <v>0</v>
      </c>
      <c r="CJ124" s="138">
        <f t="shared" ca="1" si="177"/>
        <v>0</v>
      </c>
      <c r="CK124" s="138">
        <f t="shared" ca="1" si="177"/>
        <v>0</v>
      </c>
      <c r="CL124" s="138">
        <f t="shared" ca="1" si="177"/>
        <v>0</v>
      </c>
      <c r="CM124" s="138">
        <f t="shared" ca="1" si="177"/>
        <v>0</v>
      </c>
      <c r="CN124" s="138">
        <f t="shared" ca="1" si="177"/>
        <v>0</v>
      </c>
      <c r="CO124" s="138">
        <f t="shared" ca="1" si="177"/>
        <v>0</v>
      </c>
      <c r="CP124" s="138">
        <f t="shared" ca="1" si="177"/>
        <v>0</v>
      </c>
      <c r="CQ124" s="138">
        <f t="shared" ca="1" si="177"/>
        <v>0</v>
      </c>
      <c r="CR124" s="138">
        <f t="shared" ca="1" si="177"/>
        <v>0</v>
      </c>
      <c r="CS124" s="138">
        <f t="shared" ca="1" si="177"/>
        <v>0</v>
      </c>
      <c r="CT124" s="138">
        <f t="shared" ca="1" si="178"/>
        <v>0</v>
      </c>
      <c r="CU124" s="138">
        <f t="shared" ca="1" si="178"/>
        <v>0</v>
      </c>
      <c r="CV124" s="138">
        <f t="shared" ca="1" si="178"/>
        <v>0</v>
      </c>
      <c r="CW124" s="138">
        <f t="shared" ca="1" si="178"/>
        <v>0</v>
      </c>
      <c r="CX124" s="138">
        <f t="shared" ca="1" si="178"/>
        <v>0</v>
      </c>
      <c r="CY124" s="138">
        <f t="shared" ca="1" si="178"/>
        <v>0</v>
      </c>
      <c r="CZ124" s="138">
        <f t="shared" ca="1" si="178"/>
        <v>0</v>
      </c>
      <c r="DA124" s="138">
        <f t="shared" ca="1" si="178"/>
        <v>0</v>
      </c>
      <c r="DB124" s="138">
        <f t="shared" ca="1" si="178"/>
        <v>0</v>
      </c>
      <c r="DC124" s="138">
        <f t="shared" ca="1" si="178"/>
        <v>0</v>
      </c>
      <c r="DE124" s="254" t="str">
        <f t="shared" ca="1" si="100"/>
        <v>L.1.6.</v>
      </c>
      <c r="DF124">
        <v>1</v>
      </c>
    </row>
    <row r="125" spans="1:110" hidden="1">
      <c r="A125" s="124">
        <v>113</v>
      </c>
      <c r="B125" s="205" t="str">
        <f t="shared" ca="1" si="143"/>
        <v>L.1.7.</v>
      </c>
      <c r="C125" s="129" t="str">
        <f t="shared" ca="1" si="144"/>
        <v/>
      </c>
      <c r="D125" s="135"/>
      <c r="E125" s="148" t="str">
        <f t="shared" ca="1" si="145"/>
        <v/>
      </c>
      <c r="F125" s="139">
        <f ca="1">H125+NPV(SD,I125:INDEX(I125:DC125,PAL))</f>
        <v>0</v>
      </c>
      <c r="G125" s="140">
        <f ca="1">SUMIF($H$5:$DC$5,"&lt;="&amp;PAL,$H125:$DC125)</f>
        <v>0</v>
      </c>
      <c r="H125" s="138">
        <f t="shared" ca="1" si="169"/>
        <v>0</v>
      </c>
      <c r="I125" s="138">
        <f t="shared" ca="1" si="169"/>
        <v>0</v>
      </c>
      <c r="J125" s="138">
        <f t="shared" ca="1" si="169"/>
        <v>0</v>
      </c>
      <c r="K125" s="138">
        <f t="shared" ca="1" si="169"/>
        <v>0</v>
      </c>
      <c r="L125" s="138">
        <f t="shared" ca="1" si="169"/>
        <v>0</v>
      </c>
      <c r="M125" s="138">
        <f t="shared" ca="1" si="169"/>
        <v>0</v>
      </c>
      <c r="N125" s="138">
        <f t="shared" ca="1" si="169"/>
        <v>0</v>
      </c>
      <c r="O125" s="138">
        <f t="shared" ca="1" si="169"/>
        <v>0</v>
      </c>
      <c r="P125" s="138">
        <f t="shared" ca="1" si="169"/>
        <v>0</v>
      </c>
      <c r="Q125" s="138">
        <f t="shared" ca="1" si="169"/>
        <v>0</v>
      </c>
      <c r="R125" s="138">
        <f t="shared" ca="1" si="170"/>
        <v>0</v>
      </c>
      <c r="S125" s="138">
        <f t="shared" ca="1" si="170"/>
        <v>0</v>
      </c>
      <c r="T125" s="138">
        <f t="shared" ca="1" si="170"/>
        <v>0</v>
      </c>
      <c r="U125" s="138">
        <f t="shared" ca="1" si="170"/>
        <v>0</v>
      </c>
      <c r="V125" s="138">
        <f t="shared" ca="1" si="170"/>
        <v>0</v>
      </c>
      <c r="W125" s="138">
        <f t="shared" ca="1" si="170"/>
        <v>0</v>
      </c>
      <c r="X125" s="138">
        <f t="shared" ca="1" si="170"/>
        <v>0</v>
      </c>
      <c r="Y125" s="138">
        <f t="shared" ca="1" si="170"/>
        <v>0</v>
      </c>
      <c r="Z125" s="138">
        <f t="shared" ca="1" si="170"/>
        <v>0</v>
      </c>
      <c r="AA125" s="138">
        <f t="shared" ca="1" si="170"/>
        <v>0</v>
      </c>
      <c r="AB125" s="138">
        <f t="shared" ca="1" si="171"/>
        <v>0</v>
      </c>
      <c r="AC125" s="138">
        <f t="shared" ca="1" si="171"/>
        <v>0</v>
      </c>
      <c r="AD125" s="138">
        <f t="shared" ca="1" si="171"/>
        <v>0</v>
      </c>
      <c r="AE125" s="138">
        <f t="shared" ca="1" si="171"/>
        <v>0</v>
      </c>
      <c r="AF125" s="138">
        <f t="shared" ca="1" si="171"/>
        <v>0</v>
      </c>
      <c r="AG125" s="138">
        <f t="shared" ca="1" si="171"/>
        <v>0</v>
      </c>
      <c r="AH125" s="138">
        <f t="shared" ca="1" si="171"/>
        <v>0</v>
      </c>
      <c r="AI125" s="138">
        <f t="shared" ca="1" si="171"/>
        <v>0</v>
      </c>
      <c r="AJ125" s="138">
        <f t="shared" ca="1" si="171"/>
        <v>0</v>
      </c>
      <c r="AK125" s="138">
        <f t="shared" ca="1" si="171"/>
        <v>0</v>
      </c>
      <c r="AL125" s="138">
        <f t="shared" ca="1" si="172"/>
        <v>0</v>
      </c>
      <c r="AM125" s="138">
        <f t="shared" ca="1" si="172"/>
        <v>0</v>
      </c>
      <c r="AN125" s="138">
        <f t="shared" ca="1" si="172"/>
        <v>0</v>
      </c>
      <c r="AO125" s="138">
        <f t="shared" ca="1" si="172"/>
        <v>0</v>
      </c>
      <c r="AP125" s="138">
        <f t="shared" ca="1" si="172"/>
        <v>0</v>
      </c>
      <c r="AQ125" s="138">
        <f t="shared" ca="1" si="172"/>
        <v>0</v>
      </c>
      <c r="AR125" s="138">
        <f t="shared" ca="1" si="172"/>
        <v>0</v>
      </c>
      <c r="AS125" s="138">
        <f t="shared" ca="1" si="172"/>
        <v>0</v>
      </c>
      <c r="AT125" s="138">
        <f t="shared" ca="1" si="172"/>
        <v>0</v>
      </c>
      <c r="AU125" s="138">
        <f t="shared" ca="1" si="172"/>
        <v>0</v>
      </c>
      <c r="AV125" s="138">
        <f t="shared" ca="1" si="173"/>
        <v>0</v>
      </c>
      <c r="AW125" s="138">
        <f t="shared" ca="1" si="173"/>
        <v>0</v>
      </c>
      <c r="AX125" s="138">
        <f t="shared" ca="1" si="173"/>
        <v>0</v>
      </c>
      <c r="AY125" s="138">
        <f t="shared" ca="1" si="173"/>
        <v>0</v>
      </c>
      <c r="AZ125" s="138">
        <f t="shared" ca="1" si="173"/>
        <v>0</v>
      </c>
      <c r="BA125" s="138">
        <f t="shared" ca="1" si="173"/>
        <v>0</v>
      </c>
      <c r="BB125" s="138">
        <f t="shared" ca="1" si="173"/>
        <v>0</v>
      </c>
      <c r="BC125" s="138">
        <f t="shared" ca="1" si="173"/>
        <v>0</v>
      </c>
      <c r="BD125" s="138">
        <f t="shared" ca="1" si="173"/>
        <v>0</v>
      </c>
      <c r="BE125" s="138">
        <f t="shared" ca="1" si="173"/>
        <v>0</v>
      </c>
      <c r="BF125" s="138">
        <f t="shared" ca="1" si="174"/>
        <v>0</v>
      </c>
      <c r="BG125" s="138">
        <f t="shared" ca="1" si="174"/>
        <v>0</v>
      </c>
      <c r="BH125" s="138">
        <f t="shared" ca="1" si="174"/>
        <v>0</v>
      </c>
      <c r="BI125" s="138">
        <f t="shared" ca="1" si="174"/>
        <v>0</v>
      </c>
      <c r="BJ125" s="138">
        <f t="shared" ca="1" si="174"/>
        <v>0</v>
      </c>
      <c r="BK125" s="138">
        <f t="shared" ca="1" si="174"/>
        <v>0</v>
      </c>
      <c r="BL125" s="138">
        <f t="shared" ca="1" si="174"/>
        <v>0</v>
      </c>
      <c r="BM125" s="138">
        <f t="shared" ca="1" si="174"/>
        <v>0</v>
      </c>
      <c r="BN125" s="138">
        <f t="shared" ca="1" si="174"/>
        <v>0</v>
      </c>
      <c r="BO125" s="138">
        <f t="shared" ca="1" si="174"/>
        <v>0</v>
      </c>
      <c r="BP125" s="138">
        <f t="shared" ca="1" si="175"/>
        <v>0</v>
      </c>
      <c r="BQ125" s="138">
        <f t="shared" ca="1" si="175"/>
        <v>0</v>
      </c>
      <c r="BR125" s="138">
        <f t="shared" ca="1" si="175"/>
        <v>0</v>
      </c>
      <c r="BS125" s="138">
        <f t="shared" ca="1" si="175"/>
        <v>0</v>
      </c>
      <c r="BT125" s="138">
        <f t="shared" ca="1" si="175"/>
        <v>0</v>
      </c>
      <c r="BU125" s="138">
        <f t="shared" ca="1" si="175"/>
        <v>0</v>
      </c>
      <c r="BV125" s="138">
        <f t="shared" ca="1" si="175"/>
        <v>0</v>
      </c>
      <c r="BW125" s="138">
        <f t="shared" ca="1" si="175"/>
        <v>0</v>
      </c>
      <c r="BX125" s="138">
        <f t="shared" ca="1" si="175"/>
        <v>0</v>
      </c>
      <c r="BY125" s="138">
        <f t="shared" ca="1" si="175"/>
        <v>0</v>
      </c>
      <c r="BZ125" s="138">
        <f t="shared" ca="1" si="176"/>
        <v>0</v>
      </c>
      <c r="CA125" s="138">
        <f t="shared" ca="1" si="176"/>
        <v>0</v>
      </c>
      <c r="CB125" s="138">
        <f t="shared" ca="1" si="176"/>
        <v>0</v>
      </c>
      <c r="CC125" s="138">
        <f t="shared" ca="1" si="176"/>
        <v>0</v>
      </c>
      <c r="CD125" s="138">
        <f t="shared" ca="1" si="176"/>
        <v>0</v>
      </c>
      <c r="CE125" s="138">
        <f t="shared" ca="1" si="176"/>
        <v>0</v>
      </c>
      <c r="CF125" s="138">
        <f t="shared" ca="1" si="176"/>
        <v>0</v>
      </c>
      <c r="CG125" s="138">
        <f t="shared" ca="1" si="176"/>
        <v>0</v>
      </c>
      <c r="CH125" s="138">
        <f t="shared" ca="1" si="176"/>
        <v>0</v>
      </c>
      <c r="CI125" s="138">
        <f t="shared" ca="1" si="176"/>
        <v>0</v>
      </c>
      <c r="CJ125" s="138">
        <f t="shared" ca="1" si="177"/>
        <v>0</v>
      </c>
      <c r="CK125" s="138">
        <f t="shared" ca="1" si="177"/>
        <v>0</v>
      </c>
      <c r="CL125" s="138">
        <f t="shared" ca="1" si="177"/>
        <v>0</v>
      </c>
      <c r="CM125" s="138">
        <f t="shared" ca="1" si="177"/>
        <v>0</v>
      </c>
      <c r="CN125" s="138">
        <f t="shared" ca="1" si="177"/>
        <v>0</v>
      </c>
      <c r="CO125" s="138">
        <f t="shared" ca="1" si="177"/>
        <v>0</v>
      </c>
      <c r="CP125" s="138">
        <f t="shared" ca="1" si="177"/>
        <v>0</v>
      </c>
      <c r="CQ125" s="138">
        <f t="shared" ca="1" si="177"/>
        <v>0</v>
      </c>
      <c r="CR125" s="138">
        <f t="shared" ca="1" si="177"/>
        <v>0</v>
      </c>
      <c r="CS125" s="138">
        <f t="shared" ca="1" si="177"/>
        <v>0</v>
      </c>
      <c r="CT125" s="138">
        <f t="shared" ca="1" si="178"/>
        <v>0</v>
      </c>
      <c r="CU125" s="138">
        <f t="shared" ca="1" si="178"/>
        <v>0</v>
      </c>
      <c r="CV125" s="138">
        <f t="shared" ca="1" si="178"/>
        <v>0</v>
      </c>
      <c r="CW125" s="138">
        <f t="shared" ca="1" si="178"/>
        <v>0</v>
      </c>
      <c r="CX125" s="138">
        <f t="shared" ca="1" si="178"/>
        <v>0</v>
      </c>
      <c r="CY125" s="138">
        <f t="shared" ca="1" si="178"/>
        <v>0</v>
      </c>
      <c r="CZ125" s="138">
        <f t="shared" ca="1" si="178"/>
        <v>0</v>
      </c>
      <c r="DA125" s="138">
        <f t="shared" ca="1" si="178"/>
        <v>0</v>
      </c>
      <c r="DB125" s="138">
        <f t="shared" ca="1" si="178"/>
        <v>0</v>
      </c>
      <c r="DC125" s="138">
        <f t="shared" ca="1" si="178"/>
        <v>0</v>
      </c>
      <c r="DE125" s="254" t="str">
        <f t="shared" ca="1" si="100"/>
        <v>L.1.7.</v>
      </c>
      <c r="DF125">
        <v>1</v>
      </c>
    </row>
    <row r="126" spans="1:110" hidden="1">
      <c r="A126" s="124">
        <v>114</v>
      </c>
      <c r="B126" s="205" t="str">
        <f t="shared" ca="1" si="143"/>
        <v>L.2.</v>
      </c>
      <c r="C126" s="197" t="str">
        <f t="shared" ca="1" si="144"/>
        <v>Socialinio - ekonominio poveikio žala</v>
      </c>
      <c r="D126" s="130"/>
      <c r="E126" s="233" t="str">
        <f t="shared" ca="1" si="145"/>
        <v/>
      </c>
      <c r="F126" s="139">
        <f ca="1">H126+NPV(SD,I126:INDEX(I126:DC126,PAL))</f>
        <v>0</v>
      </c>
      <c r="G126" s="140">
        <f ca="1">SUMIF($H$5:$DC$5,"&lt;="&amp;PAL,$H126:$DC126)</f>
        <v>0</v>
      </c>
      <c r="H126" s="234">
        <f ca="1">SUM(H127:H129)</f>
        <v>0</v>
      </c>
      <c r="I126" s="234">
        <f t="shared" ref="I126:BT126" ca="1" si="179">SUM(I127:I129)</f>
        <v>0</v>
      </c>
      <c r="J126" s="234">
        <f t="shared" ca="1" si="179"/>
        <v>0</v>
      </c>
      <c r="K126" s="234">
        <f t="shared" ca="1" si="179"/>
        <v>0</v>
      </c>
      <c r="L126" s="234">
        <f t="shared" ca="1" si="179"/>
        <v>0</v>
      </c>
      <c r="M126" s="234">
        <f t="shared" ca="1" si="179"/>
        <v>0</v>
      </c>
      <c r="N126" s="234">
        <f t="shared" ca="1" si="179"/>
        <v>0</v>
      </c>
      <c r="O126" s="234">
        <f t="shared" ca="1" si="179"/>
        <v>0</v>
      </c>
      <c r="P126" s="234">
        <f t="shared" ca="1" si="179"/>
        <v>0</v>
      </c>
      <c r="Q126" s="234">
        <f t="shared" ca="1" si="179"/>
        <v>0</v>
      </c>
      <c r="R126" s="234">
        <f t="shared" ca="1" si="179"/>
        <v>0</v>
      </c>
      <c r="S126" s="234">
        <f t="shared" ca="1" si="179"/>
        <v>0</v>
      </c>
      <c r="T126" s="234">
        <f t="shared" ca="1" si="179"/>
        <v>0</v>
      </c>
      <c r="U126" s="234">
        <f t="shared" ca="1" si="179"/>
        <v>0</v>
      </c>
      <c r="V126" s="234">
        <f t="shared" ca="1" si="179"/>
        <v>0</v>
      </c>
      <c r="W126" s="234">
        <f t="shared" ca="1" si="179"/>
        <v>0</v>
      </c>
      <c r="X126" s="234">
        <f t="shared" ca="1" si="179"/>
        <v>0</v>
      </c>
      <c r="Y126" s="234">
        <f t="shared" ca="1" si="179"/>
        <v>0</v>
      </c>
      <c r="Z126" s="234">
        <f t="shared" ca="1" si="179"/>
        <v>0</v>
      </c>
      <c r="AA126" s="234">
        <f t="shared" ca="1" si="179"/>
        <v>0</v>
      </c>
      <c r="AB126" s="234">
        <f t="shared" ca="1" si="179"/>
        <v>0</v>
      </c>
      <c r="AC126" s="234">
        <f t="shared" ca="1" si="179"/>
        <v>0</v>
      </c>
      <c r="AD126" s="234">
        <f t="shared" ca="1" si="179"/>
        <v>0</v>
      </c>
      <c r="AE126" s="234">
        <f t="shared" ca="1" si="179"/>
        <v>0</v>
      </c>
      <c r="AF126" s="234">
        <f t="shared" ca="1" si="179"/>
        <v>0</v>
      </c>
      <c r="AG126" s="234">
        <f t="shared" ca="1" si="179"/>
        <v>0</v>
      </c>
      <c r="AH126" s="234">
        <f t="shared" ca="1" si="179"/>
        <v>0</v>
      </c>
      <c r="AI126" s="234">
        <f t="shared" ca="1" si="179"/>
        <v>0</v>
      </c>
      <c r="AJ126" s="234">
        <f t="shared" ca="1" si="179"/>
        <v>0</v>
      </c>
      <c r="AK126" s="234">
        <f t="shared" ca="1" si="179"/>
        <v>0</v>
      </c>
      <c r="AL126" s="234">
        <f t="shared" ca="1" si="179"/>
        <v>0</v>
      </c>
      <c r="AM126" s="234">
        <f t="shared" ca="1" si="179"/>
        <v>0</v>
      </c>
      <c r="AN126" s="234">
        <f t="shared" ca="1" si="179"/>
        <v>0</v>
      </c>
      <c r="AO126" s="234">
        <f t="shared" ca="1" si="179"/>
        <v>0</v>
      </c>
      <c r="AP126" s="234">
        <f t="shared" ca="1" si="179"/>
        <v>0</v>
      </c>
      <c r="AQ126" s="234">
        <f t="shared" ca="1" si="179"/>
        <v>0</v>
      </c>
      <c r="AR126" s="234">
        <f t="shared" ca="1" si="179"/>
        <v>0</v>
      </c>
      <c r="AS126" s="234">
        <f t="shared" ca="1" si="179"/>
        <v>0</v>
      </c>
      <c r="AT126" s="234">
        <f t="shared" ca="1" si="179"/>
        <v>0</v>
      </c>
      <c r="AU126" s="234">
        <f t="shared" ca="1" si="179"/>
        <v>0</v>
      </c>
      <c r="AV126" s="234">
        <f t="shared" ca="1" si="179"/>
        <v>0</v>
      </c>
      <c r="AW126" s="234">
        <f t="shared" ca="1" si="179"/>
        <v>0</v>
      </c>
      <c r="AX126" s="234">
        <f t="shared" ca="1" si="179"/>
        <v>0</v>
      </c>
      <c r="AY126" s="234">
        <f t="shared" ca="1" si="179"/>
        <v>0</v>
      </c>
      <c r="AZ126" s="234">
        <f t="shared" ca="1" si="179"/>
        <v>0</v>
      </c>
      <c r="BA126" s="234">
        <f t="shared" ca="1" si="179"/>
        <v>0</v>
      </c>
      <c r="BB126" s="234">
        <f t="shared" ca="1" si="179"/>
        <v>0</v>
      </c>
      <c r="BC126" s="234">
        <f t="shared" ca="1" si="179"/>
        <v>0</v>
      </c>
      <c r="BD126" s="234">
        <f t="shared" ca="1" si="179"/>
        <v>0</v>
      </c>
      <c r="BE126" s="234">
        <f t="shared" ca="1" si="179"/>
        <v>0</v>
      </c>
      <c r="BF126" s="234">
        <f t="shared" ca="1" si="179"/>
        <v>0</v>
      </c>
      <c r="BG126" s="234">
        <f t="shared" ca="1" si="179"/>
        <v>0</v>
      </c>
      <c r="BH126" s="234">
        <f t="shared" ca="1" si="179"/>
        <v>0</v>
      </c>
      <c r="BI126" s="234">
        <f t="shared" ca="1" si="179"/>
        <v>0</v>
      </c>
      <c r="BJ126" s="234">
        <f t="shared" ca="1" si="179"/>
        <v>0</v>
      </c>
      <c r="BK126" s="234">
        <f t="shared" ca="1" si="179"/>
        <v>0</v>
      </c>
      <c r="BL126" s="234">
        <f t="shared" ca="1" si="179"/>
        <v>0</v>
      </c>
      <c r="BM126" s="234">
        <f t="shared" ca="1" si="179"/>
        <v>0</v>
      </c>
      <c r="BN126" s="234">
        <f t="shared" ca="1" si="179"/>
        <v>0</v>
      </c>
      <c r="BO126" s="234">
        <f t="shared" ca="1" si="179"/>
        <v>0</v>
      </c>
      <c r="BP126" s="234">
        <f t="shared" ca="1" si="179"/>
        <v>0</v>
      </c>
      <c r="BQ126" s="234">
        <f t="shared" ca="1" si="179"/>
        <v>0</v>
      </c>
      <c r="BR126" s="234">
        <f t="shared" ca="1" si="179"/>
        <v>0</v>
      </c>
      <c r="BS126" s="234">
        <f t="shared" ca="1" si="179"/>
        <v>0</v>
      </c>
      <c r="BT126" s="234">
        <f t="shared" ca="1" si="179"/>
        <v>0</v>
      </c>
      <c r="BU126" s="234">
        <f t="shared" ref="BU126:DC126" ca="1" si="180">SUM(BU127:BU129)</f>
        <v>0</v>
      </c>
      <c r="BV126" s="234">
        <f t="shared" ca="1" si="180"/>
        <v>0</v>
      </c>
      <c r="BW126" s="234">
        <f t="shared" ca="1" si="180"/>
        <v>0</v>
      </c>
      <c r="BX126" s="234">
        <f t="shared" ca="1" si="180"/>
        <v>0</v>
      </c>
      <c r="BY126" s="234">
        <f t="shared" ca="1" si="180"/>
        <v>0</v>
      </c>
      <c r="BZ126" s="234">
        <f t="shared" ca="1" si="180"/>
        <v>0</v>
      </c>
      <c r="CA126" s="234">
        <f t="shared" ca="1" si="180"/>
        <v>0</v>
      </c>
      <c r="CB126" s="234">
        <f t="shared" ca="1" si="180"/>
        <v>0</v>
      </c>
      <c r="CC126" s="234">
        <f t="shared" ca="1" si="180"/>
        <v>0</v>
      </c>
      <c r="CD126" s="234">
        <f t="shared" ca="1" si="180"/>
        <v>0</v>
      </c>
      <c r="CE126" s="234">
        <f t="shared" ca="1" si="180"/>
        <v>0</v>
      </c>
      <c r="CF126" s="234">
        <f t="shared" ca="1" si="180"/>
        <v>0</v>
      </c>
      <c r="CG126" s="234">
        <f t="shared" ca="1" si="180"/>
        <v>0</v>
      </c>
      <c r="CH126" s="234">
        <f t="shared" ca="1" si="180"/>
        <v>0</v>
      </c>
      <c r="CI126" s="234">
        <f t="shared" ca="1" si="180"/>
        <v>0</v>
      </c>
      <c r="CJ126" s="234">
        <f t="shared" ca="1" si="180"/>
        <v>0</v>
      </c>
      <c r="CK126" s="234">
        <f t="shared" ca="1" si="180"/>
        <v>0</v>
      </c>
      <c r="CL126" s="234">
        <f t="shared" ca="1" si="180"/>
        <v>0</v>
      </c>
      <c r="CM126" s="234">
        <f t="shared" ca="1" si="180"/>
        <v>0</v>
      </c>
      <c r="CN126" s="234">
        <f t="shared" ca="1" si="180"/>
        <v>0</v>
      </c>
      <c r="CO126" s="234">
        <f t="shared" ca="1" si="180"/>
        <v>0</v>
      </c>
      <c r="CP126" s="234">
        <f t="shared" ca="1" si="180"/>
        <v>0</v>
      </c>
      <c r="CQ126" s="234">
        <f t="shared" ca="1" si="180"/>
        <v>0</v>
      </c>
      <c r="CR126" s="234">
        <f t="shared" ca="1" si="180"/>
        <v>0</v>
      </c>
      <c r="CS126" s="234">
        <f t="shared" ca="1" si="180"/>
        <v>0</v>
      </c>
      <c r="CT126" s="234">
        <f t="shared" ca="1" si="180"/>
        <v>0</v>
      </c>
      <c r="CU126" s="234">
        <f t="shared" ca="1" si="180"/>
        <v>0</v>
      </c>
      <c r="CV126" s="234">
        <f t="shared" ca="1" si="180"/>
        <v>0</v>
      </c>
      <c r="CW126" s="234">
        <f t="shared" ca="1" si="180"/>
        <v>0</v>
      </c>
      <c r="CX126" s="234">
        <f t="shared" ca="1" si="180"/>
        <v>0</v>
      </c>
      <c r="CY126" s="234">
        <f t="shared" ca="1" si="180"/>
        <v>0</v>
      </c>
      <c r="CZ126" s="234">
        <f t="shared" ca="1" si="180"/>
        <v>0</v>
      </c>
      <c r="DA126" s="234">
        <f t="shared" ca="1" si="180"/>
        <v>0</v>
      </c>
      <c r="DB126" s="234">
        <f t="shared" ca="1" si="180"/>
        <v>0</v>
      </c>
      <c r="DC126" s="234">
        <f t="shared" ca="1" si="180"/>
        <v>0</v>
      </c>
      <c r="DE126" s="254" t="str">
        <f t="shared" ca="1" si="100"/>
        <v>L.2.</v>
      </c>
      <c r="DF126">
        <v>1</v>
      </c>
    </row>
    <row r="127" spans="1:110" hidden="1">
      <c r="A127" s="124">
        <v>115</v>
      </c>
      <c r="B127" s="205" t="str">
        <f t="shared" ca="1" si="143"/>
        <v>L.2.1.</v>
      </c>
      <c r="C127" s="129" t="str">
        <f t="shared" ca="1" si="144"/>
        <v/>
      </c>
      <c r="D127" s="135"/>
      <c r="E127" s="148" t="str">
        <f t="shared" ca="1" si="145"/>
        <v/>
      </c>
      <c r="F127" s="139">
        <f ca="1">H127+NPV(SD,I127:INDEX(I127:DC127,PAL))</f>
        <v>0</v>
      </c>
      <c r="G127" s="140">
        <f ca="1">SUMIF($H$5:$DC$5,"&lt;="&amp;PAL,$H127:$DC127)</f>
        <v>0</v>
      </c>
      <c r="H127" s="138">
        <f t="shared" ref="H127:Q129" ca="1" si="181">OFFSET(INDIRECT("'"&amp;Opt_alt&amp;"'!H12"),$A127,H$5)*$DF127</f>
        <v>0</v>
      </c>
      <c r="I127" s="138">
        <f t="shared" ca="1" si="181"/>
        <v>0</v>
      </c>
      <c r="J127" s="138">
        <f t="shared" ca="1" si="181"/>
        <v>0</v>
      </c>
      <c r="K127" s="138">
        <f t="shared" ca="1" si="181"/>
        <v>0</v>
      </c>
      <c r="L127" s="138">
        <f t="shared" ca="1" si="181"/>
        <v>0</v>
      </c>
      <c r="M127" s="138">
        <f t="shared" ca="1" si="181"/>
        <v>0</v>
      </c>
      <c r="N127" s="138">
        <f t="shared" ca="1" si="181"/>
        <v>0</v>
      </c>
      <c r="O127" s="138">
        <f t="shared" ca="1" si="181"/>
        <v>0</v>
      </c>
      <c r="P127" s="138">
        <f t="shared" ca="1" si="181"/>
        <v>0</v>
      </c>
      <c r="Q127" s="138">
        <f t="shared" ca="1" si="181"/>
        <v>0</v>
      </c>
      <c r="R127" s="138">
        <f t="shared" ref="R127:AA129" ca="1" si="182">OFFSET(INDIRECT("'"&amp;Opt_alt&amp;"'!H12"),$A127,R$5)*$DF127</f>
        <v>0</v>
      </c>
      <c r="S127" s="138">
        <f t="shared" ca="1" si="182"/>
        <v>0</v>
      </c>
      <c r="T127" s="138">
        <f t="shared" ca="1" si="182"/>
        <v>0</v>
      </c>
      <c r="U127" s="138">
        <f t="shared" ca="1" si="182"/>
        <v>0</v>
      </c>
      <c r="V127" s="138">
        <f t="shared" ca="1" si="182"/>
        <v>0</v>
      </c>
      <c r="W127" s="138">
        <f t="shared" ca="1" si="182"/>
        <v>0</v>
      </c>
      <c r="X127" s="138">
        <f t="shared" ca="1" si="182"/>
        <v>0</v>
      </c>
      <c r="Y127" s="138">
        <f t="shared" ca="1" si="182"/>
        <v>0</v>
      </c>
      <c r="Z127" s="138">
        <f t="shared" ca="1" si="182"/>
        <v>0</v>
      </c>
      <c r="AA127" s="138">
        <f t="shared" ca="1" si="182"/>
        <v>0</v>
      </c>
      <c r="AB127" s="138">
        <f t="shared" ref="AB127:AK129" ca="1" si="183">OFFSET(INDIRECT("'"&amp;Opt_alt&amp;"'!H12"),$A127,AB$5)*$DF127</f>
        <v>0</v>
      </c>
      <c r="AC127" s="138">
        <f t="shared" ca="1" si="183"/>
        <v>0</v>
      </c>
      <c r="AD127" s="138">
        <f t="shared" ca="1" si="183"/>
        <v>0</v>
      </c>
      <c r="AE127" s="138">
        <f t="shared" ca="1" si="183"/>
        <v>0</v>
      </c>
      <c r="AF127" s="138">
        <f t="shared" ca="1" si="183"/>
        <v>0</v>
      </c>
      <c r="AG127" s="138">
        <f t="shared" ca="1" si="183"/>
        <v>0</v>
      </c>
      <c r="AH127" s="138">
        <f t="shared" ca="1" si="183"/>
        <v>0</v>
      </c>
      <c r="AI127" s="138">
        <f t="shared" ca="1" si="183"/>
        <v>0</v>
      </c>
      <c r="AJ127" s="138">
        <f t="shared" ca="1" si="183"/>
        <v>0</v>
      </c>
      <c r="AK127" s="138">
        <f t="shared" ca="1" si="183"/>
        <v>0</v>
      </c>
      <c r="AL127" s="138">
        <f t="shared" ref="AL127:AU129" ca="1" si="184">OFFSET(INDIRECT("'"&amp;Opt_alt&amp;"'!H12"),$A127,AL$5)*$DF127</f>
        <v>0</v>
      </c>
      <c r="AM127" s="138">
        <f t="shared" ca="1" si="184"/>
        <v>0</v>
      </c>
      <c r="AN127" s="138">
        <f t="shared" ca="1" si="184"/>
        <v>0</v>
      </c>
      <c r="AO127" s="138">
        <f t="shared" ca="1" si="184"/>
        <v>0</v>
      </c>
      <c r="AP127" s="138">
        <f t="shared" ca="1" si="184"/>
        <v>0</v>
      </c>
      <c r="AQ127" s="138">
        <f t="shared" ca="1" si="184"/>
        <v>0</v>
      </c>
      <c r="AR127" s="138">
        <f t="shared" ca="1" si="184"/>
        <v>0</v>
      </c>
      <c r="AS127" s="138">
        <f t="shared" ca="1" si="184"/>
        <v>0</v>
      </c>
      <c r="AT127" s="138">
        <f t="shared" ca="1" si="184"/>
        <v>0</v>
      </c>
      <c r="AU127" s="138">
        <f t="shared" ca="1" si="184"/>
        <v>0</v>
      </c>
      <c r="AV127" s="138">
        <f t="shared" ref="AV127:BE129" ca="1" si="185">OFFSET(INDIRECT("'"&amp;Opt_alt&amp;"'!H12"),$A127,AV$5)*$DF127</f>
        <v>0</v>
      </c>
      <c r="AW127" s="138">
        <f t="shared" ca="1" si="185"/>
        <v>0</v>
      </c>
      <c r="AX127" s="138">
        <f t="shared" ca="1" si="185"/>
        <v>0</v>
      </c>
      <c r="AY127" s="138">
        <f t="shared" ca="1" si="185"/>
        <v>0</v>
      </c>
      <c r="AZ127" s="138">
        <f t="shared" ca="1" si="185"/>
        <v>0</v>
      </c>
      <c r="BA127" s="138">
        <f t="shared" ca="1" si="185"/>
        <v>0</v>
      </c>
      <c r="BB127" s="138">
        <f t="shared" ca="1" si="185"/>
        <v>0</v>
      </c>
      <c r="BC127" s="138">
        <f t="shared" ca="1" si="185"/>
        <v>0</v>
      </c>
      <c r="BD127" s="138">
        <f t="shared" ca="1" si="185"/>
        <v>0</v>
      </c>
      <c r="BE127" s="138">
        <f t="shared" ca="1" si="185"/>
        <v>0</v>
      </c>
      <c r="BF127" s="138">
        <f t="shared" ref="BF127:BO129" ca="1" si="186">OFFSET(INDIRECT("'"&amp;Opt_alt&amp;"'!H12"),$A127,BF$5)*$DF127</f>
        <v>0</v>
      </c>
      <c r="BG127" s="138">
        <f t="shared" ca="1" si="186"/>
        <v>0</v>
      </c>
      <c r="BH127" s="138">
        <f t="shared" ca="1" si="186"/>
        <v>0</v>
      </c>
      <c r="BI127" s="138">
        <f t="shared" ca="1" si="186"/>
        <v>0</v>
      </c>
      <c r="BJ127" s="138">
        <f t="shared" ca="1" si="186"/>
        <v>0</v>
      </c>
      <c r="BK127" s="138">
        <f t="shared" ca="1" si="186"/>
        <v>0</v>
      </c>
      <c r="BL127" s="138">
        <f t="shared" ca="1" si="186"/>
        <v>0</v>
      </c>
      <c r="BM127" s="138">
        <f t="shared" ca="1" si="186"/>
        <v>0</v>
      </c>
      <c r="BN127" s="138">
        <f t="shared" ca="1" si="186"/>
        <v>0</v>
      </c>
      <c r="BO127" s="138">
        <f t="shared" ca="1" si="186"/>
        <v>0</v>
      </c>
      <c r="BP127" s="138">
        <f t="shared" ref="BP127:BY129" ca="1" si="187">OFFSET(INDIRECT("'"&amp;Opt_alt&amp;"'!H12"),$A127,BP$5)*$DF127</f>
        <v>0</v>
      </c>
      <c r="BQ127" s="138">
        <f t="shared" ca="1" si="187"/>
        <v>0</v>
      </c>
      <c r="BR127" s="138">
        <f t="shared" ca="1" si="187"/>
        <v>0</v>
      </c>
      <c r="BS127" s="138">
        <f t="shared" ca="1" si="187"/>
        <v>0</v>
      </c>
      <c r="BT127" s="138">
        <f t="shared" ca="1" si="187"/>
        <v>0</v>
      </c>
      <c r="BU127" s="138">
        <f t="shared" ca="1" si="187"/>
        <v>0</v>
      </c>
      <c r="BV127" s="138">
        <f t="shared" ca="1" si="187"/>
        <v>0</v>
      </c>
      <c r="BW127" s="138">
        <f t="shared" ca="1" si="187"/>
        <v>0</v>
      </c>
      <c r="BX127" s="138">
        <f t="shared" ca="1" si="187"/>
        <v>0</v>
      </c>
      <c r="BY127" s="138">
        <f t="shared" ca="1" si="187"/>
        <v>0</v>
      </c>
      <c r="BZ127" s="138">
        <f t="shared" ref="BZ127:CI129" ca="1" si="188">OFFSET(INDIRECT("'"&amp;Opt_alt&amp;"'!H12"),$A127,BZ$5)*$DF127</f>
        <v>0</v>
      </c>
      <c r="CA127" s="138">
        <f t="shared" ca="1" si="188"/>
        <v>0</v>
      </c>
      <c r="CB127" s="138">
        <f t="shared" ca="1" si="188"/>
        <v>0</v>
      </c>
      <c r="CC127" s="138">
        <f t="shared" ca="1" si="188"/>
        <v>0</v>
      </c>
      <c r="CD127" s="138">
        <f t="shared" ca="1" si="188"/>
        <v>0</v>
      </c>
      <c r="CE127" s="138">
        <f t="shared" ca="1" si="188"/>
        <v>0</v>
      </c>
      <c r="CF127" s="138">
        <f t="shared" ca="1" si="188"/>
        <v>0</v>
      </c>
      <c r="CG127" s="138">
        <f t="shared" ca="1" si="188"/>
        <v>0</v>
      </c>
      <c r="CH127" s="138">
        <f t="shared" ca="1" si="188"/>
        <v>0</v>
      </c>
      <c r="CI127" s="138">
        <f t="shared" ca="1" si="188"/>
        <v>0</v>
      </c>
      <c r="CJ127" s="138">
        <f t="shared" ref="CJ127:CS129" ca="1" si="189">OFFSET(INDIRECT("'"&amp;Opt_alt&amp;"'!H12"),$A127,CJ$5)*$DF127</f>
        <v>0</v>
      </c>
      <c r="CK127" s="138">
        <f t="shared" ca="1" si="189"/>
        <v>0</v>
      </c>
      <c r="CL127" s="138">
        <f t="shared" ca="1" si="189"/>
        <v>0</v>
      </c>
      <c r="CM127" s="138">
        <f t="shared" ca="1" si="189"/>
        <v>0</v>
      </c>
      <c r="CN127" s="138">
        <f t="shared" ca="1" si="189"/>
        <v>0</v>
      </c>
      <c r="CO127" s="138">
        <f t="shared" ca="1" si="189"/>
        <v>0</v>
      </c>
      <c r="CP127" s="138">
        <f t="shared" ca="1" si="189"/>
        <v>0</v>
      </c>
      <c r="CQ127" s="138">
        <f t="shared" ca="1" si="189"/>
        <v>0</v>
      </c>
      <c r="CR127" s="138">
        <f t="shared" ca="1" si="189"/>
        <v>0</v>
      </c>
      <c r="CS127" s="138">
        <f t="shared" ca="1" si="189"/>
        <v>0</v>
      </c>
      <c r="CT127" s="138">
        <f t="shared" ref="CT127:DC129" ca="1" si="190">OFFSET(INDIRECT("'"&amp;Opt_alt&amp;"'!H12"),$A127,CT$5)*$DF127</f>
        <v>0</v>
      </c>
      <c r="CU127" s="138">
        <f t="shared" ca="1" si="190"/>
        <v>0</v>
      </c>
      <c r="CV127" s="138">
        <f t="shared" ca="1" si="190"/>
        <v>0</v>
      </c>
      <c r="CW127" s="138">
        <f t="shared" ca="1" si="190"/>
        <v>0</v>
      </c>
      <c r="CX127" s="138">
        <f t="shared" ca="1" si="190"/>
        <v>0</v>
      </c>
      <c r="CY127" s="138">
        <f t="shared" ca="1" si="190"/>
        <v>0</v>
      </c>
      <c r="CZ127" s="138">
        <f t="shared" ca="1" si="190"/>
        <v>0</v>
      </c>
      <c r="DA127" s="138">
        <f t="shared" ca="1" si="190"/>
        <v>0</v>
      </c>
      <c r="DB127" s="138">
        <f t="shared" ca="1" si="190"/>
        <v>0</v>
      </c>
      <c r="DC127" s="138">
        <f t="shared" ca="1" si="190"/>
        <v>0</v>
      </c>
      <c r="DE127" s="254" t="str">
        <f t="shared" ca="1" si="100"/>
        <v>L.2.1.</v>
      </c>
      <c r="DF127">
        <v>1</v>
      </c>
    </row>
    <row r="128" spans="1:110" hidden="1">
      <c r="A128" s="124">
        <v>116</v>
      </c>
      <c r="B128" s="205" t="str">
        <f t="shared" ca="1" si="143"/>
        <v>L.2.2.</v>
      </c>
      <c r="C128" s="129" t="str">
        <f t="shared" ca="1" si="144"/>
        <v/>
      </c>
      <c r="D128" s="135"/>
      <c r="E128" s="148" t="str">
        <f t="shared" ca="1" si="145"/>
        <v/>
      </c>
      <c r="F128" s="139">
        <f ca="1">H128+NPV(SD,I128:INDEX(I128:DC128,PAL))</f>
        <v>0</v>
      </c>
      <c r="G128" s="140">
        <f ca="1">SUMIF($H$5:$DC$5,"&lt;="&amp;PAL,$H128:$DC128)</f>
        <v>0</v>
      </c>
      <c r="H128" s="138">
        <f t="shared" ca="1" si="181"/>
        <v>0</v>
      </c>
      <c r="I128" s="138">
        <f t="shared" ca="1" si="181"/>
        <v>0</v>
      </c>
      <c r="J128" s="138">
        <f t="shared" ca="1" si="181"/>
        <v>0</v>
      </c>
      <c r="K128" s="138">
        <f t="shared" ca="1" si="181"/>
        <v>0</v>
      </c>
      <c r="L128" s="138">
        <f t="shared" ca="1" si="181"/>
        <v>0</v>
      </c>
      <c r="M128" s="138">
        <f t="shared" ca="1" si="181"/>
        <v>0</v>
      </c>
      <c r="N128" s="138">
        <f t="shared" ca="1" si="181"/>
        <v>0</v>
      </c>
      <c r="O128" s="138">
        <f t="shared" ca="1" si="181"/>
        <v>0</v>
      </c>
      <c r="P128" s="138">
        <f t="shared" ca="1" si="181"/>
        <v>0</v>
      </c>
      <c r="Q128" s="138">
        <f t="shared" ca="1" si="181"/>
        <v>0</v>
      </c>
      <c r="R128" s="138">
        <f t="shared" ca="1" si="182"/>
        <v>0</v>
      </c>
      <c r="S128" s="138">
        <f t="shared" ca="1" si="182"/>
        <v>0</v>
      </c>
      <c r="T128" s="138">
        <f t="shared" ca="1" si="182"/>
        <v>0</v>
      </c>
      <c r="U128" s="138">
        <f t="shared" ca="1" si="182"/>
        <v>0</v>
      </c>
      <c r="V128" s="138">
        <f t="shared" ca="1" si="182"/>
        <v>0</v>
      </c>
      <c r="W128" s="138">
        <f t="shared" ca="1" si="182"/>
        <v>0</v>
      </c>
      <c r="X128" s="138">
        <f t="shared" ca="1" si="182"/>
        <v>0</v>
      </c>
      <c r="Y128" s="138">
        <f t="shared" ca="1" si="182"/>
        <v>0</v>
      </c>
      <c r="Z128" s="138">
        <f t="shared" ca="1" si="182"/>
        <v>0</v>
      </c>
      <c r="AA128" s="138">
        <f t="shared" ca="1" si="182"/>
        <v>0</v>
      </c>
      <c r="AB128" s="138">
        <f t="shared" ca="1" si="183"/>
        <v>0</v>
      </c>
      <c r="AC128" s="138">
        <f t="shared" ca="1" si="183"/>
        <v>0</v>
      </c>
      <c r="AD128" s="138">
        <f t="shared" ca="1" si="183"/>
        <v>0</v>
      </c>
      <c r="AE128" s="138">
        <f t="shared" ca="1" si="183"/>
        <v>0</v>
      </c>
      <c r="AF128" s="138">
        <f t="shared" ca="1" si="183"/>
        <v>0</v>
      </c>
      <c r="AG128" s="138">
        <f t="shared" ca="1" si="183"/>
        <v>0</v>
      </c>
      <c r="AH128" s="138">
        <f t="shared" ca="1" si="183"/>
        <v>0</v>
      </c>
      <c r="AI128" s="138">
        <f t="shared" ca="1" si="183"/>
        <v>0</v>
      </c>
      <c r="AJ128" s="138">
        <f t="shared" ca="1" si="183"/>
        <v>0</v>
      </c>
      <c r="AK128" s="138">
        <f t="shared" ca="1" si="183"/>
        <v>0</v>
      </c>
      <c r="AL128" s="138">
        <f t="shared" ca="1" si="184"/>
        <v>0</v>
      </c>
      <c r="AM128" s="138">
        <f t="shared" ca="1" si="184"/>
        <v>0</v>
      </c>
      <c r="AN128" s="138">
        <f t="shared" ca="1" si="184"/>
        <v>0</v>
      </c>
      <c r="AO128" s="138">
        <f t="shared" ca="1" si="184"/>
        <v>0</v>
      </c>
      <c r="AP128" s="138">
        <f t="shared" ca="1" si="184"/>
        <v>0</v>
      </c>
      <c r="AQ128" s="138">
        <f t="shared" ca="1" si="184"/>
        <v>0</v>
      </c>
      <c r="AR128" s="138">
        <f t="shared" ca="1" si="184"/>
        <v>0</v>
      </c>
      <c r="AS128" s="138">
        <f t="shared" ca="1" si="184"/>
        <v>0</v>
      </c>
      <c r="AT128" s="138">
        <f t="shared" ca="1" si="184"/>
        <v>0</v>
      </c>
      <c r="AU128" s="138">
        <f t="shared" ca="1" si="184"/>
        <v>0</v>
      </c>
      <c r="AV128" s="138">
        <f t="shared" ca="1" si="185"/>
        <v>0</v>
      </c>
      <c r="AW128" s="138">
        <f t="shared" ca="1" si="185"/>
        <v>0</v>
      </c>
      <c r="AX128" s="138">
        <f t="shared" ca="1" si="185"/>
        <v>0</v>
      </c>
      <c r="AY128" s="138">
        <f t="shared" ca="1" si="185"/>
        <v>0</v>
      </c>
      <c r="AZ128" s="138">
        <f t="shared" ca="1" si="185"/>
        <v>0</v>
      </c>
      <c r="BA128" s="138">
        <f t="shared" ca="1" si="185"/>
        <v>0</v>
      </c>
      <c r="BB128" s="138">
        <f t="shared" ca="1" si="185"/>
        <v>0</v>
      </c>
      <c r="BC128" s="138">
        <f t="shared" ca="1" si="185"/>
        <v>0</v>
      </c>
      <c r="BD128" s="138">
        <f t="shared" ca="1" si="185"/>
        <v>0</v>
      </c>
      <c r="BE128" s="138">
        <f t="shared" ca="1" si="185"/>
        <v>0</v>
      </c>
      <c r="BF128" s="138">
        <f t="shared" ca="1" si="186"/>
        <v>0</v>
      </c>
      <c r="BG128" s="138">
        <f t="shared" ca="1" si="186"/>
        <v>0</v>
      </c>
      <c r="BH128" s="138">
        <f t="shared" ca="1" si="186"/>
        <v>0</v>
      </c>
      <c r="BI128" s="138">
        <f t="shared" ca="1" si="186"/>
        <v>0</v>
      </c>
      <c r="BJ128" s="138">
        <f t="shared" ca="1" si="186"/>
        <v>0</v>
      </c>
      <c r="BK128" s="138">
        <f t="shared" ca="1" si="186"/>
        <v>0</v>
      </c>
      <c r="BL128" s="138">
        <f t="shared" ca="1" si="186"/>
        <v>0</v>
      </c>
      <c r="BM128" s="138">
        <f t="shared" ca="1" si="186"/>
        <v>0</v>
      </c>
      <c r="BN128" s="138">
        <f t="shared" ca="1" si="186"/>
        <v>0</v>
      </c>
      <c r="BO128" s="138">
        <f t="shared" ca="1" si="186"/>
        <v>0</v>
      </c>
      <c r="BP128" s="138">
        <f t="shared" ca="1" si="187"/>
        <v>0</v>
      </c>
      <c r="BQ128" s="138">
        <f t="shared" ca="1" si="187"/>
        <v>0</v>
      </c>
      <c r="BR128" s="138">
        <f t="shared" ca="1" si="187"/>
        <v>0</v>
      </c>
      <c r="BS128" s="138">
        <f t="shared" ca="1" si="187"/>
        <v>0</v>
      </c>
      <c r="BT128" s="138">
        <f t="shared" ca="1" si="187"/>
        <v>0</v>
      </c>
      <c r="BU128" s="138">
        <f t="shared" ca="1" si="187"/>
        <v>0</v>
      </c>
      <c r="BV128" s="138">
        <f t="shared" ca="1" si="187"/>
        <v>0</v>
      </c>
      <c r="BW128" s="138">
        <f t="shared" ca="1" si="187"/>
        <v>0</v>
      </c>
      <c r="BX128" s="138">
        <f t="shared" ca="1" si="187"/>
        <v>0</v>
      </c>
      <c r="BY128" s="138">
        <f t="shared" ca="1" si="187"/>
        <v>0</v>
      </c>
      <c r="BZ128" s="138">
        <f t="shared" ca="1" si="188"/>
        <v>0</v>
      </c>
      <c r="CA128" s="138">
        <f t="shared" ca="1" si="188"/>
        <v>0</v>
      </c>
      <c r="CB128" s="138">
        <f t="shared" ca="1" si="188"/>
        <v>0</v>
      </c>
      <c r="CC128" s="138">
        <f t="shared" ca="1" si="188"/>
        <v>0</v>
      </c>
      <c r="CD128" s="138">
        <f t="shared" ca="1" si="188"/>
        <v>0</v>
      </c>
      <c r="CE128" s="138">
        <f t="shared" ca="1" si="188"/>
        <v>0</v>
      </c>
      <c r="CF128" s="138">
        <f t="shared" ca="1" si="188"/>
        <v>0</v>
      </c>
      <c r="CG128" s="138">
        <f t="shared" ca="1" si="188"/>
        <v>0</v>
      </c>
      <c r="CH128" s="138">
        <f t="shared" ca="1" si="188"/>
        <v>0</v>
      </c>
      <c r="CI128" s="138">
        <f t="shared" ca="1" si="188"/>
        <v>0</v>
      </c>
      <c r="CJ128" s="138">
        <f t="shared" ca="1" si="189"/>
        <v>0</v>
      </c>
      <c r="CK128" s="138">
        <f t="shared" ca="1" si="189"/>
        <v>0</v>
      </c>
      <c r="CL128" s="138">
        <f t="shared" ca="1" si="189"/>
        <v>0</v>
      </c>
      <c r="CM128" s="138">
        <f t="shared" ca="1" si="189"/>
        <v>0</v>
      </c>
      <c r="CN128" s="138">
        <f t="shared" ca="1" si="189"/>
        <v>0</v>
      </c>
      <c r="CO128" s="138">
        <f t="shared" ca="1" si="189"/>
        <v>0</v>
      </c>
      <c r="CP128" s="138">
        <f t="shared" ca="1" si="189"/>
        <v>0</v>
      </c>
      <c r="CQ128" s="138">
        <f t="shared" ca="1" si="189"/>
        <v>0</v>
      </c>
      <c r="CR128" s="138">
        <f t="shared" ca="1" si="189"/>
        <v>0</v>
      </c>
      <c r="CS128" s="138">
        <f t="shared" ca="1" si="189"/>
        <v>0</v>
      </c>
      <c r="CT128" s="138">
        <f t="shared" ca="1" si="190"/>
        <v>0</v>
      </c>
      <c r="CU128" s="138">
        <f t="shared" ca="1" si="190"/>
        <v>0</v>
      </c>
      <c r="CV128" s="138">
        <f t="shared" ca="1" si="190"/>
        <v>0</v>
      </c>
      <c r="CW128" s="138">
        <f t="shared" ca="1" si="190"/>
        <v>0</v>
      </c>
      <c r="CX128" s="138">
        <f t="shared" ca="1" si="190"/>
        <v>0</v>
      </c>
      <c r="CY128" s="138">
        <f t="shared" ca="1" si="190"/>
        <v>0</v>
      </c>
      <c r="CZ128" s="138">
        <f t="shared" ca="1" si="190"/>
        <v>0</v>
      </c>
      <c r="DA128" s="138">
        <f t="shared" ca="1" si="190"/>
        <v>0</v>
      </c>
      <c r="DB128" s="138">
        <f t="shared" ca="1" si="190"/>
        <v>0</v>
      </c>
      <c r="DC128" s="138">
        <f t="shared" ca="1" si="190"/>
        <v>0</v>
      </c>
      <c r="DE128" s="254" t="str">
        <f t="shared" ca="1" si="100"/>
        <v>L.2.2.</v>
      </c>
      <c r="DF128">
        <v>1</v>
      </c>
    </row>
    <row r="129" spans="1:110" ht="15" hidden="1" thickBot="1">
      <c r="A129" s="124">
        <v>117</v>
      </c>
      <c r="B129" s="206" t="str">
        <f t="shared" ca="1" si="143"/>
        <v>L.2.3.</v>
      </c>
      <c r="C129" s="207" t="str">
        <f t="shared" ca="1" si="144"/>
        <v/>
      </c>
      <c r="D129" s="208"/>
      <c r="E129" s="209" t="str">
        <f t="shared" ca="1" si="145"/>
        <v/>
      </c>
      <c r="F129" s="139">
        <f ca="1">H129+NPV(SD,I129:INDEX(I129:DC129,PAL))</f>
        <v>0</v>
      </c>
      <c r="G129" s="210">
        <f ca="1">SUMIF($H$5:$DC$5,"&lt;="&amp;PAL,$H129:$DC129)</f>
        <v>0</v>
      </c>
      <c r="H129" s="138">
        <f t="shared" ca="1" si="181"/>
        <v>0</v>
      </c>
      <c r="I129" s="138">
        <f t="shared" ca="1" si="181"/>
        <v>0</v>
      </c>
      <c r="J129" s="138">
        <f t="shared" ca="1" si="181"/>
        <v>0</v>
      </c>
      <c r="K129" s="138">
        <f t="shared" ca="1" si="181"/>
        <v>0</v>
      </c>
      <c r="L129" s="138">
        <f t="shared" ca="1" si="181"/>
        <v>0</v>
      </c>
      <c r="M129" s="138">
        <f t="shared" ca="1" si="181"/>
        <v>0</v>
      </c>
      <c r="N129" s="138">
        <f t="shared" ca="1" si="181"/>
        <v>0</v>
      </c>
      <c r="O129" s="138">
        <f t="shared" ca="1" si="181"/>
        <v>0</v>
      </c>
      <c r="P129" s="138">
        <f t="shared" ca="1" si="181"/>
        <v>0</v>
      </c>
      <c r="Q129" s="138">
        <f t="shared" ca="1" si="181"/>
        <v>0</v>
      </c>
      <c r="R129" s="138">
        <f t="shared" ca="1" si="182"/>
        <v>0</v>
      </c>
      <c r="S129" s="138">
        <f t="shared" ca="1" si="182"/>
        <v>0</v>
      </c>
      <c r="T129" s="138">
        <f t="shared" ca="1" si="182"/>
        <v>0</v>
      </c>
      <c r="U129" s="138">
        <f t="shared" ca="1" si="182"/>
        <v>0</v>
      </c>
      <c r="V129" s="138">
        <f t="shared" ca="1" si="182"/>
        <v>0</v>
      </c>
      <c r="W129" s="138">
        <f t="shared" ca="1" si="182"/>
        <v>0</v>
      </c>
      <c r="X129" s="138">
        <f t="shared" ca="1" si="182"/>
        <v>0</v>
      </c>
      <c r="Y129" s="138">
        <f t="shared" ca="1" si="182"/>
        <v>0</v>
      </c>
      <c r="Z129" s="138">
        <f t="shared" ca="1" si="182"/>
        <v>0</v>
      </c>
      <c r="AA129" s="138">
        <f t="shared" ca="1" si="182"/>
        <v>0</v>
      </c>
      <c r="AB129" s="138">
        <f t="shared" ca="1" si="183"/>
        <v>0</v>
      </c>
      <c r="AC129" s="138">
        <f t="shared" ca="1" si="183"/>
        <v>0</v>
      </c>
      <c r="AD129" s="138">
        <f t="shared" ca="1" si="183"/>
        <v>0</v>
      </c>
      <c r="AE129" s="138">
        <f t="shared" ca="1" si="183"/>
        <v>0</v>
      </c>
      <c r="AF129" s="138">
        <f t="shared" ca="1" si="183"/>
        <v>0</v>
      </c>
      <c r="AG129" s="138">
        <f t="shared" ca="1" si="183"/>
        <v>0</v>
      </c>
      <c r="AH129" s="138">
        <f t="shared" ca="1" si="183"/>
        <v>0</v>
      </c>
      <c r="AI129" s="138">
        <f t="shared" ca="1" si="183"/>
        <v>0</v>
      </c>
      <c r="AJ129" s="138">
        <f t="shared" ca="1" si="183"/>
        <v>0</v>
      </c>
      <c r="AK129" s="138">
        <f t="shared" ca="1" si="183"/>
        <v>0</v>
      </c>
      <c r="AL129" s="138">
        <f t="shared" ca="1" si="184"/>
        <v>0</v>
      </c>
      <c r="AM129" s="138">
        <f t="shared" ca="1" si="184"/>
        <v>0</v>
      </c>
      <c r="AN129" s="138">
        <f t="shared" ca="1" si="184"/>
        <v>0</v>
      </c>
      <c r="AO129" s="138">
        <f t="shared" ca="1" si="184"/>
        <v>0</v>
      </c>
      <c r="AP129" s="138">
        <f t="shared" ca="1" si="184"/>
        <v>0</v>
      </c>
      <c r="AQ129" s="138">
        <f t="shared" ca="1" si="184"/>
        <v>0</v>
      </c>
      <c r="AR129" s="138">
        <f t="shared" ca="1" si="184"/>
        <v>0</v>
      </c>
      <c r="AS129" s="138">
        <f t="shared" ca="1" si="184"/>
        <v>0</v>
      </c>
      <c r="AT129" s="138">
        <f t="shared" ca="1" si="184"/>
        <v>0</v>
      </c>
      <c r="AU129" s="138">
        <f t="shared" ca="1" si="184"/>
        <v>0</v>
      </c>
      <c r="AV129" s="138">
        <f t="shared" ca="1" si="185"/>
        <v>0</v>
      </c>
      <c r="AW129" s="138">
        <f t="shared" ca="1" si="185"/>
        <v>0</v>
      </c>
      <c r="AX129" s="138">
        <f t="shared" ca="1" si="185"/>
        <v>0</v>
      </c>
      <c r="AY129" s="138">
        <f t="shared" ca="1" si="185"/>
        <v>0</v>
      </c>
      <c r="AZ129" s="138">
        <f t="shared" ca="1" si="185"/>
        <v>0</v>
      </c>
      <c r="BA129" s="138">
        <f t="shared" ca="1" si="185"/>
        <v>0</v>
      </c>
      <c r="BB129" s="138">
        <f t="shared" ca="1" si="185"/>
        <v>0</v>
      </c>
      <c r="BC129" s="138">
        <f t="shared" ca="1" si="185"/>
        <v>0</v>
      </c>
      <c r="BD129" s="138">
        <f t="shared" ca="1" si="185"/>
        <v>0</v>
      </c>
      <c r="BE129" s="138">
        <f t="shared" ca="1" si="185"/>
        <v>0</v>
      </c>
      <c r="BF129" s="138">
        <f t="shared" ca="1" si="186"/>
        <v>0</v>
      </c>
      <c r="BG129" s="138">
        <f t="shared" ca="1" si="186"/>
        <v>0</v>
      </c>
      <c r="BH129" s="138">
        <f t="shared" ca="1" si="186"/>
        <v>0</v>
      </c>
      <c r="BI129" s="138">
        <f t="shared" ca="1" si="186"/>
        <v>0</v>
      </c>
      <c r="BJ129" s="138">
        <f t="shared" ca="1" si="186"/>
        <v>0</v>
      </c>
      <c r="BK129" s="138">
        <f t="shared" ca="1" si="186"/>
        <v>0</v>
      </c>
      <c r="BL129" s="138">
        <f t="shared" ca="1" si="186"/>
        <v>0</v>
      </c>
      <c r="BM129" s="138">
        <f t="shared" ca="1" si="186"/>
        <v>0</v>
      </c>
      <c r="BN129" s="138">
        <f t="shared" ca="1" si="186"/>
        <v>0</v>
      </c>
      <c r="BO129" s="138">
        <f t="shared" ca="1" si="186"/>
        <v>0</v>
      </c>
      <c r="BP129" s="138">
        <f t="shared" ca="1" si="187"/>
        <v>0</v>
      </c>
      <c r="BQ129" s="138">
        <f t="shared" ca="1" si="187"/>
        <v>0</v>
      </c>
      <c r="BR129" s="138">
        <f t="shared" ca="1" si="187"/>
        <v>0</v>
      </c>
      <c r="BS129" s="138">
        <f t="shared" ca="1" si="187"/>
        <v>0</v>
      </c>
      <c r="BT129" s="138">
        <f t="shared" ca="1" si="187"/>
        <v>0</v>
      </c>
      <c r="BU129" s="138">
        <f t="shared" ca="1" si="187"/>
        <v>0</v>
      </c>
      <c r="BV129" s="138">
        <f t="shared" ca="1" si="187"/>
        <v>0</v>
      </c>
      <c r="BW129" s="138">
        <f t="shared" ca="1" si="187"/>
        <v>0</v>
      </c>
      <c r="BX129" s="138">
        <f t="shared" ca="1" si="187"/>
        <v>0</v>
      </c>
      <c r="BY129" s="138">
        <f t="shared" ca="1" si="187"/>
        <v>0</v>
      </c>
      <c r="BZ129" s="138">
        <f t="shared" ca="1" si="188"/>
        <v>0</v>
      </c>
      <c r="CA129" s="138">
        <f t="shared" ca="1" si="188"/>
        <v>0</v>
      </c>
      <c r="CB129" s="138">
        <f t="shared" ca="1" si="188"/>
        <v>0</v>
      </c>
      <c r="CC129" s="138">
        <f t="shared" ca="1" si="188"/>
        <v>0</v>
      </c>
      <c r="CD129" s="138">
        <f t="shared" ca="1" si="188"/>
        <v>0</v>
      </c>
      <c r="CE129" s="138">
        <f t="shared" ca="1" si="188"/>
        <v>0</v>
      </c>
      <c r="CF129" s="138">
        <f t="shared" ca="1" si="188"/>
        <v>0</v>
      </c>
      <c r="CG129" s="138">
        <f t="shared" ca="1" si="188"/>
        <v>0</v>
      </c>
      <c r="CH129" s="138">
        <f t="shared" ca="1" si="188"/>
        <v>0</v>
      </c>
      <c r="CI129" s="138">
        <f t="shared" ca="1" si="188"/>
        <v>0</v>
      </c>
      <c r="CJ129" s="138">
        <f t="shared" ca="1" si="189"/>
        <v>0</v>
      </c>
      <c r="CK129" s="138">
        <f t="shared" ca="1" si="189"/>
        <v>0</v>
      </c>
      <c r="CL129" s="138">
        <f t="shared" ca="1" si="189"/>
        <v>0</v>
      </c>
      <c r="CM129" s="138">
        <f t="shared" ca="1" si="189"/>
        <v>0</v>
      </c>
      <c r="CN129" s="138">
        <f t="shared" ca="1" si="189"/>
        <v>0</v>
      </c>
      <c r="CO129" s="138">
        <f t="shared" ca="1" si="189"/>
        <v>0</v>
      </c>
      <c r="CP129" s="138">
        <f t="shared" ca="1" si="189"/>
        <v>0</v>
      </c>
      <c r="CQ129" s="138">
        <f t="shared" ca="1" si="189"/>
        <v>0</v>
      </c>
      <c r="CR129" s="138">
        <f t="shared" ca="1" si="189"/>
        <v>0</v>
      </c>
      <c r="CS129" s="138">
        <f t="shared" ca="1" si="189"/>
        <v>0</v>
      </c>
      <c r="CT129" s="138">
        <f t="shared" ca="1" si="190"/>
        <v>0</v>
      </c>
      <c r="CU129" s="138">
        <f t="shared" ca="1" si="190"/>
        <v>0</v>
      </c>
      <c r="CV129" s="138">
        <f t="shared" ca="1" si="190"/>
        <v>0</v>
      </c>
      <c r="CW129" s="138">
        <f t="shared" ca="1" si="190"/>
        <v>0</v>
      </c>
      <c r="CX129" s="138">
        <f t="shared" ca="1" si="190"/>
        <v>0</v>
      </c>
      <c r="CY129" s="138">
        <f t="shared" ca="1" si="190"/>
        <v>0</v>
      </c>
      <c r="CZ129" s="138">
        <f t="shared" ca="1" si="190"/>
        <v>0</v>
      </c>
      <c r="DA129" s="138">
        <f t="shared" ca="1" si="190"/>
        <v>0</v>
      </c>
      <c r="DB129" s="138">
        <f t="shared" ca="1" si="190"/>
        <v>0</v>
      </c>
      <c r="DC129" s="138">
        <f t="shared" ca="1" si="190"/>
        <v>0</v>
      </c>
      <c r="DE129" s="254" t="str">
        <f t="shared" ca="1" si="100"/>
        <v>L.2.3.</v>
      </c>
      <c r="DF129">
        <v>1</v>
      </c>
    </row>
    <row r="130" spans="1:110" ht="15" hidden="1" customHeight="1">
      <c r="B130" s="199" t="s">
        <v>28</v>
      </c>
      <c r="C130" s="237" t="s">
        <v>257</v>
      </c>
      <c r="D130" s="215"/>
      <c r="E130" s="218"/>
      <c r="F130" s="222">
        <f ca="1">H130+NPV(SD,I130:INDEX(I130:DC130,PAL))</f>
        <v>11922577.17278992</v>
      </c>
      <c r="G130" s="50">
        <f ca="1">SUMIF($H$5:$DC$5,"&lt;="&amp;PAL,$H130:$DC130)</f>
        <v>13225775.173787</v>
      </c>
      <c r="H130" s="221">
        <f ca="1">H$8+H$9-H$113</f>
        <v>1730000</v>
      </c>
      <c r="I130" s="211">
        <f t="shared" ref="I130:AM130" ca="1" si="191">I$8+I$9-I$113</f>
        <v>3379303.0815815865</v>
      </c>
      <c r="J130" s="211">
        <f t="shared" ca="1" si="191"/>
        <v>3287482.3364698356</v>
      </c>
      <c r="K130" s="211">
        <f t="shared" ca="1" si="191"/>
        <v>4204655.0449917773</v>
      </c>
      <c r="L130" s="211">
        <f t="shared" ca="1" si="191"/>
        <v>4132.2314049586776</v>
      </c>
      <c r="M130" s="211">
        <f t="shared" ca="1" si="191"/>
        <v>20661.157024793389</v>
      </c>
      <c r="N130" s="211">
        <f t="shared" ca="1" si="191"/>
        <v>4500</v>
      </c>
      <c r="O130" s="211">
        <f t="shared" ca="1" si="191"/>
        <v>0</v>
      </c>
      <c r="P130" s="211">
        <f t="shared" ca="1" si="191"/>
        <v>0</v>
      </c>
      <c r="Q130" s="211">
        <f t="shared" ca="1" si="191"/>
        <v>0</v>
      </c>
      <c r="R130" s="211">
        <f t="shared" ca="1" si="191"/>
        <v>99173.553719008269</v>
      </c>
      <c r="S130" s="211">
        <f t="shared" ca="1" si="191"/>
        <v>198347.10743801654</v>
      </c>
      <c r="T130" s="211">
        <f t="shared" ca="1" si="191"/>
        <v>99173.553719008269</v>
      </c>
      <c r="U130" s="211">
        <f t="shared" ca="1" si="191"/>
        <v>198347.10743801654</v>
      </c>
      <c r="V130" s="211">
        <f t="shared" ca="1" si="191"/>
        <v>0</v>
      </c>
      <c r="W130" s="211">
        <f t="shared" ca="1" si="191"/>
        <v>0</v>
      </c>
      <c r="X130" s="211">
        <f t="shared" ca="1" si="191"/>
        <v>0</v>
      </c>
      <c r="Y130" s="211">
        <f t="shared" ca="1" si="191"/>
        <v>0</v>
      </c>
      <c r="Z130" s="211">
        <f t="shared" ca="1" si="191"/>
        <v>0</v>
      </c>
      <c r="AA130" s="211">
        <f t="shared" ca="1" si="191"/>
        <v>0</v>
      </c>
      <c r="AB130" s="211">
        <f t="shared" ca="1" si="191"/>
        <v>0</v>
      </c>
      <c r="AC130" s="211">
        <f t="shared" ca="1" si="191"/>
        <v>0</v>
      </c>
      <c r="AD130" s="211">
        <f t="shared" ca="1" si="191"/>
        <v>0</v>
      </c>
      <c r="AE130" s="211">
        <f t="shared" ca="1" si="191"/>
        <v>0</v>
      </c>
      <c r="AF130" s="211">
        <f t="shared" ca="1" si="191"/>
        <v>0</v>
      </c>
      <c r="AG130" s="211">
        <f t="shared" ca="1" si="191"/>
        <v>0</v>
      </c>
      <c r="AH130" s="211">
        <f t="shared" ca="1" si="191"/>
        <v>0</v>
      </c>
      <c r="AI130" s="211">
        <f t="shared" ca="1" si="191"/>
        <v>0</v>
      </c>
      <c r="AJ130" s="211">
        <f t="shared" ca="1" si="191"/>
        <v>0</v>
      </c>
      <c r="AK130" s="211">
        <f t="shared" ca="1" si="191"/>
        <v>0</v>
      </c>
      <c r="AL130" s="211">
        <f t="shared" ca="1" si="191"/>
        <v>0</v>
      </c>
      <c r="AM130" s="211">
        <f t="shared" ca="1" si="191"/>
        <v>0</v>
      </c>
      <c r="AN130" s="211">
        <f t="shared" ref="AN130:BS130" ca="1" si="192">AN$8+AN$9-AN$113</f>
        <v>0</v>
      </c>
      <c r="AO130" s="211">
        <f t="shared" ca="1" si="192"/>
        <v>0</v>
      </c>
      <c r="AP130" s="211">
        <f t="shared" ca="1" si="192"/>
        <v>0</v>
      </c>
      <c r="AQ130" s="211">
        <f t="shared" ca="1" si="192"/>
        <v>0</v>
      </c>
      <c r="AR130" s="211">
        <f t="shared" ca="1" si="192"/>
        <v>0</v>
      </c>
      <c r="AS130" s="211">
        <f t="shared" ca="1" si="192"/>
        <v>0</v>
      </c>
      <c r="AT130" s="211">
        <f t="shared" ca="1" si="192"/>
        <v>0</v>
      </c>
      <c r="AU130" s="211">
        <f t="shared" ca="1" si="192"/>
        <v>0</v>
      </c>
      <c r="AV130" s="211">
        <f t="shared" ca="1" si="192"/>
        <v>0</v>
      </c>
      <c r="AW130" s="211">
        <f t="shared" ca="1" si="192"/>
        <v>0</v>
      </c>
      <c r="AX130" s="211">
        <f t="shared" ca="1" si="192"/>
        <v>0</v>
      </c>
      <c r="AY130" s="211">
        <f t="shared" ca="1" si="192"/>
        <v>0</v>
      </c>
      <c r="AZ130" s="211">
        <f t="shared" ca="1" si="192"/>
        <v>0</v>
      </c>
      <c r="BA130" s="211">
        <f t="shared" ca="1" si="192"/>
        <v>0</v>
      </c>
      <c r="BB130" s="211">
        <f t="shared" ca="1" si="192"/>
        <v>0</v>
      </c>
      <c r="BC130" s="211">
        <f t="shared" ca="1" si="192"/>
        <v>0</v>
      </c>
      <c r="BD130" s="211">
        <f t="shared" ca="1" si="192"/>
        <v>0</v>
      </c>
      <c r="BE130" s="211">
        <f t="shared" ca="1" si="192"/>
        <v>0</v>
      </c>
      <c r="BF130" s="211">
        <f t="shared" ca="1" si="192"/>
        <v>0</v>
      </c>
      <c r="BG130" s="211">
        <f t="shared" ca="1" si="192"/>
        <v>0</v>
      </c>
      <c r="BH130" s="211">
        <f t="shared" ca="1" si="192"/>
        <v>0</v>
      </c>
      <c r="BI130" s="211">
        <f t="shared" ca="1" si="192"/>
        <v>0</v>
      </c>
      <c r="BJ130" s="211">
        <f t="shared" ca="1" si="192"/>
        <v>0</v>
      </c>
      <c r="BK130" s="211">
        <f t="shared" ca="1" si="192"/>
        <v>0</v>
      </c>
      <c r="BL130" s="211">
        <f t="shared" ca="1" si="192"/>
        <v>0</v>
      </c>
      <c r="BM130" s="211">
        <f t="shared" ca="1" si="192"/>
        <v>0</v>
      </c>
      <c r="BN130" s="211">
        <f t="shared" ca="1" si="192"/>
        <v>0</v>
      </c>
      <c r="BO130" s="211">
        <f t="shared" ca="1" si="192"/>
        <v>0</v>
      </c>
      <c r="BP130" s="211">
        <f t="shared" ca="1" si="192"/>
        <v>0</v>
      </c>
      <c r="BQ130" s="211">
        <f t="shared" ca="1" si="192"/>
        <v>0</v>
      </c>
      <c r="BR130" s="211">
        <f t="shared" ca="1" si="192"/>
        <v>0</v>
      </c>
      <c r="BS130" s="211">
        <f t="shared" ca="1" si="192"/>
        <v>0</v>
      </c>
      <c r="BT130" s="211">
        <f t="shared" ref="BT130:DC130" ca="1" si="193">BT$8+BT$9-BT$113</f>
        <v>0</v>
      </c>
      <c r="BU130" s="211">
        <f t="shared" ca="1" si="193"/>
        <v>0</v>
      </c>
      <c r="BV130" s="211">
        <f t="shared" ca="1" si="193"/>
        <v>0</v>
      </c>
      <c r="BW130" s="211">
        <f t="shared" ca="1" si="193"/>
        <v>0</v>
      </c>
      <c r="BX130" s="211">
        <f t="shared" ca="1" si="193"/>
        <v>0</v>
      </c>
      <c r="BY130" s="211">
        <f t="shared" ca="1" si="193"/>
        <v>0</v>
      </c>
      <c r="BZ130" s="211">
        <f t="shared" ca="1" si="193"/>
        <v>0</v>
      </c>
      <c r="CA130" s="211">
        <f t="shared" ca="1" si="193"/>
        <v>0</v>
      </c>
      <c r="CB130" s="211">
        <f t="shared" ca="1" si="193"/>
        <v>0</v>
      </c>
      <c r="CC130" s="211">
        <f t="shared" ca="1" si="193"/>
        <v>0</v>
      </c>
      <c r="CD130" s="211">
        <f t="shared" ca="1" si="193"/>
        <v>0</v>
      </c>
      <c r="CE130" s="211">
        <f t="shared" ca="1" si="193"/>
        <v>0</v>
      </c>
      <c r="CF130" s="211">
        <f t="shared" ca="1" si="193"/>
        <v>0</v>
      </c>
      <c r="CG130" s="211">
        <f t="shared" ca="1" si="193"/>
        <v>0</v>
      </c>
      <c r="CH130" s="211">
        <f t="shared" ca="1" si="193"/>
        <v>0</v>
      </c>
      <c r="CI130" s="211">
        <f t="shared" ca="1" si="193"/>
        <v>0</v>
      </c>
      <c r="CJ130" s="211">
        <f t="shared" ca="1" si="193"/>
        <v>0</v>
      </c>
      <c r="CK130" s="211">
        <f t="shared" ca="1" si="193"/>
        <v>0</v>
      </c>
      <c r="CL130" s="211">
        <f t="shared" ca="1" si="193"/>
        <v>0</v>
      </c>
      <c r="CM130" s="211">
        <f t="shared" ca="1" si="193"/>
        <v>0</v>
      </c>
      <c r="CN130" s="211">
        <f t="shared" ca="1" si="193"/>
        <v>0</v>
      </c>
      <c r="CO130" s="211">
        <f t="shared" ca="1" si="193"/>
        <v>0</v>
      </c>
      <c r="CP130" s="211">
        <f t="shared" ca="1" si="193"/>
        <v>0</v>
      </c>
      <c r="CQ130" s="211">
        <f t="shared" ca="1" si="193"/>
        <v>0</v>
      </c>
      <c r="CR130" s="211">
        <f t="shared" ca="1" si="193"/>
        <v>0</v>
      </c>
      <c r="CS130" s="211">
        <f t="shared" ca="1" si="193"/>
        <v>0</v>
      </c>
      <c r="CT130" s="211">
        <f t="shared" ca="1" si="193"/>
        <v>0</v>
      </c>
      <c r="CU130" s="211">
        <f t="shared" ca="1" si="193"/>
        <v>0</v>
      </c>
      <c r="CV130" s="211">
        <f t="shared" ca="1" si="193"/>
        <v>0</v>
      </c>
      <c r="CW130" s="211">
        <f t="shared" ca="1" si="193"/>
        <v>0</v>
      </c>
      <c r="CX130" s="211">
        <f t="shared" ca="1" si="193"/>
        <v>0</v>
      </c>
      <c r="CY130" s="211">
        <f t="shared" ca="1" si="193"/>
        <v>0</v>
      </c>
      <c r="CZ130" s="211">
        <f t="shared" ca="1" si="193"/>
        <v>0</v>
      </c>
      <c r="DA130" s="211">
        <f t="shared" ca="1" si="193"/>
        <v>0</v>
      </c>
      <c r="DB130" s="211">
        <f t="shared" ca="1" si="193"/>
        <v>0</v>
      </c>
      <c r="DC130" s="50">
        <f t="shared" ca="1" si="193"/>
        <v>0</v>
      </c>
    </row>
    <row r="131" spans="1:110" ht="15" hidden="1" customHeight="1">
      <c r="B131" s="151" t="s">
        <v>209</v>
      </c>
      <c r="C131" s="238" t="s">
        <v>263</v>
      </c>
      <c r="D131" s="216"/>
      <c r="E131" s="219"/>
      <c r="F131" s="223">
        <f ca="1">H131+NPV(SD,I131:INDEX(I131:DC131,PAL))</f>
        <v>113887649.621988</v>
      </c>
      <c r="G131" s="212">
        <f ca="1">SUMIF($H$5:$DC$5,"&lt;="&amp;PAL,$H131:$DC131)</f>
        <v>191640865.77715251</v>
      </c>
      <c r="H131" s="59">
        <f t="shared" ref="H131:AM131" ca="1" si="194">H$89-H$114</f>
        <v>0</v>
      </c>
      <c r="I131" s="43">
        <f t="shared" ca="1" si="194"/>
        <v>1632000</v>
      </c>
      <c r="J131" s="43">
        <f t="shared" ca="1" si="194"/>
        <v>4418628.6675319998</v>
      </c>
      <c r="K131" s="43">
        <f t="shared" ca="1" si="194"/>
        <v>6899390.9378861338</v>
      </c>
      <c r="L131" s="43">
        <f t="shared" ca="1" si="194"/>
        <v>10507520.3630432</v>
      </c>
      <c r="M131" s="43">
        <f t="shared" ca="1" si="194"/>
        <v>10507520.3630432</v>
      </c>
      <c r="N131" s="43">
        <f t="shared" ca="1" si="194"/>
        <v>10507520.3630432</v>
      </c>
      <c r="O131" s="43">
        <f t="shared" ca="1" si="194"/>
        <v>10512020.3630432</v>
      </c>
      <c r="P131" s="43">
        <f t="shared" ca="1" si="194"/>
        <v>10512020.3630432</v>
      </c>
      <c r="Q131" s="43">
        <f t="shared" ca="1" si="194"/>
        <v>10512020.3630432</v>
      </c>
      <c r="R131" s="43">
        <f t="shared" ca="1" si="194"/>
        <v>10512020.3630432</v>
      </c>
      <c r="S131" s="43">
        <f t="shared" ca="1" si="194"/>
        <v>10512020.3630432</v>
      </c>
      <c r="T131" s="43">
        <f t="shared" ca="1" si="194"/>
        <v>10512020.3630432</v>
      </c>
      <c r="U131" s="43">
        <f t="shared" ca="1" si="194"/>
        <v>10512020.3630432</v>
      </c>
      <c r="V131" s="43">
        <f t="shared" ca="1" si="194"/>
        <v>10512020.3630432</v>
      </c>
      <c r="W131" s="43">
        <f t="shared" ca="1" si="194"/>
        <v>10512020.3630432</v>
      </c>
      <c r="X131" s="43">
        <f t="shared" ca="1" si="194"/>
        <v>10512020.3630432</v>
      </c>
      <c r="Y131" s="43">
        <f t="shared" ca="1" si="194"/>
        <v>10512020.3630432</v>
      </c>
      <c r="Z131" s="43">
        <f t="shared" ca="1" si="194"/>
        <v>10512020.3630432</v>
      </c>
      <c r="AA131" s="43">
        <f t="shared" ca="1" si="194"/>
        <v>10512020.3630432</v>
      </c>
      <c r="AB131" s="43">
        <f t="shared" ca="1" si="194"/>
        <v>10512020.3630432</v>
      </c>
      <c r="AC131" s="43">
        <f t="shared" ca="1" si="194"/>
        <v>2351431.8160736002</v>
      </c>
      <c r="AD131" s="43">
        <f t="shared" ca="1" si="194"/>
        <v>2351431.8160736002</v>
      </c>
      <c r="AE131" s="43">
        <f t="shared" ca="1" si="194"/>
        <v>2351431.8160736002</v>
      </c>
      <c r="AF131" s="43">
        <f t="shared" ca="1" si="194"/>
        <v>2351431.8160736002</v>
      </c>
      <c r="AG131" s="43">
        <f t="shared" ca="1" si="194"/>
        <v>2351431.8160736002</v>
      </c>
      <c r="AH131" s="43">
        <f t="shared" ca="1" si="194"/>
        <v>2351431.8160736002</v>
      </c>
      <c r="AI131" s="43">
        <f t="shared" ca="1" si="194"/>
        <v>2351431.8160736002</v>
      </c>
      <c r="AJ131" s="43">
        <f t="shared" ca="1" si="194"/>
        <v>2351431.8160736002</v>
      </c>
      <c r="AK131" s="43">
        <f t="shared" ca="1" si="194"/>
        <v>2351431.8160736002</v>
      </c>
      <c r="AL131" s="43">
        <f t="shared" ca="1" si="194"/>
        <v>2351431.8160736002</v>
      </c>
      <c r="AM131" s="43">
        <f t="shared" ca="1" si="194"/>
        <v>2351431.8160736002</v>
      </c>
      <c r="AN131" s="43">
        <f t="shared" ref="AN131:BS131" ca="1" si="195">AN$89-AN$114</f>
        <v>2351431.8160736002</v>
      </c>
      <c r="AO131" s="43">
        <f t="shared" ca="1" si="195"/>
        <v>2351431.8160736002</v>
      </c>
      <c r="AP131" s="43">
        <f t="shared" ca="1" si="195"/>
        <v>2351431.8160736002</v>
      </c>
      <c r="AQ131" s="43">
        <f t="shared" ca="1" si="195"/>
        <v>2351431.8160736002</v>
      </c>
      <c r="AR131" s="43">
        <f t="shared" ca="1" si="195"/>
        <v>2351431.8160736002</v>
      </c>
      <c r="AS131" s="43">
        <f t="shared" ca="1" si="195"/>
        <v>2351431.8160736002</v>
      </c>
      <c r="AT131" s="43">
        <f t="shared" ca="1" si="195"/>
        <v>2351431.8160736002</v>
      </c>
      <c r="AU131" s="43">
        <f t="shared" ca="1" si="195"/>
        <v>2351431.8160736002</v>
      </c>
      <c r="AV131" s="43">
        <f t="shared" ca="1" si="195"/>
        <v>2351431.8160736002</v>
      </c>
      <c r="AW131" s="43">
        <f t="shared" ca="1" si="195"/>
        <v>2351431.8160736002</v>
      </c>
      <c r="AX131" s="43">
        <f t="shared" ca="1" si="195"/>
        <v>2351431.8160736002</v>
      </c>
      <c r="AY131" s="43">
        <f t="shared" ca="1" si="195"/>
        <v>2351431.8160736002</v>
      </c>
      <c r="AZ131" s="43">
        <f t="shared" ca="1" si="195"/>
        <v>2351431.8160736002</v>
      </c>
      <c r="BA131" s="43">
        <f t="shared" ca="1" si="195"/>
        <v>2351431.8160736002</v>
      </c>
      <c r="BB131" s="43">
        <f t="shared" ca="1" si="195"/>
        <v>2351431.8160736002</v>
      </c>
      <c r="BC131" s="43">
        <f t="shared" ca="1" si="195"/>
        <v>2351431.8160736002</v>
      </c>
      <c r="BD131" s="43">
        <f t="shared" ca="1" si="195"/>
        <v>2351431.8160736002</v>
      </c>
      <c r="BE131" s="43">
        <f t="shared" ca="1" si="195"/>
        <v>2351431.8160736002</v>
      </c>
      <c r="BF131" s="43">
        <f t="shared" ca="1" si="195"/>
        <v>2351431.8160736002</v>
      </c>
      <c r="BG131" s="43">
        <f t="shared" ca="1" si="195"/>
        <v>2351431.8160736002</v>
      </c>
      <c r="BH131" s="43">
        <f t="shared" ca="1" si="195"/>
        <v>2351431.8160736002</v>
      </c>
      <c r="BI131" s="43">
        <f t="shared" ca="1" si="195"/>
        <v>2351431.8160736002</v>
      </c>
      <c r="BJ131" s="43">
        <f t="shared" ca="1" si="195"/>
        <v>2351431.8160736002</v>
      </c>
      <c r="BK131" s="43">
        <f t="shared" ca="1" si="195"/>
        <v>2351431.8160736002</v>
      </c>
      <c r="BL131" s="43">
        <f t="shared" ca="1" si="195"/>
        <v>2351431.8160736002</v>
      </c>
      <c r="BM131" s="43">
        <f t="shared" ca="1" si="195"/>
        <v>2351431.8160736002</v>
      </c>
      <c r="BN131" s="43">
        <f t="shared" ca="1" si="195"/>
        <v>2351431.8160736002</v>
      </c>
      <c r="BO131" s="43">
        <f t="shared" ca="1" si="195"/>
        <v>2351431.8160736002</v>
      </c>
      <c r="BP131" s="43">
        <f t="shared" ca="1" si="195"/>
        <v>2351431.8160736002</v>
      </c>
      <c r="BQ131" s="43">
        <f t="shared" ca="1" si="195"/>
        <v>2351431.8160736002</v>
      </c>
      <c r="BR131" s="43">
        <f t="shared" ca="1" si="195"/>
        <v>2351431.8160736002</v>
      </c>
      <c r="BS131" s="43">
        <f t="shared" ca="1" si="195"/>
        <v>2351431.8160736002</v>
      </c>
      <c r="BT131" s="43">
        <f t="shared" ref="BT131:DC131" ca="1" si="196">BT$89-BT$114</f>
        <v>2351431.8160736002</v>
      </c>
      <c r="BU131" s="43">
        <f t="shared" ca="1" si="196"/>
        <v>2351431.8160736002</v>
      </c>
      <c r="BV131" s="43">
        <f t="shared" ca="1" si="196"/>
        <v>2351431.8160736002</v>
      </c>
      <c r="BW131" s="43">
        <f t="shared" ca="1" si="196"/>
        <v>2351431.8160736002</v>
      </c>
      <c r="BX131" s="43">
        <f t="shared" ca="1" si="196"/>
        <v>2351431.8160736002</v>
      </c>
      <c r="BY131" s="43">
        <f t="shared" ca="1" si="196"/>
        <v>2351431.8160736002</v>
      </c>
      <c r="BZ131" s="43">
        <f t="shared" ca="1" si="196"/>
        <v>2351431.8160736002</v>
      </c>
      <c r="CA131" s="43">
        <f t="shared" ca="1" si="196"/>
        <v>2351431.8160736002</v>
      </c>
      <c r="CB131" s="43">
        <f t="shared" ca="1" si="196"/>
        <v>2351431.8160736002</v>
      </c>
      <c r="CC131" s="43">
        <f t="shared" ca="1" si="196"/>
        <v>2351431.8160736002</v>
      </c>
      <c r="CD131" s="43">
        <f t="shared" ca="1" si="196"/>
        <v>2351431.8160736002</v>
      </c>
      <c r="CE131" s="43">
        <f t="shared" ca="1" si="196"/>
        <v>2351431.8160736002</v>
      </c>
      <c r="CF131" s="43">
        <f t="shared" ca="1" si="196"/>
        <v>2351431.8160736002</v>
      </c>
      <c r="CG131" s="43">
        <f t="shared" ca="1" si="196"/>
        <v>2351431.8160736002</v>
      </c>
      <c r="CH131" s="43">
        <f t="shared" ca="1" si="196"/>
        <v>2351431.8160736002</v>
      </c>
      <c r="CI131" s="43">
        <f t="shared" ca="1" si="196"/>
        <v>2351431.8160736002</v>
      </c>
      <c r="CJ131" s="43">
        <f t="shared" ca="1" si="196"/>
        <v>2351431.8160736002</v>
      </c>
      <c r="CK131" s="43">
        <f t="shared" ca="1" si="196"/>
        <v>2351431.8160736002</v>
      </c>
      <c r="CL131" s="43">
        <f t="shared" ca="1" si="196"/>
        <v>2351431.8160736002</v>
      </c>
      <c r="CM131" s="43">
        <f t="shared" ca="1" si="196"/>
        <v>2351431.8160736002</v>
      </c>
      <c r="CN131" s="43">
        <f t="shared" ca="1" si="196"/>
        <v>2351431.8160736002</v>
      </c>
      <c r="CO131" s="43">
        <f t="shared" ca="1" si="196"/>
        <v>2351431.8160736002</v>
      </c>
      <c r="CP131" s="43">
        <f t="shared" ca="1" si="196"/>
        <v>2351431.8160736002</v>
      </c>
      <c r="CQ131" s="43">
        <f t="shared" ca="1" si="196"/>
        <v>2351431.8160736002</v>
      </c>
      <c r="CR131" s="43">
        <f t="shared" ca="1" si="196"/>
        <v>2351431.8160736002</v>
      </c>
      <c r="CS131" s="43">
        <f t="shared" ca="1" si="196"/>
        <v>2351431.8160736002</v>
      </c>
      <c r="CT131" s="43">
        <f t="shared" ca="1" si="196"/>
        <v>2351431.8160736002</v>
      </c>
      <c r="CU131" s="43">
        <f t="shared" ca="1" si="196"/>
        <v>2351431.8160736002</v>
      </c>
      <c r="CV131" s="43">
        <f t="shared" ca="1" si="196"/>
        <v>2351431.8160736002</v>
      </c>
      <c r="CW131" s="43">
        <f t="shared" ca="1" si="196"/>
        <v>2351431.8160736002</v>
      </c>
      <c r="CX131" s="43">
        <f t="shared" ca="1" si="196"/>
        <v>2351431.8160736002</v>
      </c>
      <c r="CY131" s="43">
        <f t="shared" ca="1" si="196"/>
        <v>2351431.8160736002</v>
      </c>
      <c r="CZ131" s="43">
        <f t="shared" ca="1" si="196"/>
        <v>2351431.8160736002</v>
      </c>
      <c r="DA131" s="43">
        <f t="shared" ca="1" si="196"/>
        <v>2351431.8160736002</v>
      </c>
      <c r="DB131" s="43">
        <f t="shared" ca="1" si="196"/>
        <v>2351431.8160736002</v>
      </c>
      <c r="DC131" s="212">
        <f t="shared" ca="1" si="196"/>
        <v>2351431.8160736002</v>
      </c>
    </row>
    <row r="132" spans="1:110" ht="15" hidden="1" customHeight="1">
      <c r="B132" s="151" t="s">
        <v>194</v>
      </c>
      <c r="C132" s="238" t="s">
        <v>16</v>
      </c>
      <c r="D132" s="216"/>
      <c r="E132" s="219"/>
      <c r="F132" s="224">
        <f ca="1">H132+NPV(FD,I132:INDEX(I132:DC132,PAL))</f>
        <v>0</v>
      </c>
      <c r="G132" s="212">
        <f ca="1">SUMIF($H$5:$DC$5,"&lt;="&amp;PAL,$H132:$DC132)</f>
        <v>0</v>
      </c>
      <c r="H132" s="59">
        <f t="shared" ref="H132:AM132" ca="1" si="197">SUM(H$21,H$32,H$43,H$55,H$66,H$77,H$88)</f>
        <v>0</v>
      </c>
      <c r="I132" s="43">
        <f t="shared" ca="1" si="197"/>
        <v>0</v>
      </c>
      <c r="J132" s="43">
        <f t="shared" ca="1" si="197"/>
        <v>0</v>
      </c>
      <c r="K132" s="43">
        <f t="shared" ca="1" si="197"/>
        <v>0</v>
      </c>
      <c r="L132" s="43">
        <f t="shared" ca="1" si="197"/>
        <v>0</v>
      </c>
      <c r="M132" s="43">
        <f t="shared" ca="1" si="197"/>
        <v>0</v>
      </c>
      <c r="N132" s="43">
        <f t="shared" ca="1" si="197"/>
        <v>0</v>
      </c>
      <c r="O132" s="43">
        <f t="shared" ca="1" si="197"/>
        <v>0</v>
      </c>
      <c r="P132" s="43">
        <f t="shared" ca="1" si="197"/>
        <v>0</v>
      </c>
      <c r="Q132" s="43">
        <f t="shared" ca="1" si="197"/>
        <v>0</v>
      </c>
      <c r="R132" s="43">
        <f t="shared" ca="1" si="197"/>
        <v>0</v>
      </c>
      <c r="S132" s="43">
        <f t="shared" ca="1" si="197"/>
        <v>0</v>
      </c>
      <c r="T132" s="43">
        <f t="shared" ca="1" si="197"/>
        <v>0</v>
      </c>
      <c r="U132" s="43">
        <f t="shared" ca="1" si="197"/>
        <v>0</v>
      </c>
      <c r="V132" s="43">
        <f t="shared" ca="1" si="197"/>
        <v>0</v>
      </c>
      <c r="W132" s="43">
        <f t="shared" ca="1" si="197"/>
        <v>0</v>
      </c>
      <c r="X132" s="43">
        <f t="shared" ca="1" si="197"/>
        <v>0</v>
      </c>
      <c r="Y132" s="43">
        <f t="shared" ca="1" si="197"/>
        <v>0</v>
      </c>
      <c r="Z132" s="43">
        <f t="shared" ca="1" si="197"/>
        <v>0</v>
      </c>
      <c r="AA132" s="43">
        <f t="shared" ca="1" si="197"/>
        <v>0</v>
      </c>
      <c r="AB132" s="43">
        <f t="shared" ca="1" si="197"/>
        <v>0</v>
      </c>
      <c r="AC132" s="43">
        <f t="shared" ca="1" si="197"/>
        <v>0</v>
      </c>
      <c r="AD132" s="43">
        <f t="shared" ca="1" si="197"/>
        <v>0</v>
      </c>
      <c r="AE132" s="43">
        <f t="shared" ca="1" si="197"/>
        <v>0</v>
      </c>
      <c r="AF132" s="43">
        <f t="shared" ca="1" si="197"/>
        <v>0</v>
      </c>
      <c r="AG132" s="43">
        <f t="shared" ca="1" si="197"/>
        <v>0</v>
      </c>
      <c r="AH132" s="43">
        <f t="shared" ca="1" si="197"/>
        <v>0</v>
      </c>
      <c r="AI132" s="43">
        <f t="shared" ca="1" si="197"/>
        <v>0</v>
      </c>
      <c r="AJ132" s="43">
        <f t="shared" ca="1" si="197"/>
        <v>0</v>
      </c>
      <c r="AK132" s="43">
        <f t="shared" ca="1" si="197"/>
        <v>0</v>
      </c>
      <c r="AL132" s="43">
        <f t="shared" ca="1" si="197"/>
        <v>0</v>
      </c>
      <c r="AM132" s="43">
        <f t="shared" ca="1" si="197"/>
        <v>0</v>
      </c>
      <c r="AN132" s="43">
        <f t="shared" ref="AN132:BS132" ca="1" si="198">SUM(AN$21,AN$32,AN$43,AN$55,AN$66,AN$77,AN$88)</f>
        <v>0</v>
      </c>
      <c r="AO132" s="43">
        <f t="shared" ca="1" si="198"/>
        <v>0</v>
      </c>
      <c r="AP132" s="43">
        <f t="shared" ca="1" si="198"/>
        <v>0</v>
      </c>
      <c r="AQ132" s="43">
        <f t="shared" ca="1" si="198"/>
        <v>0</v>
      </c>
      <c r="AR132" s="43">
        <f t="shared" ca="1" si="198"/>
        <v>0</v>
      </c>
      <c r="AS132" s="43">
        <f t="shared" ca="1" si="198"/>
        <v>0</v>
      </c>
      <c r="AT132" s="43">
        <f t="shared" ca="1" si="198"/>
        <v>0</v>
      </c>
      <c r="AU132" s="43">
        <f t="shared" ca="1" si="198"/>
        <v>0</v>
      </c>
      <c r="AV132" s="43">
        <f t="shared" ca="1" si="198"/>
        <v>0</v>
      </c>
      <c r="AW132" s="43">
        <f t="shared" ca="1" si="198"/>
        <v>0</v>
      </c>
      <c r="AX132" s="43">
        <f t="shared" ca="1" si="198"/>
        <v>0</v>
      </c>
      <c r="AY132" s="43">
        <f t="shared" ca="1" si="198"/>
        <v>0</v>
      </c>
      <c r="AZ132" s="43">
        <f t="shared" ca="1" si="198"/>
        <v>0</v>
      </c>
      <c r="BA132" s="43">
        <f t="shared" ca="1" si="198"/>
        <v>0</v>
      </c>
      <c r="BB132" s="43">
        <f t="shared" ca="1" si="198"/>
        <v>0</v>
      </c>
      <c r="BC132" s="43">
        <f t="shared" ca="1" si="198"/>
        <v>0</v>
      </c>
      <c r="BD132" s="43">
        <f t="shared" ca="1" si="198"/>
        <v>0</v>
      </c>
      <c r="BE132" s="43">
        <f t="shared" ca="1" si="198"/>
        <v>0</v>
      </c>
      <c r="BF132" s="43">
        <f t="shared" ca="1" si="198"/>
        <v>0</v>
      </c>
      <c r="BG132" s="43">
        <f t="shared" ca="1" si="198"/>
        <v>0</v>
      </c>
      <c r="BH132" s="43">
        <f t="shared" ca="1" si="198"/>
        <v>0</v>
      </c>
      <c r="BI132" s="43">
        <f t="shared" ca="1" si="198"/>
        <v>0</v>
      </c>
      <c r="BJ132" s="43">
        <f t="shared" ca="1" si="198"/>
        <v>0</v>
      </c>
      <c r="BK132" s="43">
        <f t="shared" ca="1" si="198"/>
        <v>0</v>
      </c>
      <c r="BL132" s="43">
        <f t="shared" ca="1" si="198"/>
        <v>0</v>
      </c>
      <c r="BM132" s="43">
        <f t="shared" ca="1" si="198"/>
        <v>0</v>
      </c>
      <c r="BN132" s="43">
        <f t="shared" ca="1" si="198"/>
        <v>0</v>
      </c>
      <c r="BO132" s="43">
        <f t="shared" ca="1" si="198"/>
        <v>0</v>
      </c>
      <c r="BP132" s="43">
        <f t="shared" ca="1" si="198"/>
        <v>0</v>
      </c>
      <c r="BQ132" s="43">
        <f t="shared" ca="1" si="198"/>
        <v>0</v>
      </c>
      <c r="BR132" s="43">
        <f t="shared" ca="1" si="198"/>
        <v>0</v>
      </c>
      <c r="BS132" s="43">
        <f t="shared" ca="1" si="198"/>
        <v>0</v>
      </c>
      <c r="BT132" s="43">
        <f t="shared" ref="BT132:DC132" ca="1" si="199">SUM(BT$21,BT$32,BT$43,BT$55,BT$66,BT$77,BT$88)</f>
        <v>0</v>
      </c>
      <c r="BU132" s="43">
        <f t="shared" ca="1" si="199"/>
        <v>0</v>
      </c>
      <c r="BV132" s="43">
        <f t="shared" ca="1" si="199"/>
        <v>0</v>
      </c>
      <c r="BW132" s="43">
        <f t="shared" ca="1" si="199"/>
        <v>0</v>
      </c>
      <c r="BX132" s="43">
        <f t="shared" ca="1" si="199"/>
        <v>0</v>
      </c>
      <c r="BY132" s="43">
        <f t="shared" ca="1" si="199"/>
        <v>0</v>
      </c>
      <c r="BZ132" s="43">
        <f t="shared" ca="1" si="199"/>
        <v>0</v>
      </c>
      <c r="CA132" s="43">
        <f t="shared" ca="1" si="199"/>
        <v>0</v>
      </c>
      <c r="CB132" s="43">
        <f t="shared" ca="1" si="199"/>
        <v>0</v>
      </c>
      <c r="CC132" s="43">
        <f t="shared" ca="1" si="199"/>
        <v>0</v>
      </c>
      <c r="CD132" s="43">
        <f t="shared" ca="1" si="199"/>
        <v>0</v>
      </c>
      <c r="CE132" s="43">
        <f t="shared" ca="1" si="199"/>
        <v>0</v>
      </c>
      <c r="CF132" s="43">
        <f t="shared" ca="1" si="199"/>
        <v>0</v>
      </c>
      <c r="CG132" s="43">
        <f t="shared" ca="1" si="199"/>
        <v>0</v>
      </c>
      <c r="CH132" s="43">
        <f t="shared" ca="1" si="199"/>
        <v>0</v>
      </c>
      <c r="CI132" s="43">
        <f t="shared" ca="1" si="199"/>
        <v>0</v>
      </c>
      <c r="CJ132" s="43">
        <f t="shared" ca="1" si="199"/>
        <v>0</v>
      </c>
      <c r="CK132" s="43">
        <f t="shared" ca="1" si="199"/>
        <v>0</v>
      </c>
      <c r="CL132" s="43">
        <f t="shared" ca="1" si="199"/>
        <v>0</v>
      </c>
      <c r="CM132" s="43">
        <f t="shared" ca="1" si="199"/>
        <v>0</v>
      </c>
      <c r="CN132" s="43">
        <f t="shared" ca="1" si="199"/>
        <v>0</v>
      </c>
      <c r="CO132" s="43">
        <f t="shared" ca="1" si="199"/>
        <v>0</v>
      </c>
      <c r="CP132" s="43">
        <f t="shared" ca="1" si="199"/>
        <v>0</v>
      </c>
      <c r="CQ132" s="43">
        <f t="shared" ca="1" si="199"/>
        <v>0</v>
      </c>
      <c r="CR132" s="43">
        <f t="shared" ca="1" si="199"/>
        <v>0</v>
      </c>
      <c r="CS132" s="43">
        <f t="shared" ca="1" si="199"/>
        <v>0</v>
      </c>
      <c r="CT132" s="43">
        <f t="shared" ca="1" si="199"/>
        <v>0</v>
      </c>
      <c r="CU132" s="43">
        <f t="shared" ca="1" si="199"/>
        <v>0</v>
      </c>
      <c r="CV132" s="43">
        <f t="shared" ca="1" si="199"/>
        <v>0</v>
      </c>
      <c r="CW132" s="43">
        <f t="shared" ca="1" si="199"/>
        <v>0</v>
      </c>
      <c r="CX132" s="43">
        <f t="shared" ca="1" si="199"/>
        <v>0</v>
      </c>
      <c r="CY132" s="43">
        <f t="shared" ca="1" si="199"/>
        <v>0</v>
      </c>
      <c r="CZ132" s="43">
        <f t="shared" ca="1" si="199"/>
        <v>0</v>
      </c>
      <c r="DA132" s="43">
        <f t="shared" ca="1" si="199"/>
        <v>0</v>
      </c>
      <c r="DB132" s="43">
        <f t="shared" ca="1" si="199"/>
        <v>0</v>
      </c>
      <c r="DC132" s="212">
        <f t="shared" ca="1" si="199"/>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AM133" ca="1" si="200">I132-SUMPRODUCT(I$21:I$88,$DI$21:$DI$88)</f>
        <v>0</v>
      </c>
      <c r="J133" s="43">
        <f t="shared" ca="1" si="200"/>
        <v>0</v>
      </c>
      <c r="K133" s="43">
        <f t="shared" ca="1" si="200"/>
        <v>0</v>
      </c>
      <c r="L133" s="43">
        <f t="shared" ca="1" si="200"/>
        <v>0</v>
      </c>
      <c r="M133" s="43">
        <f t="shared" ca="1" si="200"/>
        <v>0</v>
      </c>
      <c r="N133" s="43">
        <f t="shared" ca="1" si="200"/>
        <v>0</v>
      </c>
      <c r="O133" s="43">
        <f t="shared" ca="1" si="200"/>
        <v>0</v>
      </c>
      <c r="P133" s="43">
        <f t="shared" ca="1" si="200"/>
        <v>0</v>
      </c>
      <c r="Q133" s="43">
        <f t="shared" ca="1" si="200"/>
        <v>0</v>
      </c>
      <c r="R133" s="43">
        <f t="shared" ca="1" si="200"/>
        <v>0</v>
      </c>
      <c r="S133" s="43">
        <f t="shared" ca="1" si="200"/>
        <v>0</v>
      </c>
      <c r="T133" s="43">
        <f t="shared" ca="1" si="200"/>
        <v>0</v>
      </c>
      <c r="U133" s="43">
        <f t="shared" ca="1" si="200"/>
        <v>0</v>
      </c>
      <c r="V133" s="43">
        <f t="shared" ca="1" si="200"/>
        <v>0</v>
      </c>
      <c r="W133" s="43">
        <f ca="1">W132-SUMPRODUCT(W$21:W$88,$DH$21:$DH$88)</f>
        <v>0</v>
      </c>
      <c r="X133" s="43">
        <f t="shared" ca="1" si="200"/>
        <v>0</v>
      </c>
      <c r="Y133" s="43">
        <f t="shared" ca="1" si="200"/>
        <v>0</v>
      </c>
      <c r="Z133" s="43">
        <f t="shared" ca="1" si="200"/>
        <v>0</v>
      </c>
      <c r="AA133" s="43">
        <f t="shared" ca="1" si="200"/>
        <v>0</v>
      </c>
      <c r="AB133" s="43">
        <f t="shared" ca="1" si="200"/>
        <v>0</v>
      </c>
      <c r="AC133" s="43">
        <f t="shared" ca="1" si="200"/>
        <v>0</v>
      </c>
      <c r="AD133" s="43">
        <f t="shared" ca="1" si="200"/>
        <v>0</v>
      </c>
      <c r="AE133" s="43">
        <f t="shared" ca="1" si="200"/>
        <v>0</v>
      </c>
      <c r="AF133" s="43">
        <f t="shared" ca="1" si="200"/>
        <v>0</v>
      </c>
      <c r="AG133" s="43">
        <f t="shared" ca="1" si="200"/>
        <v>0</v>
      </c>
      <c r="AH133" s="43">
        <f t="shared" ca="1" si="200"/>
        <v>0</v>
      </c>
      <c r="AI133" s="43">
        <f t="shared" ca="1" si="200"/>
        <v>0</v>
      </c>
      <c r="AJ133" s="43">
        <f t="shared" ca="1" si="200"/>
        <v>0</v>
      </c>
      <c r="AK133" s="43">
        <f t="shared" ca="1" si="200"/>
        <v>0</v>
      </c>
      <c r="AL133" s="43">
        <f t="shared" ca="1" si="200"/>
        <v>0</v>
      </c>
      <c r="AM133" s="43">
        <f t="shared" ca="1" si="200"/>
        <v>0</v>
      </c>
      <c r="AN133" s="43">
        <f t="shared" ref="AN133:BS133" ca="1" si="201">AN132-SUMPRODUCT(AN$21:AN$88,$DI$21:$DI$88)</f>
        <v>0</v>
      </c>
      <c r="AO133" s="43">
        <f t="shared" ca="1" si="201"/>
        <v>0</v>
      </c>
      <c r="AP133" s="43">
        <f t="shared" ca="1" si="201"/>
        <v>0</v>
      </c>
      <c r="AQ133" s="43">
        <f t="shared" ca="1" si="201"/>
        <v>0</v>
      </c>
      <c r="AR133" s="43">
        <f t="shared" ca="1" si="201"/>
        <v>0</v>
      </c>
      <c r="AS133" s="43">
        <f t="shared" ca="1" si="201"/>
        <v>0</v>
      </c>
      <c r="AT133" s="43">
        <f t="shared" ca="1" si="201"/>
        <v>0</v>
      </c>
      <c r="AU133" s="43">
        <f t="shared" ca="1" si="201"/>
        <v>0</v>
      </c>
      <c r="AV133" s="43">
        <f t="shared" ca="1" si="201"/>
        <v>0</v>
      </c>
      <c r="AW133" s="43">
        <f t="shared" ca="1" si="201"/>
        <v>0</v>
      </c>
      <c r="AX133" s="43">
        <f t="shared" ca="1" si="201"/>
        <v>0</v>
      </c>
      <c r="AY133" s="43">
        <f t="shared" ca="1" si="201"/>
        <v>0</v>
      </c>
      <c r="AZ133" s="43">
        <f t="shared" ca="1" si="201"/>
        <v>0</v>
      </c>
      <c r="BA133" s="43">
        <f t="shared" ca="1" si="201"/>
        <v>0</v>
      </c>
      <c r="BB133" s="43">
        <f t="shared" ca="1" si="201"/>
        <v>0</v>
      </c>
      <c r="BC133" s="43">
        <f t="shared" ca="1" si="201"/>
        <v>0</v>
      </c>
      <c r="BD133" s="43">
        <f t="shared" ca="1" si="201"/>
        <v>0</v>
      </c>
      <c r="BE133" s="43">
        <f t="shared" ca="1" si="201"/>
        <v>0</v>
      </c>
      <c r="BF133" s="43">
        <f t="shared" ca="1" si="201"/>
        <v>0</v>
      </c>
      <c r="BG133" s="43">
        <f t="shared" ca="1" si="201"/>
        <v>0</v>
      </c>
      <c r="BH133" s="43">
        <f t="shared" ca="1" si="201"/>
        <v>0</v>
      </c>
      <c r="BI133" s="43">
        <f t="shared" ca="1" si="201"/>
        <v>0</v>
      </c>
      <c r="BJ133" s="43">
        <f t="shared" ca="1" si="201"/>
        <v>0</v>
      </c>
      <c r="BK133" s="43">
        <f t="shared" ca="1" si="201"/>
        <v>0</v>
      </c>
      <c r="BL133" s="43">
        <f t="shared" ca="1" si="201"/>
        <v>0</v>
      </c>
      <c r="BM133" s="43">
        <f t="shared" ca="1" si="201"/>
        <v>0</v>
      </c>
      <c r="BN133" s="43">
        <f t="shared" ca="1" si="201"/>
        <v>0</v>
      </c>
      <c r="BO133" s="43">
        <f t="shared" ca="1" si="201"/>
        <v>0</v>
      </c>
      <c r="BP133" s="43">
        <f t="shared" ca="1" si="201"/>
        <v>0</v>
      </c>
      <c r="BQ133" s="43">
        <f t="shared" ca="1" si="201"/>
        <v>0</v>
      </c>
      <c r="BR133" s="43">
        <f t="shared" ca="1" si="201"/>
        <v>0</v>
      </c>
      <c r="BS133" s="43">
        <f t="shared" ca="1" si="201"/>
        <v>0</v>
      </c>
      <c r="BT133" s="43">
        <f t="shared" ref="BT133:CY133" ca="1" si="202">BT132-SUMPRODUCT(BT$21:BT$88,$DI$21:$DI$88)</f>
        <v>0</v>
      </c>
      <c r="BU133" s="43">
        <f t="shared" ca="1" si="202"/>
        <v>0</v>
      </c>
      <c r="BV133" s="43">
        <f t="shared" ca="1" si="202"/>
        <v>0</v>
      </c>
      <c r="BW133" s="43">
        <f t="shared" ca="1" si="202"/>
        <v>0</v>
      </c>
      <c r="BX133" s="43">
        <f t="shared" ca="1" si="202"/>
        <v>0</v>
      </c>
      <c r="BY133" s="43">
        <f t="shared" ca="1" si="202"/>
        <v>0</v>
      </c>
      <c r="BZ133" s="43">
        <f t="shared" ca="1" si="202"/>
        <v>0</v>
      </c>
      <c r="CA133" s="43">
        <f t="shared" ca="1" si="202"/>
        <v>0</v>
      </c>
      <c r="CB133" s="43">
        <f t="shared" ca="1" si="202"/>
        <v>0</v>
      </c>
      <c r="CC133" s="43">
        <f t="shared" ca="1" si="202"/>
        <v>0</v>
      </c>
      <c r="CD133" s="43">
        <f t="shared" ca="1" si="202"/>
        <v>0</v>
      </c>
      <c r="CE133" s="43">
        <f t="shared" ca="1" si="202"/>
        <v>0</v>
      </c>
      <c r="CF133" s="43">
        <f t="shared" ca="1" si="202"/>
        <v>0</v>
      </c>
      <c r="CG133" s="43">
        <f t="shared" ca="1" si="202"/>
        <v>0</v>
      </c>
      <c r="CH133" s="43">
        <f t="shared" ca="1" si="202"/>
        <v>0</v>
      </c>
      <c r="CI133" s="43">
        <f t="shared" ca="1" si="202"/>
        <v>0</v>
      </c>
      <c r="CJ133" s="43">
        <f t="shared" ca="1" si="202"/>
        <v>0</v>
      </c>
      <c r="CK133" s="43">
        <f t="shared" ca="1" si="202"/>
        <v>0</v>
      </c>
      <c r="CL133" s="43">
        <f t="shared" ca="1" si="202"/>
        <v>0</v>
      </c>
      <c r="CM133" s="43">
        <f t="shared" ca="1" si="202"/>
        <v>0</v>
      </c>
      <c r="CN133" s="43">
        <f t="shared" ca="1" si="202"/>
        <v>0</v>
      </c>
      <c r="CO133" s="43">
        <f t="shared" ca="1" si="202"/>
        <v>0</v>
      </c>
      <c r="CP133" s="43">
        <f t="shared" ca="1" si="202"/>
        <v>0</v>
      </c>
      <c r="CQ133" s="43">
        <f t="shared" ca="1" si="202"/>
        <v>0</v>
      </c>
      <c r="CR133" s="43">
        <f t="shared" ca="1" si="202"/>
        <v>0</v>
      </c>
      <c r="CS133" s="43">
        <f t="shared" ca="1" si="202"/>
        <v>0</v>
      </c>
      <c r="CT133" s="43">
        <f t="shared" ca="1" si="202"/>
        <v>0</v>
      </c>
      <c r="CU133" s="43">
        <f t="shared" ca="1" si="202"/>
        <v>0</v>
      </c>
      <c r="CV133" s="43">
        <f t="shared" ca="1" si="202"/>
        <v>0</v>
      </c>
      <c r="CW133" s="43">
        <f t="shared" ca="1" si="202"/>
        <v>0</v>
      </c>
      <c r="CX133" s="43">
        <f t="shared" ca="1" si="202"/>
        <v>0</v>
      </c>
      <c r="CY133" s="43">
        <f t="shared" ca="1" si="202"/>
        <v>0</v>
      </c>
      <c r="CZ133" s="43">
        <f ca="1">CZ132-SUMPRODUCT(CZ$21:CZ$88,$DI$21:$DI$88)</f>
        <v>0</v>
      </c>
      <c r="DA133" s="43">
        <f ca="1">DA132-SUMPRODUCT(DA$21:DA$88,$DI$21:$DI$88)</f>
        <v>0</v>
      </c>
      <c r="DB133" s="43">
        <f ca="1">DB132-SUMPRODUCT(DB$21:DB$88,$DI$21:$DI$88)</f>
        <v>0</v>
      </c>
      <c r="DC133" s="212">
        <f ca="1">DC132-SUMPRODUCT(DC$21:DC$88,$DI$21:$DI$88)</f>
        <v>0</v>
      </c>
    </row>
    <row r="134" spans="1:110" ht="15" hidden="1" customHeight="1" thickBot="1">
      <c r="B134" s="152" t="s">
        <v>241</v>
      </c>
      <c r="C134" s="240" t="s">
        <v>162</v>
      </c>
      <c r="D134" s="241"/>
      <c r="E134" s="239"/>
      <c r="F134" s="224">
        <f ca="1">H134+NPV(SD,I134:INDEX(I134:DC134,PAL))</f>
        <v>867683822.31458926</v>
      </c>
      <c r="G134" s="212">
        <f ca="1">SUMIF($H$5:$DC$5,"&lt;="&amp;PAL,$H134:$DC134)</f>
        <v>1539290277.0868366</v>
      </c>
      <c r="H134" s="217">
        <f ca="1">H117-H130-H131+H133</f>
        <v>-1730000</v>
      </c>
      <c r="I134" s="213">
        <f t="shared" ref="I134:AK134" ca="1" si="203">I117-I130-I131+I133</f>
        <v>-4024786.0065815868</v>
      </c>
      <c r="J134" s="213">
        <f t="shared" ca="1" si="203"/>
        <v>22265599.578948144</v>
      </c>
      <c r="K134" s="213">
        <f t="shared" ca="1" si="203"/>
        <v>28709142.279786728</v>
      </c>
      <c r="L134" s="213">
        <f t="shared" ca="1" si="203"/>
        <v>69459460.830231205</v>
      </c>
      <c r="M134" s="213">
        <f t="shared" ca="1" si="203"/>
        <v>71445631.09792158</v>
      </c>
      <c r="N134" s="213">
        <f t="shared" ca="1" si="203"/>
        <v>73519647.25253959</v>
      </c>
      <c r="O134" s="213">
        <f t="shared" ca="1" si="203"/>
        <v>75634217.724130914</v>
      </c>
      <c r="P134" s="213">
        <f t="shared" ca="1" si="203"/>
        <v>77807107.790779978</v>
      </c>
      <c r="Q134" s="213">
        <f t="shared" ca="1" si="203"/>
        <v>80039967.295455784</v>
      </c>
      <c r="R134" s="213">
        <f t="shared" ca="1" si="203"/>
        <v>82235319.556247279</v>
      </c>
      <c r="S134" s="213">
        <f t="shared" ca="1" si="203"/>
        <v>84494083.371863171</v>
      </c>
      <c r="T134" s="213">
        <f t="shared" ca="1" si="203"/>
        <v>87016400.850734755</v>
      </c>
      <c r="U134" s="213">
        <f t="shared" ca="1" si="203"/>
        <v>89407423.957391798</v>
      </c>
      <c r="V134" s="213">
        <f t="shared" ca="1" si="203"/>
        <v>92164919.281372473</v>
      </c>
      <c r="W134" s="213">
        <f t="shared" ca="1" si="203"/>
        <v>94794972.02157335</v>
      </c>
      <c r="X134" s="213">
        <f t="shared" ca="1" si="203"/>
        <v>97497937.947568864</v>
      </c>
      <c r="Y134" s="213">
        <f t="shared" ca="1" si="203"/>
        <v>100275883.00855473</v>
      </c>
      <c r="Z134" s="213">
        <f t="shared" ca="1" si="203"/>
        <v>103130932.07879148</v>
      </c>
      <c r="AA134" s="213">
        <f t="shared" ca="1" si="203"/>
        <v>106065270.6425043</v>
      </c>
      <c r="AB134" s="213">
        <f t="shared" ca="1" si="203"/>
        <v>109081146.52702267</v>
      </c>
      <c r="AC134" s="213" t="e">
        <f t="shared" ca="1" si="203"/>
        <v>#REF!</v>
      </c>
      <c r="AD134" s="213" t="e">
        <f t="shared" ca="1" si="203"/>
        <v>#REF!</v>
      </c>
      <c r="AE134" s="213" t="e">
        <f t="shared" ca="1" si="203"/>
        <v>#REF!</v>
      </c>
      <c r="AF134" s="213" t="e">
        <f t="shared" ca="1" si="203"/>
        <v>#REF!</v>
      </c>
      <c r="AG134" s="213" t="e">
        <f t="shared" ca="1" si="203"/>
        <v>#REF!</v>
      </c>
      <c r="AH134" s="213" t="e">
        <f t="shared" ca="1" si="203"/>
        <v>#REF!</v>
      </c>
      <c r="AI134" s="213" t="e">
        <f t="shared" ca="1" si="203"/>
        <v>#REF!</v>
      </c>
      <c r="AJ134" s="213" t="e">
        <f t="shared" ca="1" si="203"/>
        <v>#REF!</v>
      </c>
      <c r="AK134" s="213" t="e">
        <f t="shared" ca="1" si="203"/>
        <v>#REF!</v>
      </c>
      <c r="AL134" s="213" t="e">
        <f t="shared" ref="AL134:BQ134" ca="1" si="204">AL117-AL130-AL131+AL133</f>
        <v>#REF!</v>
      </c>
      <c r="AM134" s="213" t="e">
        <f t="shared" ca="1" si="204"/>
        <v>#REF!</v>
      </c>
      <c r="AN134" s="213" t="e">
        <f t="shared" ca="1" si="204"/>
        <v>#REF!</v>
      </c>
      <c r="AO134" s="213" t="e">
        <f t="shared" ca="1" si="204"/>
        <v>#REF!</v>
      </c>
      <c r="AP134" s="213" t="e">
        <f t="shared" ca="1" si="204"/>
        <v>#REF!</v>
      </c>
      <c r="AQ134" s="213" t="e">
        <f t="shared" ca="1" si="204"/>
        <v>#REF!</v>
      </c>
      <c r="AR134" s="213" t="e">
        <f t="shared" ca="1" si="204"/>
        <v>#REF!</v>
      </c>
      <c r="AS134" s="213" t="e">
        <f t="shared" ca="1" si="204"/>
        <v>#REF!</v>
      </c>
      <c r="AT134" s="213" t="e">
        <f t="shared" ca="1" si="204"/>
        <v>#REF!</v>
      </c>
      <c r="AU134" s="213" t="e">
        <f t="shared" ca="1" si="204"/>
        <v>#REF!</v>
      </c>
      <c r="AV134" s="213" t="e">
        <f t="shared" ca="1" si="204"/>
        <v>#REF!</v>
      </c>
      <c r="AW134" s="213" t="e">
        <f t="shared" ca="1" si="204"/>
        <v>#REF!</v>
      </c>
      <c r="AX134" s="213" t="e">
        <f t="shared" ca="1" si="204"/>
        <v>#REF!</v>
      </c>
      <c r="AY134" s="213" t="e">
        <f t="shared" ca="1" si="204"/>
        <v>#REF!</v>
      </c>
      <c r="AZ134" s="213" t="e">
        <f t="shared" ca="1" si="204"/>
        <v>#REF!</v>
      </c>
      <c r="BA134" s="213" t="e">
        <f t="shared" ca="1" si="204"/>
        <v>#REF!</v>
      </c>
      <c r="BB134" s="213" t="e">
        <f t="shared" ca="1" si="204"/>
        <v>#REF!</v>
      </c>
      <c r="BC134" s="213" t="e">
        <f t="shared" ca="1" si="204"/>
        <v>#REF!</v>
      </c>
      <c r="BD134" s="213" t="e">
        <f t="shared" ca="1" si="204"/>
        <v>#REF!</v>
      </c>
      <c r="BE134" s="213" t="e">
        <f t="shared" ca="1" si="204"/>
        <v>#REF!</v>
      </c>
      <c r="BF134" s="213" t="e">
        <f t="shared" ca="1" si="204"/>
        <v>#REF!</v>
      </c>
      <c r="BG134" s="213" t="e">
        <f t="shared" ca="1" si="204"/>
        <v>#REF!</v>
      </c>
      <c r="BH134" s="213" t="e">
        <f t="shared" ca="1" si="204"/>
        <v>#REF!</v>
      </c>
      <c r="BI134" s="213" t="e">
        <f t="shared" ca="1" si="204"/>
        <v>#REF!</v>
      </c>
      <c r="BJ134" s="213" t="e">
        <f t="shared" ca="1" si="204"/>
        <v>#REF!</v>
      </c>
      <c r="BK134" s="213" t="e">
        <f t="shared" ca="1" si="204"/>
        <v>#REF!</v>
      </c>
      <c r="BL134" s="213" t="e">
        <f t="shared" ca="1" si="204"/>
        <v>#REF!</v>
      </c>
      <c r="BM134" s="213" t="e">
        <f t="shared" ca="1" si="204"/>
        <v>#REF!</v>
      </c>
      <c r="BN134" s="213" t="e">
        <f t="shared" ca="1" si="204"/>
        <v>#REF!</v>
      </c>
      <c r="BO134" s="213" t="e">
        <f t="shared" ca="1" si="204"/>
        <v>#REF!</v>
      </c>
      <c r="BP134" s="213" t="e">
        <f t="shared" ca="1" si="204"/>
        <v>#REF!</v>
      </c>
      <c r="BQ134" s="213" t="e">
        <f t="shared" ca="1" si="204"/>
        <v>#REF!</v>
      </c>
      <c r="BR134" s="213" t="e">
        <f t="shared" ref="BR134:CW134" ca="1" si="205">BR117-BR130-BR131+BR133</f>
        <v>#REF!</v>
      </c>
      <c r="BS134" s="213" t="e">
        <f t="shared" ca="1" si="205"/>
        <v>#REF!</v>
      </c>
      <c r="BT134" s="213" t="e">
        <f t="shared" ca="1" si="205"/>
        <v>#REF!</v>
      </c>
      <c r="BU134" s="213" t="e">
        <f t="shared" ca="1" si="205"/>
        <v>#REF!</v>
      </c>
      <c r="BV134" s="213" t="e">
        <f t="shared" ca="1" si="205"/>
        <v>#REF!</v>
      </c>
      <c r="BW134" s="213" t="e">
        <f t="shared" ca="1" si="205"/>
        <v>#REF!</v>
      </c>
      <c r="BX134" s="213" t="e">
        <f t="shared" ca="1" si="205"/>
        <v>#REF!</v>
      </c>
      <c r="BY134" s="213" t="e">
        <f t="shared" ca="1" si="205"/>
        <v>#REF!</v>
      </c>
      <c r="BZ134" s="213" t="e">
        <f t="shared" ca="1" si="205"/>
        <v>#REF!</v>
      </c>
      <c r="CA134" s="213" t="e">
        <f t="shared" ca="1" si="205"/>
        <v>#REF!</v>
      </c>
      <c r="CB134" s="213" t="e">
        <f t="shared" ca="1" si="205"/>
        <v>#REF!</v>
      </c>
      <c r="CC134" s="213" t="e">
        <f t="shared" ca="1" si="205"/>
        <v>#REF!</v>
      </c>
      <c r="CD134" s="213" t="e">
        <f t="shared" ca="1" si="205"/>
        <v>#REF!</v>
      </c>
      <c r="CE134" s="213" t="e">
        <f t="shared" ca="1" si="205"/>
        <v>#REF!</v>
      </c>
      <c r="CF134" s="213" t="e">
        <f t="shared" ca="1" si="205"/>
        <v>#REF!</v>
      </c>
      <c r="CG134" s="213" t="e">
        <f t="shared" ca="1" si="205"/>
        <v>#REF!</v>
      </c>
      <c r="CH134" s="213" t="e">
        <f t="shared" ca="1" si="205"/>
        <v>#REF!</v>
      </c>
      <c r="CI134" s="213" t="e">
        <f t="shared" ca="1" si="205"/>
        <v>#REF!</v>
      </c>
      <c r="CJ134" s="213" t="e">
        <f t="shared" ca="1" si="205"/>
        <v>#REF!</v>
      </c>
      <c r="CK134" s="213" t="e">
        <f t="shared" ca="1" si="205"/>
        <v>#REF!</v>
      </c>
      <c r="CL134" s="213" t="e">
        <f t="shared" ca="1" si="205"/>
        <v>#REF!</v>
      </c>
      <c r="CM134" s="213" t="e">
        <f t="shared" ca="1" si="205"/>
        <v>#REF!</v>
      </c>
      <c r="CN134" s="213" t="e">
        <f t="shared" ca="1" si="205"/>
        <v>#REF!</v>
      </c>
      <c r="CO134" s="213" t="e">
        <f t="shared" ca="1" si="205"/>
        <v>#REF!</v>
      </c>
      <c r="CP134" s="213" t="e">
        <f t="shared" ca="1" si="205"/>
        <v>#REF!</v>
      </c>
      <c r="CQ134" s="213" t="e">
        <f t="shared" ca="1" si="205"/>
        <v>#REF!</v>
      </c>
      <c r="CR134" s="213" t="e">
        <f t="shared" ca="1" si="205"/>
        <v>#REF!</v>
      </c>
      <c r="CS134" s="213" t="e">
        <f t="shared" ca="1" si="205"/>
        <v>#REF!</v>
      </c>
      <c r="CT134" s="213" t="e">
        <f t="shared" ca="1" si="205"/>
        <v>#REF!</v>
      </c>
      <c r="CU134" s="213" t="e">
        <f t="shared" ca="1" si="205"/>
        <v>#REF!</v>
      </c>
      <c r="CV134" s="213" t="e">
        <f t="shared" ca="1" si="205"/>
        <v>#REF!</v>
      </c>
      <c r="CW134" s="213" t="e">
        <f t="shared" ca="1" si="205"/>
        <v>#REF!</v>
      </c>
      <c r="CX134" s="213" t="e">
        <f t="shared" ref="CX134:DC134" ca="1" si="206">CX117-CX130-CX131+CX133</f>
        <v>#REF!</v>
      </c>
      <c r="CY134" s="213" t="e">
        <f t="shared" ca="1" si="206"/>
        <v>#REF!</v>
      </c>
      <c r="CZ134" s="213" t="e">
        <f t="shared" ca="1" si="206"/>
        <v>#REF!</v>
      </c>
      <c r="DA134" s="213" t="e">
        <f t="shared" ca="1" si="206"/>
        <v>#REF!</v>
      </c>
      <c r="DB134" s="213" t="e">
        <f t="shared" ca="1" si="206"/>
        <v>#REF!</v>
      </c>
      <c r="DC134" s="214" t="e">
        <f t="shared" ca="1" si="206"/>
        <v>#REF!</v>
      </c>
    </row>
    <row r="135" spans="1:110" ht="15" hidden="1" customHeight="1">
      <c r="B135" s="199" t="s">
        <v>242</v>
      </c>
      <c r="C135" s="228" t="s">
        <v>265</v>
      </c>
      <c r="D135" s="228"/>
      <c r="E135" s="228"/>
      <c r="F135" s="222">
        <f ca="1">H135+NPV(FD,I135:INDEX(I135:DC135,PAL))</f>
        <v>133444251.35367091</v>
      </c>
      <c r="G135" s="50">
        <f ca="1">SUMIF($H$5:$DC$5,"&lt;="&amp;PAL,$H135:$DC135)</f>
        <v>198594640.95093948</v>
      </c>
      <c r="H135" s="249">
        <f ca="1">H$7-H$112</f>
        <v>1708000</v>
      </c>
      <c r="I135" s="242">
        <f t="shared" ref="I135:BT135" ca="1" si="207">I$7-I$112</f>
        <v>4892303.081581587</v>
      </c>
      <c r="J135" s="242">
        <f t="shared" ca="1" si="207"/>
        <v>7497111.0040018354</v>
      </c>
      <c r="K135" s="242">
        <f t="shared" ca="1" si="207"/>
        <v>10775045.98287791</v>
      </c>
      <c r="L135" s="242">
        <f t="shared" ca="1" si="207"/>
        <v>10182652.594448159</v>
      </c>
      <c r="M135" s="242">
        <f t="shared" ca="1" si="207"/>
        <v>10199181.520067994</v>
      </c>
      <c r="N135" s="242">
        <f t="shared" ca="1" si="207"/>
        <v>10183020.3630432</v>
      </c>
      <c r="O135" s="242">
        <f t="shared" ca="1" si="207"/>
        <v>10183020.3630432</v>
      </c>
      <c r="P135" s="242">
        <f t="shared" ca="1" si="207"/>
        <v>10183020.3630432</v>
      </c>
      <c r="Q135" s="242">
        <f t="shared" ca="1" si="207"/>
        <v>10183020.3630432</v>
      </c>
      <c r="R135" s="242">
        <f t="shared" ca="1" si="207"/>
        <v>10282193.916762209</v>
      </c>
      <c r="S135" s="242">
        <f t="shared" ca="1" si="207"/>
        <v>10381367.470481217</v>
      </c>
      <c r="T135" s="242">
        <f t="shared" ca="1" si="207"/>
        <v>10282193.916762209</v>
      </c>
      <c r="U135" s="242">
        <f t="shared" ca="1" si="207"/>
        <v>10381367.470481217</v>
      </c>
      <c r="V135" s="242">
        <f t="shared" ca="1" si="207"/>
        <v>10183020.3630432</v>
      </c>
      <c r="W135" s="242">
        <f t="shared" ca="1" si="207"/>
        <v>10183020.3630432</v>
      </c>
      <c r="X135" s="242">
        <f t="shared" ca="1" si="207"/>
        <v>10183020.3630432</v>
      </c>
      <c r="Y135" s="242">
        <f t="shared" ca="1" si="207"/>
        <v>10183020.3630432</v>
      </c>
      <c r="Z135" s="242">
        <f t="shared" ca="1" si="207"/>
        <v>10183020.3630432</v>
      </c>
      <c r="AA135" s="242">
        <f t="shared" ca="1" si="207"/>
        <v>10183020.3630432</v>
      </c>
      <c r="AB135" s="242">
        <f t="shared" ca="1" si="207"/>
        <v>10183020.3630432</v>
      </c>
      <c r="AC135" s="242">
        <f t="shared" ca="1" si="207"/>
        <v>2329431.8160736002</v>
      </c>
      <c r="AD135" s="242">
        <f t="shared" ca="1" si="207"/>
        <v>2329431.8160736002</v>
      </c>
      <c r="AE135" s="242">
        <f t="shared" ca="1" si="207"/>
        <v>2329431.8160736002</v>
      </c>
      <c r="AF135" s="242">
        <f t="shared" ca="1" si="207"/>
        <v>2329431.8160736002</v>
      </c>
      <c r="AG135" s="242">
        <f t="shared" ca="1" si="207"/>
        <v>2329431.8160736002</v>
      </c>
      <c r="AH135" s="242">
        <f t="shared" ca="1" si="207"/>
        <v>2329431.8160736002</v>
      </c>
      <c r="AI135" s="242">
        <f t="shared" ca="1" si="207"/>
        <v>2329431.8160736002</v>
      </c>
      <c r="AJ135" s="242">
        <f t="shared" ca="1" si="207"/>
        <v>2329431.8160736002</v>
      </c>
      <c r="AK135" s="242">
        <f t="shared" ca="1" si="207"/>
        <v>2329431.8160736002</v>
      </c>
      <c r="AL135" s="242">
        <f t="shared" ca="1" si="207"/>
        <v>2329431.8160736002</v>
      </c>
      <c r="AM135" s="242">
        <f t="shared" ca="1" si="207"/>
        <v>2329431.8160736002</v>
      </c>
      <c r="AN135" s="242">
        <f t="shared" ca="1" si="207"/>
        <v>2329431.8160736002</v>
      </c>
      <c r="AO135" s="242">
        <f t="shared" ca="1" si="207"/>
        <v>2329431.8160736002</v>
      </c>
      <c r="AP135" s="242">
        <f t="shared" ca="1" si="207"/>
        <v>2329431.8160736002</v>
      </c>
      <c r="AQ135" s="242">
        <f t="shared" ca="1" si="207"/>
        <v>2329431.8160736002</v>
      </c>
      <c r="AR135" s="242">
        <f t="shared" ca="1" si="207"/>
        <v>2329431.8160736002</v>
      </c>
      <c r="AS135" s="242">
        <f t="shared" ca="1" si="207"/>
        <v>2329431.8160736002</v>
      </c>
      <c r="AT135" s="242">
        <f t="shared" ca="1" si="207"/>
        <v>2329431.8160736002</v>
      </c>
      <c r="AU135" s="242">
        <f t="shared" ca="1" si="207"/>
        <v>2329431.8160736002</v>
      </c>
      <c r="AV135" s="242">
        <f t="shared" ca="1" si="207"/>
        <v>2329431.8160736002</v>
      </c>
      <c r="AW135" s="242">
        <f t="shared" ca="1" si="207"/>
        <v>2329431.8160736002</v>
      </c>
      <c r="AX135" s="242">
        <f t="shared" ca="1" si="207"/>
        <v>2329431.8160736002</v>
      </c>
      <c r="AY135" s="242">
        <f t="shared" ca="1" si="207"/>
        <v>2329431.8160736002</v>
      </c>
      <c r="AZ135" s="242">
        <f t="shared" ca="1" si="207"/>
        <v>2329431.8160736002</v>
      </c>
      <c r="BA135" s="242">
        <f t="shared" ca="1" si="207"/>
        <v>2329431.8160736002</v>
      </c>
      <c r="BB135" s="242">
        <f t="shared" ca="1" si="207"/>
        <v>2329431.8160736002</v>
      </c>
      <c r="BC135" s="242">
        <f t="shared" ca="1" si="207"/>
        <v>2329431.8160736002</v>
      </c>
      <c r="BD135" s="242">
        <f t="shared" ca="1" si="207"/>
        <v>2329431.8160736002</v>
      </c>
      <c r="BE135" s="242">
        <f t="shared" ca="1" si="207"/>
        <v>2329431.8160736002</v>
      </c>
      <c r="BF135" s="242">
        <f t="shared" ca="1" si="207"/>
        <v>2329431.8160736002</v>
      </c>
      <c r="BG135" s="242">
        <f t="shared" ca="1" si="207"/>
        <v>2329431.8160736002</v>
      </c>
      <c r="BH135" s="242">
        <f t="shared" ca="1" si="207"/>
        <v>2329431.8160736002</v>
      </c>
      <c r="BI135" s="242">
        <f t="shared" ca="1" si="207"/>
        <v>2329431.8160736002</v>
      </c>
      <c r="BJ135" s="242">
        <f t="shared" ca="1" si="207"/>
        <v>2329431.8160736002</v>
      </c>
      <c r="BK135" s="242">
        <f t="shared" ca="1" si="207"/>
        <v>2329431.8160736002</v>
      </c>
      <c r="BL135" s="242">
        <f t="shared" ca="1" si="207"/>
        <v>2329431.8160736002</v>
      </c>
      <c r="BM135" s="242">
        <f t="shared" ca="1" si="207"/>
        <v>2329431.8160736002</v>
      </c>
      <c r="BN135" s="242">
        <f t="shared" ca="1" si="207"/>
        <v>2329431.8160736002</v>
      </c>
      <c r="BO135" s="242">
        <f t="shared" ca="1" si="207"/>
        <v>2329431.8160736002</v>
      </c>
      <c r="BP135" s="242">
        <f t="shared" ca="1" si="207"/>
        <v>2329431.8160736002</v>
      </c>
      <c r="BQ135" s="242">
        <f t="shared" ca="1" si="207"/>
        <v>2329431.8160736002</v>
      </c>
      <c r="BR135" s="242">
        <f t="shared" ca="1" si="207"/>
        <v>2329431.8160736002</v>
      </c>
      <c r="BS135" s="242">
        <f t="shared" ca="1" si="207"/>
        <v>2329431.8160736002</v>
      </c>
      <c r="BT135" s="242">
        <f t="shared" ca="1" si="207"/>
        <v>2329431.8160736002</v>
      </c>
      <c r="BU135" s="242">
        <f t="shared" ref="BU135:DC135" ca="1" si="208">BU$7-BU$112</f>
        <v>2329431.8160736002</v>
      </c>
      <c r="BV135" s="242">
        <f t="shared" ca="1" si="208"/>
        <v>2329431.8160736002</v>
      </c>
      <c r="BW135" s="242">
        <f t="shared" ca="1" si="208"/>
        <v>2329431.8160736002</v>
      </c>
      <c r="BX135" s="242">
        <f t="shared" ca="1" si="208"/>
        <v>2329431.8160736002</v>
      </c>
      <c r="BY135" s="242">
        <f t="shared" ca="1" si="208"/>
        <v>2329431.8160736002</v>
      </c>
      <c r="BZ135" s="242">
        <f t="shared" ca="1" si="208"/>
        <v>2329431.8160736002</v>
      </c>
      <c r="CA135" s="242">
        <f t="shared" ca="1" si="208"/>
        <v>2329431.8160736002</v>
      </c>
      <c r="CB135" s="242">
        <f t="shared" ca="1" si="208"/>
        <v>2329431.8160736002</v>
      </c>
      <c r="CC135" s="242">
        <f t="shared" ca="1" si="208"/>
        <v>2329431.8160736002</v>
      </c>
      <c r="CD135" s="242">
        <f t="shared" ca="1" si="208"/>
        <v>2329431.8160736002</v>
      </c>
      <c r="CE135" s="242">
        <f t="shared" ca="1" si="208"/>
        <v>2329431.8160736002</v>
      </c>
      <c r="CF135" s="242">
        <f t="shared" ca="1" si="208"/>
        <v>2329431.8160736002</v>
      </c>
      <c r="CG135" s="242">
        <f t="shared" ca="1" si="208"/>
        <v>2329431.8160736002</v>
      </c>
      <c r="CH135" s="242">
        <f t="shared" ca="1" si="208"/>
        <v>2329431.8160736002</v>
      </c>
      <c r="CI135" s="242">
        <f t="shared" ca="1" si="208"/>
        <v>2329431.8160736002</v>
      </c>
      <c r="CJ135" s="242">
        <f t="shared" ca="1" si="208"/>
        <v>2329431.8160736002</v>
      </c>
      <c r="CK135" s="242">
        <f t="shared" ca="1" si="208"/>
        <v>2329431.8160736002</v>
      </c>
      <c r="CL135" s="242">
        <f t="shared" ca="1" si="208"/>
        <v>2329431.8160736002</v>
      </c>
      <c r="CM135" s="242">
        <f t="shared" ca="1" si="208"/>
        <v>2329431.8160736002</v>
      </c>
      <c r="CN135" s="242">
        <f t="shared" ca="1" si="208"/>
        <v>2329431.8160736002</v>
      </c>
      <c r="CO135" s="242">
        <f t="shared" ca="1" si="208"/>
        <v>2329431.8160736002</v>
      </c>
      <c r="CP135" s="242">
        <f t="shared" ca="1" si="208"/>
        <v>2329431.8160736002</v>
      </c>
      <c r="CQ135" s="242">
        <f t="shared" ca="1" si="208"/>
        <v>2329431.8160736002</v>
      </c>
      <c r="CR135" s="242">
        <f t="shared" ca="1" si="208"/>
        <v>2329431.8160736002</v>
      </c>
      <c r="CS135" s="242">
        <f t="shared" ca="1" si="208"/>
        <v>2329431.8160736002</v>
      </c>
      <c r="CT135" s="242">
        <f t="shared" ca="1" si="208"/>
        <v>2329431.8160736002</v>
      </c>
      <c r="CU135" s="242">
        <f t="shared" ca="1" si="208"/>
        <v>2329431.8160736002</v>
      </c>
      <c r="CV135" s="242">
        <f t="shared" ca="1" si="208"/>
        <v>2329431.8160736002</v>
      </c>
      <c r="CW135" s="242">
        <f t="shared" ca="1" si="208"/>
        <v>2329431.8160736002</v>
      </c>
      <c r="CX135" s="242">
        <f t="shared" ca="1" si="208"/>
        <v>2329431.8160736002</v>
      </c>
      <c r="CY135" s="242">
        <f t="shared" ca="1" si="208"/>
        <v>2329431.8160736002</v>
      </c>
      <c r="CZ135" s="242">
        <f t="shared" ca="1" si="208"/>
        <v>2329431.8160736002</v>
      </c>
      <c r="DA135" s="242">
        <f t="shared" ca="1" si="208"/>
        <v>2329431.8160736002</v>
      </c>
      <c r="DB135" s="242">
        <f t="shared" ca="1" si="208"/>
        <v>2329431.8160736002</v>
      </c>
      <c r="DC135" s="243">
        <f t="shared" ca="1" si="208"/>
        <v>2329431.8160736002</v>
      </c>
    </row>
    <row r="136" spans="1:110" ht="15" hidden="1" customHeight="1">
      <c r="B136" s="151" t="s">
        <v>243</v>
      </c>
      <c r="C136" s="236" t="s">
        <v>266</v>
      </c>
      <c r="D136" s="236"/>
      <c r="E136" s="236"/>
      <c r="F136" s="224">
        <f ca="1">H136+NPV(FD,I136:INDEX(I136:DC136,PAL))</f>
        <v>70619668.107303977</v>
      </c>
      <c r="G136" s="212">
        <f ca="1">SUMIF($H$5:$DC$5,"&lt;="&amp;PAL,$H136:$DC136)</f>
        <v>108392500</v>
      </c>
      <c r="H136" s="229">
        <f ca="1">SUMPRODUCT(H$95:H$99,100/($DG$95:$DG$99+100))-SUMPRODUCT(H$106:H$110,100/($DG$106:$DG$110+100))</f>
        <v>0</v>
      </c>
      <c r="I136" s="14">
        <f t="shared" ref="I136:BT136" ca="1" si="209">SUMPRODUCT(I$95:I$99,100/($DG$95:$DG$99+100))-SUMPRODUCT(I$106:I$110,100/($DG$106:$DG$110+100))</f>
        <v>0</v>
      </c>
      <c r="J136" s="14">
        <f t="shared" ca="1" si="209"/>
        <v>2580500</v>
      </c>
      <c r="K136" s="14">
        <f t="shared" ca="1" si="209"/>
        <v>3628400</v>
      </c>
      <c r="L136" s="14">
        <f t="shared" ca="1" si="209"/>
        <v>6010800</v>
      </c>
      <c r="M136" s="14">
        <f t="shared" ca="1" si="209"/>
        <v>6010800</v>
      </c>
      <c r="N136" s="14">
        <f t="shared" ca="1" si="209"/>
        <v>6010800</v>
      </c>
      <c r="O136" s="14">
        <f t="shared" ca="1" si="209"/>
        <v>6010800</v>
      </c>
      <c r="P136" s="14">
        <f t="shared" ca="1" si="209"/>
        <v>6010800</v>
      </c>
      <c r="Q136" s="14">
        <f t="shared" ca="1" si="209"/>
        <v>6010800</v>
      </c>
      <c r="R136" s="14">
        <f t="shared" ca="1" si="209"/>
        <v>6010800</v>
      </c>
      <c r="S136" s="14">
        <f t="shared" ca="1" si="209"/>
        <v>6010800</v>
      </c>
      <c r="T136" s="14">
        <f t="shared" ca="1" si="209"/>
        <v>6010800</v>
      </c>
      <c r="U136" s="14">
        <f t="shared" ca="1" si="209"/>
        <v>6010800</v>
      </c>
      <c r="V136" s="14">
        <f t="shared" ca="1" si="209"/>
        <v>6010800</v>
      </c>
      <c r="W136" s="14">
        <f t="shared" ca="1" si="209"/>
        <v>6010800</v>
      </c>
      <c r="X136" s="14">
        <f t="shared" ca="1" si="209"/>
        <v>6010800</v>
      </c>
      <c r="Y136" s="14">
        <f t="shared" ca="1" si="209"/>
        <v>6010800</v>
      </c>
      <c r="Z136" s="14">
        <f t="shared" ca="1" si="209"/>
        <v>6010800</v>
      </c>
      <c r="AA136" s="14">
        <f t="shared" ca="1" si="209"/>
        <v>6010800</v>
      </c>
      <c r="AB136" s="14">
        <f t="shared" ca="1" si="209"/>
        <v>6010800</v>
      </c>
      <c r="AC136" s="14">
        <f t="shared" ca="1" si="209"/>
        <v>0</v>
      </c>
      <c r="AD136" s="14">
        <f t="shared" ca="1" si="209"/>
        <v>0</v>
      </c>
      <c r="AE136" s="14">
        <f t="shared" ca="1" si="209"/>
        <v>0</v>
      </c>
      <c r="AF136" s="14">
        <f t="shared" ca="1" si="209"/>
        <v>0</v>
      </c>
      <c r="AG136" s="14">
        <f t="shared" ca="1" si="209"/>
        <v>0</v>
      </c>
      <c r="AH136" s="14">
        <f t="shared" ca="1" si="209"/>
        <v>0</v>
      </c>
      <c r="AI136" s="14">
        <f t="shared" ca="1" si="209"/>
        <v>0</v>
      </c>
      <c r="AJ136" s="14">
        <f t="shared" ca="1" si="209"/>
        <v>0</v>
      </c>
      <c r="AK136" s="14">
        <f t="shared" ca="1" si="209"/>
        <v>0</v>
      </c>
      <c r="AL136" s="14">
        <f t="shared" ca="1" si="209"/>
        <v>0</v>
      </c>
      <c r="AM136" s="14">
        <f t="shared" ca="1" si="209"/>
        <v>0</v>
      </c>
      <c r="AN136" s="14">
        <f t="shared" ca="1" si="209"/>
        <v>0</v>
      </c>
      <c r="AO136" s="14">
        <f t="shared" ca="1" si="209"/>
        <v>0</v>
      </c>
      <c r="AP136" s="14">
        <f t="shared" ca="1" si="209"/>
        <v>0</v>
      </c>
      <c r="AQ136" s="14">
        <f t="shared" ca="1" si="209"/>
        <v>0</v>
      </c>
      <c r="AR136" s="14">
        <f t="shared" ca="1" si="209"/>
        <v>0</v>
      </c>
      <c r="AS136" s="14">
        <f t="shared" ca="1" si="209"/>
        <v>0</v>
      </c>
      <c r="AT136" s="14">
        <f t="shared" ca="1" si="209"/>
        <v>0</v>
      </c>
      <c r="AU136" s="14">
        <f t="shared" ca="1" si="209"/>
        <v>0</v>
      </c>
      <c r="AV136" s="14">
        <f t="shared" ca="1" si="209"/>
        <v>0</v>
      </c>
      <c r="AW136" s="14">
        <f t="shared" ca="1" si="209"/>
        <v>0</v>
      </c>
      <c r="AX136" s="14">
        <f t="shared" ca="1" si="209"/>
        <v>0</v>
      </c>
      <c r="AY136" s="14">
        <f t="shared" ca="1" si="209"/>
        <v>0</v>
      </c>
      <c r="AZ136" s="14">
        <f t="shared" ca="1" si="209"/>
        <v>0</v>
      </c>
      <c r="BA136" s="14">
        <f t="shared" ca="1" si="209"/>
        <v>0</v>
      </c>
      <c r="BB136" s="14">
        <f t="shared" ca="1" si="209"/>
        <v>0</v>
      </c>
      <c r="BC136" s="14">
        <f t="shared" ca="1" si="209"/>
        <v>0</v>
      </c>
      <c r="BD136" s="14">
        <f t="shared" ca="1" si="209"/>
        <v>0</v>
      </c>
      <c r="BE136" s="14">
        <f t="shared" ca="1" si="209"/>
        <v>0</v>
      </c>
      <c r="BF136" s="14">
        <f t="shared" ca="1" si="209"/>
        <v>0</v>
      </c>
      <c r="BG136" s="14">
        <f t="shared" ca="1" si="209"/>
        <v>0</v>
      </c>
      <c r="BH136" s="14">
        <f t="shared" ca="1" si="209"/>
        <v>0</v>
      </c>
      <c r="BI136" s="14">
        <f t="shared" ca="1" si="209"/>
        <v>0</v>
      </c>
      <c r="BJ136" s="14">
        <f t="shared" ca="1" si="209"/>
        <v>0</v>
      </c>
      <c r="BK136" s="14">
        <f t="shared" ca="1" si="209"/>
        <v>0</v>
      </c>
      <c r="BL136" s="14">
        <f t="shared" ca="1" si="209"/>
        <v>0</v>
      </c>
      <c r="BM136" s="14">
        <f t="shared" ca="1" si="209"/>
        <v>0</v>
      </c>
      <c r="BN136" s="14">
        <f t="shared" ca="1" si="209"/>
        <v>0</v>
      </c>
      <c r="BO136" s="14">
        <f t="shared" ca="1" si="209"/>
        <v>0</v>
      </c>
      <c r="BP136" s="14">
        <f t="shared" ca="1" si="209"/>
        <v>0</v>
      </c>
      <c r="BQ136" s="14">
        <f t="shared" ca="1" si="209"/>
        <v>0</v>
      </c>
      <c r="BR136" s="14">
        <f t="shared" ca="1" si="209"/>
        <v>0</v>
      </c>
      <c r="BS136" s="14">
        <f t="shared" ca="1" si="209"/>
        <v>0</v>
      </c>
      <c r="BT136" s="14">
        <f t="shared" ca="1" si="209"/>
        <v>0</v>
      </c>
      <c r="BU136" s="14">
        <f t="shared" ref="BU136:DC136" ca="1" si="210">SUMPRODUCT(BU$95:BU$99,100/($DG$95:$DG$99+100))-SUMPRODUCT(BU$106:BU$110,100/($DG$106:$DG$110+100))</f>
        <v>0</v>
      </c>
      <c r="BV136" s="14">
        <f t="shared" ca="1" si="210"/>
        <v>0</v>
      </c>
      <c r="BW136" s="14">
        <f t="shared" ca="1" si="210"/>
        <v>0</v>
      </c>
      <c r="BX136" s="14">
        <f t="shared" ca="1" si="210"/>
        <v>0</v>
      </c>
      <c r="BY136" s="14">
        <f t="shared" ca="1" si="210"/>
        <v>0</v>
      </c>
      <c r="BZ136" s="14">
        <f t="shared" ca="1" si="210"/>
        <v>0</v>
      </c>
      <c r="CA136" s="14">
        <f t="shared" ca="1" si="210"/>
        <v>0</v>
      </c>
      <c r="CB136" s="14">
        <f t="shared" ca="1" si="210"/>
        <v>0</v>
      </c>
      <c r="CC136" s="14">
        <f t="shared" ca="1" si="210"/>
        <v>0</v>
      </c>
      <c r="CD136" s="14">
        <f t="shared" ca="1" si="210"/>
        <v>0</v>
      </c>
      <c r="CE136" s="14">
        <f t="shared" ca="1" si="210"/>
        <v>0</v>
      </c>
      <c r="CF136" s="14">
        <f t="shared" ca="1" si="210"/>
        <v>0</v>
      </c>
      <c r="CG136" s="14">
        <f t="shared" ca="1" si="210"/>
        <v>0</v>
      </c>
      <c r="CH136" s="14">
        <f t="shared" ca="1" si="210"/>
        <v>0</v>
      </c>
      <c r="CI136" s="14">
        <f t="shared" ca="1" si="210"/>
        <v>0</v>
      </c>
      <c r="CJ136" s="14">
        <f t="shared" ca="1" si="210"/>
        <v>0</v>
      </c>
      <c r="CK136" s="14">
        <f t="shared" ca="1" si="210"/>
        <v>0</v>
      </c>
      <c r="CL136" s="14">
        <f t="shared" ca="1" si="210"/>
        <v>0</v>
      </c>
      <c r="CM136" s="14">
        <f t="shared" ca="1" si="210"/>
        <v>0</v>
      </c>
      <c r="CN136" s="14">
        <f t="shared" ca="1" si="210"/>
        <v>0</v>
      </c>
      <c r="CO136" s="14">
        <f t="shared" ca="1" si="210"/>
        <v>0</v>
      </c>
      <c r="CP136" s="14">
        <f t="shared" ca="1" si="210"/>
        <v>0</v>
      </c>
      <c r="CQ136" s="14">
        <f t="shared" ca="1" si="210"/>
        <v>0</v>
      </c>
      <c r="CR136" s="14">
        <f t="shared" ca="1" si="210"/>
        <v>0</v>
      </c>
      <c r="CS136" s="14">
        <f t="shared" ca="1" si="210"/>
        <v>0</v>
      </c>
      <c r="CT136" s="14">
        <f t="shared" ca="1" si="210"/>
        <v>0</v>
      </c>
      <c r="CU136" s="14">
        <f t="shared" ca="1" si="210"/>
        <v>0</v>
      </c>
      <c r="CV136" s="14">
        <f t="shared" ca="1" si="210"/>
        <v>0</v>
      </c>
      <c r="CW136" s="14">
        <f t="shared" ca="1" si="210"/>
        <v>0</v>
      </c>
      <c r="CX136" s="14">
        <f t="shared" ca="1" si="210"/>
        <v>0</v>
      </c>
      <c r="CY136" s="14">
        <f t="shared" ca="1" si="210"/>
        <v>0</v>
      </c>
      <c r="CZ136" s="14">
        <f t="shared" ca="1" si="210"/>
        <v>0</v>
      </c>
      <c r="DA136" s="14">
        <f t="shared" ca="1" si="210"/>
        <v>0</v>
      </c>
      <c r="DB136" s="14">
        <f t="shared" ca="1" si="210"/>
        <v>0</v>
      </c>
      <c r="DC136" s="230">
        <f t="shared" ca="1" si="210"/>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211">SUMPRODUCT(I$106:I$110,100*$D$106:$D$110,1/($DG$106:$DG$110+100),$DH$106:$DH$110)</f>
        <v>0</v>
      </c>
      <c r="J137" s="41">
        <f t="shared" ca="1" si="211"/>
        <v>0</v>
      </c>
      <c r="K137" s="41">
        <f t="shared" ca="1" si="211"/>
        <v>0</v>
      </c>
      <c r="L137" s="41">
        <f t="shared" ca="1" si="211"/>
        <v>0</v>
      </c>
      <c r="M137" s="41">
        <f t="shared" ca="1" si="211"/>
        <v>0</v>
      </c>
      <c r="N137" s="41">
        <f t="shared" ca="1" si="211"/>
        <v>0</v>
      </c>
      <c r="O137" s="41">
        <f t="shared" ca="1" si="211"/>
        <v>0</v>
      </c>
      <c r="P137" s="41">
        <f t="shared" ca="1" si="211"/>
        <v>0</v>
      </c>
      <c r="Q137" s="41">
        <f t="shared" ca="1" si="211"/>
        <v>0</v>
      </c>
      <c r="R137" s="41">
        <f t="shared" ca="1" si="211"/>
        <v>0</v>
      </c>
      <c r="S137" s="41">
        <f t="shared" ca="1" si="211"/>
        <v>0</v>
      </c>
      <c r="T137" s="41">
        <f t="shared" ca="1" si="211"/>
        <v>0</v>
      </c>
      <c r="U137" s="41">
        <f t="shared" ca="1" si="211"/>
        <v>0</v>
      </c>
      <c r="V137" s="41">
        <f t="shared" ca="1" si="211"/>
        <v>0</v>
      </c>
      <c r="W137" s="41">
        <f t="shared" ca="1" si="211"/>
        <v>0</v>
      </c>
      <c r="X137" s="41">
        <f t="shared" ca="1" si="211"/>
        <v>0</v>
      </c>
      <c r="Y137" s="41">
        <f t="shared" ca="1" si="211"/>
        <v>0</v>
      </c>
      <c r="Z137" s="41">
        <f t="shared" ca="1" si="211"/>
        <v>0</v>
      </c>
      <c r="AA137" s="41">
        <f t="shared" ca="1" si="211"/>
        <v>0</v>
      </c>
      <c r="AB137" s="41">
        <f t="shared" ca="1" si="211"/>
        <v>0</v>
      </c>
      <c r="AC137" s="41">
        <f t="shared" ca="1" si="211"/>
        <v>0</v>
      </c>
      <c r="AD137" s="41">
        <f t="shared" ca="1" si="211"/>
        <v>0</v>
      </c>
      <c r="AE137" s="41">
        <f t="shared" ca="1" si="211"/>
        <v>0</v>
      </c>
      <c r="AF137" s="41">
        <f t="shared" ca="1" si="211"/>
        <v>0</v>
      </c>
      <c r="AG137" s="41">
        <f t="shared" ca="1" si="211"/>
        <v>0</v>
      </c>
      <c r="AH137" s="41">
        <f t="shared" ca="1" si="211"/>
        <v>0</v>
      </c>
      <c r="AI137" s="41">
        <f t="shared" ca="1" si="211"/>
        <v>0</v>
      </c>
      <c r="AJ137" s="41">
        <f t="shared" ca="1" si="211"/>
        <v>0</v>
      </c>
      <c r="AK137" s="41">
        <f t="shared" ca="1" si="211"/>
        <v>0</v>
      </c>
      <c r="AL137" s="41">
        <f t="shared" ca="1" si="211"/>
        <v>0</v>
      </c>
      <c r="AM137" s="41">
        <f t="shared" ca="1" si="211"/>
        <v>0</v>
      </c>
      <c r="AN137" s="41">
        <f t="shared" ca="1" si="211"/>
        <v>0</v>
      </c>
      <c r="AO137" s="41">
        <f t="shared" ca="1" si="211"/>
        <v>0</v>
      </c>
      <c r="AP137" s="41">
        <f t="shared" ca="1" si="211"/>
        <v>0</v>
      </c>
      <c r="AQ137" s="41">
        <f t="shared" ca="1" si="211"/>
        <v>0</v>
      </c>
      <c r="AR137" s="41">
        <f t="shared" ca="1" si="211"/>
        <v>0</v>
      </c>
      <c r="AS137" s="41">
        <f t="shared" ca="1" si="211"/>
        <v>0</v>
      </c>
      <c r="AT137" s="41">
        <f t="shared" ca="1" si="211"/>
        <v>0</v>
      </c>
      <c r="AU137" s="41">
        <f t="shared" ca="1" si="211"/>
        <v>0</v>
      </c>
      <c r="AV137" s="41">
        <f t="shared" ca="1" si="211"/>
        <v>0</v>
      </c>
      <c r="AW137" s="41">
        <f t="shared" ca="1" si="211"/>
        <v>0</v>
      </c>
      <c r="AX137" s="41">
        <f t="shared" ca="1" si="211"/>
        <v>0</v>
      </c>
      <c r="AY137" s="41">
        <f t="shared" ca="1" si="211"/>
        <v>0</v>
      </c>
      <c r="AZ137" s="41">
        <f t="shared" ca="1" si="211"/>
        <v>0</v>
      </c>
      <c r="BA137" s="41">
        <f t="shared" ca="1" si="211"/>
        <v>0</v>
      </c>
      <c r="BB137" s="41">
        <f t="shared" ca="1" si="211"/>
        <v>0</v>
      </c>
      <c r="BC137" s="41">
        <f t="shared" ca="1" si="211"/>
        <v>0</v>
      </c>
      <c r="BD137" s="41">
        <f t="shared" ca="1" si="211"/>
        <v>0</v>
      </c>
      <c r="BE137" s="41">
        <f t="shared" ca="1" si="211"/>
        <v>0</v>
      </c>
      <c r="BF137" s="41">
        <f t="shared" ca="1" si="211"/>
        <v>0</v>
      </c>
      <c r="BG137" s="41">
        <f t="shared" ca="1" si="211"/>
        <v>0</v>
      </c>
      <c r="BH137" s="41">
        <f t="shared" ca="1" si="211"/>
        <v>0</v>
      </c>
      <c r="BI137" s="41">
        <f t="shared" ca="1" si="211"/>
        <v>0</v>
      </c>
      <c r="BJ137" s="41">
        <f t="shared" ca="1" si="211"/>
        <v>0</v>
      </c>
      <c r="BK137" s="41">
        <f t="shared" ca="1" si="211"/>
        <v>0</v>
      </c>
      <c r="BL137" s="41">
        <f t="shared" ca="1" si="211"/>
        <v>0</v>
      </c>
      <c r="BM137" s="41">
        <f t="shared" ca="1" si="211"/>
        <v>0</v>
      </c>
      <c r="BN137" s="41">
        <f t="shared" ca="1" si="211"/>
        <v>0</v>
      </c>
      <c r="BO137" s="41">
        <f t="shared" ca="1" si="211"/>
        <v>0</v>
      </c>
      <c r="BP137" s="41">
        <f t="shared" ca="1" si="211"/>
        <v>0</v>
      </c>
      <c r="BQ137" s="41">
        <f t="shared" ca="1" si="211"/>
        <v>0</v>
      </c>
      <c r="BR137" s="41">
        <f t="shared" ca="1" si="211"/>
        <v>0</v>
      </c>
      <c r="BS137" s="41">
        <f t="shared" ca="1" si="211"/>
        <v>0</v>
      </c>
      <c r="BT137" s="41">
        <f t="shared" ca="1" si="211"/>
        <v>0</v>
      </c>
      <c r="BU137" s="41">
        <f t="shared" ref="BU137:DC137" ca="1" si="212">SUMPRODUCT(BU$106:BU$110,100*$D$106:$D$110,1/($DG$106:$DG$110+100),$DH$106:$DH$110)</f>
        <v>0</v>
      </c>
      <c r="BV137" s="41">
        <f t="shared" ca="1" si="212"/>
        <v>0</v>
      </c>
      <c r="BW137" s="41">
        <f t="shared" ca="1" si="212"/>
        <v>0</v>
      </c>
      <c r="BX137" s="41">
        <f t="shared" ca="1" si="212"/>
        <v>0</v>
      </c>
      <c r="BY137" s="41">
        <f t="shared" ca="1" si="212"/>
        <v>0</v>
      </c>
      <c r="BZ137" s="41">
        <f t="shared" ca="1" si="212"/>
        <v>0</v>
      </c>
      <c r="CA137" s="41">
        <f t="shared" ca="1" si="212"/>
        <v>0</v>
      </c>
      <c r="CB137" s="41">
        <f t="shared" ca="1" si="212"/>
        <v>0</v>
      </c>
      <c r="CC137" s="41">
        <f t="shared" ca="1" si="212"/>
        <v>0</v>
      </c>
      <c r="CD137" s="41">
        <f t="shared" ca="1" si="212"/>
        <v>0</v>
      </c>
      <c r="CE137" s="41">
        <f t="shared" ca="1" si="212"/>
        <v>0</v>
      </c>
      <c r="CF137" s="41">
        <f t="shared" ca="1" si="212"/>
        <v>0</v>
      </c>
      <c r="CG137" s="41">
        <f t="shared" ca="1" si="212"/>
        <v>0</v>
      </c>
      <c r="CH137" s="41">
        <f t="shared" ca="1" si="212"/>
        <v>0</v>
      </c>
      <c r="CI137" s="41">
        <f t="shared" ca="1" si="212"/>
        <v>0</v>
      </c>
      <c r="CJ137" s="41">
        <f t="shared" ca="1" si="212"/>
        <v>0</v>
      </c>
      <c r="CK137" s="41">
        <f t="shared" ca="1" si="212"/>
        <v>0</v>
      </c>
      <c r="CL137" s="41">
        <f t="shared" ca="1" si="212"/>
        <v>0</v>
      </c>
      <c r="CM137" s="41">
        <f t="shared" ca="1" si="212"/>
        <v>0</v>
      </c>
      <c r="CN137" s="41">
        <f t="shared" ca="1" si="212"/>
        <v>0</v>
      </c>
      <c r="CO137" s="41">
        <f t="shared" ca="1" si="212"/>
        <v>0</v>
      </c>
      <c r="CP137" s="41">
        <f t="shared" ca="1" si="212"/>
        <v>0</v>
      </c>
      <c r="CQ137" s="41">
        <f t="shared" ca="1" si="212"/>
        <v>0</v>
      </c>
      <c r="CR137" s="41">
        <f t="shared" ca="1" si="212"/>
        <v>0</v>
      </c>
      <c r="CS137" s="41">
        <f t="shared" ca="1" si="212"/>
        <v>0</v>
      </c>
      <c r="CT137" s="41">
        <f t="shared" ca="1" si="212"/>
        <v>0</v>
      </c>
      <c r="CU137" s="41">
        <f t="shared" ca="1" si="212"/>
        <v>0</v>
      </c>
      <c r="CV137" s="41">
        <f t="shared" ca="1" si="212"/>
        <v>0</v>
      </c>
      <c r="CW137" s="41">
        <f t="shared" ca="1" si="212"/>
        <v>0</v>
      </c>
      <c r="CX137" s="41">
        <f t="shared" ca="1" si="212"/>
        <v>0</v>
      </c>
      <c r="CY137" s="41">
        <f t="shared" ca="1" si="212"/>
        <v>0</v>
      </c>
      <c r="CZ137" s="41">
        <f t="shared" ca="1" si="212"/>
        <v>0</v>
      </c>
      <c r="DA137" s="41">
        <f t="shared" ca="1" si="212"/>
        <v>0</v>
      </c>
      <c r="DB137" s="41">
        <f t="shared" ca="1" si="212"/>
        <v>0</v>
      </c>
      <c r="DC137" s="250">
        <f t="shared" ca="1" si="212"/>
        <v>0</v>
      </c>
    </row>
    <row r="138" spans="1:110" ht="15" hidden="1" customHeight="1" thickBot="1">
      <c r="B138" s="244" t="s">
        <v>396</v>
      </c>
      <c r="C138" s="246" t="s">
        <v>397</v>
      </c>
      <c r="D138" s="245"/>
      <c r="E138" s="245"/>
      <c r="F138" s="247">
        <f ca="1">H138+NPV(FD,I138:INDEX(I138:DC138,PAL))</f>
        <v>-62824583.246366918</v>
      </c>
      <c r="G138" s="248">
        <f ca="1">SUMIF($H$5:$DC$5,"&lt;="&amp;PAL,$H138:$DC138)</f>
        <v>-90202140.950939581</v>
      </c>
      <c r="H138" s="225">
        <f ca="1">-H135+H136+H137</f>
        <v>-1708000</v>
      </c>
      <c r="I138" s="217">
        <f t="shared" ref="I138:BT138" ca="1" si="213">-I135+I136+I137</f>
        <v>-4892303.081581587</v>
      </c>
      <c r="J138" s="217">
        <f t="shared" ca="1" si="213"/>
        <v>-4916611.0040018354</v>
      </c>
      <c r="K138" s="217">
        <f t="shared" ca="1" si="213"/>
        <v>-7146645.9828779101</v>
      </c>
      <c r="L138" s="217">
        <f t="shared" ca="1" si="213"/>
        <v>-4171852.5944481585</v>
      </c>
      <c r="M138" s="217">
        <f t="shared" ca="1" si="213"/>
        <v>-4188381.5200679936</v>
      </c>
      <c r="N138" s="217">
        <f t="shared" ca="1" si="213"/>
        <v>-4172220.3630432002</v>
      </c>
      <c r="O138" s="217">
        <f t="shared" ca="1" si="213"/>
        <v>-4172220.3630432002</v>
      </c>
      <c r="P138" s="217">
        <f t="shared" ca="1" si="213"/>
        <v>-4172220.3630432002</v>
      </c>
      <c r="Q138" s="217">
        <f t="shared" ca="1" si="213"/>
        <v>-4172220.3630432002</v>
      </c>
      <c r="R138" s="217">
        <f t="shared" ca="1" si="213"/>
        <v>-4271393.9167622086</v>
      </c>
      <c r="S138" s="217">
        <f t="shared" ca="1" si="213"/>
        <v>-4370567.4704812169</v>
      </c>
      <c r="T138" s="217">
        <f t="shared" ca="1" si="213"/>
        <v>-4271393.9167622086</v>
      </c>
      <c r="U138" s="217">
        <f t="shared" ca="1" si="213"/>
        <v>-4370567.4704812169</v>
      </c>
      <c r="V138" s="217">
        <f t="shared" ca="1" si="213"/>
        <v>-4172220.3630432002</v>
      </c>
      <c r="W138" s="217">
        <f t="shared" ca="1" si="213"/>
        <v>-4172220.3630432002</v>
      </c>
      <c r="X138" s="217">
        <f t="shared" ca="1" si="213"/>
        <v>-4172220.3630432002</v>
      </c>
      <c r="Y138" s="217">
        <f t="shared" ca="1" si="213"/>
        <v>-4172220.3630432002</v>
      </c>
      <c r="Z138" s="217">
        <f t="shared" ca="1" si="213"/>
        <v>-4172220.3630432002</v>
      </c>
      <c r="AA138" s="217">
        <f t="shared" ca="1" si="213"/>
        <v>-4172220.3630432002</v>
      </c>
      <c r="AB138" s="217">
        <f t="shared" ca="1" si="213"/>
        <v>-4172220.3630432002</v>
      </c>
      <c r="AC138" s="217">
        <f t="shared" ca="1" si="213"/>
        <v>-2329431.8160736002</v>
      </c>
      <c r="AD138" s="217">
        <f t="shared" ca="1" si="213"/>
        <v>-2329431.8160736002</v>
      </c>
      <c r="AE138" s="217">
        <f t="shared" ca="1" si="213"/>
        <v>-2329431.8160736002</v>
      </c>
      <c r="AF138" s="217">
        <f t="shared" ca="1" si="213"/>
        <v>-2329431.8160736002</v>
      </c>
      <c r="AG138" s="217">
        <f t="shared" ca="1" si="213"/>
        <v>-2329431.8160736002</v>
      </c>
      <c r="AH138" s="217">
        <f t="shared" ca="1" si="213"/>
        <v>-2329431.8160736002</v>
      </c>
      <c r="AI138" s="217">
        <f t="shared" ca="1" si="213"/>
        <v>-2329431.8160736002</v>
      </c>
      <c r="AJ138" s="217">
        <f t="shared" ca="1" si="213"/>
        <v>-2329431.8160736002</v>
      </c>
      <c r="AK138" s="217">
        <f t="shared" ca="1" si="213"/>
        <v>-2329431.8160736002</v>
      </c>
      <c r="AL138" s="217">
        <f t="shared" ca="1" si="213"/>
        <v>-2329431.8160736002</v>
      </c>
      <c r="AM138" s="217">
        <f t="shared" ca="1" si="213"/>
        <v>-2329431.8160736002</v>
      </c>
      <c r="AN138" s="217">
        <f t="shared" ca="1" si="213"/>
        <v>-2329431.8160736002</v>
      </c>
      <c r="AO138" s="217">
        <f t="shared" ca="1" si="213"/>
        <v>-2329431.8160736002</v>
      </c>
      <c r="AP138" s="217">
        <f t="shared" ca="1" si="213"/>
        <v>-2329431.8160736002</v>
      </c>
      <c r="AQ138" s="217">
        <f t="shared" ca="1" si="213"/>
        <v>-2329431.8160736002</v>
      </c>
      <c r="AR138" s="217">
        <f t="shared" ca="1" si="213"/>
        <v>-2329431.8160736002</v>
      </c>
      <c r="AS138" s="217">
        <f t="shared" ca="1" si="213"/>
        <v>-2329431.8160736002</v>
      </c>
      <c r="AT138" s="217">
        <f t="shared" ca="1" si="213"/>
        <v>-2329431.8160736002</v>
      </c>
      <c r="AU138" s="217">
        <f t="shared" ca="1" si="213"/>
        <v>-2329431.8160736002</v>
      </c>
      <c r="AV138" s="217">
        <f t="shared" ca="1" si="213"/>
        <v>-2329431.8160736002</v>
      </c>
      <c r="AW138" s="217">
        <f t="shared" ca="1" si="213"/>
        <v>-2329431.8160736002</v>
      </c>
      <c r="AX138" s="217">
        <f t="shared" ca="1" si="213"/>
        <v>-2329431.8160736002</v>
      </c>
      <c r="AY138" s="217">
        <f t="shared" ca="1" si="213"/>
        <v>-2329431.8160736002</v>
      </c>
      <c r="AZ138" s="217">
        <f t="shared" ca="1" si="213"/>
        <v>-2329431.8160736002</v>
      </c>
      <c r="BA138" s="217">
        <f t="shared" ca="1" si="213"/>
        <v>-2329431.8160736002</v>
      </c>
      <c r="BB138" s="217">
        <f t="shared" ca="1" si="213"/>
        <v>-2329431.8160736002</v>
      </c>
      <c r="BC138" s="217">
        <f t="shared" ca="1" si="213"/>
        <v>-2329431.8160736002</v>
      </c>
      <c r="BD138" s="217">
        <f t="shared" ca="1" si="213"/>
        <v>-2329431.8160736002</v>
      </c>
      <c r="BE138" s="217">
        <f t="shared" ca="1" si="213"/>
        <v>-2329431.8160736002</v>
      </c>
      <c r="BF138" s="217">
        <f t="shared" ca="1" si="213"/>
        <v>-2329431.8160736002</v>
      </c>
      <c r="BG138" s="217">
        <f t="shared" ca="1" si="213"/>
        <v>-2329431.8160736002</v>
      </c>
      <c r="BH138" s="217">
        <f t="shared" ca="1" si="213"/>
        <v>-2329431.8160736002</v>
      </c>
      <c r="BI138" s="217">
        <f t="shared" ca="1" si="213"/>
        <v>-2329431.8160736002</v>
      </c>
      <c r="BJ138" s="217">
        <f t="shared" ca="1" si="213"/>
        <v>-2329431.8160736002</v>
      </c>
      <c r="BK138" s="217">
        <f t="shared" ca="1" si="213"/>
        <v>-2329431.8160736002</v>
      </c>
      <c r="BL138" s="217">
        <f t="shared" ca="1" si="213"/>
        <v>-2329431.8160736002</v>
      </c>
      <c r="BM138" s="217">
        <f t="shared" ca="1" si="213"/>
        <v>-2329431.8160736002</v>
      </c>
      <c r="BN138" s="217">
        <f t="shared" ca="1" si="213"/>
        <v>-2329431.8160736002</v>
      </c>
      <c r="BO138" s="217">
        <f t="shared" ca="1" si="213"/>
        <v>-2329431.8160736002</v>
      </c>
      <c r="BP138" s="217">
        <f t="shared" ca="1" si="213"/>
        <v>-2329431.8160736002</v>
      </c>
      <c r="BQ138" s="217">
        <f t="shared" ca="1" si="213"/>
        <v>-2329431.8160736002</v>
      </c>
      <c r="BR138" s="217">
        <f t="shared" ca="1" si="213"/>
        <v>-2329431.8160736002</v>
      </c>
      <c r="BS138" s="217">
        <f t="shared" ca="1" si="213"/>
        <v>-2329431.8160736002</v>
      </c>
      <c r="BT138" s="217">
        <f t="shared" ca="1" si="213"/>
        <v>-2329431.8160736002</v>
      </c>
      <c r="BU138" s="217">
        <f t="shared" ref="BU138:DC138" ca="1" si="214">-BU135+BU136+BU137</f>
        <v>-2329431.8160736002</v>
      </c>
      <c r="BV138" s="217">
        <f t="shared" ca="1" si="214"/>
        <v>-2329431.8160736002</v>
      </c>
      <c r="BW138" s="217">
        <f t="shared" ca="1" si="214"/>
        <v>-2329431.8160736002</v>
      </c>
      <c r="BX138" s="217">
        <f t="shared" ca="1" si="214"/>
        <v>-2329431.8160736002</v>
      </c>
      <c r="BY138" s="217">
        <f t="shared" ca="1" si="214"/>
        <v>-2329431.8160736002</v>
      </c>
      <c r="BZ138" s="217">
        <f t="shared" ca="1" si="214"/>
        <v>-2329431.8160736002</v>
      </c>
      <c r="CA138" s="217">
        <f t="shared" ca="1" si="214"/>
        <v>-2329431.8160736002</v>
      </c>
      <c r="CB138" s="217">
        <f t="shared" ca="1" si="214"/>
        <v>-2329431.8160736002</v>
      </c>
      <c r="CC138" s="217">
        <f t="shared" ca="1" si="214"/>
        <v>-2329431.8160736002</v>
      </c>
      <c r="CD138" s="217">
        <f t="shared" ca="1" si="214"/>
        <v>-2329431.8160736002</v>
      </c>
      <c r="CE138" s="217">
        <f t="shared" ca="1" si="214"/>
        <v>-2329431.8160736002</v>
      </c>
      <c r="CF138" s="217">
        <f t="shared" ca="1" si="214"/>
        <v>-2329431.8160736002</v>
      </c>
      <c r="CG138" s="217">
        <f t="shared" ca="1" si="214"/>
        <v>-2329431.8160736002</v>
      </c>
      <c r="CH138" s="217">
        <f t="shared" ca="1" si="214"/>
        <v>-2329431.8160736002</v>
      </c>
      <c r="CI138" s="217">
        <f t="shared" ca="1" si="214"/>
        <v>-2329431.8160736002</v>
      </c>
      <c r="CJ138" s="217">
        <f t="shared" ca="1" si="214"/>
        <v>-2329431.8160736002</v>
      </c>
      <c r="CK138" s="217">
        <f t="shared" ca="1" si="214"/>
        <v>-2329431.8160736002</v>
      </c>
      <c r="CL138" s="217">
        <f t="shared" ca="1" si="214"/>
        <v>-2329431.8160736002</v>
      </c>
      <c r="CM138" s="217">
        <f t="shared" ca="1" si="214"/>
        <v>-2329431.8160736002</v>
      </c>
      <c r="CN138" s="217">
        <f t="shared" ca="1" si="214"/>
        <v>-2329431.8160736002</v>
      </c>
      <c r="CO138" s="217">
        <f t="shared" ca="1" si="214"/>
        <v>-2329431.8160736002</v>
      </c>
      <c r="CP138" s="217">
        <f t="shared" ca="1" si="214"/>
        <v>-2329431.8160736002</v>
      </c>
      <c r="CQ138" s="217">
        <f t="shared" ca="1" si="214"/>
        <v>-2329431.8160736002</v>
      </c>
      <c r="CR138" s="217">
        <f t="shared" ca="1" si="214"/>
        <v>-2329431.8160736002</v>
      </c>
      <c r="CS138" s="217">
        <f t="shared" ca="1" si="214"/>
        <v>-2329431.8160736002</v>
      </c>
      <c r="CT138" s="217">
        <f t="shared" ca="1" si="214"/>
        <v>-2329431.8160736002</v>
      </c>
      <c r="CU138" s="217">
        <f t="shared" ca="1" si="214"/>
        <v>-2329431.8160736002</v>
      </c>
      <c r="CV138" s="217">
        <f t="shared" ca="1" si="214"/>
        <v>-2329431.8160736002</v>
      </c>
      <c r="CW138" s="217">
        <f t="shared" ca="1" si="214"/>
        <v>-2329431.8160736002</v>
      </c>
      <c r="CX138" s="217">
        <f t="shared" ca="1" si="214"/>
        <v>-2329431.8160736002</v>
      </c>
      <c r="CY138" s="217">
        <f t="shared" ca="1" si="214"/>
        <v>-2329431.8160736002</v>
      </c>
      <c r="CZ138" s="217">
        <f t="shared" ca="1" si="214"/>
        <v>-2329431.8160736002</v>
      </c>
      <c r="DA138" s="217">
        <f t="shared" ca="1" si="214"/>
        <v>-2329431.8160736002</v>
      </c>
      <c r="DB138" s="217">
        <f t="shared" ca="1" si="214"/>
        <v>-2329431.8160736002</v>
      </c>
      <c r="DC138" s="251">
        <f t="shared" ca="1" si="214"/>
        <v>-2329431.8160736002</v>
      </c>
    </row>
    <row r="139" spans="1:110" ht="15" hidden="1" customHeight="1" thickBot="1">
      <c r="C139" s="864" t="s">
        <v>400</v>
      </c>
      <c r="D139" s="865"/>
      <c r="E139" s="865"/>
      <c r="F139" s="86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69" t="s">
        <v>30</v>
      </c>
      <c r="D140" s="870"/>
      <c r="E140" s="871"/>
      <c r="F140" s="270">
        <f ca="1">IF(Rezultatai!B$4=Data1!$G$2,'Jautrumo analizė'!G140,"")</f>
        <v>7.8967670150532188</v>
      </c>
      <c r="G140" s="268">
        <f ca="1">IFERROR(IF(F131&lt;0,(F117-F131)/(F130-F133),(F117)/(F130+F131-F133)),"")</f>
        <v>7.8967670150532188</v>
      </c>
    </row>
    <row r="141" spans="1:110" ht="15" hidden="1" customHeight="1">
      <c r="C141" s="853" t="s">
        <v>29</v>
      </c>
      <c r="D141" s="806"/>
      <c r="E141" s="854"/>
      <c r="F141" s="271">
        <f ca="1">IF(Rezultatai!B$4=Data1!$G$2,'Jautrumo analizė'!G141,"")</f>
        <v>867683822.31458926</v>
      </c>
      <c r="G141" s="268">
        <f ca="1">IFERROR(F134,"")</f>
        <v>867683822.31458926</v>
      </c>
    </row>
    <row r="142" spans="1:110" ht="15" hidden="1" customHeight="1">
      <c r="C142" s="853" t="s">
        <v>196</v>
      </c>
      <c r="D142" s="806"/>
      <c r="E142" s="854"/>
      <c r="F142" s="271">
        <f ca="1">IF(Rezultatai!B$4=Data1!$G$2,'Jautrumo analizė'!G142,"")</f>
        <v>2.6352645610573568</v>
      </c>
      <c r="G142" s="268">
        <f ca="1">IFERROR(IRR(H134:INDEX(H134:DC134,PAL+1)),"")</f>
        <v>2.6352645610573568</v>
      </c>
    </row>
    <row r="143" spans="1:110" ht="15" hidden="1" customHeight="1">
      <c r="C143" s="853" t="s">
        <v>261</v>
      </c>
      <c r="D143" s="806"/>
      <c r="E143" s="854"/>
      <c r="F143" s="271" t="str">
        <f>IF(Rezultatai!B$4=Data1!$G$3,'Jautrumo analizė'!G143,"")</f>
        <v/>
      </c>
      <c r="G143" s="268">
        <f ca="1">IFERROR((F7+F115-F132)/F116,"")</f>
        <v>3890955.1676419335</v>
      </c>
    </row>
    <row r="144" spans="1:110" ht="15" hidden="1" customHeight="1">
      <c r="C144" s="853" t="s">
        <v>398</v>
      </c>
      <c r="D144" s="806"/>
      <c r="E144" s="854"/>
      <c r="F144" s="271">
        <f ca="1">IF(Rezultatai!B$5&lt;&gt;"",'Jautrumo analizė'!G144,"")</f>
        <v>9.1639999999999997</v>
      </c>
      <c r="G144" s="268">
        <f ca="1">IFERROR(SUM(F152:F160),"")</f>
        <v>9.1639999999999997</v>
      </c>
    </row>
    <row r="145" spans="3:107" ht="15" hidden="1" customHeight="1" thickBot="1">
      <c r="C145" s="859" t="s">
        <v>185</v>
      </c>
      <c r="D145" s="860"/>
      <c r="E145" s="861"/>
      <c r="F145" s="272">
        <f ca="1">IFERROR(F138,"")</f>
        <v>-62824583.246366918</v>
      </c>
      <c r="G145" s="269"/>
    </row>
    <row r="146" spans="3:107" ht="15" hidden="1" customHeight="1" thickBot="1">
      <c r="C146" s="856" t="s">
        <v>197</v>
      </c>
      <c r="D146" s="857"/>
      <c r="E146" s="857"/>
      <c r="F146" s="858"/>
      <c r="G146" s="12" t="s">
        <v>33</v>
      </c>
      <c r="H146" s="12" t="str">
        <f ca="1">H6</f>
        <v>2022</v>
      </c>
      <c r="I146" s="12">
        <f t="shared" ref="I146:BT146" ca="1" si="215">I6</f>
        <v>2023</v>
      </c>
      <c r="J146" s="12">
        <f t="shared" ca="1" si="215"/>
        <v>2024</v>
      </c>
      <c r="K146" s="12">
        <f t="shared" ca="1" si="215"/>
        <v>2025</v>
      </c>
      <c r="L146" s="12">
        <f t="shared" ca="1" si="215"/>
        <v>2026</v>
      </c>
      <c r="M146" s="12">
        <f t="shared" ca="1" si="215"/>
        <v>2027</v>
      </c>
      <c r="N146" s="12">
        <f t="shared" ca="1" si="215"/>
        <v>2028</v>
      </c>
      <c r="O146" s="12">
        <f t="shared" ca="1" si="215"/>
        <v>2029</v>
      </c>
      <c r="P146" s="12">
        <f t="shared" ca="1" si="215"/>
        <v>2030</v>
      </c>
      <c r="Q146" s="12">
        <f t="shared" ca="1" si="215"/>
        <v>2031</v>
      </c>
      <c r="R146" s="12">
        <f t="shared" ca="1" si="215"/>
        <v>2032</v>
      </c>
      <c r="S146" s="12">
        <f t="shared" ca="1" si="215"/>
        <v>2033</v>
      </c>
      <c r="T146" s="12">
        <f t="shared" ca="1" si="215"/>
        <v>2034</v>
      </c>
      <c r="U146" s="12">
        <f t="shared" ca="1" si="215"/>
        <v>2035</v>
      </c>
      <c r="V146" s="12">
        <f t="shared" ca="1" si="215"/>
        <v>2036</v>
      </c>
      <c r="W146" s="12">
        <f t="shared" ca="1" si="215"/>
        <v>2037</v>
      </c>
      <c r="X146" s="12">
        <f t="shared" ca="1" si="215"/>
        <v>2038</v>
      </c>
      <c r="Y146" s="12">
        <f t="shared" ca="1" si="215"/>
        <v>2039</v>
      </c>
      <c r="Z146" s="12">
        <f t="shared" ca="1" si="215"/>
        <v>2040</v>
      </c>
      <c r="AA146" s="12">
        <f t="shared" ca="1" si="215"/>
        <v>2041</v>
      </c>
      <c r="AB146" s="12">
        <f t="shared" ca="1" si="215"/>
        <v>2042</v>
      </c>
      <c r="AC146" s="12">
        <f t="shared" ca="1" si="215"/>
        <v>2043</v>
      </c>
      <c r="AD146" s="12">
        <f t="shared" ca="1" si="215"/>
        <v>2044</v>
      </c>
      <c r="AE146" s="12">
        <f t="shared" ca="1" si="215"/>
        <v>2045</v>
      </c>
      <c r="AF146" s="12">
        <f t="shared" ca="1" si="215"/>
        <v>2046</v>
      </c>
      <c r="AG146" s="12">
        <f t="shared" ca="1" si="215"/>
        <v>2047</v>
      </c>
      <c r="AH146" s="12">
        <f t="shared" ca="1" si="215"/>
        <v>2048</v>
      </c>
      <c r="AI146" s="12">
        <f t="shared" ca="1" si="215"/>
        <v>2049</v>
      </c>
      <c r="AJ146" s="12">
        <f t="shared" ca="1" si="215"/>
        <v>2050</v>
      </c>
      <c r="AK146" s="12">
        <f t="shared" ca="1" si="215"/>
        <v>2051</v>
      </c>
      <c r="AL146" s="12">
        <f t="shared" ca="1" si="215"/>
        <v>2052</v>
      </c>
      <c r="AM146" s="12">
        <f t="shared" ca="1" si="215"/>
        <v>2053</v>
      </c>
      <c r="AN146" s="12">
        <f t="shared" ca="1" si="215"/>
        <v>2054</v>
      </c>
      <c r="AO146" s="12">
        <f t="shared" ca="1" si="215"/>
        <v>2055</v>
      </c>
      <c r="AP146" s="12">
        <f t="shared" ca="1" si="215"/>
        <v>2056</v>
      </c>
      <c r="AQ146" s="12">
        <f t="shared" ca="1" si="215"/>
        <v>2057</v>
      </c>
      <c r="AR146" s="12">
        <f t="shared" ca="1" si="215"/>
        <v>2058</v>
      </c>
      <c r="AS146" s="12">
        <f t="shared" ca="1" si="215"/>
        <v>2059</v>
      </c>
      <c r="AT146" s="12">
        <f t="shared" ca="1" si="215"/>
        <v>2060</v>
      </c>
      <c r="AU146" s="12">
        <f t="shared" ca="1" si="215"/>
        <v>2061</v>
      </c>
      <c r="AV146" s="12">
        <f t="shared" ca="1" si="215"/>
        <v>2062</v>
      </c>
      <c r="AW146" s="12">
        <f t="shared" ca="1" si="215"/>
        <v>2063</v>
      </c>
      <c r="AX146" s="12">
        <f t="shared" ca="1" si="215"/>
        <v>2064</v>
      </c>
      <c r="AY146" s="12">
        <f t="shared" ca="1" si="215"/>
        <v>2065</v>
      </c>
      <c r="AZ146" s="12">
        <f t="shared" ca="1" si="215"/>
        <v>2066</v>
      </c>
      <c r="BA146" s="12">
        <f t="shared" ca="1" si="215"/>
        <v>2067</v>
      </c>
      <c r="BB146" s="12">
        <f t="shared" ca="1" si="215"/>
        <v>2068</v>
      </c>
      <c r="BC146" s="12">
        <f t="shared" ca="1" si="215"/>
        <v>2069</v>
      </c>
      <c r="BD146" s="12">
        <f t="shared" ca="1" si="215"/>
        <v>2070</v>
      </c>
      <c r="BE146" s="12">
        <f t="shared" ca="1" si="215"/>
        <v>2071</v>
      </c>
      <c r="BF146" s="12">
        <f t="shared" ca="1" si="215"/>
        <v>2072</v>
      </c>
      <c r="BG146" s="12">
        <f t="shared" ca="1" si="215"/>
        <v>2073</v>
      </c>
      <c r="BH146" s="12">
        <f t="shared" ca="1" si="215"/>
        <v>2074</v>
      </c>
      <c r="BI146" s="12">
        <f t="shared" ca="1" si="215"/>
        <v>2075</v>
      </c>
      <c r="BJ146" s="12">
        <f t="shared" ca="1" si="215"/>
        <v>2076</v>
      </c>
      <c r="BK146" s="12">
        <f t="shared" ca="1" si="215"/>
        <v>2077</v>
      </c>
      <c r="BL146" s="12">
        <f t="shared" ca="1" si="215"/>
        <v>2078</v>
      </c>
      <c r="BM146" s="12">
        <f t="shared" ca="1" si="215"/>
        <v>2079</v>
      </c>
      <c r="BN146" s="12">
        <f t="shared" ca="1" si="215"/>
        <v>2080</v>
      </c>
      <c r="BO146" s="12">
        <f t="shared" ca="1" si="215"/>
        <v>2081</v>
      </c>
      <c r="BP146" s="12">
        <f t="shared" ca="1" si="215"/>
        <v>2082</v>
      </c>
      <c r="BQ146" s="12">
        <f t="shared" ca="1" si="215"/>
        <v>2083</v>
      </c>
      <c r="BR146" s="12">
        <f t="shared" ca="1" si="215"/>
        <v>2084</v>
      </c>
      <c r="BS146" s="12">
        <f t="shared" ca="1" si="215"/>
        <v>2085</v>
      </c>
      <c r="BT146" s="12">
        <f t="shared" ca="1" si="215"/>
        <v>2086</v>
      </c>
      <c r="BU146" s="12">
        <f t="shared" ref="BU146:DC146" ca="1" si="216">BU6</f>
        <v>2087</v>
      </c>
      <c r="BV146" s="12">
        <f t="shared" ca="1" si="216"/>
        <v>2088</v>
      </c>
      <c r="BW146" s="12">
        <f t="shared" ca="1" si="216"/>
        <v>2089</v>
      </c>
      <c r="BX146" s="12">
        <f t="shared" ca="1" si="216"/>
        <v>2090</v>
      </c>
      <c r="BY146" s="12">
        <f t="shared" ca="1" si="216"/>
        <v>2091</v>
      </c>
      <c r="BZ146" s="12">
        <f t="shared" ca="1" si="216"/>
        <v>2092</v>
      </c>
      <c r="CA146" s="12">
        <f t="shared" ca="1" si="216"/>
        <v>2093</v>
      </c>
      <c r="CB146" s="12">
        <f t="shared" ca="1" si="216"/>
        <v>2094</v>
      </c>
      <c r="CC146" s="12">
        <f t="shared" ca="1" si="216"/>
        <v>2095</v>
      </c>
      <c r="CD146" s="12">
        <f t="shared" ca="1" si="216"/>
        <v>2096</v>
      </c>
      <c r="CE146" s="12">
        <f t="shared" ca="1" si="216"/>
        <v>2097</v>
      </c>
      <c r="CF146" s="12">
        <f t="shared" ca="1" si="216"/>
        <v>2098</v>
      </c>
      <c r="CG146" s="12">
        <f t="shared" ca="1" si="216"/>
        <v>2099</v>
      </c>
      <c r="CH146" s="12">
        <f t="shared" ca="1" si="216"/>
        <v>2100</v>
      </c>
      <c r="CI146" s="12">
        <f t="shared" ca="1" si="216"/>
        <v>2101</v>
      </c>
      <c r="CJ146" s="12">
        <f t="shared" ca="1" si="216"/>
        <v>2102</v>
      </c>
      <c r="CK146" s="12">
        <f t="shared" ca="1" si="216"/>
        <v>2103</v>
      </c>
      <c r="CL146" s="12">
        <f t="shared" ca="1" si="216"/>
        <v>2104</v>
      </c>
      <c r="CM146" s="12">
        <f t="shared" ca="1" si="216"/>
        <v>2105</v>
      </c>
      <c r="CN146" s="12">
        <f t="shared" ca="1" si="216"/>
        <v>2106</v>
      </c>
      <c r="CO146" s="12">
        <f t="shared" ca="1" si="216"/>
        <v>2107</v>
      </c>
      <c r="CP146" s="12">
        <f t="shared" ca="1" si="216"/>
        <v>2108</v>
      </c>
      <c r="CQ146" s="12">
        <f t="shared" ca="1" si="216"/>
        <v>2109</v>
      </c>
      <c r="CR146" s="12">
        <f t="shared" ca="1" si="216"/>
        <v>2110</v>
      </c>
      <c r="CS146" s="12">
        <f t="shared" ca="1" si="216"/>
        <v>2111</v>
      </c>
      <c r="CT146" s="12">
        <f t="shared" ca="1" si="216"/>
        <v>2112</v>
      </c>
      <c r="CU146" s="12">
        <f t="shared" ca="1" si="216"/>
        <v>2113</v>
      </c>
      <c r="CV146" s="12">
        <f t="shared" ca="1" si="216"/>
        <v>2114</v>
      </c>
      <c r="CW146" s="12">
        <f t="shared" ca="1" si="216"/>
        <v>2115</v>
      </c>
      <c r="CX146" s="12">
        <f t="shared" ca="1" si="216"/>
        <v>2116</v>
      </c>
      <c r="CY146" s="12">
        <f t="shared" ca="1" si="216"/>
        <v>2117</v>
      </c>
      <c r="CZ146" s="12">
        <f t="shared" ca="1" si="216"/>
        <v>2118</v>
      </c>
      <c r="DA146" s="12">
        <f t="shared" ca="1" si="216"/>
        <v>2119</v>
      </c>
      <c r="DB146" s="12">
        <f t="shared" ca="1" si="216"/>
        <v>2120</v>
      </c>
      <c r="DC146" s="12">
        <f t="shared" ca="1" si="216"/>
        <v>2121</v>
      </c>
    </row>
    <row r="147" spans="3:107" ht="15" hidden="1" customHeight="1">
      <c r="C147" s="780" t="s">
        <v>201</v>
      </c>
      <c r="D147" s="781"/>
      <c r="E147" s="782"/>
      <c r="F147" s="61"/>
      <c r="G147" s="59">
        <f>SUMIF($H$4:$DC$4,"&lt;="&amp;PAL,$H147:$DC147)</f>
        <v>0</v>
      </c>
      <c r="H147" s="14">
        <f ca="1">H132-H$7+H$115</f>
        <v>-1708000</v>
      </c>
      <c r="I147" s="14">
        <f ca="1">I132-I$7+I$115</f>
        <v>-4900980.7675320003</v>
      </c>
      <c r="J147" s="14">
        <f t="shared" ref="J147:BT147" ca="1" si="217">J132-J$7+J$115</f>
        <v>-7587358.9378861329</v>
      </c>
      <c r="K147" s="14">
        <f t="shared" ca="1" si="217"/>
        <v>-10781120.3630432</v>
      </c>
      <c r="L147" s="14">
        <f t="shared" ca="1" si="217"/>
        <v>-10183520.3630432</v>
      </c>
      <c r="M147" s="14">
        <f t="shared" ca="1" si="217"/>
        <v>-10203520.3630432</v>
      </c>
      <c r="N147" s="14">
        <f t="shared" ca="1" si="217"/>
        <v>-10183020.3630432</v>
      </c>
      <c r="O147" s="14">
        <f t="shared" ca="1" si="217"/>
        <v>-10183020.3630432</v>
      </c>
      <c r="P147" s="14">
        <f t="shared" ca="1" si="217"/>
        <v>-10183020.3630432</v>
      </c>
      <c r="Q147" s="14">
        <f t="shared" ca="1" si="217"/>
        <v>-10183020.3630432</v>
      </c>
      <c r="R147" s="14">
        <f t="shared" ca="1" si="217"/>
        <v>-10303020.3630432</v>
      </c>
      <c r="S147" s="14">
        <f t="shared" ca="1" si="217"/>
        <v>-10423020.3630432</v>
      </c>
      <c r="T147" s="14">
        <f t="shared" ca="1" si="217"/>
        <v>-10303020.3630432</v>
      </c>
      <c r="U147" s="14">
        <f t="shared" ca="1" si="217"/>
        <v>-10423020.3630432</v>
      </c>
      <c r="V147" s="14">
        <f t="shared" ca="1" si="217"/>
        <v>-10183020.3630432</v>
      </c>
      <c r="W147" s="14">
        <f t="shared" ca="1" si="217"/>
        <v>-10183020.3630432</v>
      </c>
      <c r="X147" s="14">
        <f t="shared" ca="1" si="217"/>
        <v>-10183020.3630432</v>
      </c>
      <c r="Y147" s="14">
        <f t="shared" ca="1" si="217"/>
        <v>-10183020.3630432</v>
      </c>
      <c r="Z147" s="14">
        <f t="shared" ca="1" si="217"/>
        <v>-10183020.3630432</v>
      </c>
      <c r="AA147" s="14">
        <f t="shared" ca="1" si="217"/>
        <v>-10183020.3630432</v>
      </c>
      <c r="AB147" s="14">
        <f t="shared" ca="1" si="217"/>
        <v>-10183020.3630432</v>
      </c>
      <c r="AC147" s="14">
        <f t="shared" ca="1" si="217"/>
        <v>-2329431.8160736002</v>
      </c>
      <c r="AD147" s="14">
        <f t="shared" ca="1" si="217"/>
        <v>-2329431.8160736002</v>
      </c>
      <c r="AE147" s="14">
        <f t="shared" ca="1" si="217"/>
        <v>-2329431.8160736002</v>
      </c>
      <c r="AF147" s="14">
        <f t="shared" ca="1" si="217"/>
        <v>-2329431.8160736002</v>
      </c>
      <c r="AG147" s="14">
        <f t="shared" ca="1" si="217"/>
        <v>-2329431.8160736002</v>
      </c>
      <c r="AH147" s="14">
        <f t="shared" ca="1" si="217"/>
        <v>-2329431.8160736002</v>
      </c>
      <c r="AI147" s="14">
        <f t="shared" ca="1" si="217"/>
        <v>-2329431.8160736002</v>
      </c>
      <c r="AJ147" s="14">
        <f t="shared" ca="1" si="217"/>
        <v>-2329431.8160736002</v>
      </c>
      <c r="AK147" s="14">
        <f t="shared" ca="1" si="217"/>
        <v>-2329431.8160736002</v>
      </c>
      <c r="AL147" s="14">
        <f t="shared" ca="1" si="217"/>
        <v>-2329431.8160736002</v>
      </c>
      <c r="AM147" s="14">
        <f t="shared" ca="1" si="217"/>
        <v>-2329431.8160736002</v>
      </c>
      <c r="AN147" s="14">
        <f t="shared" ca="1" si="217"/>
        <v>-2329431.8160736002</v>
      </c>
      <c r="AO147" s="14">
        <f t="shared" ca="1" si="217"/>
        <v>-2329431.8160736002</v>
      </c>
      <c r="AP147" s="14">
        <f t="shared" ca="1" si="217"/>
        <v>-2329431.8160736002</v>
      </c>
      <c r="AQ147" s="14">
        <f t="shared" ca="1" si="217"/>
        <v>-2329431.8160736002</v>
      </c>
      <c r="AR147" s="14">
        <f t="shared" ca="1" si="217"/>
        <v>-2329431.8160736002</v>
      </c>
      <c r="AS147" s="14">
        <f t="shared" ca="1" si="217"/>
        <v>-2329431.8160736002</v>
      </c>
      <c r="AT147" s="14">
        <f t="shared" ca="1" si="217"/>
        <v>-2329431.8160736002</v>
      </c>
      <c r="AU147" s="14">
        <f t="shared" ca="1" si="217"/>
        <v>-2329431.8160736002</v>
      </c>
      <c r="AV147" s="14">
        <f t="shared" ca="1" si="217"/>
        <v>-2329431.8160736002</v>
      </c>
      <c r="AW147" s="14">
        <f t="shared" ca="1" si="217"/>
        <v>-2329431.8160736002</v>
      </c>
      <c r="AX147" s="14">
        <f t="shared" ca="1" si="217"/>
        <v>-2329431.8160736002</v>
      </c>
      <c r="AY147" s="14">
        <f t="shared" ca="1" si="217"/>
        <v>-2329431.8160736002</v>
      </c>
      <c r="AZ147" s="14">
        <f t="shared" ca="1" si="217"/>
        <v>-2329431.8160736002</v>
      </c>
      <c r="BA147" s="14">
        <f t="shared" ca="1" si="217"/>
        <v>-2329431.8160736002</v>
      </c>
      <c r="BB147" s="14">
        <f t="shared" ca="1" si="217"/>
        <v>-2329431.8160736002</v>
      </c>
      <c r="BC147" s="14">
        <f t="shared" ca="1" si="217"/>
        <v>-2329431.8160736002</v>
      </c>
      <c r="BD147" s="14">
        <f t="shared" ca="1" si="217"/>
        <v>-2329431.8160736002</v>
      </c>
      <c r="BE147" s="14">
        <f t="shared" ca="1" si="217"/>
        <v>-2329431.8160736002</v>
      </c>
      <c r="BF147" s="14">
        <f t="shared" ca="1" si="217"/>
        <v>-2329431.8160736002</v>
      </c>
      <c r="BG147" s="14">
        <f t="shared" ca="1" si="217"/>
        <v>-2329431.8160736002</v>
      </c>
      <c r="BH147" s="14">
        <f t="shared" ca="1" si="217"/>
        <v>-2329431.8160736002</v>
      </c>
      <c r="BI147" s="14">
        <f t="shared" ca="1" si="217"/>
        <v>-2329431.8160736002</v>
      </c>
      <c r="BJ147" s="14">
        <f t="shared" ca="1" si="217"/>
        <v>-2329431.8160736002</v>
      </c>
      <c r="BK147" s="14">
        <f t="shared" ca="1" si="217"/>
        <v>-2329431.8160736002</v>
      </c>
      <c r="BL147" s="14">
        <f t="shared" ca="1" si="217"/>
        <v>-2329431.8160736002</v>
      </c>
      <c r="BM147" s="14">
        <f t="shared" ca="1" si="217"/>
        <v>-2329431.8160736002</v>
      </c>
      <c r="BN147" s="14">
        <f t="shared" ca="1" si="217"/>
        <v>-2329431.8160736002</v>
      </c>
      <c r="BO147" s="14">
        <f t="shared" ca="1" si="217"/>
        <v>-2329431.8160736002</v>
      </c>
      <c r="BP147" s="14">
        <f t="shared" ca="1" si="217"/>
        <v>-2329431.8160736002</v>
      </c>
      <c r="BQ147" s="14">
        <f t="shared" ca="1" si="217"/>
        <v>-2329431.8160736002</v>
      </c>
      <c r="BR147" s="14">
        <f t="shared" ca="1" si="217"/>
        <v>-2329431.8160736002</v>
      </c>
      <c r="BS147" s="14">
        <f t="shared" ca="1" si="217"/>
        <v>-2329431.8160736002</v>
      </c>
      <c r="BT147" s="14">
        <f t="shared" ca="1" si="217"/>
        <v>-2329431.8160736002</v>
      </c>
      <c r="BU147" s="14">
        <f t="shared" ref="BU147:DC147" ca="1" si="218">BU132-BU$7+BU$115</f>
        <v>-2329431.8160736002</v>
      </c>
      <c r="BV147" s="14">
        <f t="shared" ca="1" si="218"/>
        <v>-2329431.8160736002</v>
      </c>
      <c r="BW147" s="14">
        <f t="shared" ca="1" si="218"/>
        <v>-2329431.8160736002</v>
      </c>
      <c r="BX147" s="14">
        <f t="shared" ca="1" si="218"/>
        <v>-2329431.8160736002</v>
      </c>
      <c r="BY147" s="14">
        <f t="shared" ca="1" si="218"/>
        <v>-2329431.8160736002</v>
      </c>
      <c r="BZ147" s="14">
        <f t="shared" ca="1" si="218"/>
        <v>-2329431.8160736002</v>
      </c>
      <c r="CA147" s="14">
        <f t="shared" ca="1" si="218"/>
        <v>-2329431.8160736002</v>
      </c>
      <c r="CB147" s="14">
        <f t="shared" ca="1" si="218"/>
        <v>-2329431.8160736002</v>
      </c>
      <c r="CC147" s="14">
        <f t="shared" ca="1" si="218"/>
        <v>-2329431.8160736002</v>
      </c>
      <c r="CD147" s="14">
        <f t="shared" ca="1" si="218"/>
        <v>-2329431.8160736002</v>
      </c>
      <c r="CE147" s="14">
        <f t="shared" ca="1" si="218"/>
        <v>-2329431.8160736002</v>
      </c>
      <c r="CF147" s="14">
        <f t="shared" ca="1" si="218"/>
        <v>-2329431.8160736002</v>
      </c>
      <c r="CG147" s="14">
        <f t="shared" ca="1" si="218"/>
        <v>-2329431.8160736002</v>
      </c>
      <c r="CH147" s="14">
        <f t="shared" ca="1" si="218"/>
        <v>-2329431.8160736002</v>
      </c>
      <c r="CI147" s="14">
        <f t="shared" ca="1" si="218"/>
        <v>-2329431.8160736002</v>
      </c>
      <c r="CJ147" s="14">
        <f t="shared" ca="1" si="218"/>
        <v>-2329431.8160736002</v>
      </c>
      <c r="CK147" s="14">
        <f t="shared" ca="1" si="218"/>
        <v>-2329431.8160736002</v>
      </c>
      <c r="CL147" s="14">
        <f t="shared" ca="1" si="218"/>
        <v>-2329431.8160736002</v>
      </c>
      <c r="CM147" s="14">
        <f t="shared" ca="1" si="218"/>
        <v>-2329431.8160736002</v>
      </c>
      <c r="CN147" s="14">
        <f t="shared" ca="1" si="218"/>
        <v>-2329431.8160736002</v>
      </c>
      <c r="CO147" s="14">
        <f t="shared" ca="1" si="218"/>
        <v>-2329431.8160736002</v>
      </c>
      <c r="CP147" s="14">
        <f t="shared" ca="1" si="218"/>
        <v>-2329431.8160736002</v>
      </c>
      <c r="CQ147" s="14">
        <f t="shared" ca="1" si="218"/>
        <v>-2329431.8160736002</v>
      </c>
      <c r="CR147" s="14">
        <f t="shared" ca="1" si="218"/>
        <v>-2329431.8160736002</v>
      </c>
      <c r="CS147" s="14">
        <f t="shared" ca="1" si="218"/>
        <v>-2329431.8160736002</v>
      </c>
      <c r="CT147" s="14">
        <f t="shared" ca="1" si="218"/>
        <v>-2329431.8160736002</v>
      </c>
      <c r="CU147" s="14">
        <f t="shared" ca="1" si="218"/>
        <v>-2329431.8160736002</v>
      </c>
      <c r="CV147" s="14">
        <f t="shared" ca="1" si="218"/>
        <v>-2329431.8160736002</v>
      </c>
      <c r="CW147" s="14">
        <f t="shared" ca="1" si="218"/>
        <v>-2329431.8160736002</v>
      </c>
      <c r="CX147" s="14">
        <f t="shared" ca="1" si="218"/>
        <v>-2329431.8160736002</v>
      </c>
      <c r="CY147" s="14">
        <f t="shared" ca="1" si="218"/>
        <v>-2329431.8160736002</v>
      </c>
      <c r="CZ147" s="14">
        <f t="shared" ca="1" si="218"/>
        <v>-2329431.8160736002</v>
      </c>
      <c r="DA147" s="14">
        <f t="shared" ca="1" si="218"/>
        <v>-2329431.8160736002</v>
      </c>
      <c r="DB147" s="14">
        <f t="shared" ca="1" si="218"/>
        <v>-2329431.8160736002</v>
      </c>
      <c r="DC147" s="14">
        <f t="shared" ca="1" si="218"/>
        <v>-2329431.8160736002</v>
      </c>
    </row>
    <row r="148" spans="3:107" ht="15" hidden="1" customHeight="1">
      <c r="C148" s="783" t="s">
        <v>272</v>
      </c>
      <c r="D148" s="784"/>
      <c r="E148" s="785"/>
      <c r="F148" s="54">
        <f ca="1">IFERROR(H147+NPV(FD,I147:INDEX(I147:DC147,PAL)),"")</f>
        <v>-133624892.96759719</v>
      </c>
      <c r="G148" s="53"/>
    </row>
    <row r="149" spans="3:107" ht="15" hidden="1" customHeight="1">
      <c r="C149" s="783" t="s">
        <v>273</v>
      </c>
      <c r="D149" s="784"/>
      <c r="E149" s="785"/>
      <c r="F149" s="174" t="str">
        <f ca="1">IFERROR(IRR(H147:INDEX(H147:DC147,PAL+1)),"")</f>
        <v/>
      </c>
      <c r="G149" s="45"/>
    </row>
    <row r="150" spans="3:107" ht="15" hidden="1" customHeight="1" thickBot="1">
      <c r="C150" s="789" t="s">
        <v>200</v>
      </c>
      <c r="D150" s="790"/>
      <c r="E150" s="791"/>
      <c r="F150" s="52">
        <f ca="1">IFERROR(IF(F$89&lt;0,SUM(F$100,-F$115,-F$89)/SUM(F$9,F$8,-SNA!F136),SUM(F$100,-F$115)/SUM(F$9,F$8,-SNA!F136,F$89)),"")</f>
        <v>3.0335185581180743E-2</v>
      </c>
      <c r="G150" s="45"/>
    </row>
    <row r="151" spans="3:107" ht="15" hidden="1" customHeight="1" thickBot="1">
      <c r="C151" s="856" t="s">
        <v>399</v>
      </c>
      <c r="D151" s="857"/>
      <c r="E151" s="857"/>
      <c r="F151" s="85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Politinės svarbos</v>
      </c>
      <c r="D153" s="198"/>
      <c r="E153" s="253">
        <f ca="1">INDIRECT(CONCATENATE("DA!","D",ROW(INDIRECT(VLOOKUP(Opt_alt,Data1!$P$2:$Q$6,2,FALSE)))-8))</f>
        <v>8</v>
      </c>
      <c r="F153" s="253">
        <f ca="1">INDIRECT(CONCATENATE("DA!","E",ROW(INDIRECT(VLOOKUP(Opt_alt,Data1!$P$2:$Q$6,2,FALSE)))-8))</f>
        <v>0.72</v>
      </c>
      <c r="G153" s="45"/>
    </row>
    <row r="154" spans="3:107" ht="15" hidden="1" customHeight="1" thickBot="1">
      <c r="C154" s="252" t="str">
        <f>DA!C10</f>
        <v>Regioninės svarbos</v>
      </c>
      <c r="D154" s="198"/>
      <c r="E154" s="253">
        <f ca="1">INDIRECT(CONCATENATE("DA!","D",ROW(INDIRECT(VLOOKUP(Opt_alt,Data1!$P$2:$Q$6,2,FALSE)))-7))</f>
        <v>7.8</v>
      </c>
      <c r="F154" s="253">
        <f ca="1">INDIRECT(CONCATENATE("DA!","E",ROW(INDIRECT(VLOOKUP(Opt_alt,Data1!$P$2:$Q$6,2,FALSE)))-7))</f>
        <v>0.70199999999999996</v>
      </c>
      <c r="G154" s="45"/>
    </row>
    <row r="155" spans="3:107" ht="15" hidden="1" customHeight="1" thickBot="1">
      <c r="C155" s="252" t="str">
        <f>DA!C11</f>
        <v>Ekonominės svarbos</v>
      </c>
      <c r="D155" s="58"/>
      <c r="E155" s="253">
        <f ca="1">INDIRECT(CONCATENATE("DA!","D",ROW(INDIRECT(VLOOKUP(Opt_alt,Data1!$P$2:$Q$6,2,FALSE)))-6))</f>
        <v>8.1999999999999993</v>
      </c>
      <c r="F155" s="253">
        <f ca="1">INDIRECT(CONCATENATE("DA!","E",ROW(INDIRECT(VLOOKUP(Opt_alt,Data1!$P$2:$Q$6,2,FALSE)))-6))</f>
        <v>0.73799999999999988</v>
      </c>
      <c r="G155" s="45"/>
    </row>
    <row r="156" spans="3:107" ht="15" hidden="1" customHeight="1" thickBot="1">
      <c r="C156" s="252" t="str">
        <f>DA!C12</f>
        <v>Konsulinės/diasporos svarbos</v>
      </c>
      <c r="D156" s="58"/>
      <c r="E156" s="253">
        <f ca="1">INDIRECT(CONCATENATE("DA!","D",ROW(INDIRECT(VLOOKUP(Opt_alt,Data1!$P$2:$Q$6,2,FALSE)))-5))</f>
        <v>7.6</v>
      </c>
      <c r="F156" s="253">
        <f ca="1">INDIRECT(CONCATENATE("DA!","E",ROW(INDIRECT(VLOOKUP(Opt_alt,Data1!$P$2:$Q$6,2,FALSE)))-5))</f>
        <v>0.68399999999999994</v>
      </c>
      <c r="G156" s="45"/>
    </row>
    <row r="157" spans="3:107" ht="15" hidden="1" customHeight="1" thickBot="1">
      <c r="C157" s="252" t="str">
        <f>DA!C13</f>
        <v>Ministerijos politinio pasirinkimo</v>
      </c>
      <c r="D157" s="58"/>
      <c r="E157" s="253">
        <f ca="1">INDIRECT(CONCATENATE("DA!","D",ROW(INDIRECT(VLOOKUP(Opt_alt,Data1!$P$2:$Q$6,2,FALSE)))-4))</f>
        <v>8</v>
      </c>
      <c r="F157" s="253">
        <f ca="1">INDIRECT(CONCATENATE("DA!","E",ROW(INDIRECT(VLOOKUP(Opt_alt,Data1!$P$2:$Q$6,2,FALSE)))-4))</f>
        <v>0.32</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2" spans="2:58" ht="15" hidden="1" thickBot="1">
      <c r="AF162" s="18" t="s">
        <v>395</v>
      </c>
    </row>
    <row r="163" spans="2:58" ht="15" customHeight="1">
      <c r="E163" s="820" t="s">
        <v>240</v>
      </c>
      <c r="F163" s="821"/>
      <c r="G163" s="820" t="s">
        <v>285</v>
      </c>
      <c r="H163" s="821"/>
      <c r="I163" s="820" t="s">
        <v>286</v>
      </c>
      <c r="J163" s="821"/>
      <c r="K163" s="820" t="s">
        <v>261</v>
      </c>
      <c r="L163" s="821"/>
      <c r="M163" s="820" t="s">
        <v>398</v>
      </c>
      <c r="N163" s="821"/>
      <c r="O163" s="820" t="s">
        <v>185</v>
      </c>
      <c r="P163" s="821"/>
      <c r="Q163" s="820" t="s">
        <v>391</v>
      </c>
      <c r="R163" s="821"/>
      <c r="S163" s="820" t="s">
        <v>392</v>
      </c>
      <c r="T163" s="821"/>
      <c r="U163" s="810" t="s">
        <v>393</v>
      </c>
      <c r="V163" s="810"/>
      <c r="W163" s="855"/>
      <c r="X163" s="855"/>
      <c r="Y163" s="855"/>
      <c r="Z163" s="855"/>
      <c r="AA163" s="855"/>
      <c r="AB163" s="855"/>
      <c r="AC163" s="855"/>
      <c r="AD163" s="855"/>
      <c r="AE163" s="855"/>
      <c r="AF163" s="862" t="s">
        <v>240</v>
      </c>
      <c r="AG163" s="851"/>
      <c r="AH163" s="851"/>
      <c r="AI163" s="851" t="s">
        <v>285</v>
      </c>
      <c r="AJ163" s="851"/>
      <c r="AK163" s="851"/>
      <c r="AL163" s="851" t="s">
        <v>286</v>
      </c>
      <c r="AM163" s="851"/>
      <c r="AN163" s="851"/>
      <c r="AO163" s="851" t="s">
        <v>261</v>
      </c>
      <c r="AP163" s="851"/>
      <c r="AQ163" s="851"/>
      <c r="AR163" s="851" t="s">
        <v>398</v>
      </c>
      <c r="AS163" s="851"/>
      <c r="AT163" s="851"/>
      <c r="AU163" s="851" t="s">
        <v>185</v>
      </c>
      <c r="AV163" s="851"/>
      <c r="AW163" s="851"/>
      <c r="AX163" s="851" t="s">
        <v>391</v>
      </c>
      <c r="AY163" s="851"/>
      <c r="AZ163" s="851"/>
      <c r="BA163" s="851" t="s">
        <v>392</v>
      </c>
      <c r="BB163" s="851"/>
      <c r="BC163" s="851"/>
      <c r="BD163" s="851" t="s">
        <v>393</v>
      </c>
      <c r="BE163" s="851"/>
      <c r="BF163" s="852"/>
    </row>
    <row r="164" spans="2:58" ht="15" thickBot="1">
      <c r="C164" s="31" t="s">
        <v>238</v>
      </c>
      <c r="E164" s="273">
        <v>-0.01</v>
      </c>
      <c r="F164" s="273">
        <v>0.01</v>
      </c>
      <c r="G164" s="273">
        <v>-0.01</v>
      </c>
      <c r="H164" s="273">
        <v>0.01</v>
      </c>
      <c r="I164" s="273">
        <v>-0.01</v>
      </c>
      <c r="J164" s="273">
        <v>0.01</v>
      </c>
      <c r="K164" s="273">
        <v>-0.01</v>
      </c>
      <c r="L164" s="273">
        <v>0.01</v>
      </c>
      <c r="M164" s="273">
        <v>-0.01</v>
      </c>
      <c r="N164" s="273">
        <v>0.01</v>
      </c>
      <c r="O164" s="273">
        <v>-0.01</v>
      </c>
      <c r="P164" s="273">
        <v>0.01</v>
      </c>
      <c r="Q164" s="273">
        <v>-0.01</v>
      </c>
      <c r="R164" s="273">
        <v>0.01</v>
      </c>
      <c r="S164" s="273">
        <v>-0.01</v>
      </c>
      <c r="T164" s="273">
        <v>0.01</v>
      </c>
      <c r="U164" s="273">
        <v>-0.01</v>
      </c>
      <c r="V164" s="273">
        <v>0.01</v>
      </c>
      <c r="W164" s="64"/>
      <c r="X164" s="64"/>
      <c r="Y164" s="64"/>
      <c r="Z164" s="64"/>
      <c r="AA164" s="64"/>
      <c r="AB164" s="64"/>
      <c r="AC164" s="64"/>
      <c r="AD164" s="64"/>
      <c r="AE164" s="64"/>
      <c r="AF164" s="260">
        <v>-0.01</v>
      </c>
      <c r="AG164" s="257">
        <v>0</v>
      </c>
      <c r="AH164" s="257">
        <v>0.01</v>
      </c>
      <c r="AI164" s="257">
        <v>-0.01</v>
      </c>
      <c r="AJ164" s="257">
        <v>0</v>
      </c>
      <c r="AK164" s="257">
        <v>0.01</v>
      </c>
      <c r="AL164" s="257">
        <v>-0.01</v>
      </c>
      <c r="AM164" s="257">
        <v>0</v>
      </c>
      <c r="AN164" s="257">
        <v>0.01</v>
      </c>
      <c r="AO164" s="257">
        <v>-0.01</v>
      </c>
      <c r="AP164" s="257">
        <v>0</v>
      </c>
      <c r="AQ164" s="257">
        <v>0.01</v>
      </c>
      <c r="AR164" s="257">
        <v>-0.01</v>
      </c>
      <c r="AS164" s="257">
        <v>0</v>
      </c>
      <c r="AT164" s="257">
        <v>0.01</v>
      </c>
      <c r="AU164" s="257">
        <v>-0.01</v>
      </c>
      <c r="AV164" s="257">
        <v>0</v>
      </c>
      <c r="AW164" s="257">
        <v>0.01</v>
      </c>
      <c r="AX164" s="257">
        <v>-0.01</v>
      </c>
      <c r="AY164" s="257">
        <v>0</v>
      </c>
      <c r="AZ164" s="257">
        <v>0.01</v>
      </c>
      <c r="BA164" s="257">
        <v>-0.01</v>
      </c>
      <c r="BB164" s="257">
        <v>0</v>
      </c>
      <c r="BC164" s="257">
        <v>0.01</v>
      </c>
      <c r="BD164" s="257">
        <v>-0.01</v>
      </c>
      <c r="BE164" s="257">
        <v>0</v>
      </c>
      <c r="BF164" s="258">
        <v>0.01</v>
      </c>
    </row>
    <row r="165" spans="2:58">
      <c r="C165" s="274" t="s">
        <v>421</v>
      </c>
      <c r="E165" s="256">
        <f>IFERROR((AF165-$AG165)/$AG165,"-")</f>
        <v>0</v>
      </c>
      <c r="F165" s="256">
        <f>IFERROR((AH165-$AG165)/$AG165,"-")</f>
        <v>0</v>
      </c>
      <c r="G165" s="256">
        <f>IFERROR((AI165-$AJ165)/$AJ165,"-")</f>
        <v>0</v>
      </c>
      <c r="H165" s="256">
        <f>IFERROR((AK165-$AJ165)/$AJ165,"-")</f>
        <v>0</v>
      </c>
      <c r="I165" s="256">
        <f>IFERROR((AL165-$AM165)/$AM165,"-")</f>
        <v>0</v>
      </c>
      <c r="J165" s="256">
        <f>IFERROR((AN165-$AM165)/$AM165,"-")</f>
        <v>0</v>
      </c>
      <c r="K165" s="256" t="str">
        <f>IFERROR((AO165-$AP165)/$AP165,"-")</f>
        <v>-</v>
      </c>
      <c r="L165" s="256" t="str">
        <f>IFERROR((AQ165-$AP165)/$AP165,"-")</f>
        <v>-</v>
      </c>
      <c r="M165" s="256">
        <f>IFERROR((AR165-$AS165)/$AS165,"-")</f>
        <v>0</v>
      </c>
      <c r="N165" s="256">
        <f>IFERROR((AT165-$AS165)/$AS165,"-")</f>
        <v>0</v>
      </c>
      <c r="O165" s="256">
        <f>IFERROR((AU165-$AV165)/$AV165,"-")</f>
        <v>0</v>
      </c>
      <c r="P165" s="256">
        <f>IFERROR((AW165-$AV165)/$AV165,"-")</f>
        <v>0</v>
      </c>
      <c r="Q165" s="256">
        <f>IFERROR((AX165-$AY165)/$AY165,"-")</f>
        <v>0</v>
      </c>
      <c r="R165" s="256">
        <f>IFERROR((AZ165-$AY165)/$AY165,"-")</f>
        <v>0</v>
      </c>
      <c r="S165" s="256" t="str">
        <f>IFERROR((BA165-$BB165)/$BB165,"-")</f>
        <v>-</v>
      </c>
      <c r="T165" s="256" t="str">
        <f>IFERROR((BC165-$BB165)/$BB165,"-")</f>
        <v>-</v>
      </c>
      <c r="U165" s="256">
        <f>IFERROR((BD165-$BE165)/$BE165,"-")</f>
        <v>0</v>
      </c>
      <c r="V165" s="256">
        <f>IFERROR((BF165-$BE165)/$BE165,"-")</f>
        <v>0</v>
      </c>
      <c r="Y165" s="255"/>
      <c r="AA165" s="255"/>
      <c r="AD165" s="255"/>
      <c r="AF165" s="262">
        <v>4.1827566161784082</v>
      </c>
      <c r="AG165" s="262">
        <v>4.1827566161784082</v>
      </c>
      <c r="AH165" s="262">
        <v>4.1827566161784082</v>
      </c>
      <c r="AI165" s="262">
        <v>352604083.95265895</v>
      </c>
      <c r="AJ165" s="262">
        <v>352604083.95265895</v>
      </c>
      <c r="AK165" s="262">
        <v>352604083.95265895</v>
      </c>
      <c r="AL165" s="262">
        <v>2.2816209649217631</v>
      </c>
      <c r="AM165" s="262">
        <v>2.2816209649217631</v>
      </c>
      <c r="AN165" s="262">
        <v>2.2816209649217631</v>
      </c>
      <c r="AO165" s="262" t="s">
        <v>414</v>
      </c>
      <c r="AP165" s="262" t="s">
        <v>414</v>
      </c>
      <c r="AQ165" s="262" t="s">
        <v>414</v>
      </c>
      <c r="AR165" s="262">
        <v>9.1639999999999997</v>
      </c>
      <c r="AS165" s="262">
        <v>9.1639999999999997</v>
      </c>
      <c r="AT165" s="262">
        <v>9.1639999999999997</v>
      </c>
      <c r="AU165" s="262">
        <v>-47476496.006645046</v>
      </c>
      <c r="AV165" s="262">
        <v>-47476496.006645046</v>
      </c>
      <c r="AW165" s="262">
        <v>-47476496.006645046</v>
      </c>
      <c r="AX165" s="262">
        <v>-117087992.09531094</v>
      </c>
      <c r="AY165" s="262">
        <v>-117087992.09531094</v>
      </c>
      <c r="AZ165" s="262">
        <v>-117087992.09531094</v>
      </c>
      <c r="BA165" s="262" t="s">
        <v>414</v>
      </c>
      <c r="BB165" s="262" t="s">
        <v>414</v>
      </c>
      <c r="BC165" s="262" t="s">
        <v>414</v>
      </c>
      <c r="BD165" s="262">
        <v>3.4471879118721363E-2</v>
      </c>
      <c r="BE165" s="262">
        <v>3.4471879118721363E-2</v>
      </c>
      <c r="BF165" s="262">
        <v>3.4471879118721363E-2</v>
      </c>
    </row>
    <row r="166" spans="2:58">
      <c r="C166" s="274" t="s">
        <v>283</v>
      </c>
      <c r="E166" s="256">
        <f t="shared" ref="E166:E229" si="219">IFERROR((AF166-$AG166)/$AG166,"-")</f>
        <v>0</v>
      </c>
      <c r="F166" s="256">
        <f t="shared" ref="F166:F229" si="220">IFERROR((AH166-$AG166)/$AG166,"-")</f>
        <v>0</v>
      </c>
      <c r="G166" s="256">
        <f t="shared" ref="G166:G229" si="221">IFERROR((AI166-$AJ166)/$AJ166,"-")</f>
        <v>0</v>
      </c>
      <c r="H166" s="256">
        <f t="shared" ref="H166:H229" si="222">IFERROR((AK166-$AJ166)/$AJ166,"-")</f>
        <v>0</v>
      </c>
      <c r="I166" s="256">
        <f t="shared" ref="I166:I229" si="223">IFERROR((AL166-$AM166)/$AM166,"-")</f>
        <v>0</v>
      </c>
      <c r="J166" s="256">
        <f t="shared" ref="J166:J229" si="224">IFERROR((AN166-$AM166)/$AM166,"-")</f>
        <v>0</v>
      </c>
      <c r="K166" s="256" t="str">
        <f t="shared" ref="K166:K229" si="225">IFERROR((AO166-$AP166)/$AP166,"-")</f>
        <v>-</v>
      </c>
      <c r="L166" s="256" t="str">
        <f t="shared" ref="L166:L229" si="226">IFERROR((AQ166-$AP166)/$AP166,"-")</f>
        <v>-</v>
      </c>
      <c r="M166" s="256">
        <f t="shared" ref="M166:M229" si="227">IFERROR((AR166-$AS166)/$AS166,"-")</f>
        <v>0</v>
      </c>
      <c r="N166" s="256">
        <f t="shared" ref="N166:N229" si="228">IFERROR((AT166-$AS166)/$AS166,"-")</f>
        <v>0</v>
      </c>
      <c r="O166" s="256">
        <f t="shared" ref="O166:O229" si="229">IFERROR((AU166-$AV166)/$AV166,"-")</f>
        <v>3.0948410104841258E-3</v>
      </c>
      <c r="P166" s="256">
        <f t="shared" ref="P166:P229" si="230">IFERROR((AW166-$AV166)/$AV166,"-")</f>
        <v>-3.0789623713393132E-3</v>
      </c>
      <c r="Q166" s="256">
        <f t="shared" ref="Q166:Q229" si="231">IFERROR((AX166-$AY166)/$AY166,"-")</f>
        <v>3.6348925357039693E-3</v>
      </c>
      <c r="R166" s="256">
        <f t="shared" ref="R166:R229" si="232">IFERROR((AZ166-$AY166)/$AY166,"-")</f>
        <v>-3.615695377018413E-3</v>
      </c>
      <c r="S166" s="256" t="str">
        <f t="shared" ref="S166:S229" si="233">IFERROR((BA166-$BB166)/$BB166,"-")</f>
        <v>-</v>
      </c>
      <c r="T166" s="256" t="str">
        <f t="shared" ref="T166:T229" si="234">IFERROR((BC166-$BB166)/$BB166,"-")</f>
        <v>-</v>
      </c>
      <c r="U166" s="256">
        <f t="shared" ref="U166:U229" si="235">IFERROR((BD166-$BE166)/$BE166,"-")</f>
        <v>0</v>
      </c>
      <c r="V166" s="256">
        <f t="shared" ref="V166:V229" si="236">IFERROR((BF166-$BE166)/$BE166,"-")</f>
        <v>0</v>
      </c>
      <c r="W166" s="255"/>
      <c r="X166" s="255"/>
      <c r="Y166" s="255"/>
      <c r="Z166" s="255"/>
      <c r="AA166" s="255"/>
      <c r="AB166" s="255"/>
      <c r="AC166" s="255"/>
      <c r="AD166" s="255"/>
      <c r="AE166" s="255"/>
      <c r="AF166" s="262">
        <v>4.1827566161784082</v>
      </c>
      <c r="AG166" s="262">
        <v>4.1827566161784082</v>
      </c>
      <c r="AH166" s="262">
        <v>4.1827566161784082</v>
      </c>
      <c r="AI166" s="262">
        <v>352604083.95265895</v>
      </c>
      <c r="AJ166" s="262">
        <v>352604083.95265895</v>
      </c>
      <c r="AK166" s="262">
        <v>352604083.95265895</v>
      </c>
      <c r="AL166" s="262">
        <v>2.2816209649217631</v>
      </c>
      <c r="AM166" s="262">
        <v>2.2816209649217631</v>
      </c>
      <c r="AN166" s="262">
        <v>2.2816209649217631</v>
      </c>
      <c r="AO166" s="262" t="s">
        <v>414</v>
      </c>
      <c r="AP166" s="262" t="s">
        <v>414</v>
      </c>
      <c r="AQ166" s="262" t="s">
        <v>414</v>
      </c>
      <c r="AR166" s="262">
        <v>9.1639999999999997</v>
      </c>
      <c r="AS166" s="262">
        <v>9.1639999999999997</v>
      </c>
      <c r="AT166" s="262">
        <v>9.1639999999999997</v>
      </c>
      <c r="AU166" s="262">
        <v>-47623428.213520497</v>
      </c>
      <c r="AV166" s="262">
        <v>-47476496.006645046</v>
      </c>
      <c r="AW166" s="262">
        <v>-47330317.661917545</v>
      </c>
      <c r="AX166" s="262">
        <v>-117513594.36379875</v>
      </c>
      <c r="AY166" s="262">
        <v>-117087992.09531094</v>
      </c>
      <c r="AZ166" s="262">
        <v>-116664637.58358756</v>
      </c>
      <c r="BA166" s="262" t="s">
        <v>414</v>
      </c>
      <c r="BB166" s="262" t="s">
        <v>414</v>
      </c>
      <c r="BC166" s="262" t="s">
        <v>414</v>
      </c>
      <c r="BD166" s="262">
        <v>3.4471879118721363E-2</v>
      </c>
      <c r="BE166" s="262">
        <v>3.4471879118721363E-2</v>
      </c>
      <c r="BF166" s="262">
        <v>3.4471879118721363E-2</v>
      </c>
    </row>
    <row r="167" spans="2:58">
      <c r="C167" s="274" t="s">
        <v>284</v>
      </c>
      <c r="E167" s="256">
        <f t="shared" si="219"/>
        <v>5.3830628158711821E-4</v>
      </c>
      <c r="F167" s="256">
        <f t="shared" si="220"/>
        <v>-5.3814174440807404E-4</v>
      </c>
      <c r="G167" s="256">
        <f t="shared" si="221"/>
        <v>5.0782232121395288E-3</v>
      </c>
      <c r="H167" s="256">
        <f t="shared" si="222"/>
        <v>-5.0437883850295122E-3</v>
      </c>
      <c r="I167" s="256">
        <f t="shared" si="223"/>
        <v>0</v>
      </c>
      <c r="J167" s="256">
        <f t="shared" si="224"/>
        <v>0</v>
      </c>
      <c r="K167" s="256" t="str">
        <f t="shared" si="225"/>
        <v>-</v>
      </c>
      <c r="L167" s="256" t="str">
        <f t="shared" si="226"/>
        <v>-</v>
      </c>
      <c r="M167" s="256">
        <f t="shared" si="227"/>
        <v>0</v>
      </c>
      <c r="N167" s="256">
        <f t="shared" si="228"/>
        <v>0</v>
      </c>
      <c r="O167" s="256">
        <f t="shared" si="229"/>
        <v>0</v>
      </c>
      <c r="P167" s="256">
        <f t="shared" si="230"/>
        <v>0</v>
      </c>
      <c r="Q167" s="256">
        <f t="shared" si="231"/>
        <v>0</v>
      </c>
      <c r="R167" s="256">
        <f t="shared" si="232"/>
        <v>0</v>
      </c>
      <c r="S167" s="256" t="str">
        <f t="shared" si="233"/>
        <v>-</v>
      </c>
      <c r="T167" s="256" t="str">
        <f t="shared" si="234"/>
        <v>-</v>
      </c>
      <c r="U167" s="256">
        <f t="shared" si="235"/>
        <v>0</v>
      </c>
      <c r="V167" s="256">
        <f t="shared" si="236"/>
        <v>0</v>
      </c>
      <c r="W167" s="255"/>
      <c r="X167" s="255"/>
      <c r="Y167" s="255"/>
      <c r="Z167" s="255"/>
      <c r="AA167" s="255"/>
      <c r="AB167" s="255"/>
      <c r="AC167" s="255"/>
      <c r="AD167" s="255"/>
      <c r="AE167" s="255"/>
      <c r="AF167" s="262">
        <v>4.1850082203392471</v>
      </c>
      <c r="AG167" s="263">
        <v>4.1827566161784082</v>
      </c>
      <c r="AH167" s="263">
        <v>4.1805057002365436</v>
      </c>
      <c r="AI167" s="263">
        <v>354394686.19648254</v>
      </c>
      <c r="AJ167" s="263">
        <v>352604083.95265895</v>
      </c>
      <c r="AK167" s="263">
        <v>350825623.56950456</v>
      </c>
      <c r="AL167" s="263">
        <v>2.2816209649217631</v>
      </c>
      <c r="AM167" s="263">
        <v>2.2816209649217631</v>
      </c>
      <c r="AN167" s="263">
        <v>2.2816209649217631</v>
      </c>
      <c r="AO167" s="263" t="s">
        <v>414</v>
      </c>
      <c r="AP167" s="263" t="s">
        <v>414</v>
      </c>
      <c r="AQ167" s="263" t="s">
        <v>414</v>
      </c>
      <c r="AR167" s="263">
        <v>9.1639999999999997</v>
      </c>
      <c r="AS167" s="263">
        <v>9.1639999999999997</v>
      </c>
      <c r="AT167" s="263">
        <v>9.1639999999999997</v>
      </c>
      <c r="AU167" s="263">
        <v>-47476496.006645046</v>
      </c>
      <c r="AV167" s="263">
        <v>-47476496.006645046</v>
      </c>
      <c r="AW167" s="263">
        <v>-47476496.006645046</v>
      </c>
      <c r="AX167" s="263">
        <v>-117087992.09531094</v>
      </c>
      <c r="AY167" s="263">
        <v>-117087992.09531094</v>
      </c>
      <c r="AZ167" s="263">
        <v>-117087992.09531094</v>
      </c>
      <c r="BA167" s="263" t="s">
        <v>414</v>
      </c>
      <c r="BB167" s="263" t="s">
        <v>414</v>
      </c>
      <c r="BC167" s="263" t="s">
        <v>414</v>
      </c>
      <c r="BD167" s="263">
        <v>3.4471879118721363E-2</v>
      </c>
      <c r="BE167" s="263">
        <v>3.4471879118721363E-2</v>
      </c>
      <c r="BF167" s="264">
        <v>3.4471879118721363E-2</v>
      </c>
    </row>
    <row r="168" spans="2:58" hidden="1">
      <c r="B168" s="5" t="s">
        <v>287</v>
      </c>
      <c r="C168" s="5" t="str">
        <f ca="1">VLOOKUP(B168,$B$12:$C$129,2,FALSE)</f>
        <v xml:space="preserve">Veikla (nurodykite pavadinimą; suplanuotas investicijas pagrįskite prielaidų lape)
Analitinė studija dėl diplomatinio atstovavimo tinklo plėtros </v>
      </c>
      <c r="D168" t="str">
        <f>IF(COUNTIF(E168:BF168,"-")&lt;18,"True","False")</f>
        <v>False</v>
      </c>
      <c r="E168" s="256" t="str">
        <f t="shared" si="219"/>
        <v>-</v>
      </c>
      <c r="F168" s="256" t="str">
        <f t="shared" si="220"/>
        <v>-</v>
      </c>
      <c r="G168" s="256" t="str">
        <f t="shared" si="221"/>
        <v>-</v>
      </c>
      <c r="H168" s="256" t="str">
        <f t="shared" si="222"/>
        <v>-</v>
      </c>
      <c r="I168" s="256" t="str">
        <f t="shared" si="223"/>
        <v>-</v>
      </c>
      <c r="J168" s="256" t="str">
        <f t="shared" si="224"/>
        <v>-</v>
      </c>
      <c r="K168" s="256" t="str">
        <f t="shared" si="225"/>
        <v>-</v>
      </c>
      <c r="L168" s="256" t="str">
        <f t="shared" si="226"/>
        <v>-</v>
      </c>
      <c r="M168" s="256" t="str">
        <f t="shared" si="227"/>
        <v>-</v>
      </c>
      <c r="N168" s="256" t="str">
        <f t="shared" si="228"/>
        <v>-</v>
      </c>
      <c r="O168" s="256" t="str">
        <f t="shared" si="229"/>
        <v>-</v>
      </c>
      <c r="P168" s="256" t="str">
        <f t="shared" si="230"/>
        <v>-</v>
      </c>
      <c r="Q168" s="256" t="str">
        <f t="shared" si="231"/>
        <v>-</v>
      </c>
      <c r="R168" s="256" t="str">
        <f t="shared" si="232"/>
        <v>-</v>
      </c>
      <c r="S168" s="256" t="str">
        <f t="shared" si="233"/>
        <v>-</v>
      </c>
      <c r="T168" s="256" t="str">
        <f t="shared" si="234"/>
        <v>-</v>
      </c>
      <c r="U168" s="256" t="str">
        <f t="shared" si="235"/>
        <v>-</v>
      </c>
      <c r="V168" s="256" t="str">
        <f t="shared" si="236"/>
        <v>-</v>
      </c>
      <c r="W168" s="255"/>
      <c r="X168" s="255"/>
      <c r="Y168" s="255"/>
      <c r="Z168" s="255"/>
      <c r="AA168" s="255"/>
      <c r="AB168" s="255"/>
      <c r="AC168" s="255"/>
      <c r="AD168" s="255"/>
      <c r="AE168" s="255"/>
      <c r="AF168" s="262" t="s">
        <v>415</v>
      </c>
      <c r="AG168" s="263" t="s">
        <v>415</v>
      </c>
      <c r="AH168" s="263" t="s">
        <v>415</v>
      </c>
      <c r="AI168" s="263" t="s">
        <v>415</v>
      </c>
      <c r="AJ168" s="263" t="s">
        <v>415</v>
      </c>
      <c r="AK168" s="263" t="s">
        <v>415</v>
      </c>
      <c r="AL168" s="263" t="s">
        <v>415</v>
      </c>
      <c r="AM168" s="263" t="s">
        <v>415</v>
      </c>
      <c r="AN168" s="263" t="s">
        <v>415</v>
      </c>
      <c r="AO168" s="263" t="s">
        <v>415</v>
      </c>
      <c r="AP168" s="263" t="s">
        <v>415</v>
      </c>
      <c r="AQ168" s="263" t="s">
        <v>415</v>
      </c>
      <c r="AR168" s="263" t="s">
        <v>415</v>
      </c>
      <c r="AS168" s="263" t="s">
        <v>415</v>
      </c>
      <c r="AT168" s="263" t="s">
        <v>415</v>
      </c>
      <c r="AU168" s="263" t="s">
        <v>415</v>
      </c>
      <c r="AV168" s="263" t="s">
        <v>415</v>
      </c>
      <c r="AW168" s="263" t="s">
        <v>415</v>
      </c>
      <c r="AX168" s="263" t="s">
        <v>415</v>
      </c>
      <c r="AY168" s="263" t="s">
        <v>415</v>
      </c>
      <c r="AZ168" s="263" t="s">
        <v>415</v>
      </c>
      <c r="BA168" s="263" t="s">
        <v>415</v>
      </c>
      <c r="BB168" s="263" t="s">
        <v>415</v>
      </c>
      <c r="BC168" s="263" t="s">
        <v>415</v>
      </c>
      <c r="BD168" s="263" t="s">
        <v>415</v>
      </c>
      <c r="BE168" s="263" t="s">
        <v>415</v>
      </c>
      <c r="BF168" s="264" t="s">
        <v>415</v>
      </c>
    </row>
    <row r="169" spans="2:58" hidden="1">
      <c r="B169" s="5" t="s">
        <v>288</v>
      </c>
      <c r="C169" s="5" t="str">
        <f t="shared" ref="C169:C232" ca="1" si="237">VLOOKUP(B169,$B$12:$C$129,2,FALSE)</f>
        <v>Veikla</v>
      </c>
      <c r="D169" t="str">
        <f t="shared" ref="D169:D232" si="238">IF(COUNTIF(E169:BF169,"-")&lt;18,"True","False")</f>
        <v>False</v>
      </c>
      <c r="E169" s="256" t="str">
        <f t="shared" si="219"/>
        <v>-</v>
      </c>
      <c r="F169" s="256" t="str">
        <f t="shared" si="220"/>
        <v>-</v>
      </c>
      <c r="G169" s="256" t="str">
        <f t="shared" si="221"/>
        <v>-</v>
      </c>
      <c r="H169" s="256" t="str">
        <f t="shared" si="222"/>
        <v>-</v>
      </c>
      <c r="I169" s="256" t="str">
        <f t="shared" si="223"/>
        <v>-</v>
      </c>
      <c r="J169" s="256" t="str">
        <f t="shared" si="224"/>
        <v>-</v>
      </c>
      <c r="K169" s="256" t="str">
        <f t="shared" si="225"/>
        <v>-</v>
      </c>
      <c r="L169" s="256" t="str">
        <f t="shared" si="226"/>
        <v>-</v>
      </c>
      <c r="M169" s="256" t="str">
        <f t="shared" si="227"/>
        <v>-</v>
      </c>
      <c r="N169" s="256" t="str">
        <f t="shared" si="228"/>
        <v>-</v>
      </c>
      <c r="O169" s="256" t="str">
        <f t="shared" si="229"/>
        <v>-</v>
      </c>
      <c r="P169" s="256" t="str">
        <f t="shared" si="230"/>
        <v>-</v>
      </c>
      <c r="Q169" s="256" t="str">
        <f t="shared" si="231"/>
        <v>-</v>
      </c>
      <c r="R169" s="256" t="str">
        <f t="shared" si="232"/>
        <v>-</v>
      </c>
      <c r="S169" s="256" t="str">
        <f t="shared" si="233"/>
        <v>-</v>
      </c>
      <c r="T169" s="256" t="str">
        <f t="shared" si="234"/>
        <v>-</v>
      </c>
      <c r="U169" s="256" t="str">
        <f t="shared" si="235"/>
        <v>-</v>
      </c>
      <c r="V169" s="256" t="str">
        <f t="shared" si="236"/>
        <v>-</v>
      </c>
      <c r="W169" s="255"/>
      <c r="X169" s="255"/>
      <c r="Y169" s="255"/>
      <c r="Z169" s="255"/>
      <c r="AA169" s="255"/>
      <c r="AB169" s="255"/>
      <c r="AC169" s="255"/>
      <c r="AD169" s="255"/>
      <c r="AE169" s="255"/>
      <c r="AF169" s="262" t="s">
        <v>415</v>
      </c>
      <c r="AG169" s="263" t="s">
        <v>415</v>
      </c>
      <c r="AH169" s="263" t="s">
        <v>415</v>
      </c>
      <c r="AI169" s="263" t="s">
        <v>415</v>
      </c>
      <c r="AJ169" s="263" t="s">
        <v>415</v>
      </c>
      <c r="AK169" s="263" t="s">
        <v>415</v>
      </c>
      <c r="AL169" s="263" t="s">
        <v>415</v>
      </c>
      <c r="AM169" s="263" t="s">
        <v>415</v>
      </c>
      <c r="AN169" s="263" t="s">
        <v>415</v>
      </c>
      <c r="AO169" s="263" t="s">
        <v>415</v>
      </c>
      <c r="AP169" s="263" t="s">
        <v>415</v>
      </c>
      <c r="AQ169" s="263" t="s">
        <v>415</v>
      </c>
      <c r="AR169" s="263" t="s">
        <v>415</v>
      </c>
      <c r="AS169" s="263" t="s">
        <v>415</v>
      </c>
      <c r="AT169" s="263" t="s">
        <v>415</v>
      </c>
      <c r="AU169" s="263" t="s">
        <v>415</v>
      </c>
      <c r="AV169" s="263" t="s">
        <v>415</v>
      </c>
      <c r="AW169" s="263" t="s">
        <v>415</v>
      </c>
      <c r="AX169" s="263" t="s">
        <v>415</v>
      </c>
      <c r="AY169" s="263" t="s">
        <v>415</v>
      </c>
      <c r="AZ169" s="263" t="s">
        <v>415</v>
      </c>
      <c r="BA169" s="263" t="s">
        <v>415</v>
      </c>
      <c r="BB169" s="263" t="s">
        <v>415</v>
      </c>
      <c r="BC169" s="263" t="s">
        <v>415</v>
      </c>
      <c r="BD169" s="263" t="s">
        <v>415</v>
      </c>
      <c r="BE169" s="263" t="s">
        <v>415</v>
      </c>
      <c r="BF169" s="264" t="s">
        <v>415</v>
      </c>
    </row>
    <row r="170" spans="2:58" hidden="1">
      <c r="B170" s="5" t="s">
        <v>289</v>
      </c>
      <c r="C170" s="5" t="str">
        <f t="shared" ca="1" si="237"/>
        <v>Veikla</v>
      </c>
      <c r="D170" t="str">
        <f t="shared" si="238"/>
        <v>False</v>
      </c>
      <c r="E170" s="256" t="str">
        <f t="shared" si="219"/>
        <v>-</v>
      </c>
      <c r="F170" s="256" t="str">
        <f t="shared" si="220"/>
        <v>-</v>
      </c>
      <c r="G170" s="256" t="str">
        <f t="shared" si="221"/>
        <v>-</v>
      </c>
      <c r="H170" s="256" t="str">
        <f t="shared" si="222"/>
        <v>-</v>
      </c>
      <c r="I170" s="256" t="str">
        <f t="shared" si="223"/>
        <v>-</v>
      </c>
      <c r="J170" s="256" t="str">
        <f t="shared" si="224"/>
        <v>-</v>
      </c>
      <c r="K170" s="256" t="str">
        <f t="shared" si="225"/>
        <v>-</v>
      </c>
      <c r="L170" s="256" t="str">
        <f t="shared" si="226"/>
        <v>-</v>
      </c>
      <c r="M170" s="256" t="str">
        <f t="shared" si="227"/>
        <v>-</v>
      </c>
      <c r="N170" s="256" t="str">
        <f t="shared" si="228"/>
        <v>-</v>
      </c>
      <c r="O170" s="256" t="str">
        <f t="shared" si="229"/>
        <v>-</v>
      </c>
      <c r="P170" s="256" t="str">
        <f t="shared" si="230"/>
        <v>-</v>
      </c>
      <c r="Q170" s="256" t="str">
        <f t="shared" si="231"/>
        <v>-</v>
      </c>
      <c r="R170" s="256" t="str">
        <f t="shared" si="232"/>
        <v>-</v>
      </c>
      <c r="S170" s="256" t="str">
        <f t="shared" si="233"/>
        <v>-</v>
      </c>
      <c r="T170" s="256" t="str">
        <f t="shared" si="234"/>
        <v>-</v>
      </c>
      <c r="U170" s="256" t="str">
        <f t="shared" si="235"/>
        <v>-</v>
      </c>
      <c r="V170" s="256" t="str">
        <f t="shared" si="236"/>
        <v>-</v>
      </c>
      <c r="W170" s="255"/>
      <c r="X170" s="255"/>
      <c r="Y170" s="255"/>
      <c r="Z170" s="255"/>
      <c r="AA170" s="255"/>
      <c r="AB170" s="255"/>
      <c r="AC170" s="255"/>
      <c r="AD170" s="255"/>
      <c r="AE170" s="255"/>
      <c r="AF170" s="262" t="s">
        <v>415</v>
      </c>
      <c r="AG170" s="263" t="s">
        <v>415</v>
      </c>
      <c r="AH170" s="263" t="s">
        <v>415</v>
      </c>
      <c r="AI170" s="263" t="s">
        <v>415</v>
      </c>
      <c r="AJ170" s="263" t="s">
        <v>415</v>
      </c>
      <c r="AK170" s="263" t="s">
        <v>415</v>
      </c>
      <c r="AL170" s="263" t="s">
        <v>415</v>
      </c>
      <c r="AM170" s="263" t="s">
        <v>415</v>
      </c>
      <c r="AN170" s="263" t="s">
        <v>415</v>
      </c>
      <c r="AO170" s="263" t="s">
        <v>415</v>
      </c>
      <c r="AP170" s="263" t="s">
        <v>415</v>
      </c>
      <c r="AQ170" s="263" t="s">
        <v>415</v>
      </c>
      <c r="AR170" s="263" t="s">
        <v>415</v>
      </c>
      <c r="AS170" s="263" t="s">
        <v>415</v>
      </c>
      <c r="AT170" s="263" t="s">
        <v>415</v>
      </c>
      <c r="AU170" s="263" t="s">
        <v>415</v>
      </c>
      <c r="AV170" s="263" t="s">
        <v>415</v>
      </c>
      <c r="AW170" s="263" t="s">
        <v>415</v>
      </c>
      <c r="AX170" s="263" t="s">
        <v>415</v>
      </c>
      <c r="AY170" s="263" t="s">
        <v>415</v>
      </c>
      <c r="AZ170" s="263" t="s">
        <v>415</v>
      </c>
      <c r="BA170" s="263" t="s">
        <v>415</v>
      </c>
      <c r="BB170" s="263" t="s">
        <v>415</v>
      </c>
      <c r="BC170" s="263" t="s">
        <v>415</v>
      </c>
      <c r="BD170" s="263" t="s">
        <v>415</v>
      </c>
      <c r="BE170" s="263" t="s">
        <v>415</v>
      </c>
      <c r="BF170" s="264" t="s">
        <v>415</v>
      </c>
    </row>
    <row r="171" spans="2:58" hidden="1">
      <c r="B171" s="5" t="s">
        <v>290</v>
      </c>
      <c r="C171" s="5" t="str">
        <f t="shared" ca="1" si="237"/>
        <v>Veikla</v>
      </c>
      <c r="D171" t="str">
        <f t="shared" si="238"/>
        <v>False</v>
      </c>
      <c r="E171" s="256" t="str">
        <f t="shared" si="219"/>
        <v>-</v>
      </c>
      <c r="F171" s="256" t="str">
        <f t="shared" si="220"/>
        <v>-</v>
      </c>
      <c r="G171" s="256" t="str">
        <f t="shared" si="221"/>
        <v>-</v>
      </c>
      <c r="H171" s="256" t="str">
        <f t="shared" si="222"/>
        <v>-</v>
      </c>
      <c r="I171" s="256" t="str">
        <f t="shared" si="223"/>
        <v>-</v>
      </c>
      <c r="J171" s="256" t="str">
        <f t="shared" si="224"/>
        <v>-</v>
      </c>
      <c r="K171" s="256" t="str">
        <f t="shared" si="225"/>
        <v>-</v>
      </c>
      <c r="L171" s="256" t="str">
        <f t="shared" si="226"/>
        <v>-</v>
      </c>
      <c r="M171" s="256" t="str">
        <f t="shared" si="227"/>
        <v>-</v>
      </c>
      <c r="N171" s="256" t="str">
        <f t="shared" si="228"/>
        <v>-</v>
      </c>
      <c r="O171" s="256" t="str">
        <f t="shared" si="229"/>
        <v>-</v>
      </c>
      <c r="P171" s="256" t="str">
        <f t="shared" si="230"/>
        <v>-</v>
      </c>
      <c r="Q171" s="256" t="str">
        <f t="shared" si="231"/>
        <v>-</v>
      </c>
      <c r="R171" s="256" t="str">
        <f t="shared" si="232"/>
        <v>-</v>
      </c>
      <c r="S171" s="256" t="str">
        <f t="shared" si="233"/>
        <v>-</v>
      </c>
      <c r="T171" s="256" t="str">
        <f t="shared" si="234"/>
        <v>-</v>
      </c>
      <c r="U171" s="256" t="str">
        <f t="shared" si="235"/>
        <v>-</v>
      </c>
      <c r="V171" s="256" t="str">
        <f t="shared" si="236"/>
        <v>-</v>
      </c>
      <c r="W171" s="255"/>
      <c r="X171" s="255"/>
      <c r="Y171" s="255"/>
      <c r="Z171" s="255"/>
      <c r="AA171" s="255"/>
      <c r="AB171" s="255"/>
      <c r="AC171" s="255"/>
      <c r="AD171" s="255"/>
      <c r="AE171" s="255"/>
      <c r="AF171" s="262" t="s">
        <v>415</v>
      </c>
      <c r="AG171" s="263" t="s">
        <v>415</v>
      </c>
      <c r="AH171" s="263" t="s">
        <v>415</v>
      </c>
      <c r="AI171" s="263" t="s">
        <v>415</v>
      </c>
      <c r="AJ171" s="263" t="s">
        <v>415</v>
      </c>
      <c r="AK171" s="263" t="s">
        <v>415</v>
      </c>
      <c r="AL171" s="263" t="s">
        <v>415</v>
      </c>
      <c r="AM171" s="263" t="s">
        <v>415</v>
      </c>
      <c r="AN171" s="263" t="s">
        <v>415</v>
      </c>
      <c r="AO171" s="263" t="s">
        <v>415</v>
      </c>
      <c r="AP171" s="263" t="s">
        <v>415</v>
      </c>
      <c r="AQ171" s="263" t="s">
        <v>415</v>
      </c>
      <c r="AR171" s="263" t="s">
        <v>415</v>
      </c>
      <c r="AS171" s="263" t="s">
        <v>415</v>
      </c>
      <c r="AT171" s="263" t="s">
        <v>415</v>
      </c>
      <c r="AU171" s="263" t="s">
        <v>415</v>
      </c>
      <c r="AV171" s="263" t="s">
        <v>415</v>
      </c>
      <c r="AW171" s="263" t="s">
        <v>415</v>
      </c>
      <c r="AX171" s="263" t="s">
        <v>415</v>
      </c>
      <c r="AY171" s="263" t="s">
        <v>415</v>
      </c>
      <c r="AZ171" s="263" t="s">
        <v>415</v>
      </c>
      <c r="BA171" s="263" t="s">
        <v>415</v>
      </c>
      <c r="BB171" s="263" t="s">
        <v>415</v>
      </c>
      <c r="BC171" s="263" t="s">
        <v>415</v>
      </c>
      <c r="BD171" s="263" t="s">
        <v>415</v>
      </c>
      <c r="BE171" s="263" t="s">
        <v>415</v>
      </c>
      <c r="BF171" s="264" t="s">
        <v>415</v>
      </c>
    </row>
    <row r="172" spans="2:58" hidden="1">
      <c r="B172" s="5" t="s">
        <v>291</v>
      </c>
      <c r="C172" s="5" t="str">
        <f t="shared" ca="1" si="237"/>
        <v>Veikla</v>
      </c>
      <c r="D172" t="str">
        <f t="shared" si="238"/>
        <v>False</v>
      </c>
      <c r="E172" s="256" t="str">
        <f t="shared" si="219"/>
        <v>-</v>
      </c>
      <c r="F172" s="256" t="str">
        <f t="shared" si="220"/>
        <v>-</v>
      </c>
      <c r="G172" s="256" t="str">
        <f t="shared" si="221"/>
        <v>-</v>
      </c>
      <c r="H172" s="256" t="str">
        <f t="shared" si="222"/>
        <v>-</v>
      </c>
      <c r="I172" s="256" t="str">
        <f t="shared" si="223"/>
        <v>-</v>
      </c>
      <c r="J172" s="256" t="str">
        <f t="shared" si="224"/>
        <v>-</v>
      </c>
      <c r="K172" s="256" t="str">
        <f t="shared" si="225"/>
        <v>-</v>
      </c>
      <c r="L172" s="256" t="str">
        <f t="shared" si="226"/>
        <v>-</v>
      </c>
      <c r="M172" s="256" t="str">
        <f t="shared" si="227"/>
        <v>-</v>
      </c>
      <c r="N172" s="256" t="str">
        <f t="shared" si="228"/>
        <v>-</v>
      </c>
      <c r="O172" s="256" t="str">
        <f t="shared" si="229"/>
        <v>-</v>
      </c>
      <c r="P172" s="256" t="str">
        <f t="shared" si="230"/>
        <v>-</v>
      </c>
      <c r="Q172" s="256" t="str">
        <f t="shared" si="231"/>
        <v>-</v>
      </c>
      <c r="R172" s="256" t="str">
        <f t="shared" si="232"/>
        <v>-</v>
      </c>
      <c r="S172" s="256" t="str">
        <f t="shared" si="233"/>
        <v>-</v>
      </c>
      <c r="T172" s="256" t="str">
        <f t="shared" si="234"/>
        <v>-</v>
      </c>
      <c r="U172" s="256" t="str">
        <f t="shared" si="235"/>
        <v>-</v>
      </c>
      <c r="V172" s="256" t="str">
        <f t="shared" si="236"/>
        <v>-</v>
      </c>
      <c r="W172" s="255"/>
      <c r="X172" s="255"/>
      <c r="Y172" s="255"/>
      <c r="Z172" s="255"/>
      <c r="AA172" s="255"/>
      <c r="AB172" s="255"/>
      <c r="AC172" s="255"/>
      <c r="AD172" s="255"/>
      <c r="AE172" s="255"/>
      <c r="AF172" s="262" t="s">
        <v>415</v>
      </c>
      <c r="AG172" s="263" t="s">
        <v>415</v>
      </c>
      <c r="AH172" s="263" t="s">
        <v>415</v>
      </c>
      <c r="AI172" s="263" t="s">
        <v>415</v>
      </c>
      <c r="AJ172" s="263" t="s">
        <v>415</v>
      </c>
      <c r="AK172" s="263" t="s">
        <v>415</v>
      </c>
      <c r="AL172" s="263" t="s">
        <v>415</v>
      </c>
      <c r="AM172" s="263" t="s">
        <v>415</v>
      </c>
      <c r="AN172" s="263" t="s">
        <v>415</v>
      </c>
      <c r="AO172" s="263" t="s">
        <v>415</v>
      </c>
      <c r="AP172" s="263" t="s">
        <v>415</v>
      </c>
      <c r="AQ172" s="263" t="s">
        <v>415</v>
      </c>
      <c r="AR172" s="263" t="s">
        <v>415</v>
      </c>
      <c r="AS172" s="263" t="s">
        <v>415</v>
      </c>
      <c r="AT172" s="263" t="s">
        <v>415</v>
      </c>
      <c r="AU172" s="263" t="s">
        <v>415</v>
      </c>
      <c r="AV172" s="263" t="s">
        <v>415</v>
      </c>
      <c r="AW172" s="263" t="s">
        <v>415</v>
      </c>
      <c r="AX172" s="263" t="s">
        <v>415</v>
      </c>
      <c r="AY172" s="263" t="s">
        <v>415</v>
      </c>
      <c r="AZ172" s="263" t="s">
        <v>415</v>
      </c>
      <c r="BA172" s="263" t="s">
        <v>415</v>
      </c>
      <c r="BB172" s="263" t="s">
        <v>415</v>
      </c>
      <c r="BC172" s="263" t="s">
        <v>415</v>
      </c>
      <c r="BD172" s="263" t="s">
        <v>415</v>
      </c>
      <c r="BE172" s="263" t="s">
        <v>415</v>
      </c>
      <c r="BF172" s="264" t="s">
        <v>415</v>
      </c>
    </row>
    <row r="173" spans="2:58" hidden="1">
      <c r="B173" s="5" t="s">
        <v>292</v>
      </c>
      <c r="C173" s="5" t="str">
        <f t="shared" ca="1" si="237"/>
        <v>Veikla</v>
      </c>
      <c r="D173" t="str">
        <f t="shared" si="238"/>
        <v>False</v>
      </c>
      <c r="E173" s="256" t="str">
        <f t="shared" si="219"/>
        <v>-</v>
      </c>
      <c r="F173" s="256" t="str">
        <f t="shared" si="220"/>
        <v>-</v>
      </c>
      <c r="G173" s="256" t="str">
        <f t="shared" si="221"/>
        <v>-</v>
      </c>
      <c r="H173" s="256" t="str">
        <f t="shared" si="222"/>
        <v>-</v>
      </c>
      <c r="I173" s="256" t="str">
        <f t="shared" si="223"/>
        <v>-</v>
      </c>
      <c r="J173" s="256" t="str">
        <f t="shared" si="224"/>
        <v>-</v>
      </c>
      <c r="K173" s="256" t="str">
        <f t="shared" si="225"/>
        <v>-</v>
      </c>
      <c r="L173" s="256" t="str">
        <f t="shared" si="226"/>
        <v>-</v>
      </c>
      <c r="M173" s="256" t="str">
        <f t="shared" si="227"/>
        <v>-</v>
      </c>
      <c r="N173" s="256" t="str">
        <f t="shared" si="228"/>
        <v>-</v>
      </c>
      <c r="O173" s="256" t="str">
        <f t="shared" si="229"/>
        <v>-</v>
      </c>
      <c r="P173" s="256" t="str">
        <f t="shared" si="230"/>
        <v>-</v>
      </c>
      <c r="Q173" s="256" t="str">
        <f t="shared" si="231"/>
        <v>-</v>
      </c>
      <c r="R173" s="256" t="str">
        <f t="shared" si="232"/>
        <v>-</v>
      </c>
      <c r="S173" s="256" t="str">
        <f t="shared" si="233"/>
        <v>-</v>
      </c>
      <c r="T173" s="256" t="str">
        <f t="shared" si="234"/>
        <v>-</v>
      </c>
      <c r="U173" s="256" t="str">
        <f t="shared" si="235"/>
        <v>-</v>
      </c>
      <c r="V173" s="256" t="str">
        <f t="shared" si="236"/>
        <v>-</v>
      </c>
      <c r="W173" s="255"/>
      <c r="X173" s="255"/>
      <c r="Y173" s="255"/>
      <c r="Z173" s="255"/>
      <c r="AA173" s="255"/>
      <c r="AB173" s="255"/>
      <c r="AC173" s="255"/>
      <c r="AD173" s="255"/>
      <c r="AE173" s="255"/>
      <c r="AF173" s="262" t="s">
        <v>415</v>
      </c>
      <c r="AG173" s="263" t="s">
        <v>415</v>
      </c>
      <c r="AH173" s="263" t="s">
        <v>415</v>
      </c>
      <c r="AI173" s="263" t="s">
        <v>415</v>
      </c>
      <c r="AJ173" s="263" t="s">
        <v>415</v>
      </c>
      <c r="AK173" s="263" t="s">
        <v>415</v>
      </c>
      <c r="AL173" s="263" t="s">
        <v>415</v>
      </c>
      <c r="AM173" s="263" t="s">
        <v>415</v>
      </c>
      <c r="AN173" s="263" t="s">
        <v>415</v>
      </c>
      <c r="AO173" s="263" t="s">
        <v>415</v>
      </c>
      <c r="AP173" s="263" t="s">
        <v>415</v>
      </c>
      <c r="AQ173" s="263" t="s">
        <v>415</v>
      </c>
      <c r="AR173" s="263" t="s">
        <v>415</v>
      </c>
      <c r="AS173" s="263" t="s">
        <v>415</v>
      </c>
      <c r="AT173" s="263" t="s">
        <v>415</v>
      </c>
      <c r="AU173" s="263" t="s">
        <v>415</v>
      </c>
      <c r="AV173" s="263" t="s">
        <v>415</v>
      </c>
      <c r="AW173" s="263" t="s">
        <v>415</v>
      </c>
      <c r="AX173" s="263" t="s">
        <v>415</v>
      </c>
      <c r="AY173" s="263" t="s">
        <v>415</v>
      </c>
      <c r="AZ173" s="263" t="s">
        <v>415</v>
      </c>
      <c r="BA173" s="263" t="s">
        <v>415</v>
      </c>
      <c r="BB173" s="263" t="s">
        <v>415</v>
      </c>
      <c r="BC173" s="263" t="s">
        <v>415</v>
      </c>
      <c r="BD173" s="263" t="s">
        <v>415</v>
      </c>
      <c r="BE173" s="263" t="s">
        <v>415</v>
      </c>
      <c r="BF173" s="264" t="s">
        <v>415</v>
      </c>
    </row>
    <row r="174" spans="2:58" hidden="1">
      <c r="B174" s="5" t="s">
        <v>293</v>
      </c>
      <c r="C174" s="5" t="str">
        <f t="shared" ca="1" si="237"/>
        <v>Veikla</v>
      </c>
      <c r="D174" t="str">
        <f t="shared" si="238"/>
        <v>False</v>
      </c>
      <c r="E174" s="256" t="str">
        <f t="shared" si="219"/>
        <v>-</v>
      </c>
      <c r="F174" s="256" t="str">
        <f t="shared" si="220"/>
        <v>-</v>
      </c>
      <c r="G174" s="256" t="str">
        <f t="shared" si="221"/>
        <v>-</v>
      </c>
      <c r="H174" s="256" t="str">
        <f t="shared" si="222"/>
        <v>-</v>
      </c>
      <c r="I174" s="256" t="str">
        <f t="shared" si="223"/>
        <v>-</v>
      </c>
      <c r="J174" s="256" t="str">
        <f t="shared" si="224"/>
        <v>-</v>
      </c>
      <c r="K174" s="256" t="str">
        <f t="shared" si="225"/>
        <v>-</v>
      </c>
      <c r="L174" s="256" t="str">
        <f t="shared" si="226"/>
        <v>-</v>
      </c>
      <c r="M174" s="256" t="str">
        <f t="shared" si="227"/>
        <v>-</v>
      </c>
      <c r="N174" s="256" t="str">
        <f t="shared" si="228"/>
        <v>-</v>
      </c>
      <c r="O174" s="256" t="str">
        <f t="shared" si="229"/>
        <v>-</v>
      </c>
      <c r="P174" s="256" t="str">
        <f t="shared" si="230"/>
        <v>-</v>
      </c>
      <c r="Q174" s="256" t="str">
        <f t="shared" si="231"/>
        <v>-</v>
      </c>
      <c r="R174" s="256" t="str">
        <f t="shared" si="232"/>
        <v>-</v>
      </c>
      <c r="S174" s="256" t="str">
        <f t="shared" si="233"/>
        <v>-</v>
      </c>
      <c r="T174" s="256" t="str">
        <f t="shared" si="234"/>
        <v>-</v>
      </c>
      <c r="U174" s="256" t="str">
        <f t="shared" si="235"/>
        <v>-</v>
      </c>
      <c r="V174" s="256" t="str">
        <f t="shared" si="236"/>
        <v>-</v>
      </c>
      <c r="W174" s="255"/>
      <c r="X174" s="255"/>
      <c r="Y174" s="255"/>
      <c r="Z174" s="255"/>
      <c r="AA174" s="255"/>
      <c r="AB174" s="255"/>
      <c r="AC174" s="255"/>
      <c r="AD174" s="255"/>
      <c r="AE174" s="255"/>
      <c r="AF174" s="262" t="s">
        <v>415</v>
      </c>
      <c r="AG174" s="263" t="s">
        <v>415</v>
      </c>
      <c r="AH174" s="263" t="s">
        <v>415</v>
      </c>
      <c r="AI174" s="263" t="s">
        <v>415</v>
      </c>
      <c r="AJ174" s="263" t="s">
        <v>415</v>
      </c>
      <c r="AK174" s="263" t="s">
        <v>415</v>
      </c>
      <c r="AL174" s="263" t="s">
        <v>415</v>
      </c>
      <c r="AM174" s="263" t="s">
        <v>415</v>
      </c>
      <c r="AN174" s="263" t="s">
        <v>415</v>
      </c>
      <c r="AO174" s="263" t="s">
        <v>415</v>
      </c>
      <c r="AP174" s="263" t="s">
        <v>415</v>
      </c>
      <c r="AQ174" s="263" t="s">
        <v>415</v>
      </c>
      <c r="AR174" s="263" t="s">
        <v>415</v>
      </c>
      <c r="AS174" s="263" t="s">
        <v>415</v>
      </c>
      <c r="AT174" s="263" t="s">
        <v>415</v>
      </c>
      <c r="AU174" s="263" t="s">
        <v>415</v>
      </c>
      <c r="AV174" s="263" t="s">
        <v>415</v>
      </c>
      <c r="AW174" s="263" t="s">
        <v>415</v>
      </c>
      <c r="AX174" s="263" t="s">
        <v>415</v>
      </c>
      <c r="AY174" s="263" t="s">
        <v>415</v>
      </c>
      <c r="AZ174" s="263" t="s">
        <v>415</v>
      </c>
      <c r="BA174" s="263" t="s">
        <v>415</v>
      </c>
      <c r="BB174" s="263" t="s">
        <v>415</v>
      </c>
      <c r="BC174" s="263" t="s">
        <v>415</v>
      </c>
      <c r="BD174" s="263" t="s">
        <v>415</v>
      </c>
      <c r="BE174" s="263" t="s">
        <v>415</v>
      </c>
      <c r="BF174" s="264" t="s">
        <v>415</v>
      </c>
    </row>
    <row r="175" spans="2:58" hidden="1">
      <c r="B175" s="5" t="s">
        <v>294</v>
      </c>
      <c r="C175" s="5" t="str">
        <f t="shared" ca="1" si="237"/>
        <v>Veikla</v>
      </c>
      <c r="D175" t="str">
        <f t="shared" si="238"/>
        <v>False</v>
      </c>
      <c r="E175" s="256" t="str">
        <f t="shared" si="219"/>
        <v>-</v>
      </c>
      <c r="F175" s="256" t="str">
        <f t="shared" si="220"/>
        <v>-</v>
      </c>
      <c r="G175" s="256" t="str">
        <f t="shared" si="221"/>
        <v>-</v>
      </c>
      <c r="H175" s="256" t="str">
        <f t="shared" si="222"/>
        <v>-</v>
      </c>
      <c r="I175" s="256" t="str">
        <f t="shared" si="223"/>
        <v>-</v>
      </c>
      <c r="J175" s="256" t="str">
        <f t="shared" si="224"/>
        <v>-</v>
      </c>
      <c r="K175" s="256" t="str">
        <f t="shared" si="225"/>
        <v>-</v>
      </c>
      <c r="L175" s="256" t="str">
        <f t="shared" si="226"/>
        <v>-</v>
      </c>
      <c r="M175" s="256" t="str">
        <f t="shared" si="227"/>
        <v>-</v>
      </c>
      <c r="N175" s="256" t="str">
        <f t="shared" si="228"/>
        <v>-</v>
      </c>
      <c r="O175" s="256" t="str">
        <f t="shared" si="229"/>
        <v>-</v>
      </c>
      <c r="P175" s="256" t="str">
        <f t="shared" si="230"/>
        <v>-</v>
      </c>
      <c r="Q175" s="256" t="str">
        <f t="shared" si="231"/>
        <v>-</v>
      </c>
      <c r="R175" s="256" t="str">
        <f t="shared" si="232"/>
        <v>-</v>
      </c>
      <c r="S175" s="256" t="str">
        <f t="shared" si="233"/>
        <v>-</v>
      </c>
      <c r="T175" s="256" t="str">
        <f t="shared" si="234"/>
        <v>-</v>
      </c>
      <c r="U175" s="256" t="str">
        <f t="shared" si="235"/>
        <v>-</v>
      </c>
      <c r="V175" s="256" t="str">
        <f t="shared" si="236"/>
        <v>-</v>
      </c>
      <c r="W175" s="255"/>
      <c r="X175" s="255"/>
      <c r="Y175" s="255"/>
      <c r="Z175" s="255"/>
      <c r="AA175" s="255"/>
      <c r="AB175" s="255"/>
      <c r="AC175" s="255"/>
      <c r="AD175" s="255"/>
      <c r="AE175" s="255"/>
      <c r="AF175" s="262" t="s">
        <v>415</v>
      </c>
      <c r="AG175" s="263" t="s">
        <v>415</v>
      </c>
      <c r="AH175" s="263" t="s">
        <v>415</v>
      </c>
      <c r="AI175" s="263" t="s">
        <v>415</v>
      </c>
      <c r="AJ175" s="263" t="s">
        <v>415</v>
      </c>
      <c r="AK175" s="263" t="s">
        <v>415</v>
      </c>
      <c r="AL175" s="263" t="s">
        <v>415</v>
      </c>
      <c r="AM175" s="263" t="s">
        <v>415</v>
      </c>
      <c r="AN175" s="263" t="s">
        <v>415</v>
      </c>
      <c r="AO175" s="263" t="s">
        <v>415</v>
      </c>
      <c r="AP175" s="263" t="s">
        <v>415</v>
      </c>
      <c r="AQ175" s="263" t="s">
        <v>415</v>
      </c>
      <c r="AR175" s="263" t="s">
        <v>415</v>
      </c>
      <c r="AS175" s="263" t="s">
        <v>415</v>
      </c>
      <c r="AT175" s="263" t="s">
        <v>415</v>
      </c>
      <c r="AU175" s="263" t="s">
        <v>415</v>
      </c>
      <c r="AV175" s="263" t="s">
        <v>415</v>
      </c>
      <c r="AW175" s="263" t="s">
        <v>415</v>
      </c>
      <c r="AX175" s="263" t="s">
        <v>415</v>
      </c>
      <c r="AY175" s="263" t="s">
        <v>415</v>
      </c>
      <c r="AZ175" s="263" t="s">
        <v>415</v>
      </c>
      <c r="BA175" s="263" t="s">
        <v>415</v>
      </c>
      <c r="BB175" s="263" t="s">
        <v>415</v>
      </c>
      <c r="BC175" s="263" t="s">
        <v>415</v>
      </c>
      <c r="BD175" s="263" t="s">
        <v>415</v>
      </c>
      <c r="BE175" s="263" t="s">
        <v>415</v>
      </c>
      <c r="BF175" s="264" t="s">
        <v>415</v>
      </c>
    </row>
    <row r="176" spans="2:58" hidden="1">
      <c r="B176" s="5" t="s">
        <v>295</v>
      </c>
      <c r="C176" s="5" t="str">
        <f t="shared" ca="1" si="237"/>
        <v>Reinvesticijos (po priemonės įgyvendinimo)</v>
      </c>
      <c r="D176" t="str">
        <f t="shared" si="238"/>
        <v>False</v>
      </c>
      <c r="E176" s="256" t="str">
        <f t="shared" si="219"/>
        <v>-</v>
      </c>
      <c r="F176" s="256" t="str">
        <f t="shared" si="220"/>
        <v>-</v>
      </c>
      <c r="G176" s="256" t="str">
        <f t="shared" si="221"/>
        <v>-</v>
      </c>
      <c r="H176" s="256" t="str">
        <f t="shared" si="222"/>
        <v>-</v>
      </c>
      <c r="I176" s="256" t="str">
        <f t="shared" si="223"/>
        <v>-</v>
      </c>
      <c r="J176" s="256" t="str">
        <f t="shared" si="224"/>
        <v>-</v>
      </c>
      <c r="K176" s="256" t="str">
        <f t="shared" si="225"/>
        <v>-</v>
      </c>
      <c r="L176" s="256" t="str">
        <f t="shared" si="226"/>
        <v>-</v>
      </c>
      <c r="M176" s="256" t="str">
        <f t="shared" si="227"/>
        <v>-</v>
      </c>
      <c r="N176" s="256" t="str">
        <f t="shared" si="228"/>
        <v>-</v>
      </c>
      <c r="O176" s="256" t="str">
        <f t="shared" si="229"/>
        <v>-</v>
      </c>
      <c r="P176" s="256" t="str">
        <f t="shared" si="230"/>
        <v>-</v>
      </c>
      <c r="Q176" s="256" t="str">
        <f t="shared" si="231"/>
        <v>-</v>
      </c>
      <c r="R176" s="256" t="str">
        <f t="shared" si="232"/>
        <v>-</v>
      </c>
      <c r="S176" s="256" t="str">
        <f t="shared" si="233"/>
        <v>-</v>
      </c>
      <c r="T176" s="256" t="str">
        <f t="shared" si="234"/>
        <v>-</v>
      </c>
      <c r="U176" s="256" t="str">
        <f t="shared" si="235"/>
        <v>-</v>
      </c>
      <c r="V176" s="256" t="str">
        <f t="shared" si="236"/>
        <v>-</v>
      </c>
      <c r="W176" s="255"/>
      <c r="X176" s="255"/>
      <c r="Y176" s="255"/>
      <c r="Z176" s="255"/>
      <c r="AA176" s="255"/>
      <c r="AB176" s="255"/>
      <c r="AC176" s="255"/>
      <c r="AD176" s="255"/>
      <c r="AE176" s="255"/>
      <c r="AF176" s="262" t="s">
        <v>415</v>
      </c>
      <c r="AG176" s="263" t="s">
        <v>415</v>
      </c>
      <c r="AH176" s="263" t="s">
        <v>415</v>
      </c>
      <c r="AI176" s="263" t="s">
        <v>415</v>
      </c>
      <c r="AJ176" s="263" t="s">
        <v>415</v>
      </c>
      <c r="AK176" s="263" t="s">
        <v>415</v>
      </c>
      <c r="AL176" s="263" t="s">
        <v>415</v>
      </c>
      <c r="AM176" s="263" t="s">
        <v>415</v>
      </c>
      <c r="AN176" s="263" t="s">
        <v>415</v>
      </c>
      <c r="AO176" s="263" t="s">
        <v>415</v>
      </c>
      <c r="AP176" s="263" t="s">
        <v>415</v>
      </c>
      <c r="AQ176" s="263" t="s">
        <v>415</v>
      </c>
      <c r="AR176" s="263" t="s">
        <v>415</v>
      </c>
      <c r="AS176" s="263" t="s">
        <v>415</v>
      </c>
      <c r="AT176" s="263" t="s">
        <v>415</v>
      </c>
      <c r="AU176" s="263" t="s">
        <v>415</v>
      </c>
      <c r="AV176" s="263" t="s">
        <v>415</v>
      </c>
      <c r="AW176" s="263" t="s">
        <v>415</v>
      </c>
      <c r="AX176" s="263" t="s">
        <v>415</v>
      </c>
      <c r="AY176" s="263" t="s">
        <v>415</v>
      </c>
      <c r="AZ176" s="263" t="s">
        <v>415</v>
      </c>
      <c r="BA176" s="263" t="s">
        <v>415</v>
      </c>
      <c r="BB176" s="263" t="s">
        <v>415</v>
      </c>
      <c r="BC176" s="263" t="s">
        <v>415</v>
      </c>
      <c r="BD176" s="263" t="s">
        <v>415</v>
      </c>
      <c r="BE176" s="263" t="s">
        <v>415</v>
      </c>
      <c r="BF176" s="264" t="s">
        <v>415</v>
      </c>
    </row>
    <row r="177" spans="2:58" hidden="1">
      <c r="B177" s="5" t="s">
        <v>296</v>
      </c>
      <c r="C177" s="5" t="str">
        <f t="shared" ca="1" si="237"/>
        <v>Likutinė vertė</v>
      </c>
      <c r="D177" t="str">
        <f t="shared" si="238"/>
        <v>False</v>
      </c>
      <c r="E177" s="256" t="str">
        <f t="shared" si="219"/>
        <v>-</v>
      </c>
      <c r="F177" s="256" t="str">
        <f t="shared" si="220"/>
        <v>-</v>
      </c>
      <c r="G177" s="256" t="str">
        <f t="shared" si="221"/>
        <v>-</v>
      </c>
      <c r="H177" s="256" t="str">
        <f t="shared" si="222"/>
        <v>-</v>
      </c>
      <c r="I177" s="256" t="str">
        <f t="shared" si="223"/>
        <v>-</v>
      </c>
      <c r="J177" s="256" t="str">
        <f t="shared" si="224"/>
        <v>-</v>
      </c>
      <c r="K177" s="256" t="str">
        <f t="shared" si="225"/>
        <v>-</v>
      </c>
      <c r="L177" s="256" t="str">
        <f t="shared" si="226"/>
        <v>-</v>
      </c>
      <c r="M177" s="256" t="str">
        <f t="shared" si="227"/>
        <v>-</v>
      </c>
      <c r="N177" s="256" t="str">
        <f t="shared" si="228"/>
        <v>-</v>
      </c>
      <c r="O177" s="256" t="str">
        <f t="shared" si="229"/>
        <v>-</v>
      </c>
      <c r="P177" s="256" t="str">
        <f t="shared" si="230"/>
        <v>-</v>
      </c>
      <c r="Q177" s="256" t="str">
        <f t="shared" si="231"/>
        <v>-</v>
      </c>
      <c r="R177" s="256" t="str">
        <f t="shared" si="232"/>
        <v>-</v>
      </c>
      <c r="S177" s="256" t="str">
        <f t="shared" si="233"/>
        <v>-</v>
      </c>
      <c r="T177" s="256" t="str">
        <f t="shared" si="234"/>
        <v>-</v>
      </c>
      <c r="U177" s="256" t="str">
        <f t="shared" si="235"/>
        <v>-</v>
      </c>
      <c r="V177" s="256" t="str">
        <f t="shared" si="236"/>
        <v>-</v>
      </c>
      <c r="W177" s="255"/>
      <c r="X177" s="255"/>
      <c r="Y177" s="255"/>
      <c r="Z177" s="255"/>
      <c r="AA177" s="255"/>
      <c r="AB177" s="255"/>
      <c r="AC177" s="255"/>
      <c r="AD177" s="255"/>
      <c r="AE177" s="255"/>
      <c r="AF177" s="262" t="s">
        <v>415</v>
      </c>
      <c r="AG177" s="263" t="s">
        <v>415</v>
      </c>
      <c r="AH177" s="263" t="s">
        <v>415</v>
      </c>
      <c r="AI177" s="263" t="s">
        <v>415</v>
      </c>
      <c r="AJ177" s="263" t="s">
        <v>415</v>
      </c>
      <c r="AK177" s="263" t="s">
        <v>415</v>
      </c>
      <c r="AL177" s="263" t="s">
        <v>415</v>
      </c>
      <c r="AM177" s="263" t="s">
        <v>415</v>
      </c>
      <c r="AN177" s="263" t="s">
        <v>415</v>
      </c>
      <c r="AO177" s="263" t="s">
        <v>415</v>
      </c>
      <c r="AP177" s="263" t="s">
        <v>415</v>
      </c>
      <c r="AQ177" s="263" t="s">
        <v>415</v>
      </c>
      <c r="AR177" s="263" t="s">
        <v>415</v>
      </c>
      <c r="AS177" s="263" t="s">
        <v>415</v>
      </c>
      <c r="AT177" s="263" t="s">
        <v>415</v>
      </c>
      <c r="AU177" s="263" t="s">
        <v>415</v>
      </c>
      <c r="AV177" s="263" t="s">
        <v>415</v>
      </c>
      <c r="AW177" s="263" t="s">
        <v>415</v>
      </c>
      <c r="AX177" s="263" t="s">
        <v>415</v>
      </c>
      <c r="AY177" s="263" t="s">
        <v>415</v>
      </c>
      <c r="AZ177" s="263" t="s">
        <v>415</v>
      </c>
      <c r="BA177" s="263" t="s">
        <v>415</v>
      </c>
      <c r="BB177" s="263" t="s">
        <v>415</v>
      </c>
      <c r="BC177" s="263" t="s">
        <v>415</v>
      </c>
      <c r="BD177" s="263" t="s">
        <v>415</v>
      </c>
      <c r="BE177" s="263" t="s">
        <v>415</v>
      </c>
      <c r="BF177" s="264" t="s">
        <v>415</v>
      </c>
    </row>
    <row r="178" spans="2:58" hidden="1">
      <c r="B178" s="5" t="s">
        <v>297</v>
      </c>
      <c r="C178" s="5" t="str">
        <f t="shared" ca="1" si="237"/>
        <v>Veikla</v>
      </c>
      <c r="D178" t="str">
        <f t="shared" si="238"/>
        <v>False</v>
      </c>
      <c r="E178" s="256" t="str">
        <f t="shared" si="219"/>
        <v>-</v>
      </c>
      <c r="F178" s="256" t="str">
        <f t="shared" si="220"/>
        <v>-</v>
      </c>
      <c r="G178" s="256" t="str">
        <f t="shared" si="221"/>
        <v>-</v>
      </c>
      <c r="H178" s="256" t="str">
        <f t="shared" si="222"/>
        <v>-</v>
      </c>
      <c r="I178" s="256" t="str">
        <f t="shared" si="223"/>
        <v>-</v>
      </c>
      <c r="J178" s="256" t="str">
        <f t="shared" si="224"/>
        <v>-</v>
      </c>
      <c r="K178" s="256" t="str">
        <f t="shared" si="225"/>
        <v>-</v>
      </c>
      <c r="L178" s="256" t="str">
        <f t="shared" si="226"/>
        <v>-</v>
      </c>
      <c r="M178" s="256" t="str">
        <f t="shared" si="227"/>
        <v>-</v>
      </c>
      <c r="N178" s="256" t="str">
        <f t="shared" si="228"/>
        <v>-</v>
      </c>
      <c r="O178" s="256" t="str">
        <f t="shared" si="229"/>
        <v>-</v>
      </c>
      <c r="P178" s="256" t="str">
        <f t="shared" si="230"/>
        <v>-</v>
      </c>
      <c r="Q178" s="256" t="str">
        <f t="shared" si="231"/>
        <v>-</v>
      </c>
      <c r="R178" s="256" t="str">
        <f t="shared" si="232"/>
        <v>-</v>
      </c>
      <c r="S178" s="256" t="str">
        <f t="shared" si="233"/>
        <v>-</v>
      </c>
      <c r="T178" s="256" t="str">
        <f t="shared" si="234"/>
        <v>-</v>
      </c>
      <c r="U178" s="256" t="str">
        <f t="shared" si="235"/>
        <v>-</v>
      </c>
      <c r="V178" s="256" t="str">
        <f t="shared" si="236"/>
        <v>-</v>
      </c>
      <c r="W178" s="255"/>
      <c r="X178" s="255"/>
      <c r="Y178" s="255"/>
      <c r="Z178" s="255"/>
      <c r="AA178" s="255"/>
      <c r="AB178" s="255"/>
      <c r="AC178" s="255"/>
      <c r="AD178" s="255"/>
      <c r="AE178" s="255"/>
      <c r="AF178" s="262" t="s">
        <v>415</v>
      </c>
      <c r="AG178" s="263" t="s">
        <v>415</v>
      </c>
      <c r="AH178" s="263" t="s">
        <v>415</v>
      </c>
      <c r="AI178" s="263" t="s">
        <v>415</v>
      </c>
      <c r="AJ178" s="263" t="s">
        <v>415</v>
      </c>
      <c r="AK178" s="263" t="s">
        <v>415</v>
      </c>
      <c r="AL178" s="263" t="s">
        <v>415</v>
      </c>
      <c r="AM178" s="263" t="s">
        <v>415</v>
      </c>
      <c r="AN178" s="263" t="s">
        <v>415</v>
      </c>
      <c r="AO178" s="263" t="s">
        <v>415</v>
      </c>
      <c r="AP178" s="263" t="s">
        <v>415</v>
      </c>
      <c r="AQ178" s="263" t="s">
        <v>415</v>
      </c>
      <c r="AR178" s="263" t="s">
        <v>415</v>
      </c>
      <c r="AS178" s="263" t="s">
        <v>415</v>
      </c>
      <c r="AT178" s="263" t="s">
        <v>415</v>
      </c>
      <c r="AU178" s="263" t="s">
        <v>415</v>
      </c>
      <c r="AV178" s="263" t="s">
        <v>415</v>
      </c>
      <c r="AW178" s="263" t="s">
        <v>415</v>
      </c>
      <c r="AX178" s="263" t="s">
        <v>415</v>
      </c>
      <c r="AY178" s="263" t="s">
        <v>415</v>
      </c>
      <c r="AZ178" s="263" t="s">
        <v>415</v>
      </c>
      <c r="BA178" s="263" t="s">
        <v>415</v>
      </c>
      <c r="BB178" s="263" t="s">
        <v>415</v>
      </c>
      <c r="BC178" s="263" t="s">
        <v>415</v>
      </c>
      <c r="BD178" s="263" t="s">
        <v>415</v>
      </c>
      <c r="BE178" s="263" t="s">
        <v>415</v>
      </c>
      <c r="BF178" s="264" t="s">
        <v>415</v>
      </c>
    </row>
    <row r="179" spans="2:58" hidden="1">
      <c r="B179" s="5" t="s">
        <v>298</v>
      </c>
      <c r="C179" s="5" t="str">
        <f t="shared" ca="1" si="237"/>
        <v>Veikla</v>
      </c>
      <c r="D179" t="str">
        <f t="shared" si="238"/>
        <v>False</v>
      </c>
      <c r="E179" s="256" t="str">
        <f t="shared" si="219"/>
        <v>-</v>
      </c>
      <c r="F179" s="256" t="str">
        <f t="shared" si="220"/>
        <v>-</v>
      </c>
      <c r="G179" s="256" t="str">
        <f t="shared" si="221"/>
        <v>-</v>
      </c>
      <c r="H179" s="256" t="str">
        <f t="shared" si="222"/>
        <v>-</v>
      </c>
      <c r="I179" s="256" t="str">
        <f t="shared" si="223"/>
        <v>-</v>
      </c>
      <c r="J179" s="256" t="str">
        <f t="shared" si="224"/>
        <v>-</v>
      </c>
      <c r="K179" s="256" t="str">
        <f t="shared" si="225"/>
        <v>-</v>
      </c>
      <c r="L179" s="256" t="str">
        <f t="shared" si="226"/>
        <v>-</v>
      </c>
      <c r="M179" s="256" t="str">
        <f t="shared" si="227"/>
        <v>-</v>
      </c>
      <c r="N179" s="256" t="str">
        <f t="shared" si="228"/>
        <v>-</v>
      </c>
      <c r="O179" s="256" t="str">
        <f t="shared" si="229"/>
        <v>-</v>
      </c>
      <c r="P179" s="256" t="str">
        <f t="shared" si="230"/>
        <v>-</v>
      </c>
      <c r="Q179" s="256" t="str">
        <f t="shared" si="231"/>
        <v>-</v>
      </c>
      <c r="R179" s="256" t="str">
        <f t="shared" si="232"/>
        <v>-</v>
      </c>
      <c r="S179" s="256" t="str">
        <f t="shared" si="233"/>
        <v>-</v>
      </c>
      <c r="T179" s="256" t="str">
        <f t="shared" si="234"/>
        <v>-</v>
      </c>
      <c r="U179" s="256" t="str">
        <f t="shared" si="235"/>
        <v>-</v>
      </c>
      <c r="V179" s="256" t="str">
        <f t="shared" si="236"/>
        <v>-</v>
      </c>
      <c r="W179" s="255"/>
      <c r="X179" s="255"/>
      <c r="Y179" s="255"/>
      <c r="Z179" s="255"/>
      <c r="AA179" s="255"/>
      <c r="AB179" s="255"/>
      <c r="AC179" s="255"/>
      <c r="AD179" s="255"/>
      <c r="AE179" s="255"/>
      <c r="AF179" s="262" t="s">
        <v>415</v>
      </c>
      <c r="AG179" s="263" t="s">
        <v>415</v>
      </c>
      <c r="AH179" s="263" t="s">
        <v>415</v>
      </c>
      <c r="AI179" s="263" t="s">
        <v>415</v>
      </c>
      <c r="AJ179" s="263" t="s">
        <v>415</v>
      </c>
      <c r="AK179" s="263" t="s">
        <v>415</v>
      </c>
      <c r="AL179" s="263" t="s">
        <v>415</v>
      </c>
      <c r="AM179" s="263" t="s">
        <v>415</v>
      </c>
      <c r="AN179" s="263" t="s">
        <v>415</v>
      </c>
      <c r="AO179" s="263" t="s">
        <v>415</v>
      </c>
      <c r="AP179" s="263" t="s">
        <v>415</v>
      </c>
      <c r="AQ179" s="263" t="s">
        <v>415</v>
      </c>
      <c r="AR179" s="263" t="s">
        <v>415</v>
      </c>
      <c r="AS179" s="263" t="s">
        <v>415</v>
      </c>
      <c r="AT179" s="263" t="s">
        <v>415</v>
      </c>
      <c r="AU179" s="263" t="s">
        <v>415</v>
      </c>
      <c r="AV179" s="263" t="s">
        <v>415</v>
      </c>
      <c r="AW179" s="263" t="s">
        <v>415</v>
      </c>
      <c r="AX179" s="263" t="s">
        <v>415</v>
      </c>
      <c r="AY179" s="263" t="s">
        <v>415</v>
      </c>
      <c r="AZ179" s="263" t="s">
        <v>415</v>
      </c>
      <c r="BA179" s="263" t="s">
        <v>415</v>
      </c>
      <c r="BB179" s="263" t="s">
        <v>415</v>
      </c>
      <c r="BC179" s="263" t="s">
        <v>415</v>
      </c>
      <c r="BD179" s="263" t="s">
        <v>415</v>
      </c>
      <c r="BE179" s="263" t="s">
        <v>415</v>
      </c>
      <c r="BF179" s="264" t="s">
        <v>415</v>
      </c>
    </row>
    <row r="180" spans="2:58" hidden="1">
      <c r="B180" s="5" t="s">
        <v>299</v>
      </c>
      <c r="C180" s="5" t="str">
        <f t="shared" ca="1" si="237"/>
        <v>Veikla</v>
      </c>
      <c r="D180" t="str">
        <f t="shared" si="238"/>
        <v>False</v>
      </c>
      <c r="E180" s="256" t="str">
        <f t="shared" si="219"/>
        <v>-</v>
      </c>
      <c r="F180" s="256" t="str">
        <f t="shared" si="220"/>
        <v>-</v>
      </c>
      <c r="G180" s="256" t="str">
        <f t="shared" si="221"/>
        <v>-</v>
      </c>
      <c r="H180" s="256" t="str">
        <f t="shared" si="222"/>
        <v>-</v>
      </c>
      <c r="I180" s="256" t="str">
        <f t="shared" si="223"/>
        <v>-</v>
      </c>
      <c r="J180" s="256" t="str">
        <f t="shared" si="224"/>
        <v>-</v>
      </c>
      <c r="K180" s="256" t="str">
        <f t="shared" si="225"/>
        <v>-</v>
      </c>
      <c r="L180" s="256" t="str">
        <f t="shared" si="226"/>
        <v>-</v>
      </c>
      <c r="M180" s="256" t="str">
        <f t="shared" si="227"/>
        <v>-</v>
      </c>
      <c r="N180" s="256" t="str">
        <f t="shared" si="228"/>
        <v>-</v>
      </c>
      <c r="O180" s="256" t="str">
        <f t="shared" si="229"/>
        <v>-</v>
      </c>
      <c r="P180" s="256" t="str">
        <f t="shared" si="230"/>
        <v>-</v>
      </c>
      <c r="Q180" s="256" t="str">
        <f t="shared" si="231"/>
        <v>-</v>
      </c>
      <c r="R180" s="256" t="str">
        <f t="shared" si="232"/>
        <v>-</v>
      </c>
      <c r="S180" s="256" t="str">
        <f t="shared" si="233"/>
        <v>-</v>
      </c>
      <c r="T180" s="256" t="str">
        <f t="shared" si="234"/>
        <v>-</v>
      </c>
      <c r="U180" s="256" t="str">
        <f t="shared" si="235"/>
        <v>-</v>
      </c>
      <c r="V180" s="256" t="str">
        <f t="shared" si="236"/>
        <v>-</v>
      </c>
      <c r="W180" s="255"/>
      <c r="X180" s="255"/>
      <c r="Y180" s="255"/>
      <c r="Z180" s="255"/>
      <c r="AA180" s="255"/>
      <c r="AB180" s="255"/>
      <c r="AC180" s="255"/>
      <c r="AD180" s="255"/>
      <c r="AE180" s="255"/>
      <c r="AF180" s="262" t="s">
        <v>415</v>
      </c>
      <c r="AG180" s="263" t="s">
        <v>415</v>
      </c>
      <c r="AH180" s="263" t="s">
        <v>415</v>
      </c>
      <c r="AI180" s="263" t="s">
        <v>415</v>
      </c>
      <c r="AJ180" s="263" t="s">
        <v>415</v>
      </c>
      <c r="AK180" s="263" t="s">
        <v>415</v>
      </c>
      <c r="AL180" s="263" t="s">
        <v>415</v>
      </c>
      <c r="AM180" s="263" t="s">
        <v>415</v>
      </c>
      <c r="AN180" s="263" t="s">
        <v>415</v>
      </c>
      <c r="AO180" s="263" t="s">
        <v>415</v>
      </c>
      <c r="AP180" s="263" t="s">
        <v>415</v>
      </c>
      <c r="AQ180" s="263" t="s">
        <v>415</v>
      </c>
      <c r="AR180" s="263" t="s">
        <v>415</v>
      </c>
      <c r="AS180" s="263" t="s">
        <v>415</v>
      </c>
      <c r="AT180" s="263" t="s">
        <v>415</v>
      </c>
      <c r="AU180" s="263" t="s">
        <v>415</v>
      </c>
      <c r="AV180" s="263" t="s">
        <v>415</v>
      </c>
      <c r="AW180" s="263" t="s">
        <v>415</v>
      </c>
      <c r="AX180" s="263" t="s">
        <v>415</v>
      </c>
      <c r="AY180" s="263" t="s">
        <v>415</v>
      </c>
      <c r="AZ180" s="263" t="s">
        <v>415</v>
      </c>
      <c r="BA180" s="263" t="s">
        <v>415</v>
      </c>
      <c r="BB180" s="263" t="s">
        <v>415</v>
      </c>
      <c r="BC180" s="263" t="s">
        <v>415</v>
      </c>
      <c r="BD180" s="263" t="s">
        <v>415</v>
      </c>
      <c r="BE180" s="263" t="s">
        <v>415</v>
      </c>
      <c r="BF180" s="264" t="s">
        <v>415</v>
      </c>
    </row>
    <row r="181" spans="2:58" hidden="1">
      <c r="B181" s="5" t="s">
        <v>300</v>
      </c>
      <c r="C181" s="5" t="str">
        <f t="shared" ca="1" si="237"/>
        <v>Veikla</v>
      </c>
      <c r="D181" t="str">
        <f t="shared" si="238"/>
        <v>False</v>
      </c>
      <c r="E181" s="256" t="str">
        <f t="shared" si="219"/>
        <v>-</v>
      </c>
      <c r="F181" s="256" t="str">
        <f t="shared" si="220"/>
        <v>-</v>
      </c>
      <c r="G181" s="256" t="str">
        <f t="shared" si="221"/>
        <v>-</v>
      </c>
      <c r="H181" s="256" t="str">
        <f t="shared" si="222"/>
        <v>-</v>
      </c>
      <c r="I181" s="256" t="str">
        <f t="shared" si="223"/>
        <v>-</v>
      </c>
      <c r="J181" s="256" t="str">
        <f t="shared" si="224"/>
        <v>-</v>
      </c>
      <c r="K181" s="256" t="str">
        <f t="shared" si="225"/>
        <v>-</v>
      </c>
      <c r="L181" s="256" t="str">
        <f t="shared" si="226"/>
        <v>-</v>
      </c>
      <c r="M181" s="256" t="str">
        <f t="shared" si="227"/>
        <v>-</v>
      </c>
      <c r="N181" s="256" t="str">
        <f t="shared" si="228"/>
        <v>-</v>
      </c>
      <c r="O181" s="256" t="str">
        <f t="shared" si="229"/>
        <v>-</v>
      </c>
      <c r="P181" s="256" t="str">
        <f t="shared" si="230"/>
        <v>-</v>
      </c>
      <c r="Q181" s="256" t="str">
        <f t="shared" si="231"/>
        <v>-</v>
      </c>
      <c r="R181" s="256" t="str">
        <f t="shared" si="232"/>
        <v>-</v>
      </c>
      <c r="S181" s="256" t="str">
        <f t="shared" si="233"/>
        <v>-</v>
      </c>
      <c r="T181" s="256" t="str">
        <f t="shared" si="234"/>
        <v>-</v>
      </c>
      <c r="U181" s="256" t="str">
        <f t="shared" si="235"/>
        <v>-</v>
      </c>
      <c r="V181" s="256" t="str">
        <f t="shared" si="236"/>
        <v>-</v>
      </c>
      <c r="W181" s="255"/>
      <c r="X181" s="255"/>
      <c r="Y181" s="255"/>
      <c r="Z181" s="255"/>
      <c r="AA181" s="255"/>
      <c r="AB181" s="255"/>
      <c r="AC181" s="255"/>
      <c r="AD181" s="255"/>
      <c r="AE181" s="255"/>
      <c r="AF181" s="262" t="s">
        <v>415</v>
      </c>
      <c r="AG181" s="263" t="s">
        <v>415</v>
      </c>
      <c r="AH181" s="263" t="s">
        <v>415</v>
      </c>
      <c r="AI181" s="263" t="s">
        <v>415</v>
      </c>
      <c r="AJ181" s="263" t="s">
        <v>415</v>
      </c>
      <c r="AK181" s="263" t="s">
        <v>415</v>
      </c>
      <c r="AL181" s="263" t="s">
        <v>415</v>
      </c>
      <c r="AM181" s="263" t="s">
        <v>415</v>
      </c>
      <c r="AN181" s="263" t="s">
        <v>415</v>
      </c>
      <c r="AO181" s="263" t="s">
        <v>415</v>
      </c>
      <c r="AP181" s="263" t="s">
        <v>415</v>
      </c>
      <c r="AQ181" s="263" t="s">
        <v>415</v>
      </c>
      <c r="AR181" s="263" t="s">
        <v>415</v>
      </c>
      <c r="AS181" s="263" t="s">
        <v>415</v>
      </c>
      <c r="AT181" s="263" t="s">
        <v>415</v>
      </c>
      <c r="AU181" s="263" t="s">
        <v>415</v>
      </c>
      <c r="AV181" s="263" t="s">
        <v>415</v>
      </c>
      <c r="AW181" s="263" t="s">
        <v>415</v>
      </c>
      <c r="AX181" s="263" t="s">
        <v>415</v>
      </c>
      <c r="AY181" s="263" t="s">
        <v>415</v>
      </c>
      <c r="AZ181" s="263" t="s">
        <v>415</v>
      </c>
      <c r="BA181" s="263" t="s">
        <v>415</v>
      </c>
      <c r="BB181" s="263" t="s">
        <v>415</v>
      </c>
      <c r="BC181" s="263" t="s">
        <v>415</v>
      </c>
      <c r="BD181" s="263" t="s">
        <v>415</v>
      </c>
      <c r="BE181" s="263" t="s">
        <v>415</v>
      </c>
      <c r="BF181" s="264" t="s">
        <v>415</v>
      </c>
    </row>
    <row r="182" spans="2:58" hidden="1">
      <c r="B182" s="5" t="s">
        <v>301</v>
      </c>
      <c r="C182" s="5" t="str">
        <f t="shared" ca="1" si="237"/>
        <v>Veikla</v>
      </c>
      <c r="D182" t="str">
        <f t="shared" si="238"/>
        <v>False</v>
      </c>
      <c r="E182" s="256" t="str">
        <f t="shared" si="219"/>
        <v>-</v>
      </c>
      <c r="F182" s="256" t="str">
        <f t="shared" si="220"/>
        <v>-</v>
      </c>
      <c r="G182" s="256" t="str">
        <f t="shared" si="221"/>
        <v>-</v>
      </c>
      <c r="H182" s="256" t="str">
        <f t="shared" si="222"/>
        <v>-</v>
      </c>
      <c r="I182" s="256" t="str">
        <f t="shared" si="223"/>
        <v>-</v>
      </c>
      <c r="J182" s="256" t="str">
        <f t="shared" si="224"/>
        <v>-</v>
      </c>
      <c r="K182" s="256" t="str">
        <f t="shared" si="225"/>
        <v>-</v>
      </c>
      <c r="L182" s="256" t="str">
        <f t="shared" si="226"/>
        <v>-</v>
      </c>
      <c r="M182" s="256" t="str">
        <f t="shared" si="227"/>
        <v>-</v>
      </c>
      <c r="N182" s="256" t="str">
        <f t="shared" si="228"/>
        <v>-</v>
      </c>
      <c r="O182" s="256" t="str">
        <f t="shared" si="229"/>
        <v>-</v>
      </c>
      <c r="P182" s="256" t="str">
        <f t="shared" si="230"/>
        <v>-</v>
      </c>
      <c r="Q182" s="256" t="str">
        <f t="shared" si="231"/>
        <v>-</v>
      </c>
      <c r="R182" s="256" t="str">
        <f t="shared" si="232"/>
        <v>-</v>
      </c>
      <c r="S182" s="256" t="str">
        <f t="shared" si="233"/>
        <v>-</v>
      </c>
      <c r="T182" s="256" t="str">
        <f t="shared" si="234"/>
        <v>-</v>
      </c>
      <c r="U182" s="256" t="str">
        <f t="shared" si="235"/>
        <v>-</v>
      </c>
      <c r="V182" s="256" t="str">
        <f t="shared" si="236"/>
        <v>-</v>
      </c>
      <c r="W182" s="255"/>
      <c r="X182" s="255"/>
      <c r="Y182" s="255"/>
      <c r="Z182" s="255"/>
      <c r="AA182" s="255"/>
      <c r="AB182" s="255"/>
      <c r="AC182" s="255"/>
      <c r="AD182" s="255"/>
      <c r="AE182" s="255"/>
      <c r="AF182" s="262" t="s">
        <v>415</v>
      </c>
      <c r="AG182" s="263" t="s">
        <v>415</v>
      </c>
      <c r="AH182" s="263" t="s">
        <v>415</v>
      </c>
      <c r="AI182" s="263" t="s">
        <v>415</v>
      </c>
      <c r="AJ182" s="263" t="s">
        <v>415</v>
      </c>
      <c r="AK182" s="263" t="s">
        <v>415</v>
      </c>
      <c r="AL182" s="263" t="s">
        <v>415</v>
      </c>
      <c r="AM182" s="263" t="s">
        <v>415</v>
      </c>
      <c r="AN182" s="263" t="s">
        <v>415</v>
      </c>
      <c r="AO182" s="263" t="s">
        <v>415</v>
      </c>
      <c r="AP182" s="263" t="s">
        <v>415</v>
      </c>
      <c r="AQ182" s="263" t="s">
        <v>415</v>
      </c>
      <c r="AR182" s="263" t="s">
        <v>415</v>
      </c>
      <c r="AS182" s="263" t="s">
        <v>415</v>
      </c>
      <c r="AT182" s="263" t="s">
        <v>415</v>
      </c>
      <c r="AU182" s="263" t="s">
        <v>415</v>
      </c>
      <c r="AV182" s="263" t="s">
        <v>415</v>
      </c>
      <c r="AW182" s="263" t="s">
        <v>415</v>
      </c>
      <c r="AX182" s="263" t="s">
        <v>415</v>
      </c>
      <c r="AY182" s="263" t="s">
        <v>415</v>
      </c>
      <c r="AZ182" s="263" t="s">
        <v>415</v>
      </c>
      <c r="BA182" s="263" t="s">
        <v>415</v>
      </c>
      <c r="BB182" s="263" t="s">
        <v>415</v>
      </c>
      <c r="BC182" s="263" t="s">
        <v>415</v>
      </c>
      <c r="BD182" s="263" t="s">
        <v>415</v>
      </c>
      <c r="BE182" s="263" t="s">
        <v>415</v>
      </c>
      <c r="BF182" s="264" t="s">
        <v>415</v>
      </c>
    </row>
    <row r="183" spans="2:58" hidden="1">
      <c r="B183" s="5" t="s">
        <v>302</v>
      </c>
      <c r="C183" s="5" t="str">
        <f t="shared" ca="1" si="237"/>
        <v>Veikla</v>
      </c>
      <c r="D183" t="str">
        <f t="shared" si="238"/>
        <v>False</v>
      </c>
      <c r="E183" s="256" t="str">
        <f t="shared" si="219"/>
        <v>-</v>
      </c>
      <c r="F183" s="256" t="str">
        <f t="shared" si="220"/>
        <v>-</v>
      </c>
      <c r="G183" s="256" t="str">
        <f t="shared" si="221"/>
        <v>-</v>
      </c>
      <c r="H183" s="256" t="str">
        <f t="shared" si="222"/>
        <v>-</v>
      </c>
      <c r="I183" s="256" t="str">
        <f t="shared" si="223"/>
        <v>-</v>
      </c>
      <c r="J183" s="256" t="str">
        <f t="shared" si="224"/>
        <v>-</v>
      </c>
      <c r="K183" s="256" t="str">
        <f t="shared" si="225"/>
        <v>-</v>
      </c>
      <c r="L183" s="256" t="str">
        <f t="shared" si="226"/>
        <v>-</v>
      </c>
      <c r="M183" s="256" t="str">
        <f t="shared" si="227"/>
        <v>-</v>
      </c>
      <c r="N183" s="256" t="str">
        <f t="shared" si="228"/>
        <v>-</v>
      </c>
      <c r="O183" s="256" t="str">
        <f t="shared" si="229"/>
        <v>-</v>
      </c>
      <c r="P183" s="256" t="str">
        <f t="shared" si="230"/>
        <v>-</v>
      </c>
      <c r="Q183" s="256" t="str">
        <f t="shared" si="231"/>
        <v>-</v>
      </c>
      <c r="R183" s="256" t="str">
        <f t="shared" si="232"/>
        <v>-</v>
      </c>
      <c r="S183" s="256" t="str">
        <f t="shared" si="233"/>
        <v>-</v>
      </c>
      <c r="T183" s="256" t="str">
        <f t="shared" si="234"/>
        <v>-</v>
      </c>
      <c r="U183" s="256" t="str">
        <f t="shared" si="235"/>
        <v>-</v>
      </c>
      <c r="V183" s="256" t="str">
        <f t="shared" si="236"/>
        <v>-</v>
      </c>
      <c r="W183" s="255"/>
      <c r="X183" s="255"/>
      <c r="Y183" s="255"/>
      <c r="Z183" s="255"/>
      <c r="AA183" s="255"/>
      <c r="AB183" s="255"/>
      <c r="AC183" s="255"/>
      <c r="AD183" s="255"/>
      <c r="AE183" s="255"/>
      <c r="AF183" s="262" t="s">
        <v>415</v>
      </c>
      <c r="AG183" s="263" t="s">
        <v>415</v>
      </c>
      <c r="AH183" s="263" t="s">
        <v>415</v>
      </c>
      <c r="AI183" s="263" t="s">
        <v>415</v>
      </c>
      <c r="AJ183" s="263" t="s">
        <v>415</v>
      </c>
      <c r="AK183" s="263" t="s">
        <v>415</v>
      </c>
      <c r="AL183" s="263" t="s">
        <v>415</v>
      </c>
      <c r="AM183" s="263" t="s">
        <v>415</v>
      </c>
      <c r="AN183" s="263" t="s">
        <v>415</v>
      </c>
      <c r="AO183" s="263" t="s">
        <v>415</v>
      </c>
      <c r="AP183" s="263" t="s">
        <v>415</v>
      </c>
      <c r="AQ183" s="263" t="s">
        <v>415</v>
      </c>
      <c r="AR183" s="263" t="s">
        <v>415</v>
      </c>
      <c r="AS183" s="263" t="s">
        <v>415</v>
      </c>
      <c r="AT183" s="263" t="s">
        <v>415</v>
      </c>
      <c r="AU183" s="263" t="s">
        <v>415</v>
      </c>
      <c r="AV183" s="263" t="s">
        <v>415</v>
      </c>
      <c r="AW183" s="263" t="s">
        <v>415</v>
      </c>
      <c r="AX183" s="263" t="s">
        <v>415</v>
      </c>
      <c r="AY183" s="263" t="s">
        <v>415</v>
      </c>
      <c r="AZ183" s="263" t="s">
        <v>415</v>
      </c>
      <c r="BA183" s="263" t="s">
        <v>415</v>
      </c>
      <c r="BB183" s="263" t="s">
        <v>415</v>
      </c>
      <c r="BC183" s="263" t="s">
        <v>415</v>
      </c>
      <c r="BD183" s="263" t="s">
        <v>415</v>
      </c>
      <c r="BE183" s="263" t="s">
        <v>415</v>
      </c>
      <c r="BF183" s="264" t="s">
        <v>415</v>
      </c>
    </row>
    <row r="184" spans="2:58" hidden="1">
      <c r="B184" s="5" t="s">
        <v>303</v>
      </c>
      <c r="C184" s="5" t="str">
        <f t="shared" ca="1" si="237"/>
        <v>Veikla</v>
      </c>
      <c r="D184" t="str">
        <f t="shared" si="238"/>
        <v>False</v>
      </c>
      <c r="E184" s="256" t="str">
        <f t="shared" si="219"/>
        <v>-</v>
      </c>
      <c r="F184" s="256" t="str">
        <f t="shared" si="220"/>
        <v>-</v>
      </c>
      <c r="G184" s="256" t="str">
        <f t="shared" si="221"/>
        <v>-</v>
      </c>
      <c r="H184" s="256" t="str">
        <f t="shared" si="222"/>
        <v>-</v>
      </c>
      <c r="I184" s="256" t="str">
        <f t="shared" si="223"/>
        <v>-</v>
      </c>
      <c r="J184" s="256" t="str">
        <f t="shared" si="224"/>
        <v>-</v>
      </c>
      <c r="K184" s="256" t="str">
        <f t="shared" si="225"/>
        <v>-</v>
      </c>
      <c r="L184" s="256" t="str">
        <f t="shared" si="226"/>
        <v>-</v>
      </c>
      <c r="M184" s="256" t="str">
        <f t="shared" si="227"/>
        <v>-</v>
      </c>
      <c r="N184" s="256" t="str">
        <f t="shared" si="228"/>
        <v>-</v>
      </c>
      <c r="O184" s="256" t="str">
        <f t="shared" si="229"/>
        <v>-</v>
      </c>
      <c r="P184" s="256" t="str">
        <f t="shared" si="230"/>
        <v>-</v>
      </c>
      <c r="Q184" s="256" t="str">
        <f t="shared" si="231"/>
        <v>-</v>
      </c>
      <c r="R184" s="256" t="str">
        <f t="shared" si="232"/>
        <v>-</v>
      </c>
      <c r="S184" s="256" t="str">
        <f t="shared" si="233"/>
        <v>-</v>
      </c>
      <c r="T184" s="256" t="str">
        <f t="shared" si="234"/>
        <v>-</v>
      </c>
      <c r="U184" s="256" t="str">
        <f t="shared" si="235"/>
        <v>-</v>
      </c>
      <c r="V184" s="256" t="str">
        <f t="shared" si="236"/>
        <v>-</v>
      </c>
      <c r="W184" s="255"/>
      <c r="X184" s="255"/>
      <c r="Y184" s="255"/>
      <c r="Z184" s="255"/>
      <c r="AA184" s="255"/>
      <c r="AB184" s="255"/>
      <c r="AC184" s="255"/>
      <c r="AD184" s="255"/>
      <c r="AE184" s="255"/>
      <c r="AF184" s="262" t="s">
        <v>415</v>
      </c>
      <c r="AG184" s="263" t="s">
        <v>415</v>
      </c>
      <c r="AH184" s="263" t="s">
        <v>415</v>
      </c>
      <c r="AI184" s="263" t="s">
        <v>415</v>
      </c>
      <c r="AJ184" s="263" t="s">
        <v>415</v>
      </c>
      <c r="AK184" s="263" t="s">
        <v>415</v>
      </c>
      <c r="AL184" s="263" t="s">
        <v>415</v>
      </c>
      <c r="AM184" s="263" t="s">
        <v>415</v>
      </c>
      <c r="AN184" s="263" t="s">
        <v>415</v>
      </c>
      <c r="AO184" s="263" t="s">
        <v>415</v>
      </c>
      <c r="AP184" s="263" t="s">
        <v>415</v>
      </c>
      <c r="AQ184" s="263" t="s">
        <v>415</v>
      </c>
      <c r="AR184" s="263" t="s">
        <v>415</v>
      </c>
      <c r="AS184" s="263" t="s">
        <v>415</v>
      </c>
      <c r="AT184" s="263" t="s">
        <v>415</v>
      </c>
      <c r="AU184" s="263" t="s">
        <v>415</v>
      </c>
      <c r="AV184" s="263" t="s">
        <v>415</v>
      </c>
      <c r="AW184" s="263" t="s">
        <v>415</v>
      </c>
      <c r="AX184" s="263" t="s">
        <v>415</v>
      </c>
      <c r="AY184" s="263" t="s">
        <v>415</v>
      </c>
      <c r="AZ184" s="263" t="s">
        <v>415</v>
      </c>
      <c r="BA184" s="263" t="s">
        <v>415</v>
      </c>
      <c r="BB184" s="263" t="s">
        <v>415</v>
      </c>
      <c r="BC184" s="263" t="s">
        <v>415</v>
      </c>
      <c r="BD184" s="263" t="s">
        <v>415</v>
      </c>
      <c r="BE184" s="263" t="s">
        <v>415</v>
      </c>
      <c r="BF184" s="264" t="s">
        <v>415</v>
      </c>
    </row>
    <row r="185" spans="2:58" hidden="1">
      <c r="B185" s="5" t="s">
        <v>304</v>
      </c>
      <c r="C185" s="5" t="str">
        <f t="shared" ca="1" si="237"/>
        <v>Veikla</v>
      </c>
      <c r="D185" t="str">
        <f t="shared" si="238"/>
        <v>False</v>
      </c>
      <c r="E185" s="256" t="str">
        <f t="shared" si="219"/>
        <v>-</v>
      </c>
      <c r="F185" s="256" t="str">
        <f t="shared" si="220"/>
        <v>-</v>
      </c>
      <c r="G185" s="256" t="str">
        <f t="shared" si="221"/>
        <v>-</v>
      </c>
      <c r="H185" s="256" t="str">
        <f t="shared" si="222"/>
        <v>-</v>
      </c>
      <c r="I185" s="256" t="str">
        <f t="shared" si="223"/>
        <v>-</v>
      </c>
      <c r="J185" s="256" t="str">
        <f t="shared" si="224"/>
        <v>-</v>
      </c>
      <c r="K185" s="256" t="str">
        <f t="shared" si="225"/>
        <v>-</v>
      </c>
      <c r="L185" s="256" t="str">
        <f t="shared" si="226"/>
        <v>-</v>
      </c>
      <c r="M185" s="256" t="str">
        <f t="shared" si="227"/>
        <v>-</v>
      </c>
      <c r="N185" s="256" t="str">
        <f t="shared" si="228"/>
        <v>-</v>
      </c>
      <c r="O185" s="256" t="str">
        <f t="shared" si="229"/>
        <v>-</v>
      </c>
      <c r="P185" s="256" t="str">
        <f t="shared" si="230"/>
        <v>-</v>
      </c>
      <c r="Q185" s="256" t="str">
        <f t="shared" si="231"/>
        <v>-</v>
      </c>
      <c r="R185" s="256" t="str">
        <f t="shared" si="232"/>
        <v>-</v>
      </c>
      <c r="S185" s="256" t="str">
        <f t="shared" si="233"/>
        <v>-</v>
      </c>
      <c r="T185" s="256" t="str">
        <f t="shared" si="234"/>
        <v>-</v>
      </c>
      <c r="U185" s="256" t="str">
        <f t="shared" si="235"/>
        <v>-</v>
      </c>
      <c r="V185" s="256" t="str">
        <f t="shared" si="236"/>
        <v>-</v>
      </c>
      <c r="W185" s="255"/>
      <c r="X185" s="255"/>
      <c r="Y185" s="255"/>
      <c r="Z185" s="255"/>
      <c r="AA185" s="255"/>
      <c r="AB185" s="255"/>
      <c r="AC185" s="255"/>
      <c r="AD185" s="255"/>
      <c r="AE185" s="255"/>
      <c r="AF185" s="262" t="s">
        <v>415</v>
      </c>
      <c r="AG185" s="263" t="s">
        <v>415</v>
      </c>
      <c r="AH185" s="263" t="s">
        <v>415</v>
      </c>
      <c r="AI185" s="263" t="s">
        <v>415</v>
      </c>
      <c r="AJ185" s="263" t="s">
        <v>415</v>
      </c>
      <c r="AK185" s="263" t="s">
        <v>415</v>
      </c>
      <c r="AL185" s="263" t="s">
        <v>415</v>
      </c>
      <c r="AM185" s="263" t="s">
        <v>415</v>
      </c>
      <c r="AN185" s="263" t="s">
        <v>415</v>
      </c>
      <c r="AO185" s="263" t="s">
        <v>415</v>
      </c>
      <c r="AP185" s="263" t="s">
        <v>415</v>
      </c>
      <c r="AQ185" s="263" t="s">
        <v>415</v>
      </c>
      <c r="AR185" s="263" t="s">
        <v>415</v>
      </c>
      <c r="AS185" s="263" t="s">
        <v>415</v>
      </c>
      <c r="AT185" s="263" t="s">
        <v>415</v>
      </c>
      <c r="AU185" s="263" t="s">
        <v>415</v>
      </c>
      <c r="AV185" s="263" t="s">
        <v>415</v>
      </c>
      <c r="AW185" s="263" t="s">
        <v>415</v>
      </c>
      <c r="AX185" s="263" t="s">
        <v>415</v>
      </c>
      <c r="AY185" s="263" t="s">
        <v>415</v>
      </c>
      <c r="AZ185" s="263" t="s">
        <v>415</v>
      </c>
      <c r="BA185" s="263" t="s">
        <v>415</v>
      </c>
      <c r="BB185" s="263" t="s">
        <v>415</v>
      </c>
      <c r="BC185" s="263" t="s">
        <v>415</v>
      </c>
      <c r="BD185" s="263" t="s">
        <v>415</v>
      </c>
      <c r="BE185" s="263" t="s">
        <v>415</v>
      </c>
      <c r="BF185" s="264" t="s">
        <v>415</v>
      </c>
    </row>
    <row r="186" spans="2:58" hidden="1">
      <c r="B186" s="5" t="s">
        <v>305</v>
      </c>
      <c r="C186" s="5" t="str">
        <f t="shared" ca="1" si="237"/>
        <v>Reinvesticijos (po priemonės įgyvendinimo)</v>
      </c>
      <c r="D186" t="str">
        <f t="shared" si="238"/>
        <v>False</v>
      </c>
      <c r="E186" s="256" t="str">
        <f t="shared" si="219"/>
        <v>-</v>
      </c>
      <c r="F186" s="256" t="str">
        <f t="shared" si="220"/>
        <v>-</v>
      </c>
      <c r="G186" s="256" t="str">
        <f t="shared" si="221"/>
        <v>-</v>
      </c>
      <c r="H186" s="256" t="str">
        <f t="shared" si="222"/>
        <v>-</v>
      </c>
      <c r="I186" s="256" t="str">
        <f t="shared" si="223"/>
        <v>-</v>
      </c>
      <c r="J186" s="256" t="str">
        <f t="shared" si="224"/>
        <v>-</v>
      </c>
      <c r="K186" s="256" t="str">
        <f t="shared" si="225"/>
        <v>-</v>
      </c>
      <c r="L186" s="256" t="str">
        <f t="shared" si="226"/>
        <v>-</v>
      </c>
      <c r="M186" s="256" t="str">
        <f t="shared" si="227"/>
        <v>-</v>
      </c>
      <c r="N186" s="256" t="str">
        <f t="shared" si="228"/>
        <v>-</v>
      </c>
      <c r="O186" s="256" t="str">
        <f t="shared" si="229"/>
        <v>-</v>
      </c>
      <c r="P186" s="256" t="str">
        <f t="shared" si="230"/>
        <v>-</v>
      </c>
      <c r="Q186" s="256" t="str">
        <f t="shared" si="231"/>
        <v>-</v>
      </c>
      <c r="R186" s="256" t="str">
        <f t="shared" si="232"/>
        <v>-</v>
      </c>
      <c r="S186" s="256" t="str">
        <f t="shared" si="233"/>
        <v>-</v>
      </c>
      <c r="T186" s="256" t="str">
        <f t="shared" si="234"/>
        <v>-</v>
      </c>
      <c r="U186" s="256" t="str">
        <f t="shared" si="235"/>
        <v>-</v>
      </c>
      <c r="V186" s="256" t="str">
        <f t="shared" si="236"/>
        <v>-</v>
      </c>
      <c r="W186" s="255"/>
      <c r="X186" s="255"/>
      <c r="Y186" s="255"/>
      <c r="Z186" s="255"/>
      <c r="AA186" s="255"/>
      <c r="AB186" s="255"/>
      <c r="AC186" s="255"/>
      <c r="AD186" s="255"/>
      <c r="AE186" s="255"/>
      <c r="AF186" s="262" t="s">
        <v>415</v>
      </c>
      <c r="AG186" s="263" t="s">
        <v>415</v>
      </c>
      <c r="AH186" s="263" t="s">
        <v>415</v>
      </c>
      <c r="AI186" s="263" t="s">
        <v>415</v>
      </c>
      <c r="AJ186" s="263" t="s">
        <v>415</v>
      </c>
      <c r="AK186" s="263" t="s">
        <v>415</v>
      </c>
      <c r="AL186" s="263" t="s">
        <v>415</v>
      </c>
      <c r="AM186" s="263" t="s">
        <v>415</v>
      </c>
      <c r="AN186" s="263" t="s">
        <v>415</v>
      </c>
      <c r="AO186" s="263" t="s">
        <v>415</v>
      </c>
      <c r="AP186" s="263" t="s">
        <v>415</v>
      </c>
      <c r="AQ186" s="263" t="s">
        <v>415</v>
      </c>
      <c r="AR186" s="263" t="s">
        <v>415</v>
      </c>
      <c r="AS186" s="263" t="s">
        <v>415</v>
      </c>
      <c r="AT186" s="263" t="s">
        <v>415</v>
      </c>
      <c r="AU186" s="263" t="s">
        <v>415</v>
      </c>
      <c r="AV186" s="263" t="s">
        <v>415</v>
      </c>
      <c r="AW186" s="263" t="s">
        <v>415</v>
      </c>
      <c r="AX186" s="263" t="s">
        <v>415</v>
      </c>
      <c r="AY186" s="263" t="s">
        <v>415</v>
      </c>
      <c r="AZ186" s="263" t="s">
        <v>415</v>
      </c>
      <c r="BA186" s="263" t="s">
        <v>415</v>
      </c>
      <c r="BB186" s="263" t="s">
        <v>415</v>
      </c>
      <c r="BC186" s="263" t="s">
        <v>415</v>
      </c>
      <c r="BD186" s="263" t="s">
        <v>415</v>
      </c>
      <c r="BE186" s="263" t="s">
        <v>415</v>
      </c>
      <c r="BF186" s="264" t="s">
        <v>415</v>
      </c>
    </row>
    <row r="187" spans="2:58" hidden="1">
      <c r="B187" s="5" t="s">
        <v>306</v>
      </c>
      <c r="C187" s="5" t="str">
        <f t="shared" ca="1" si="237"/>
        <v>Likutinė vertė</v>
      </c>
      <c r="D187" t="str">
        <f t="shared" si="238"/>
        <v>False</v>
      </c>
      <c r="E187" s="256" t="str">
        <f t="shared" si="219"/>
        <v>-</v>
      </c>
      <c r="F187" s="256" t="str">
        <f t="shared" si="220"/>
        <v>-</v>
      </c>
      <c r="G187" s="256" t="str">
        <f t="shared" si="221"/>
        <v>-</v>
      </c>
      <c r="H187" s="256" t="str">
        <f t="shared" si="222"/>
        <v>-</v>
      </c>
      <c r="I187" s="256" t="str">
        <f t="shared" si="223"/>
        <v>-</v>
      </c>
      <c r="J187" s="256" t="str">
        <f t="shared" si="224"/>
        <v>-</v>
      </c>
      <c r="K187" s="256" t="str">
        <f t="shared" si="225"/>
        <v>-</v>
      </c>
      <c r="L187" s="256" t="str">
        <f t="shared" si="226"/>
        <v>-</v>
      </c>
      <c r="M187" s="256" t="str">
        <f t="shared" si="227"/>
        <v>-</v>
      </c>
      <c r="N187" s="256" t="str">
        <f t="shared" si="228"/>
        <v>-</v>
      </c>
      <c r="O187" s="256" t="str">
        <f t="shared" si="229"/>
        <v>-</v>
      </c>
      <c r="P187" s="256" t="str">
        <f t="shared" si="230"/>
        <v>-</v>
      </c>
      <c r="Q187" s="256" t="str">
        <f t="shared" si="231"/>
        <v>-</v>
      </c>
      <c r="R187" s="256" t="str">
        <f t="shared" si="232"/>
        <v>-</v>
      </c>
      <c r="S187" s="256" t="str">
        <f t="shared" si="233"/>
        <v>-</v>
      </c>
      <c r="T187" s="256" t="str">
        <f t="shared" si="234"/>
        <v>-</v>
      </c>
      <c r="U187" s="256" t="str">
        <f t="shared" si="235"/>
        <v>-</v>
      </c>
      <c r="V187" s="256" t="str">
        <f t="shared" si="236"/>
        <v>-</v>
      </c>
      <c r="W187" s="255"/>
      <c r="X187" s="255"/>
      <c r="Y187" s="255"/>
      <c r="Z187" s="255"/>
      <c r="AA187" s="255"/>
      <c r="AB187" s="255"/>
      <c r="AC187" s="255"/>
      <c r="AD187" s="255"/>
      <c r="AE187" s="255"/>
      <c r="AF187" s="262" t="s">
        <v>415</v>
      </c>
      <c r="AG187" s="263" t="s">
        <v>415</v>
      </c>
      <c r="AH187" s="263" t="s">
        <v>415</v>
      </c>
      <c r="AI187" s="263" t="s">
        <v>415</v>
      </c>
      <c r="AJ187" s="263" t="s">
        <v>415</v>
      </c>
      <c r="AK187" s="263" t="s">
        <v>415</v>
      </c>
      <c r="AL187" s="263" t="s">
        <v>415</v>
      </c>
      <c r="AM187" s="263" t="s">
        <v>415</v>
      </c>
      <c r="AN187" s="263" t="s">
        <v>415</v>
      </c>
      <c r="AO187" s="263" t="s">
        <v>415</v>
      </c>
      <c r="AP187" s="263" t="s">
        <v>415</v>
      </c>
      <c r="AQ187" s="263" t="s">
        <v>415</v>
      </c>
      <c r="AR187" s="263" t="s">
        <v>415</v>
      </c>
      <c r="AS187" s="263" t="s">
        <v>415</v>
      </c>
      <c r="AT187" s="263" t="s">
        <v>415</v>
      </c>
      <c r="AU187" s="263" t="s">
        <v>415</v>
      </c>
      <c r="AV187" s="263" t="s">
        <v>415</v>
      </c>
      <c r="AW187" s="263" t="s">
        <v>415</v>
      </c>
      <c r="AX187" s="263" t="s">
        <v>415</v>
      </c>
      <c r="AY187" s="263" t="s">
        <v>415</v>
      </c>
      <c r="AZ187" s="263" t="s">
        <v>415</v>
      </c>
      <c r="BA187" s="263" t="s">
        <v>415</v>
      </c>
      <c r="BB187" s="263" t="s">
        <v>415</v>
      </c>
      <c r="BC187" s="263" t="s">
        <v>415</v>
      </c>
      <c r="BD187" s="263" t="s">
        <v>415</v>
      </c>
      <c r="BE187" s="263" t="s">
        <v>415</v>
      </c>
      <c r="BF187" s="264" t="s">
        <v>415</v>
      </c>
    </row>
    <row r="188" spans="2:58" hidden="1">
      <c r="B188" s="5" t="s">
        <v>307</v>
      </c>
      <c r="C188" s="5" t="str">
        <f t="shared" ca="1" si="237"/>
        <v>Veikla</v>
      </c>
      <c r="D188" t="str">
        <f t="shared" si="238"/>
        <v>False</v>
      </c>
      <c r="E188" s="256" t="str">
        <f t="shared" si="219"/>
        <v>-</v>
      </c>
      <c r="F188" s="256" t="str">
        <f t="shared" si="220"/>
        <v>-</v>
      </c>
      <c r="G188" s="256" t="str">
        <f t="shared" si="221"/>
        <v>-</v>
      </c>
      <c r="H188" s="256" t="str">
        <f t="shared" si="222"/>
        <v>-</v>
      </c>
      <c r="I188" s="256" t="str">
        <f t="shared" si="223"/>
        <v>-</v>
      </c>
      <c r="J188" s="256" t="str">
        <f t="shared" si="224"/>
        <v>-</v>
      </c>
      <c r="K188" s="256" t="str">
        <f t="shared" si="225"/>
        <v>-</v>
      </c>
      <c r="L188" s="256" t="str">
        <f t="shared" si="226"/>
        <v>-</v>
      </c>
      <c r="M188" s="256" t="str">
        <f t="shared" si="227"/>
        <v>-</v>
      </c>
      <c r="N188" s="256" t="str">
        <f t="shared" si="228"/>
        <v>-</v>
      </c>
      <c r="O188" s="256" t="str">
        <f t="shared" si="229"/>
        <v>-</v>
      </c>
      <c r="P188" s="256" t="str">
        <f t="shared" si="230"/>
        <v>-</v>
      </c>
      <c r="Q188" s="256" t="str">
        <f t="shared" si="231"/>
        <v>-</v>
      </c>
      <c r="R188" s="256" t="str">
        <f t="shared" si="232"/>
        <v>-</v>
      </c>
      <c r="S188" s="256" t="str">
        <f t="shared" si="233"/>
        <v>-</v>
      </c>
      <c r="T188" s="256" t="str">
        <f t="shared" si="234"/>
        <v>-</v>
      </c>
      <c r="U188" s="256" t="str">
        <f t="shared" si="235"/>
        <v>-</v>
      </c>
      <c r="V188" s="256" t="str">
        <f t="shared" si="236"/>
        <v>-</v>
      </c>
      <c r="W188" s="255"/>
      <c r="X188" s="255"/>
      <c r="Y188" s="255"/>
      <c r="Z188" s="255"/>
      <c r="AA188" s="255"/>
      <c r="AB188" s="255"/>
      <c r="AC188" s="255"/>
      <c r="AD188" s="255"/>
      <c r="AE188" s="255"/>
      <c r="AF188" s="262" t="s">
        <v>415</v>
      </c>
      <c r="AG188" s="263" t="s">
        <v>415</v>
      </c>
      <c r="AH188" s="263" t="s">
        <v>415</v>
      </c>
      <c r="AI188" s="263" t="s">
        <v>415</v>
      </c>
      <c r="AJ188" s="263" t="s">
        <v>415</v>
      </c>
      <c r="AK188" s="263" t="s">
        <v>415</v>
      </c>
      <c r="AL188" s="263" t="s">
        <v>415</v>
      </c>
      <c r="AM188" s="263" t="s">
        <v>415</v>
      </c>
      <c r="AN188" s="263" t="s">
        <v>415</v>
      </c>
      <c r="AO188" s="263" t="s">
        <v>415</v>
      </c>
      <c r="AP188" s="263" t="s">
        <v>415</v>
      </c>
      <c r="AQ188" s="263" t="s">
        <v>415</v>
      </c>
      <c r="AR188" s="263" t="s">
        <v>415</v>
      </c>
      <c r="AS188" s="263" t="s">
        <v>415</v>
      </c>
      <c r="AT188" s="263" t="s">
        <v>415</v>
      </c>
      <c r="AU188" s="263" t="s">
        <v>415</v>
      </c>
      <c r="AV188" s="263" t="s">
        <v>415</v>
      </c>
      <c r="AW188" s="263" t="s">
        <v>415</v>
      </c>
      <c r="AX188" s="263" t="s">
        <v>415</v>
      </c>
      <c r="AY188" s="263" t="s">
        <v>415</v>
      </c>
      <c r="AZ188" s="263" t="s">
        <v>415</v>
      </c>
      <c r="BA188" s="263" t="s">
        <v>415</v>
      </c>
      <c r="BB188" s="263" t="s">
        <v>415</v>
      </c>
      <c r="BC188" s="263" t="s">
        <v>415</v>
      </c>
      <c r="BD188" s="263" t="s">
        <v>415</v>
      </c>
      <c r="BE188" s="263" t="s">
        <v>415</v>
      </c>
      <c r="BF188" s="264" t="s">
        <v>415</v>
      </c>
    </row>
    <row r="189" spans="2:58" hidden="1">
      <c r="B189" s="5" t="s">
        <v>308</v>
      </c>
      <c r="C189" s="5" t="str">
        <f t="shared" ca="1" si="237"/>
        <v>Veikla</v>
      </c>
      <c r="D189" t="str">
        <f t="shared" si="238"/>
        <v>False</v>
      </c>
      <c r="E189" s="256" t="str">
        <f t="shared" si="219"/>
        <v>-</v>
      </c>
      <c r="F189" s="256" t="str">
        <f t="shared" si="220"/>
        <v>-</v>
      </c>
      <c r="G189" s="256" t="str">
        <f t="shared" si="221"/>
        <v>-</v>
      </c>
      <c r="H189" s="256" t="str">
        <f t="shared" si="222"/>
        <v>-</v>
      </c>
      <c r="I189" s="256" t="str">
        <f t="shared" si="223"/>
        <v>-</v>
      </c>
      <c r="J189" s="256" t="str">
        <f t="shared" si="224"/>
        <v>-</v>
      </c>
      <c r="K189" s="256" t="str">
        <f t="shared" si="225"/>
        <v>-</v>
      </c>
      <c r="L189" s="256" t="str">
        <f t="shared" si="226"/>
        <v>-</v>
      </c>
      <c r="M189" s="256" t="str">
        <f t="shared" si="227"/>
        <v>-</v>
      </c>
      <c r="N189" s="256" t="str">
        <f t="shared" si="228"/>
        <v>-</v>
      </c>
      <c r="O189" s="256" t="str">
        <f t="shared" si="229"/>
        <v>-</v>
      </c>
      <c r="P189" s="256" t="str">
        <f t="shared" si="230"/>
        <v>-</v>
      </c>
      <c r="Q189" s="256" t="str">
        <f t="shared" si="231"/>
        <v>-</v>
      </c>
      <c r="R189" s="256" t="str">
        <f t="shared" si="232"/>
        <v>-</v>
      </c>
      <c r="S189" s="256" t="str">
        <f t="shared" si="233"/>
        <v>-</v>
      </c>
      <c r="T189" s="256" t="str">
        <f t="shared" si="234"/>
        <v>-</v>
      </c>
      <c r="U189" s="256" t="str">
        <f t="shared" si="235"/>
        <v>-</v>
      </c>
      <c r="V189" s="256" t="str">
        <f t="shared" si="236"/>
        <v>-</v>
      </c>
      <c r="W189" s="255"/>
      <c r="X189" s="255"/>
      <c r="Y189" s="255"/>
      <c r="Z189" s="255"/>
      <c r="AA189" s="255"/>
      <c r="AB189" s="255"/>
      <c r="AC189" s="255"/>
      <c r="AD189" s="255"/>
      <c r="AE189" s="255"/>
      <c r="AF189" s="262" t="s">
        <v>415</v>
      </c>
      <c r="AG189" s="263" t="s">
        <v>415</v>
      </c>
      <c r="AH189" s="263" t="s">
        <v>415</v>
      </c>
      <c r="AI189" s="263" t="s">
        <v>415</v>
      </c>
      <c r="AJ189" s="263" t="s">
        <v>415</v>
      </c>
      <c r="AK189" s="263" t="s">
        <v>415</v>
      </c>
      <c r="AL189" s="263" t="s">
        <v>415</v>
      </c>
      <c r="AM189" s="263" t="s">
        <v>415</v>
      </c>
      <c r="AN189" s="263" t="s">
        <v>415</v>
      </c>
      <c r="AO189" s="263" t="s">
        <v>415</v>
      </c>
      <c r="AP189" s="263" t="s">
        <v>415</v>
      </c>
      <c r="AQ189" s="263" t="s">
        <v>415</v>
      </c>
      <c r="AR189" s="263" t="s">
        <v>415</v>
      </c>
      <c r="AS189" s="263" t="s">
        <v>415</v>
      </c>
      <c r="AT189" s="263" t="s">
        <v>415</v>
      </c>
      <c r="AU189" s="263" t="s">
        <v>415</v>
      </c>
      <c r="AV189" s="263" t="s">
        <v>415</v>
      </c>
      <c r="AW189" s="263" t="s">
        <v>415</v>
      </c>
      <c r="AX189" s="263" t="s">
        <v>415</v>
      </c>
      <c r="AY189" s="263" t="s">
        <v>415</v>
      </c>
      <c r="AZ189" s="263" t="s">
        <v>415</v>
      </c>
      <c r="BA189" s="263" t="s">
        <v>415</v>
      </c>
      <c r="BB189" s="263" t="s">
        <v>415</v>
      </c>
      <c r="BC189" s="263" t="s">
        <v>415</v>
      </c>
      <c r="BD189" s="263" t="s">
        <v>415</v>
      </c>
      <c r="BE189" s="263" t="s">
        <v>415</v>
      </c>
      <c r="BF189" s="264" t="s">
        <v>415</v>
      </c>
    </row>
    <row r="190" spans="2:58" hidden="1">
      <c r="B190" s="5" t="s">
        <v>309</v>
      </c>
      <c r="C190" s="5" t="str">
        <f t="shared" ca="1" si="237"/>
        <v>Veikla</v>
      </c>
      <c r="D190" t="str">
        <f t="shared" si="238"/>
        <v>False</v>
      </c>
      <c r="E190" s="256" t="str">
        <f t="shared" si="219"/>
        <v>-</v>
      </c>
      <c r="F190" s="256" t="str">
        <f t="shared" si="220"/>
        <v>-</v>
      </c>
      <c r="G190" s="256" t="str">
        <f t="shared" si="221"/>
        <v>-</v>
      </c>
      <c r="H190" s="256" t="str">
        <f t="shared" si="222"/>
        <v>-</v>
      </c>
      <c r="I190" s="256" t="str">
        <f t="shared" si="223"/>
        <v>-</v>
      </c>
      <c r="J190" s="256" t="str">
        <f t="shared" si="224"/>
        <v>-</v>
      </c>
      <c r="K190" s="256" t="str">
        <f t="shared" si="225"/>
        <v>-</v>
      </c>
      <c r="L190" s="256" t="str">
        <f t="shared" si="226"/>
        <v>-</v>
      </c>
      <c r="M190" s="256" t="str">
        <f t="shared" si="227"/>
        <v>-</v>
      </c>
      <c r="N190" s="256" t="str">
        <f t="shared" si="228"/>
        <v>-</v>
      </c>
      <c r="O190" s="256" t="str">
        <f t="shared" si="229"/>
        <v>-</v>
      </c>
      <c r="P190" s="256" t="str">
        <f t="shared" si="230"/>
        <v>-</v>
      </c>
      <c r="Q190" s="256" t="str">
        <f t="shared" si="231"/>
        <v>-</v>
      </c>
      <c r="R190" s="256" t="str">
        <f t="shared" si="232"/>
        <v>-</v>
      </c>
      <c r="S190" s="256" t="str">
        <f t="shared" si="233"/>
        <v>-</v>
      </c>
      <c r="T190" s="256" t="str">
        <f t="shared" si="234"/>
        <v>-</v>
      </c>
      <c r="U190" s="256" t="str">
        <f t="shared" si="235"/>
        <v>-</v>
      </c>
      <c r="V190" s="256" t="str">
        <f t="shared" si="236"/>
        <v>-</v>
      </c>
      <c r="W190" s="255"/>
      <c r="X190" s="255"/>
      <c r="Y190" s="255"/>
      <c r="Z190" s="255"/>
      <c r="AA190" s="255"/>
      <c r="AB190" s="255"/>
      <c r="AC190" s="255"/>
      <c r="AD190" s="255"/>
      <c r="AE190" s="255"/>
      <c r="AF190" s="262" t="s">
        <v>415</v>
      </c>
      <c r="AG190" s="263" t="s">
        <v>415</v>
      </c>
      <c r="AH190" s="263" t="s">
        <v>415</v>
      </c>
      <c r="AI190" s="263" t="s">
        <v>415</v>
      </c>
      <c r="AJ190" s="263" t="s">
        <v>415</v>
      </c>
      <c r="AK190" s="263" t="s">
        <v>415</v>
      </c>
      <c r="AL190" s="263" t="s">
        <v>415</v>
      </c>
      <c r="AM190" s="263" t="s">
        <v>415</v>
      </c>
      <c r="AN190" s="263" t="s">
        <v>415</v>
      </c>
      <c r="AO190" s="263" t="s">
        <v>415</v>
      </c>
      <c r="AP190" s="263" t="s">
        <v>415</v>
      </c>
      <c r="AQ190" s="263" t="s">
        <v>415</v>
      </c>
      <c r="AR190" s="263" t="s">
        <v>415</v>
      </c>
      <c r="AS190" s="263" t="s">
        <v>415</v>
      </c>
      <c r="AT190" s="263" t="s">
        <v>415</v>
      </c>
      <c r="AU190" s="263" t="s">
        <v>415</v>
      </c>
      <c r="AV190" s="263" t="s">
        <v>415</v>
      </c>
      <c r="AW190" s="263" t="s">
        <v>415</v>
      </c>
      <c r="AX190" s="263" t="s">
        <v>415</v>
      </c>
      <c r="AY190" s="263" t="s">
        <v>415</v>
      </c>
      <c r="AZ190" s="263" t="s">
        <v>415</v>
      </c>
      <c r="BA190" s="263" t="s">
        <v>415</v>
      </c>
      <c r="BB190" s="263" t="s">
        <v>415</v>
      </c>
      <c r="BC190" s="263" t="s">
        <v>415</v>
      </c>
      <c r="BD190" s="263" t="s">
        <v>415</v>
      </c>
      <c r="BE190" s="263" t="s">
        <v>415</v>
      </c>
      <c r="BF190" s="264" t="s">
        <v>415</v>
      </c>
    </row>
    <row r="191" spans="2:58" hidden="1">
      <c r="B191" s="5" t="s">
        <v>310</v>
      </c>
      <c r="C191" s="5" t="str">
        <f t="shared" ca="1" si="237"/>
        <v>Veikla</v>
      </c>
      <c r="D191" t="str">
        <f t="shared" si="238"/>
        <v>False</v>
      </c>
      <c r="E191" s="256" t="str">
        <f t="shared" si="219"/>
        <v>-</v>
      </c>
      <c r="F191" s="256" t="str">
        <f t="shared" si="220"/>
        <v>-</v>
      </c>
      <c r="G191" s="256" t="str">
        <f t="shared" si="221"/>
        <v>-</v>
      </c>
      <c r="H191" s="256" t="str">
        <f t="shared" si="222"/>
        <v>-</v>
      </c>
      <c r="I191" s="256" t="str">
        <f t="shared" si="223"/>
        <v>-</v>
      </c>
      <c r="J191" s="256" t="str">
        <f t="shared" si="224"/>
        <v>-</v>
      </c>
      <c r="K191" s="256" t="str">
        <f t="shared" si="225"/>
        <v>-</v>
      </c>
      <c r="L191" s="256" t="str">
        <f t="shared" si="226"/>
        <v>-</v>
      </c>
      <c r="M191" s="256" t="str">
        <f t="shared" si="227"/>
        <v>-</v>
      </c>
      <c r="N191" s="256" t="str">
        <f t="shared" si="228"/>
        <v>-</v>
      </c>
      <c r="O191" s="256" t="str">
        <f t="shared" si="229"/>
        <v>-</v>
      </c>
      <c r="P191" s="256" t="str">
        <f t="shared" si="230"/>
        <v>-</v>
      </c>
      <c r="Q191" s="256" t="str">
        <f t="shared" si="231"/>
        <v>-</v>
      </c>
      <c r="R191" s="256" t="str">
        <f t="shared" si="232"/>
        <v>-</v>
      </c>
      <c r="S191" s="256" t="str">
        <f t="shared" si="233"/>
        <v>-</v>
      </c>
      <c r="T191" s="256" t="str">
        <f t="shared" si="234"/>
        <v>-</v>
      </c>
      <c r="U191" s="256" t="str">
        <f t="shared" si="235"/>
        <v>-</v>
      </c>
      <c r="V191" s="256" t="str">
        <f t="shared" si="236"/>
        <v>-</v>
      </c>
      <c r="W191" s="255"/>
      <c r="X191" s="255"/>
      <c r="Y191" s="255"/>
      <c r="Z191" s="255"/>
      <c r="AA191" s="255"/>
      <c r="AB191" s="255"/>
      <c r="AC191" s="255"/>
      <c r="AD191" s="255"/>
      <c r="AE191" s="255"/>
      <c r="AF191" s="262" t="s">
        <v>415</v>
      </c>
      <c r="AG191" s="263" t="s">
        <v>415</v>
      </c>
      <c r="AH191" s="263" t="s">
        <v>415</v>
      </c>
      <c r="AI191" s="263" t="s">
        <v>415</v>
      </c>
      <c r="AJ191" s="263" t="s">
        <v>415</v>
      </c>
      <c r="AK191" s="263" t="s">
        <v>415</v>
      </c>
      <c r="AL191" s="263" t="s">
        <v>415</v>
      </c>
      <c r="AM191" s="263" t="s">
        <v>415</v>
      </c>
      <c r="AN191" s="263" t="s">
        <v>415</v>
      </c>
      <c r="AO191" s="263" t="s">
        <v>415</v>
      </c>
      <c r="AP191" s="263" t="s">
        <v>415</v>
      </c>
      <c r="AQ191" s="263" t="s">
        <v>415</v>
      </c>
      <c r="AR191" s="263" t="s">
        <v>415</v>
      </c>
      <c r="AS191" s="263" t="s">
        <v>415</v>
      </c>
      <c r="AT191" s="263" t="s">
        <v>415</v>
      </c>
      <c r="AU191" s="263" t="s">
        <v>415</v>
      </c>
      <c r="AV191" s="263" t="s">
        <v>415</v>
      </c>
      <c r="AW191" s="263" t="s">
        <v>415</v>
      </c>
      <c r="AX191" s="263" t="s">
        <v>415</v>
      </c>
      <c r="AY191" s="263" t="s">
        <v>415</v>
      </c>
      <c r="AZ191" s="263" t="s">
        <v>415</v>
      </c>
      <c r="BA191" s="263" t="s">
        <v>415</v>
      </c>
      <c r="BB191" s="263" t="s">
        <v>415</v>
      </c>
      <c r="BC191" s="263" t="s">
        <v>415</v>
      </c>
      <c r="BD191" s="263" t="s">
        <v>415</v>
      </c>
      <c r="BE191" s="263" t="s">
        <v>415</v>
      </c>
      <c r="BF191" s="264" t="s">
        <v>415</v>
      </c>
    </row>
    <row r="192" spans="2:58" hidden="1">
      <c r="B192" s="5" t="s">
        <v>311</v>
      </c>
      <c r="C192" s="5" t="str">
        <f t="shared" ca="1" si="237"/>
        <v>Veikla</v>
      </c>
      <c r="D192" t="str">
        <f t="shared" si="238"/>
        <v>False</v>
      </c>
      <c r="E192" s="256" t="str">
        <f t="shared" si="219"/>
        <v>-</v>
      </c>
      <c r="F192" s="256" t="str">
        <f t="shared" si="220"/>
        <v>-</v>
      </c>
      <c r="G192" s="256" t="str">
        <f t="shared" si="221"/>
        <v>-</v>
      </c>
      <c r="H192" s="256" t="str">
        <f t="shared" si="222"/>
        <v>-</v>
      </c>
      <c r="I192" s="256" t="str">
        <f t="shared" si="223"/>
        <v>-</v>
      </c>
      <c r="J192" s="256" t="str">
        <f t="shared" si="224"/>
        <v>-</v>
      </c>
      <c r="K192" s="256" t="str">
        <f t="shared" si="225"/>
        <v>-</v>
      </c>
      <c r="L192" s="256" t="str">
        <f t="shared" si="226"/>
        <v>-</v>
      </c>
      <c r="M192" s="256" t="str">
        <f t="shared" si="227"/>
        <v>-</v>
      </c>
      <c r="N192" s="256" t="str">
        <f t="shared" si="228"/>
        <v>-</v>
      </c>
      <c r="O192" s="256" t="str">
        <f t="shared" si="229"/>
        <v>-</v>
      </c>
      <c r="P192" s="256" t="str">
        <f t="shared" si="230"/>
        <v>-</v>
      </c>
      <c r="Q192" s="256" t="str">
        <f t="shared" si="231"/>
        <v>-</v>
      </c>
      <c r="R192" s="256" t="str">
        <f t="shared" si="232"/>
        <v>-</v>
      </c>
      <c r="S192" s="256" t="str">
        <f t="shared" si="233"/>
        <v>-</v>
      </c>
      <c r="T192" s="256" t="str">
        <f t="shared" si="234"/>
        <v>-</v>
      </c>
      <c r="U192" s="256" t="str">
        <f t="shared" si="235"/>
        <v>-</v>
      </c>
      <c r="V192" s="256" t="str">
        <f t="shared" si="236"/>
        <v>-</v>
      </c>
      <c r="W192" s="255"/>
      <c r="X192" s="255"/>
      <c r="Y192" s="255"/>
      <c r="Z192" s="255"/>
      <c r="AA192" s="255"/>
      <c r="AB192" s="255"/>
      <c r="AC192" s="255"/>
      <c r="AD192" s="255"/>
      <c r="AE192" s="255"/>
      <c r="AF192" s="262" t="s">
        <v>415</v>
      </c>
      <c r="AG192" s="263" t="s">
        <v>415</v>
      </c>
      <c r="AH192" s="263" t="s">
        <v>415</v>
      </c>
      <c r="AI192" s="263" t="s">
        <v>415</v>
      </c>
      <c r="AJ192" s="263" t="s">
        <v>415</v>
      </c>
      <c r="AK192" s="263" t="s">
        <v>415</v>
      </c>
      <c r="AL192" s="263" t="s">
        <v>415</v>
      </c>
      <c r="AM192" s="263" t="s">
        <v>415</v>
      </c>
      <c r="AN192" s="263" t="s">
        <v>415</v>
      </c>
      <c r="AO192" s="263" t="s">
        <v>415</v>
      </c>
      <c r="AP192" s="263" t="s">
        <v>415</v>
      </c>
      <c r="AQ192" s="263" t="s">
        <v>415</v>
      </c>
      <c r="AR192" s="263" t="s">
        <v>415</v>
      </c>
      <c r="AS192" s="263" t="s">
        <v>415</v>
      </c>
      <c r="AT192" s="263" t="s">
        <v>415</v>
      </c>
      <c r="AU192" s="263" t="s">
        <v>415</v>
      </c>
      <c r="AV192" s="263" t="s">
        <v>415</v>
      </c>
      <c r="AW192" s="263" t="s">
        <v>415</v>
      </c>
      <c r="AX192" s="263" t="s">
        <v>415</v>
      </c>
      <c r="AY192" s="263" t="s">
        <v>415</v>
      </c>
      <c r="AZ192" s="263" t="s">
        <v>415</v>
      </c>
      <c r="BA192" s="263" t="s">
        <v>415</v>
      </c>
      <c r="BB192" s="263" t="s">
        <v>415</v>
      </c>
      <c r="BC192" s="263" t="s">
        <v>415</v>
      </c>
      <c r="BD192" s="263" t="s">
        <v>415</v>
      </c>
      <c r="BE192" s="263" t="s">
        <v>415</v>
      </c>
      <c r="BF192" s="264" t="s">
        <v>415</v>
      </c>
    </row>
    <row r="193" spans="2:58" hidden="1">
      <c r="B193" s="5" t="s">
        <v>312</v>
      </c>
      <c r="C193" s="5" t="str">
        <f t="shared" ca="1" si="237"/>
        <v>Veikla</v>
      </c>
      <c r="D193" t="str">
        <f t="shared" si="238"/>
        <v>False</v>
      </c>
      <c r="E193" s="256" t="str">
        <f t="shared" si="219"/>
        <v>-</v>
      </c>
      <c r="F193" s="256" t="str">
        <f t="shared" si="220"/>
        <v>-</v>
      </c>
      <c r="G193" s="256" t="str">
        <f t="shared" si="221"/>
        <v>-</v>
      </c>
      <c r="H193" s="256" t="str">
        <f t="shared" si="222"/>
        <v>-</v>
      </c>
      <c r="I193" s="256" t="str">
        <f t="shared" si="223"/>
        <v>-</v>
      </c>
      <c r="J193" s="256" t="str">
        <f t="shared" si="224"/>
        <v>-</v>
      </c>
      <c r="K193" s="256" t="str">
        <f t="shared" si="225"/>
        <v>-</v>
      </c>
      <c r="L193" s="256" t="str">
        <f t="shared" si="226"/>
        <v>-</v>
      </c>
      <c r="M193" s="256" t="str">
        <f t="shared" si="227"/>
        <v>-</v>
      </c>
      <c r="N193" s="256" t="str">
        <f t="shared" si="228"/>
        <v>-</v>
      </c>
      <c r="O193" s="256" t="str">
        <f t="shared" si="229"/>
        <v>-</v>
      </c>
      <c r="P193" s="256" t="str">
        <f t="shared" si="230"/>
        <v>-</v>
      </c>
      <c r="Q193" s="256" t="str">
        <f t="shared" si="231"/>
        <v>-</v>
      </c>
      <c r="R193" s="256" t="str">
        <f t="shared" si="232"/>
        <v>-</v>
      </c>
      <c r="S193" s="256" t="str">
        <f t="shared" si="233"/>
        <v>-</v>
      </c>
      <c r="T193" s="256" t="str">
        <f t="shared" si="234"/>
        <v>-</v>
      </c>
      <c r="U193" s="256" t="str">
        <f t="shared" si="235"/>
        <v>-</v>
      </c>
      <c r="V193" s="256" t="str">
        <f t="shared" si="236"/>
        <v>-</v>
      </c>
      <c r="W193" s="255"/>
      <c r="X193" s="255"/>
      <c r="Y193" s="255"/>
      <c r="Z193" s="255"/>
      <c r="AA193" s="255"/>
      <c r="AB193" s="255"/>
      <c r="AC193" s="255"/>
      <c r="AD193" s="255"/>
      <c r="AE193" s="255"/>
      <c r="AF193" s="262" t="s">
        <v>415</v>
      </c>
      <c r="AG193" s="263" t="s">
        <v>415</v>
      </c>
      <c r="AH193" s="263" t="s">
        <v>415</v>
      </c>
      <c r="AI193" s="263" t="s">
        <v>415</v>
      </c>
      <c r="AJ193" s="263" t="s">
        <v>415</v>
      </c>
      <c r="AK193" s="263" t="s">
        <v>415</v>
      </c>
      <c r="AL193" s="263" t="s">
        <v>415</v>
      </c>
      <c r="AM193" s="263" t="s">
        <v>415</v>
      </c>
      <c r="AN193" s="263" t="s">
        <v>415</v>
      </c>
      <c r="AO193" s="263" t="s">
        <v>415</v>
      </c>
      <c r="AP193" s="263" t="s">
        <v>415</v>
      </c>
      <c r="AQ193" s="263" t="s">
        <v>415</v>
      </c>
      <c r="AR193" s="263" t="s">
        <v>415</v>
      </c>
      <c r="AS193" s="263" t="s">
        <v>415</v>
      </c>
      <c r="AT193" s="263" t="s">
        <v>415</v>
      </c>
      <c r="AU193" s="263" t="s">
        <v>415</v>
      </c>
      <c r="AV193" s="263" t="s">
        <v>415</v>
      </c>
      <c r="AW193" s="263" t="s">
        <v>415</v>
      </c>
      <c r="AX193" s="263" t="s">
        <v>415</v>
      </c>
      <c r="AY193" s="263" t="s">
        <v>415</v>
      </c>
      <c r="AZ193" s="263" t="s">
        <v>415</v>
      </c>
      <c r="BA193" s="263" t="s">
        <v>415</v>
      </c>
      <c r="BB193" s="263" t="s">
        <v>415</v>
      </c>
      <c r="BC193" s="263" t="s">
        <v>415</v>
      </c>
      <c r="BD193" s="263" t="s">
        <v>415</v>
      </c>
      <c r="BE193" s="263" t="s">
        <v>415</v>
      </c>
      <c r="BF193" s="264" t="s">
        <v>415</v>
      </c>
    </row>
    <row r="194" spans="2:58" hidden="1">
      <c r="B194" s="5" t="s">
        <v>313</v>
      </c>
      <c r="C194" s="5" t="str">
        <f t="shared" ca="1" si="237"/>
        <v>Veikla</v>
      </c>
      <c r="D194" t="str">
        <f t="shared" si="238"/>
        <v>False</v>
      </c>
      <c r="E194" s="256" t="str">
        <f t="shared" si="219"/>
        <v>-</v>
      </c>
      <c r="F194" s="256" t="str">
        <f t="shared" si="220"/>
        <v>-</v>
      </c>
      <c r="G194" s="256" t="str">
        <f t="shared" si="221"/>
        <v>-</v>
      </c>
      <c r="H194" s="256" t="str">
        <f t="shared" si="222"/>
        <v>-</v>
      </c>
      <c r="I194" s="256" t="str">
        <f t="shared" si="223"/>
        <v>-</v>
      </c>
      <c r="J194" s="256" t="str">
        <f t="shared" si="224"/>
        <v>-</v>
      </c>
      <c r="K194" s="256" t="str">
        <f t="shared" si="225"/>
        <v>-</v>
      </c>
      <c r="L194" s="256" t="str">
        <f t="shared" si="226"/>
        <v>-</v>
      </c>
      <c r="M194" s="256" t="str">
        <f t="shared" si="227"/>
        <v>-</v>
      </c>
      <c r="N194" s="256" t="str">
        <f t="shared" si="228"/>
        <v>-</v>
      </c>
      <c r="O194" s="256" t="str">
        <f t="shared" si="229"/>
        <v>-</v>
      </c>
      <c r="P194" s="256" t="str">
        <f t="shared" si="230"/>
        <v>-</v>
      </c>
      <c r="Q194" s="256" t="str">
        <f t="shared" si="231"/>
        <v>-</v>
      </c>
      <c r="R194" s="256" t="str">
        <f t="shared" si="232"/>
        <v>-</v>
      </c>
      <c r="S194" s="256" t="str">
        <f t="shared" si="233"/>
        <v>-</v>
      </c>
      <c r="T194" s="256" t="str">
        <f t="shared" si="234"/>
        <v>-</v>
      </c>
      <c r="U194" s="256" t="str">
        <f t="shared" si="235"/>
        <v>-</v>
      </c>
      <c r="V194" s="256" t="str">
        <f t="shared" si="236"/>
        <v>-</v>
      </c>
      <c r="W194" s="255"/>
      <c r="X194" s="255"/>
      <c r="Y194" s="255"/>
      <c r="Z194" s="255"/>
      <c r="AA194" s="255"/>
      <c r="AB194" s="255"/>
      <c r="AC194" s="255"/>
      <c r="AD194" s="255"/>
      <c r="AE194" s="255"/>
      <c r="AF194" s="262" t="s">
        <v>415</v>
      </c>
      <c r="AG194" s="263" t="s">
        <v>415</v>
      </c>
      <c r="AH194" s="263" t="s">
        <v>415</v>
      </c>
      <c r="AI194" s="263" t="s">
        <v>415</v>
      </c>
      <c r="AJ194" s="263" t="s">
        <v>415</v>
      </c>
      <c r="AK194" s="263" t="s">
        <v>415</v>
      </c>
      <c r="AL194" s="263" t="s">
        <v>415</v>
      </c>
      <c r="AM194" s="263" t="s">
        <v>415</v>
      </c>
      <c r="AN194" s="263" t="s">
        <v>415</v>
      </c>
      <c r="AO194" s="263" t="s">
        <v>415</v>
      </c>
      <c r="AP194" s="263" t="s">
        <v>415</v>
      </c>
      <c r="AQ194" s="263" t="s">
        <v>415</v>
      </c>
      <c r="AR194" s="263" t="s">
        <v>415</v>
      </c>
      <c r="AS194" s="263" t="s">
        <v>415</v>
      </c>
      <c r="AT194" s="263" t="s">
        <v>415</v>
      </c>
      <c r="AU194" s="263" t="s">
        <v>415</v>
      </c>
      <c r="AV194" s="263" t="s">
        <v>415</v>
      </c>
      <c r="AW194" s="263" t="s">
        <v>415</v>
      </c>
      <c r="AX194" s="263" t="s">
        <v>415</v>
      </c>
      <c r="AY194" s="263" t="s">
        <v>415</v>
      </c>
      <c r="AZ194" s="263" t="s">
        <v>415</v>
      </c>
      <c r="BA194" s="263" t="s">
        <v>415</v>
      </c>
      <c r="BB194" s="263" t="s">
        <v>415</v>
      </c>
      <c r="BC194" s="263" t="s">
        <v>415</v>
      </c>
      <c r="BD194" s="263" t="s">
        <v>415</v>
      </c>
      <c r="BE194" s="263" t="s">
        <v>415</v>
      </c>
      <c r="BF194" s="264" t="s">
        <v>415</v>
      </c>
    </row>
    <row r="195" spans="2:58" hidden="1">
      <c r="B195" s="5" t="s">
        <v>314</v>
      </c>
      <c r="C195" s="5" t="str">
        <f t="shared" ca="1" si="237"/>
        <v>Veikla</v>
      </c>
      <c r="D195" t="str">
        <f t="shared" si="238"/>
        <v>False</v>
      </c>
      <c r="E195" s="256" t="str">
        <f t="shared" si="219"/>
        <v>-</v>
      </c>
      <c r="F195" s="256" t="str">
        <f t="shared" si="220"/>
        <v>-</v>
      </c>
      <c r="G195" s="256" t="str">
        <f t="shared" si="221"/>
        <v>-</v>
      </c>
      <c r="H195" s="256" t="str">
        <f t="shared" si="222"/>
        <v>-</v>
      </c>
      <c r="I195" s="256" t="str">
        <f t="shared" si="223"/>
        <v>-</v>
      </c>
      <c r="J195" s="256" t="str">
        <f t="shared" si="224"/>
        <v>-</v>
      </c>
      <c r="K195" s="256" t="str">
        <f t="shared" si="225"/>
        <v>-</v>
      </c>
      <c r="L195" s="256" t="str">
        <f t="shared" si="226"/>
        <v>-</v>
      </c>
      <c r="M195" s="256" t="str">
        <f t="shared" si="227"/>
        <v>-</v>
      </c>
      <c r="N195" s="256" t="str">
        <f t="shared" si="228"/>
        <v>-</v>
      </c>
      <c r="O195" s="256" t="str">
        <f t="shared" si="229"/>
        <v>-</v>
      </c>
      <c r="P195" s="256" t="str">
        <f t="shared" si="230"/>
        <v>-</v>
      </c>
      <c r="Q195" s="256" t="str">
        <f t="shared" si="231"/>
        <v>-</v>
      </c>
      <c r="R195" s="256" t="str">
        <f t="shared" si="232"/>
        <v>-</v>
      </c>
      <c r="S195" s="256" t="str">
        <f t="shared" si="233"/>
        <v>-</v>
      </c>
      <c r="T195" s="256" t="str">
        <f t="shared" si="234"/>
        <v>-</v>
      </c>
      <c r="U195" s="256" t="str">
        <f t="shared" si="235"/>
        <v>-</v>
      </c>
      <c r="V195" s="256" t="str">
        <f t="shared" si="236"/>
        <v>-</v>
      </c>
      <c r="W195" s="255"/>
      <c r="X195" s="255"/>
      <c r="Y195" s="255"/>
      <c r="Z195" s="255"/>
      <c r="AA195" s="255"/>
      <c r="AB195" s="255"/>
      <c r="AC195" s="255"/>
      <c r="AD195" s="255"/>
      <c r="AE195" s="255"/>
      <c r="AF195" s="262" t="s">
        <v>415</v>
      </c>
      <c r="AG195" s="263" t="s">
        <v>415</v>
      </c>
      <c r="AH195" s="263" t="s">
        <v>415</v>
      </c>
      <c r="AI195" s="263" t="s">
        <v>415</v>
      </c>
      <c r="AJ195" s="263" t="s">
        <v>415</v>
      </c>
      <c r="AK195" s="263" t="s">
        <v>415</v>
      </c>
      <c r="AL195" s="263" t="s">
        <v>415</v>
      </c>
      <c r="AM195" s="263" t="s">
        <v>415</v>
      </c>
      <c r="AN195" s="263" t="s">
        <v>415</v>
      </c>
      <c r="AO195" s="263" t="s">
        <v>415</v>
      </c>
      <c r="AP195" s="263" t="s">
        <v>415</v>
      </c>
      <c r="AQ195" s="263" t="s">
        <v>415</v>
      </c>
      <c r="AR195" s="263" t="s">
        <v>415</v>
      </c>
      <c r="AS195" s="263" t="s">
        <v>415</v>
      </c>
      <c r="AT195" s="263" t="s">
        <v>415</v>
      </c>
      <c r="AU195" s="263" t="s">
        <v>415</v>
      </c>
      <c r="AV195" s="263" t="s">
        <v>415</v>
      </c>
      <c r="AW195" s="263" t="s">
        <v>415</v>
      </c>
      <c r="AX195" s="263" t="s">
        <v>415</v>
      </c>
      <c r="AY195" s="263" t="s">
        <v>415</v>
      </c>
      <c r="AZ195" s="263" t="s">
        <v>415</v>
      </c>
      <c r="BA195" s="263" t="s">
        <v>415</v>
      </c>
      <c r="BB195" s="263" t="s">
        <v>415</v>
      </c>
      <c r="BC195" s="263" t="s">
        <v>415</v>
      </c>
      <c r="BD195" s="263" t="s">
        <v>415</v>
      </c>
      <c r="BE195" s="263" t="s">
        <v>415</v>
      </c>
      <c r="BF195" s="264" t="s">
        <v>415</v>
      </c>
    </row>
    <row r="196" spans="2:58" hidden="1">
      <c r="B196" s="5" t="s">
        <v>315</v>
      </c>
      <c r="C196" s="5" t="str">
        <f t="shared" ca="1" si="237"/>
        <v>Reinvesticijos (po priemonės įgyvendinimo)</v>
      </c>
      <c r="D196" t="str">
        <f t="shared" si="238"/>
        <v>False</v>
      </c>
      <c r="E196" s="256" t="str">
        <f t="shared" si="219"/>
        <v>-</v>
      </c>
      <c r="F196" s="256" t="str">
        <f t="shared" si="220"/>
        <v>-</v>
      </c>
      <c r="G196" s="256" t="str">
        <f t="shared" si="221"/>
        <v>-</v>
      </c>
      <c r="H196" s="256" t="str">
        <f t="shared" si="222"/>
        <v>-</v>
      </c>
      <c r="I196" s="256" t="str">
        <f t="shared" si="223"/>
        <v>-</v>
      </c>
      <c r="J196" s="256" t="str">
        <f t="shared" si="224"/>
        <v>-</v>
      </c>
      <c r="K196" s="256" t="str">
        <f t="shared" si="225"/>
        <v>-</v>
      </c>
      <c r="L196" s="256" t="str">
        <f t="shared" si="226"/>
        <v>-</v>
      </c>
      <c r="M196" s="256" t="str">
        <f t="shared" si="227"/>
        <v>-</v>
      </c>
      <c r="N196" s="256" t="str">
        <f t="shared" si="228"/>
        <v>-</v>
      </c>
      <c r="O196" s="256" t="str">
        <f t="shared" si="229"/>
        <v>-</v>
      </c>
      <c r="P196" s="256" t="str">
        <f t="shared" si="230"/>
        <v>-</v>
      </c>
      <c r="Q196" s="256" t="str">
        <f t="shared" si="231"/>
        <v>-</v>
      </c>
      <c r="R196" s="256" t="str">
        <f t="shared" si="232"/>
        <v>-</v>
      </c>
      <c r="S196" s="256" t="str">
        <f t="shared" si="233"/>
        <v>-</v>
      </c>
      <c r="T196" s="256" t="str">
        <f t="shared" si="234"/>
        <v>-</v>
      </c>
      <c r="U196" s="256" t="str">
        <f t="shared" si="235"/>
        <v>-</v>
      </c>
      <c r="V196" s="256" t="str">
        <f t="shared" si="236"/>
        <v>-</v>
      </c>
      <c r="W196" s="255"/>
      <c r="X196" s="255"/>
      <c r="Y196" s="255"/>
      <c r="Z196" s="255"/>
      <c r="AA196" s="255"/>
      <c r="AB196" s="255"/>
      <c r="AC196" s="255"/>
      <c r="AD196" s="255"/>
      <c r="AE196" s="255"/>
      <c r="AF196" s="262" t="s">
        <v>415</v>
      </c>
      <c r="AG196" s="263" t="s">
        <v>415</v>
      </c>
      <c r="AH196" s="263" t="s">
        <v>415</v>
      </c>
      <c r="AI196" s="263" t="s">
        <v>415</v>
      </c>
      <c r="AJ196" s="263" t="s">
        <v>415</v>
      </c>
      <c r="AK196" s="263" t="s">
        <v>415</v>
      </c>
      <c r="AL196" s="263" t="s">
        <v>415</v>
      </c>
      <c r="AM196" s="263" t="s">
        <v>415</v>
      </c>
      <c r="AN196" s="263" t="s">
        <v>415</v>
      </c>
      <c r="AO196" s="263" t="s">
        <v>415</v>
      </c>
      <c r="AP196" s="263" t="s">
        <v>415</v>
      </c>
      <c r="AQ196" s="263" t="s">
        <v>415</v>
      </c>
      <c r="AR196" s="263" t="s">
        <v>415</v>
      </c>
      <c r="AS196" s="263" t="s">
        <v>415</v>
      </c>
      <c r="AT196" s="263" t="s">
        <v>415</v>
      </c>
      <c r="AU196" s="263" t="s">
        <v>415</v>
      </c>
      <c r="AV196" s="263" t="s">
        <v>415</v>
      </c>
      <c r="AW196" s="263" t="s">
        <v>415</v>
      </c>
      <c r="AX196" s="263" t="s">
        <v>415</v>
      </c>
      <c r="AY196" s="263" t="s">
        <v>415</v>
      </c>
      <c r="AZ196" s="263" t="s">
        <v>415</v>
      </c>
      <c r="BA196" s="263" t="s">
        <v>415</v>
      </c>
      <c r="BB196" s="263" t="s">
        <v>415</v>
      </c>
      <c r="BC196" s="263" t="s">
        <v>415</v>
      </c>
      <c r="BD196" s="263" t="s">
        <v>415</v>
      </c>
      <c r="BE196" s="263" t="s">
        <v>415</v>
      </c>
      <c r="BF196" s="264" t="s">
        <v>415</v>
      </c>
    </row>
    <row r="197" spans="2:58" hidden="1">
      <c r="B197" s="5" t="s">
        <v>316</v>
      </c>
      <c r="C197" s="5" t="str">
        <f t="shared" ca="1" si="237"/>
        <v>Likutinė vertė</v>
      </c>
      <c r="D197" t="str">
        <f t="shared" si="238"/>
        <v>False</v>
      </c>
      <c r="E197" s="256" t="str">
        <f t="shared" si="219"/>
        <v>-</v>
      </c>
      <c r="F197" s="256" t="str">
        <f t="shared" si="220"/>
        <v>-</v>
      </c>
      <c r="G197" s="256" t="str">
        <f t="shared" si="221"/>
        <v>-</v>
      </c>
      <c r="H197" s="256" t="str">
        <f t="shared" si="222"/>
        <v>-</v>
      </c>
      <c r="I197" s="256" t="str">
        <f t="shared" si="223"/>
        <v>-</v>
      </c>
      <c r="J197" s="256" t="str">
        <f t="shared" si="224"/>
        <v>-</v>
      </c>
      <c r="K197" s="256" t="str">
        <f t="shared" si="225"/>
        <v>-</v>
      </c>
      <c r="L197" s="256" t="str">
        <f t="shared" si="226"/>
        <v>-</v>
      </c>
      <c r="M197" s="256" t="str">
        <f t="shared" si="227"/>
        <v>-</v>
      </c>
      <c r="N197" s="256" t="str">
        <f t="shared" si="228"/>
        <v>-</v>
      </c>
      <c r="O197" s="256" t="str">
        <f t="shared" si="229"/>
        <v>-</v>
      </c>
      <c r="P197" s="256" t="str">
        <f t="shared" si="230"/>
        <v>-</v>
      </c>
      <c r="Q197" s="256" t="str">
        <f t="shared" si="231"/>
        <v>-</v>
      </c>
      <c r="R197" s="256" t="str">
        <f t="shared" si="232"/>
        <v>-</v>
      </c>
      <c r="S197" s="256" t="str">
        <f t="shared" si="233"/>
        <v>-</v>
      </c>
      <c r="T197" s="256" t="str">
        <f t="shared" si="234"/>
        <v>-</v>
      </c>
      <c r="U197" s="256" t="str">
        <f t="shared" si="235"/>
        <v>-</v>
      </c>
      <c r="V197" s="256" t="str">
        <f t="shared" si="236"/>
        <v>-</v>
      </c>
      <c r="W197" s="255"/>
      <c r="X197" s="255"/>
      <c r="Y197" s="255"/>
      <c r="Z197" s="255"/>
      <c r="AA197" s="255"/>
      <c r="AB197" s="255"/>
      <c r="AC197" s="255"/>
      <c r="AD197" s="255"/>
      <c r="AE197" s="255"/>
      <c r="AF197" s="262" t="s">
        <v>415</v>
      </c>
      <c r="AG197" s="263" t="s">
        <v>415</v>
      </c>
      <c r="AH197" s="263" t="s">
        <v>415</v>
      </c>
      <c r="AI197" s="263" t="s">
        <v>415</v>
      </c>
      <c r="AJ197" s="263" t="s">
        <v>415</v>
      </c>
      <c r="AK197" s="263" t="s">
        <v>415</v>
      </c>
      <c r="AL197" s="263" t="s">
        <v>415</v>
      </c>
      <c r="AM197" s="263" t="s">
        <v>415</v>
      </c>
      <c r="AN197" s="263" t="s">
        <v>415</v>
      </c>
      <c r="AO197" s="263" t="s">
        <v>415</v>
      </c>
      <c r="AP197" s="263" t="s">
        <v>415</v>
      </c>
      <c r="AQ197" s="263" t="s">
        <v>415</v>
      </c>
      <c r="AR197" s="263" t="s">
        <v>415</v>
      </c>
      <c r="AS197" s="263" t="s">
        <v>415</v>
      </c>
      <c r="AT197" s="263" t="s">
        <v>415</v>
      </c>
      <c r="AU197" s="263" t="s">
        <v>415</v>
      </c>
      <c r="AV197" s="263" t="s">
        <v>415</v>
      </c>
      <c r="AW197" s="263" t="s">
        <v>415</v>
      </c>
      <c r="AX197" s="263" t="s">
        <v>415</v>
      </c>
      <c r="AY197" s="263" t="s">
        <v>415</v>
      </c>
      <c r="AZ197" s="263" t="s">
        <v>415</v>
      </c>
      <c r="BA197" s="263" t="s">
        <v>415</v>
      </c>
      <c r="BB197" s="263" t="s">
        <v>415</v>
      </c>
      <c r="BC197" s="263" t="s">
        <v>415</v>
      </c>
      <c r="BD197" s="263" t="s">
        <v>415</v>
      </c>
      <c r="BE197" s="263" t="s">
        <v>415</v>
      </c>
      <c r="BF197" s="264" t="s">
        <v>415</v>
      </c>
    </row>
    <row r="198" spans="2:58">
      <c r="B198" s="5" t="s">
        <v>317</v>
      </c>
      <c r="C198" s="5" t="str">
        <f t="shared" ca="1" si="237"/>
        <v>Ambasados Singapūre įsteigimas</v>
      </c>
      <c r="D198" t="str">
        <f t="shared" si="238"/>
        <v>True</v>
      </c>
      <c r="E198" s="256">
        <f t="shared" si="219"/>
        <v>1.561816541323978E-4</v>
      </c>
      <c r="F198" s="256">
        <f t="shared" si="220"/>
        <v>-1.56132883948493E-4</v>
      </c>
      <c r="G198" s="256">
        <f t="shared" si="221"/>
        <v>4.9063527018940364E-5</v>
      </c>
      <c r="H198" s="256">
        <f t="shared" si="222"/>
        <v>-4.9063527018940364E-5</v>
      </c>
      <c r="I198" s="256">
        <f t="shared" si="223"/>
        <v>3.9161224244351096E-3</v>
      </c>
      <c r="J198" s="256">
        <f t="shared" si="224"/>
        <v>-3.8723495983709749E-3</v>
      </c>
      <c r="K198" s="256" t="str">
        <f t="shared" si="225"/>
        <v>-</v>
      </c>
      <c r="L198" s="256" t="str">
        <f t="shared" si="226"/>
        <v>-</v>
      </c>
      <c r="M198" s="256">
        <f t="shared" si="227"/>
        <v>0</v>
      </c>
      <c r="N198" s="256">
        <f t="shared" si="228"/>
        <v>0</v>
      </c>
      <c r="O198" s="256">
        <f t="shared" si="229"/>
        <v>-3.6439083452111982E-4</v>
      </c>
      <c r="P198" s="256">
        <f t="shared" si="230"/>
        <v>3.6439083452111982E-4</v>
      </c>
      <c r="Q198" s="256">
        <f t="shared" si="231"/>
        <v>-1.4775212803988991E-4</v>
      </c>
      <c r="R198" s="256">
        <f t="shared" si="232"/>
        <v>1.4775212803988991E-4</v>
      </c>
      <c r="S198" s="256" t="str">
        <f t="shared" si="233"/>
        <v>-</v>
      </c>
      <c r="T198" s="256" t="str">
        <f t="shared" si="234"/>
        <v>-</v>
      </c>
      <c r="U198" s="256">
        <f t="shared" si="235"/>
        <v>0</v>
      </c>
      <c r="V198" s="256">
        <f t="shared" si="236"/>
        <v>0</v>
      </c>
      <c r="W198" s="255"/>
      <c r="X198" s="255"/>
      <c r="Y198" s="255"/>
      <c r="Z198" s="255"/>
      <c r="AA198" s="255"/>
      <c r="AB198" s="255"/>
      <c r="AC198" s="255"/>
      <c r="AD198" s="255"/>
      <c r="AE198" s="255"/>
      <c r="AF198" s="262">
        <v>4.1834098860255562</v>
      </c>
      <c r="AG198" s="263">
        <v>4.1827566161784082</v>
      </c>
      <c r="AH198" s="263">
        <v>4.1821035503250696</v>
      </c>
      <c r="AI198" s="263">
        <v>352621383.95265895</v>
      </c>
      <c r="AJ198" s="263">
        <v>352604083.95265895</v>
      </c>
      <c r="AK198" s="263">
        <v>352586783.95265895</v>
      </c>
      <c r="AL198" s="263">
        <v>2.2905560719465545</v>
      </c>
      <c r="AM198" s="263">
        <v>2.2816209649217631</v>
      </c>
      <c r="AN198" s="263">
        <v>2.2727857308946136</v>
      </c>
      <c r="AO198" s="263" t="s">
        <v>414</v>
      </c>
      <c r="AP198" s="263" t="s">
        <v>414</v>
      </c>
      <c r="AQ198" s="263" t="s">
        <v>414</v>
      </c>
      <c r="AR198" s="263">
        <v>9.1639999999999997</v>
      </c>
      <c r="AS198" s="263">
        <v>9.1639999999999997</v>
      </c>
      <c r="AT198" s="263">
        <v>9.1639999999999997</v>
      </c>
      <c r="AU198" s="263">
        <v>-47459196.006645046</v>
      </c>
      <c r="AV198" s="263">
        <v>-47476496.006645046</v>
      </c>
      <c r="AW198" s="263">
        <v>-47493796.006645046</v>
      </c>
      <c r="AX198" s="263">
        <v>-117070692.09531094</v>
      </c>
      <c r="AY198" s="263">
        <v>-117087992.09531094</v>
      </c>
      <c r="AZ198" s="263">
        <v>-117105292.09531094</v>
      </c>
      <c r="BA198" s="263" t="s">
        <v>414</v>
      </c>
      <c r="BB198" s="263" t="s">
        <v>414</v>
      </c>
      <c r="BC198" s="263" t="s">
        <v>414</v>
      </c>
      <c r="BD198" s="263">
        <v>3.4471879118721363E-2</v>
      </c>
      <c r="BE198" s="263">
        <v>3.4471879118721363E-2</v>
      </c>
      <c r="BF198" s="264">
        <v>3.4471879118721363E-2</v>
      </c>
    </row>
    <row r="199" spans="2:58">
      <c r="B199" s="5" t="s">
        <v>318</v>
      </c>
      <c r="C199" s="5" t="str">
        <f t="shared" ca="1" si="237"/>
        <v>Ambasadų kitose užsienio valstybėse įsteigimas (politinės/ekonominės svarbos scenarijus)</v>
      </c>
      <c r="D199" t="str">
        <f t="shared" si="238"/>
        <v>True</v>
      </c>
      <c r="E199" s="256">
        <f t="shared" si="219"/>
        <v>5.9526883347556128E-4</v>
      </c>
      <c r="F199" s="256">
        <f t="shared" si="220"/>
        <v>-5.9456098622638501E-4</v>
      </c>
      <c r="G199" s="256">
        <f t="shared" si="221"/>
        <v>1.8691806224595503E-4</v>
      </c>
      <c r="H199" s="256">
        <f t="shared" si="222"/>
        <v>-1.8691806224595503E-4</v>
      </c>
      <c r="I199" s="256">
        <f t="shared" si="223"/>
        <v>2.5744100724396928E-3</v>
      </c>
      <c r="J199" s="256">
        <f t="shared" si="224"/>
        <v>-2.5667764778382202E-3</v>
      </c>
      <c r="K199" s="256" t="str">
        <f t="shared" si="225"/>
        <v>-</v>
      </c>
      <c r="L199" s="256" t="str">
        <f t="shared" si="226"/>
        <v>-</v>
      </c>
      <c r="M199" s="256">
        <f t="shared" si="227"/>
        <v>0</v>
      </c>
      <c r="N199" s="256">
        <f t="shared" si="228"/>
        <v>0</v>
      </c>
      <c r="O199" s="256">
        <f t="shared" si="229"/>
        <v>-1.4142047769407167E-3</v>
      </c>
      <c r="P199" s="256">
        <f t="shared" si="230"/>
        <v>1.4142047769407167E-3</v>
      </c>
      <c r="Q199" s="256">
        <f t="shared" si="231"/>
        <v>-5.7342760981282269E-4</v>
      </c>
      <c r="R199" s="256">
        <f t="shared" si="232"/>
        <v>5.7342760981282269E-4</v>
      </c>
      <c r="S199" s="256" t="str">
        <f t="shared" si="233"/>
        <v>-</v>
      </c>
      <c r="T199" s="256" t="str">
        <f t="shared" si="234"/>
        <v>-</v>
      </c>
      <c r="U199" s="256">
        <f t="shared" si="235"/>
        <v>0</v>
      </c>
      <c r="V199" s="256">
        <f t="shared" si="236"/>
        <v>0</v>
      </c>
      <c r="W199" s="255"/>
      <c r="X199" s="255"/>
      <c r="Y199" s="255"/>
      <c r="Z199" s="255"/>
      <c r="AA199" s="255"/>
      <c r="AB199" s="255"/>
      <c r="AC199" s="255"/>
      <c r="AD199" s="255"/>
      <c r="AE199" s="255"/>
      <c r="AF199" s="262">
        <v>4.1852464808300329</v>
      </c>
      <c r="AG199" s="263">
        <v>4.1827566161784082</v>
      </c>
      <c r="AH199" s="263">
        <v>4.1802697122795482</v>
      </c>
      <c r="AI199" s="263">
        <v>352669992.02477139</v>
      </c>
      <c r="AJ199" s="263">
        <v>352604083.95265895</v>
      </c>
      <c r="AK199" s="263">
        <v>352538175.88054651</v>
      </c>
      <c r="AL199" s="263">
        <v>2.2874947929153473</v>
      </c>
      <c r="AM199" s="263">
        <v>2.2816209649217631</v>
      </c>
      <c r="AN199" s="263">
        <v>2.2757645538976594</v>
      </c>
      <c r="AO199" s="263" t="s">
        <v>414</v>
      </c>
      <c r="AP199" s="263" t="s">
        <v>414</v>
      </c>
      <c r="AQ199" s="263" t="s">
        <v>414</v>
      </c>
      <c r="AR199" s="263">
        <v>9.1639999999999997</v>
      </c>
      <c r="AS199" s="263">
        <v>9.1639999999999997</v>
      </c>
      <c r="AT199" s="263">
        <v>9.1639999999999997</v>
      </c>
      <c r="AU199" s="263">
        <v>-47409354.519200042</v>
      </c>
      <c r="AV199" s="263">
        <v>-47476496.006645046</v>
      </c>
      <c r="AW199" s="263">
        <v>-47543637.49409005</v>
      </c>
      <c r="AX199" s="263">
        <v>-117020850.60786594</v>
      </c>
      <c r="AY199" s="263">
        <v>-117087992.09531094</v>
      </c>
      <c r="AZ199" s="263">
        <v>-117155133.58275594</v>
      </c>
      <c r="BA199" s="263" t="s">
        <v>414</v>
      </c>
      <c r="BB199" s="263" t="s">
        <v>414</v>
      </c>
      <c r="BC199" s="263" t="s">
        <v>414</v>
      </c>
      <c r="BD199" s="263">
        <v>3.4471879118721363E-2</v>
      </c>
      <c r="BE199" s="263">
        <v>3.4471879118721363E-2</v>
      </c>
      <c r="BF199" s="264">
        <v>3.4471879118721363E-2</v>
      </c>
    </row>
    <row r="200" spans="2:58">
      <c r="B200" s="5" t="s">
        <v>319</v>
      </c>
      <c r="C200" s="5" t="str">
        <f t="shared" ca="1" si="237"/>
        <v>Valstybės veiklos tarptautinėse organizacijose pozicijų derinimo, stebėsenos sistemos sukūrimas</v>
      </c>
      <c r="D200" t="str">
        <f t="shared" si="238"/>
        <v>True</v>
      </c>
      <c r="E200" s="256">
        <f t="shared" si="219"/>
        <v>4.0672032036332056E-5</v>
      </c>
      <c r="F200" s="256">
        <f t="shared" si="220"/>
        <v>-4.0668723877363946E-5</v>
      </c>
      <c r="G200" s="256">
        <f t="shared" si="221"/>
        <v>1.2778349963401544E-5</v>
      </c>
      <c r="H200" s="256">
        <f t="shared" si="222"/>
        <v>-1.2778349963401544E-5</v>
      </c>
      <c r="I200" s="256">
        <f t="shared" si="223"/>
        <v>1.1975175300942308E-4</v>
      </c>
      <c r="J200" s="256">
        <f t="shared" si="224"/>
        <v>-1.1974578468279494E-4</v>
      </c>
      <c r="K200" s="256" t="str">
        <f t="shared" si="225"/>
        <v>-</v>
      </c>
      <c r="L200" s="256" t="str">
        <f t="shared" si="226"/>
        <v>-</v>
      </c>
      <c r="M200" s="256">
        <f t="shared" si="227"/>
        <v>0</v>
      </c>
      <c r="N200" s="256">
        <f t="shared" si="228"/>
        <v>0</v>
      </c>
      <c r="O200" s="256">
        <f t="shared" si="229"/>
        <v>-1.170086445571964E-4</v>
      </c>
      <c r="P200" s="256">
        <f t="shared" si="230"/>
        <v>1.170086445571964E-4</v>
      </c>
      <c r="Q200" s="256">
        <f t="shared" si="231"/>
        <v>-4.7444322399351771E-5</v>
      </c>
      <c r="R200" s="256">
        <f t="shared" si="232"/>
        <v>4.7444322399351771E-5</v>
      </c>
      <c r="S200" s="256" t="str">
        <f t="shared" si="233"/>
        <v>-</v>
      </c>
      <c r="T200" s="256" t="str">
        <f t="shared" si="234"/>
        <v>-</v>
      </c>
      <c r="U200" s="256">
        <f t="shared" si="235"/>
        <v>0</v>
      </c>
      <c r="V200" s="256">
        <f t="shared" si="236"/>
        <v>0</v>
      </c>
      <c r="W200" s="255"/>
      <c r="X200" s="255"/>
      <c r="Y200" s="255"/>
      <c r="Z200" s="255"/>
      <c r="AA200" s="255"/>
      <c r="AB200" s="255"/>
      <c r="AC200" s="255"/>
      <c r="AD200" s="255"/>
      <c r="AE200" s="255"/>
      <c r="AF200" s="262">
        <v>4.1829267373895016</v>
      </c>
      <c r="AG200" s="263">
        <v>4.1827566161784082</v>
      </c>
      <c r="AH200" s="263">
        <v>4.1825865088045386</v>
      </c>
      <c r="AI200" s="263">
        <v>352608589.65104222</v>
      </c>
      <c r="AJ200" s="263">
        <v>352604083.95265895</v>
      </c>
      <c r="AK200" s="263">
        <v>352599578.25427568</v>
      </c>
      <c r="AL200" s="263">
        <v>2.2818941930320156</v>
      </c>
      <c r="AM200" s="263">
        <v>2.2816209649217631</v>
      </c>
      <c r="AN200" s="263">
        <v>2.2813477504289699</v>
      </c>
      <c r="AO200" s="263" t="s">
        <v>414</v>
      </c>
      <c r="AP200" s="263" t="s">
        <v>414</v>
      </c>
      <c r="AQ200" s="263" t="s">
        <v>414</v>
      </c>
      <c r="AR200" s="263">
        <v>9.1639999999999997</v>
      </c>
      <c r="AS200" s="263">
        <v>9.1639999999999997</v>
      </c>
      <c r="AT200" s="263">
        <v>9.1639999999999997</v>
      </c>
      <c r="AU200" s="263">
        <v>-47470940.846198983</v>
      </c>
      <c r="AV200" s="263">
        <v>-47476496.006645046</v>
      </c>
      <c r="AW200" s="263">
        <v>-47482051.167091109</v>
      </c>
      <c r="AX200" s="263">
        <v>-117082436.93486488</v>
      </c>
      <c r="AY200" s="263">
        <v>-117087992.09531094</v>
      </c>
      <c r="AZ200" s="263">
        <v>-117093547.255757</v>
      </c>
      <c r="BA200" s="263" t="s">
        <v>414</v>
      </c>
      <c r="BB200" s="263" t="s">
        <v>414</v>
      </c>
      <c r="BC200" s="263" t="s">
        <v>414</v>
      </c>
      <c r="BD200" s="263">
        <v>3.4471879118721363E-2</v>
      </c>
      <c r="BE200" s="263">
        <v>3.4471879118721363E-2</v>
      </c>
      <c r="BF200" s="264">
        <v>3.4471879118721363E-2</v>
      </c>
    </row>
    <row r="201" spans="2:58" hidden="1">
      <c r="B201" s="5" t="s">
        <v>320</v>
      </c>
      <c r="C201" s="5" t="str">
        <f t="shared" ca="1" si="237"/>
        <v/>
      </c>
      <c r="D201" t="str">
        <f t="shared" si="238"/>
        <v>False</v>
      </c>
      <c r="E201" s="256" t="str">
        <f t="shared" si="219"/>
        <v>-</v>
      </c>
      <c r="F201" s="256" t="str">
        <f t="shared" si="220"/>
        <v>-</v>
      </c>
      <c r="G201" s="256" t="str">
        <f t="shared" si="221"/>
        <v>-</v>
      </c>
      <c r="H201" s="256" t="str">
        <f t="shared" si="222"/>
        <v>-</v>
      </c>
      <c r="I201" s="256" t="str">
        <f t="shared" si="223"/>
        <v>-</v>
      </c>
      <c r="J201" s="256" t="str">
        <f t="shared" si="224"/>
        <v>-</v>
      </c>
      <c r="K201" s="256" t="str">
        <f t="shared" si="225"/>
        <v>-</v>
      </c>
      <c r="L201" s="256" t="str">
        <f t="shared" si="226"/>
        <v>-</v>
      </c>
      <c r="M201" s="256" t="str">
        <f t="shared" si="227"/>
        <v>-</v>
      </c>
      <c r="N201" s="256" t="str">
        <f t="shared" si="228"/>
        <v>-</v>
      </c>
      <c r="O201" s="256" t="str">
        <f t="shared" si="229"/>
        <v>-</v>
      </c>
      <c r="P201" s="256" t="str">
        <f t="shared" si="230"/>
        <v>-</v>
      </c>
      <c r="Q201" s="256" t="str">
        <f t="shared" si="231"/>
        <v>-</v>
      </c>
      <c r="R201" s="256" t="str">
        <f t="shared" si="232"/>
        <v>-</v>
      </c>
      <c r="S201" s="256" t="str">
        <f t="shared" si="233"/>
        <v>-</v>
      </c>
      <c r="T201" s="256" t="str">
        <f t="shared" si="234"/>
        <v>-</v>
      </c>
      <c r="U201" s="256" t="str">
        <f t="shared" si="235"/>
        <v>-</v>
      </c>
      <c r="V201" s="256" t="str">
        <f t="shared" si="236"/>
        <v>-</v>
      </c>
      <c r="W201" s="255"/>
      <c r="X201" s="255"/>
      <c r="Y201" s="255"/>
      <c r="Z201" s="255"/>
      <c r="AA201" s="255"/>
      <c r="AB201" s="255"/>
      <c r="AC201" s="255"/>
      <c r="AD201" s="255"/>
      <c r="AE201" s="255"/>
      <c r="AF201" s="262" t="s">
        <v>415</v>
      </c>
      <c r="AG201" s="263" t="s">
        <v>415</v>
      </c>
      <c r="AH201" s="263" t="s">
        <v>415</v>
      </c>
      <c r="AI201" s="263" t="s">
        <v>415</v>
      </c>
      <c r="AJ201" s="263" t="s">
        <v>415</v>
      </c>
      <c r="AK201" s="263" t="s">
        <v>415</v>
      </c>
      <c r="AL201" s="263" t="s">
        <v>415</v>
      </c>
      <c r="AM201" s="263" t="s">
        <v>415</v>
      </c>
      <c r="AN201" s="263" t="s">
        <v>415</v>
      </c>
      <c r="AO201" s="263" t="s">
        <v>415</v>
      </c>
      <c r="AP201" s="263" t="s">
        <v>415</v>
      </c>
      <c r="AQ201" s="263" t="s">
        <v>415</v>
      </c>
      <c r="AR201" s="263" t="s">
        <v>415</v>
      </c>
      <c r="AS201" s="263" t="s">
        <v>415</v>
      </c>
      <c r="AT201" s="263" t="s">
        <v>415</v>
      </c>
      <c r="AU201" s="263" t="s">
        <v>415</v>
      </c>
      <c r="AV201" s="263" t="s">
        <v>415</v>
      </c>
      <c r="AW201" s="263" t="s">
        <v>415</v>
      </c>
      <c r="AX201" s="263" t="s">
        <v>415</v>
      </c>
      <c r="AY201" s="263" t="s">
        <v>415</v>
      </c>
      <c r="AZ201" s="263" t="s">
        <v>415</v>
      </c>
      <c r="BA201" s="263" t="s">
        <v>415</v>
      </c>
      <c r="BB201" s="263" t="s">
        <v>415</v>
      </c>
      <c r="BC201" s="263" t="s">
        <v>415</v>
      </c>
      <c r="BD201" s="263" t="s">
        <v>415</v>
      </c>
      <c r="BE201" s="263" t="s">
        <v>415</v>
      </c>
      <c r="BF201" s="264" t="s">
        <v>415</v>
      </c>
    </row>
    <row r="202" spans="2:58" hidden="1">
      <c r="B202" s="5" t="s">
        <v>321</v>
      </c>
      <c r="C202" s="5" t="str">
        <f t="shared" ca="1" si="237"/>
        <v/>
      </c>
      <c r="D202" t="str">
        <f t="shared" si="238"/>
        <v>False</v>
      </c>
      <c r="E202" s="256" t="str">
        <f t="shared" si="219"/>
        <v>-</v>
      </c>
      <c r="F202" s="256" t="str">
        <f t="shared" si="220"/>
        <v>-</v>
      </c>
      <c r="G202" s="256" t="str">
        <f t="shared" si="221"/>
        <v>-</v>
      </c>
      <c r="H202" s="256" t="str">
        <f t="shared" si="222"/>
        <v>-</v>
      </c>
      <c r="I202" s="256" t="str">
        <f t="shared" si="223"/>
        <v>-</v>
      </c>
      <c r="J202" s="256" t="str">
        <f t="shared" si="224"/>
        <v>-</v>
      </c>
      <c r="K202" s="256" t="str">
        <f t="shared" si="225"/>
        <v>-</v>
      </c>
      <c r="L202" s="256" t="str">
        <f t="shared" si="226"/>
        <v>-</v>
      </c>
      <c r="M202" s="256" t="str">
        <f t="shared" si="227"/>
        <v>-</v>
      </c>
      <c r="N202" s="256" t="str">
        <f t="shared" si="228"/>
        <v>-</v>
      </c>
      <c r="O202" s="256" t="str">
        <f t="shared" si="229"/>
        <v>-</v>
      </c>
      <c r="P202" s="256" t="str">
        <f t="shared" si="230"/>
        <v>-</v>
      </c>
      <c r="Q202" s="256" t="str">
        <f t="shared" si="231"/>
        <v>-</v>
      </c>
      <c r="R202" s="256" t="str">
        <f t="shared" si="232"/>
        <v>-</v>
      </c>
      <c r="S202" s="256" t="str">
        <f t="shared" si="233"/>
        <v>-</v>
      </c>
      <c r="T202" s="256" t="str">
        <f t="shared" si="234"/>
        <v>-</v>
      </c>
      <c r="U202" s="256" t="str">
        <f t="shared" si="235"/>
        <v>-</v>
      </c>
      <c r="V202" s="256" t="str">
        <f t="shared" si="236"/>
        <v>-</v>
      </c>
      <c r="W202" s="255"/>
      <c r="X202" s="255"/>
      <c r="Y202" s="255"/>
      <c r="Z202" s="255"/>
      <c r="AA202" s="255"/>
      <c r="AB202" s="255"/>
      <c r="AC202" s="255"/>
      <c r="AD202" s="255"/>
      <c r="AE202" s="255"/>
      <c r="AF202" s="262" t="s">
        <v>415</v>
      </c>
      <c r="AG202" s="263" t="s">
        <v>415</v>
      </c>
      <c r="AH202" s="263" t="s">
        <v>415</v>
      </c>
      <c r="AI202" s="263" t="s">
        <v>415</v>
      </c>
      <c r="AJ202" s="263" t="s">
        <v>415</v>
      </c>
      <c r="AK202" s="263" t="s">
        <v>415</v>
      </c>
      <c r="AL202" s="263" t="s">
        <v>415</v>
      </c>
      <c r="AM202" s="263" t="s">
        <v>415</v>
      </c>
      <c r="AN202" s="263" t="s">
        <v>415</v>
      </c>
      <c r="AO202" s="263" t="s">
        <v>415</v>
      </c>
      <c r="AP202" s="263" t="s">
        <v>415</v>
      </c>
      <c r="AQ202" s="263" t="s">
        <v>415</v>
      </c>
      <c r="AR202" s="263" t="s">
        <v>415</v>
      </c>
      <c r="AS202" s="263" t="s">
        <v>415</v>
      </c>
      <c r="AT202" s="263" t="s">
        <v>415</v>
      </c>
      <c r="AU202" s="263" t="s">
        <v>415</v>
      </c>
      <c r="AV202" s="263" t="s">
        <v>415</v>
      </c>
      <c r="AW202" s="263" t="s">
        <v>415</v>
      </c>
      <c r="AX202" s="263" t="s">
        <v>415</v>
      </c>
      <c r="AY202" s="263" t="s">
        <v>415</v>
      </c>
      <c r="AZ202" s="263" t="s">
        <v>415</v>
      </c>
      <c r="BA202" s="263" t="s">
        <v>415</v>
      </c>
      <c r="BB202" s="263" t="s">
        <v>415</v>
      </c>
      <c r="BC202" s="263" t="s">
        <v>415</v>
      </c>
      <c r="BD202" s="263" t="s">
        <v>415</v>
      </c>
      <c r="BE202" s="263" t="s">
        <v>415</v>
      </c>
      <c r="BF202" s="264" t="s">
        <v>415</v>
      </c>
    </row>
    <row r="203" spans="2:58" hidden="1">
      <c r="B203" s="5" t="s">
        <v>322</v>
      </c>
      <c r="C203" s="5" t="str">
        <f t="shared" ca="1" si="237"/>
        <v/>
      </c>
      <c r="D203" t="str">
        <f t="shared" si="238"/>
        <v>False</v>
      </c>
      <c r="E203" s="256" t="str">
        <f t="shared" si="219"/>
        <v>-</v>
      </c>
      <c r="F203" s="256" t="str">
        <f t="shared" si="220"/>
        <v>-</v>
      </c>
      <c r="G203" s="256" t="str">
        <f t="shared" si="221"/>
        <v>-</v>
      </c>
      <c r="H203" s="256" t="str">
        <f t="shared" si="222"/>
        <v>-</v>
      </c>
      <c r="I203" s="256" t="str">
        <f t="shared" si="223"/>
        <v>-</v>
      </c>
      <c r="J203" s="256" t="str">
        <f t="shared" si="224"/>
        <v>-</v>
      </c>
      <c r="K203" s="256" t="str">
        <f t="shared" si="225"/>
        <v>-</v>
      </c>
      <c r="L203" s="256" t="str">
        <f t="shared" si="226"/>
        <v>-</v>
      </c>
      <c r="M203" s="256" t="str">
        <f t="shared" si="227"/>
        <v>-</v>
      </c>
      <c r="N203" s="256" t="str">
        <f t="shared" si="228"/>
        <v>-</v>
      </c>
      <c r="O203" s="256" t="str">
        <f t="shared" si="229"/>
        <v>-</v>
      </c>
      <c r="P203" s="256" t="str">
        <f t="shared" si="230"/>
        <v>-</v>
      </c>
      <c r="Q203" s="256" t="str">
        <f t="shared" si="231"/>
        <v>-</v>
      </c>
      <c r="R203" s="256" t="str">
        <f t="shared" si="232"/>
        <v>-</v>
      </c>
      <c r="S203" s="256" t="str">
        <f t="shared" si="233"/>
        <v>-</v>
      </c>
      <c r="T203" s="256" t="str">
        <f t="shared" si="234"/>
        <v>-</v>
      </c>
      <c r="U203" s="256" t="str">
        <f t="shared" si="235"/>
        <v>-</v>
      </c>
      <c r="V203" s="256" t="str">
        <f t="shared" si="236"/>
        <v>-</v>
      </c>
      <c r="W203" s="255"/>
      <c r="X203" s="255"/>
      <c r="Y203" s="255"/>
      <c r="Z203" s="255"/>
      <c r="AA203" s="255"/>
      <c r="AB203" s="255"/>
      <c r="AC203" s="255"/>
      <c r="AD203" s="255"/>
      <c r="AE203" s="255"/>
      <c r="AF203" s="262" t="s">
        <v>415</v>
      </c>
      <c r="AG203" s="263" t="s">
        <v>415</v>
      </c>
      <c r="AH203" s="263" t="s">
        <v>415</v>
      </c>
      <c r="AI203" s="263" t="s">
        <v>415</v>
      </c>
      <c r="AJ203" s="263" t="s">
        <v>415</v>
      </c>
      <c r="AK203" s="263" t="s">
        <v>415</v>
      </c>
      <c r="AL203" s="263" t="s">
        <v>415</v>
      </c>
      <c r="AM203" s="263" t="s">
        <v>415</v>
      </c>
      <c r="AN203" s="263" t="s">
        <v>415</v>
      </c>
      <c r="AO203" s="263" t="s">
        <v>415</v>
      </c>
      <c r="AP203" s="263" t="s">
        <v>415</v>
      </c>
      <c r="AQ203" s="263" t="s">
        <v>415</v>
      </c>
      <c r="AR203" s="263" t="s">
        <v>415</v>
      </c>
      <c r="AS203" s="263" t="s">
        <v>415</v>
      </c>
      <c r="AT203" s="263" t="s">
        <v>415</v>
      </c>
      <c r="AU203" s="263" t="s">
        <v>415</v>
      </c>
      <c r="AV203" s="263" t="s">
        <v>415</v>
      </c>
      <c r="AW203" s="263" t="s">
        <v>415</v>
      </c>
      <c r="AX203" s="263" t="s">
        <v>415</v>
      </c>
      <c r="AY203" s="263" t="s">
        <v>415</v>
      </c>
      <c r="AZ203" s="263" t="s">
        <v>415</v>
      </c>
      <c r="BA203" s="263" t="s">
        <v>415</v>
      </c>
      <c r="BB203" s="263" t="s">
        <v>415</v>
      </c>
      <c r="BC203" s="263" t="s">
        <v>415</v>
      </c>
      <c r="BD203" s="263" t="s">
        <v>415</v>
      </c>
      <c r="BE203" s="263" t="s">
        <v>415</v>
      </c>
      <c r="BF203" s="264" t="s">
        <v>415</v>
      </c>
    </row>
    <row r="204" spans="2:58" hidden="1">
      <c r="B204" s="5" t="s">
        <v>323</v>
      </c>
      <c r="C204" s="5" t="str">
        <f t="shared" ca="1" si="237"/>
        <v/>
      </c>
      <c r="D204" t="str">
        <f t="shared" si="238"/>
        <v>False</v>
      </c>
      <c r="E204" s="256" t="str">
        <f t="shared" si="219"/>
        <v>-</v>
      </c>
      <c r="F204" s="256" t="str">
        <f t="shared" si="220"/>
        <v>-</v>
      </c>
      <c r="G204" s="256" t="str">
        <f t="shared" si="221"/>
        <v>-</v>
      </c>
      <c r="H204" s="256" t="str">
        <f t="shared" si="222"/>
        <v>-</v>
      </c>
      <c r="I204" s="256" t="str">
        <f t="shared" si="223"/>
        <v>-</v>
      </c>
      <c r="J204" s="256" t="str">
        <f t="shared" si="224"/>
        <v>-</v>
      </c>
      <c r="K204" s="256" t="str">
        <f t="shared" si="225"/>
        <v>-</v>
      </c>
      <c r="L204" s="256" t="str">
        <f t="shared" si="226"/>
        <v>-</v>
      </c>
      <c r="M204" s="256" t="str">
        <f t="shared" si="227"/>
        <v>-</v>
      </c>
      <c r="N204" s="256" t="str">
        <f t="shared" si="228"/>
        <v>-</v>
      </c>
      <c r="O204" s="256" t="str">
        <f t="shared" si="229"/>
        <v>-</v>
      </c>
      <c r="P204" s="256" t="str">
        <f t="shared" si="230"/>
        <v>-</v>
      </c>
      <c r="Q204" s="256" t="str">
        <f t="shared" si="231"/>
        <v>-</v>
      </c>
      <c r="R204" s="256" t="str">
        <f t="shared" si="232"/>
        <v>-</v>
      </c>
      <c r="S204" s="256" t="str">
        <f t="shared" si="233"/>
        <v>-</v>
      </c>
      <c r="T204" s="256" t="str">
        <f t="shared" si="234"/>
        <v>-</v>
      </c>
      <c r="U204" s="256" t="str">
        <f t="shared" si="235"/>
        <v>-</v>
      </c>
      <c r="V204" s="256" t="str">
        <f t="shared" si="236"/>
        <v>-</v>
      </c>
      <c r="W204" s="255"/>
      <c r="X204" s="255"/>
      <c r="Y204" s="255"/>
      <c r="Z204" s="255"/>
      <c r="AA204" s="255"/>
      <c r="AB204" s="255"/>
      <c r="AC204" s="255"/>
      <c r="AD204" s="255"/>
      <c r="AE204" s="255"/>
      <c r="AF204" s="262" t="s">
        <v>415</v>
      </c>
      <c r="AG204" s="263" t="s">
        <v>415</v>
      </c>
      <c r="AH204" s="263" t="s">
        <v>415</v>
      </c>
      <c r="AI204" s="263" t="s">
        <v>415</v>
      </c>
      <c r="AJ204" s="263" t="s">
        <v>415</v>
      </c>
      <c r="AK204" s="263" t="s">
        <v>415</v>
      </c>
      <c r="AL204" s="263" t="s">
        <v>415</v>
      </c>
      <c r="AM204" s="263" t="s">
        <v>415</v>
      </c>
      <c r="AN204" s="263" t="s">
        <v>415</v>
      </c>
      <c r="AO204" s="263" t="s">
        <v>415</v>
      </c>
      <c r="AP204" s="263" t="s">
        <v>415</v>
      </c>
      <c r="AQ204" s="263" t="s">
        <v>415</v>
      </c>
      <c r="AR204" s="263" t="s">
        <v>415</v>
      </c>
      <c r="AS204" s="263" t="s">
        <v>415</v>
      </c>
      <c r="AT204" s="263" t="s">
        <v>415</v>
      </c>
      <c r="AU204" s="263" t="s">
        <v>415</v>
      </c>
      <c r="AV204" s="263" t="s">
        <v>415</v>
      </c>
      <c r="AW204" s="263" t="s">
        <v>415</v>
      </c>
      <c r="AX204" s="263" t="s">
        <v>415</v>
      </c>
      <c r="AY204" s="263" t="s">
        <v>415</v>
      </c>
      <c r="AZ204" s="263" t="s">
        <v>415</v>
      </c>
      <c r="BA204" s="263" t="s">
        <v>415</v>
      </c>
      <c r="BB204" s="263" t="s">
        <v>415</v>
      </c>
      <c r="BC204" s="263" t="s">
        <v>415</v>
      </c>
      <c r="BD204" s="263" t="s">
        <v>415</v>
      </c>
      <c r="BE204" s="263" t="s">
        <v>415</v>
      </c>
      <c r="BF204" s="264" t="s">
        <v>415</v>
      </c>
    </row>
    <row r="205" spans="2:58" hidden="1">
      <c r="B205" s="5" t="s">
        <v>324</v>
      </c>
      <c r="C205" s="5" t="str">
        <f t="shared" ca="1" si="237"/>
        <v>Veikla</v>
      </c>
      <c r="D205" t="str">
        <f t="shared" si="238"/>
        <v>False</v>
      </c>
      <c r="E205" s="256" t="str">
        <f t="shared" si="219"/>
        <v>-</v>
      </c>
      <c r="F205" s="256" t="str">
        <f t="shared" si="220"/>
        <v>-</v>
      </c>
      <c r="G205" s="256" t="str">
        <f t="shared" si="221"/>
        <v>-</v>
      </c>
      <c r="H205" s="256" t="str">
        <f t="shared" si="222"/>
        <v>-</v>
      </c>
      <c r="I205" s="256" t="str">
        <f t="shared" si="223"/>
        <v>-</v>
      </c>
      <c r="J205" s="256" t="str">
        <f t="shared" si="224"/>
        <v>-</v>
      </c>
      <c r="K205" s="256" t="str">
        <f t="shared" si="225"/>
        <v>-</v>
      </c>
      <c r="L205" s="256" t="str">
        <f t="shared" si="226"/>
        <v>-</v>
      </c>
      <c r="M205" s="256" t="str">
        <f t="shared" si="227"/>
        <v>-</v>
      </c>
      <c r="N205" s="256" t="str">
        <f t="shared" si="228"/>
        <v>-</v>
      </c>
      <c r="O205" s="256" t="str">
        <f t="shared" si="229"/>
        <v>-</v>
      </c>
      <c r="P205" s="256" t="str">
        <f t="shared" si="230"/>
        <v>-</v>
      </c>
      <c r="Q205" s="256" t="str">
        <f t="shared" si="231"/>
        <v>-</v>
      </c>
      <c r="R205" s="256" t="str">
        <f t="shared" si="232"/>
        <v>-</v>
      </c>
      <c r="S205" s="256" t="str">
        <f t="shared" si="233"/>
        <v>-</v>
      </c>
      <c r="T205" s="256" t="str">
        <f t="shared" si="234"/>
        <v>-</v>
      </c>
      <c r="U205" s="256" t="str">
        <f t="shared" si="235"/>
        <v>-</v>
      </c>
      <c r="V205" s="256" t="str">
        <f t="shared" si="236"/>
        <v>-</v>
      </c>
      <c r="W205" s="255"/>
      <c r="X205" s="255"/>
      <c r="Y205" s="255"/>
      <c r="Z205" s="255"/>
      <c r="AA205" s="255"/>
      <c r="AB205" s="255"/>
      <c r="AC205" s="255"/>
      <c r="AD205" s="255"/>
      <c r="AE205" s="255"/>
      <c r="AF205" s="262" t="s">
        <v>415</v>
      </c>
      <c r="AG205" s="263" t="s">
        <v>415</v>
      </c>
      <c r="AH205" s="263" t="s">
        <v>415</v>
      </c>
      <c r="AI205" s="263" t="s">
        <v>415</v>
      </c>
      <c r="AJ205" s="263" t="s">
        <v>415</v>
      </c>
      <c r="AK205" s="263" t="s">
        <v>415</v>
      </c>
      <c r="AL205" s="263" t="s">
        <v>415</v>
      </c>
      <c r="AM205" s="263" t="s">
        <v>415</v>
      </c>
      <c r="AN205" s="263" t="s">
        <v>415</v>
      </c>
      <c r="AO205" s="263" t="s">
        <v>415</v>
      </c>
      <c r="AP205" s="263" t="s">
        <v>415</v>
      </c>
      <c r="AQ205" s="263" t="s">
        <v>415</v>
      </c>
      <c r="AR205" s="263" t="s">
        <v>415</v>
      </c>
      <c r="AS205" s="263" t="s">
        <v>415</v>
      </c>
      <c r="AT205" s="263" t="s">
        <v>415</v>
      </c>
      <c r="AU205" s="263" t="s">
        <v>415</v>
      </c>
      <c r="AV205" s="263" t="s">
        <v>415</v>
      </c>
      <c r="AW205" s="263" t="s">
        <v>415</v>
      </c>
      <c r="AX205" s="263" t="s">
        <v>415</v>
      </c>
      <c r="AY205" s="263" t="s">
        <v>415</v>
      </c>
      <c r="AZ205" s="263" t="s">
        <v>415</v>
      </c>
      <c r="BA205" s="263" t="s">
        <v>415</v>
      </c>
      <c r="BB205" s="263" t="s">
        <v>415</v>
      </c>
      <c r="BC205" s="263" t="s">
        <v>415</v>
      </c>
      <c r="BD205" s="263" t="s">
        <v>415</v>
      </c>
      <c r="BE205" s="263" t="s">
        <v>415</v>
      </c>
      <c r="BF205" s="264" t="s">
        <v>415</v>
      </c>
    </row>
    <row r="206" spans="2:58">
      <c r="B206" s="5" t="s">
        <v>325</v>
      </c>
      <c r="C206" s="5" t="str">
        <f t="shared" ca="1" si="237"/>
        <v>Reinvesticijos (po priemonės įgyvendinimo)</v>
      </c>
      <c r="D206" t="str">
        <f t="shared" si="238"/>
        <v>True</v>
      </c>
      <c r="E206" s="256">
        <f t="shared" si="219"/>
        <v>3.0443890033092325E-5</v>
      </c>
      <c r="F206" s="256">
        <f t="shared" si="220"/>
        <v>-3.0442036485432996E-5</v>
      </c>
      <c r="G206" s="256">
        <f t="shared" si="221"/>
        <v>9.5649673858160744E-6</v>
      </c>
      <c r="H206" s="256">
        <f t="shared" si="222"/>
        <v>-9.5649673859851151E-6</v>
      </c>
      <c r="I206" s="256">
        <f t="shared" si="223"/>
        <v>2.7109088741205479E-9</v>
      </c>
      <c r="J206" s="256">
        <f t="shared" si="224"/>
        <v>-2.7109094580333229E-9</v>
      </c>
      <c r="K206" s="256" t="str">
        <f t="shared" si="225"/>
        <v>-</v>
      </c>
      <c r="L206" s="256" t="str">
        <f t="shared" si="226"/>
        <v>-</v>
      </c>
      <c r="M206" s="256">
        <f t="shared" si="227"/>
        <v>0</v>
      </c>
      <c r="N206" s="256">
        <f t="shared" si="228"/>
        <v>0</v>
      </c>
      <c r="O206" s="256">
        <f t="shared" si="229"/>
        <v>-9.6059437577702977E-5</v>
      </c>
      <c r="P206" s="256">
        <f t="shared" si="230"/>
        <v>9.6059437577546039E-5</v>
      </c>
      <c r="Q206" s="256">
        <f t="shared" si="231"/>
        <v>-3.8949899327324548E-5</v>
      </c>
      <c r="R206" s="256">
        <f t="shared" si="232"/>
        <v>3.8949899327451813E-5</v>
      </c>
      <c r="S206" s="256" t="str">
        <f t="shared" si="233"/>
        <v>-</v>
      </c>
      <c r="T206" s="256" t="str">
        <f t="shared" si="234"/>
        <v>-</v>
      </c>
      <c r="U206" s="256">
        <f t="shared" si="235"/>
        <v>0</v>
      </c>
      <c r="V206" s="256">
        <f t="shared" si="236"/>
        <v>0</v>
      </c>
      <c r="W206" s="255"/>
      <c r="X206" s="255"/>
      <c r="Y206" s="255"/>
      <c r="Z206" s="255"/>
      <c r="AA206" s="255"/>
      <c r="AB206" s="255"/>
      <c r="AC206" s="255"/>
      <c r="AD206" s="255"/>
      <c r="AE206" s="255"/>
      <c r="AF206" s="262">
        <v>4.1828839555608663</v>
      </c>
      <c r="AG206" s="263">
        <v>4.1827566161784082</v>
      </c>
      <c r="AH206" s="263">
        <v>4.1826292845488888</v>
      </c>
      <c r="AI206" s="263">
        <v>352607456.59922206</v>
      </c>
      <c r="AJ206" s="263">
        <v>352604083.95265895</v>
      </c>
      <c r="AK206" s="263">
        <v>352600711.30609578</v>
      </c>
      <c r="AL206" s="263">
        <v>2.2816209711070297</v>
      </c>
      <c r="AM206" s="263">
        <v>2.2816209649217631</v>
      </c>
      <c r="AN206" s="263">
        <v>2.2816209587364953</v>
      </c>
      <c r="AO206" s="263" t="s">
        <v>414</v>
      </c>
      <c r="AP206" s="263" t="s">
        <v>414</v>
      </c>
      <c r="AQ206" s="263" t="s">
        <v>414</v>
      </c>
      <c r="AR206" s="263">
        <v>9.1639999999999997</v>
      </c>
      <c r="AS206" s="263">
        <v>9.1639999999999997</v>
      </c>
      <c r="AT206" s="263">
        <v>9.1639999999999997</v>
      </c>
      <c r="AU206" s="263">
        <v>-47471935.441140488</v>
      </c>
      <c r="AV206" s="263">
        <v>-47476496.006645046</v>
      </c>
      <c r="AW206" s="263">
        <v>-47481056.572149597</v>
      </c>
      <c r="AX206" s="263">
        <v>-117083431.52980639</v>
      </c>
      <c r="AY206" s="263">
        <v>-117087992.09531094</v>
      </c>
      <c r="AZ206" s="263">
        <v>-117092552.66081551</v>
      </c>
      <c r="BA206" s="263" t="s">
        <v>414</v>
      </c>
      <c r="BB206" s="263" t="s">
        <v>414</v>
      </c>
      <c r="BC206" s="263" t="s">
        <v>414</v>
      </c>
      <c r="BD206" s="263">
        <v>3.4471879118721363E-2</v>
      </c>
      <c r="BE206" s="263">
        <v>3.4471879118721363E-2</v>
      </c>
      <c r="BF206" s="264">
        <v>3.4471879118721363E-2</v>
      </c>
    </row>
    <row r="207" spans="2:58" hidden="1">
      <c r="B207" s="5" t="s">
        <v>326</v>
      </c>
      <c r="C207" s="5" t="str">
        <f t="shared" ca="1" si="237"/>
        <v>Likutinė vertė</v>
      </c>
      <c r="D207" t="str">
        <f t="shared" si="238"/>
        <v>False</v>
      </c>
      <c r="E207" s="256" t="str">
        <f t="shared" si="219"/>
        <v>-</v>
      </c>
      <c r="F207" s="256" t="str">
        <f t="shared" si="220"/>
        <v>-</v>
      </c>
      <c r="G207" s="256" t="str">
        <f t="shared" si="221"/>
        <v>-</v>
      </c>
      <c r="H207" s="256" t="str">
        <f t="shared" si="222"/>
        <v>-</v>
      </c>
      <c r="I207" s="256" t="str">
        <f t="shared" si="223"/>
        <v>-</v>
      </c>
      <c r="J207" s="256" t="str">
        <f t="shared" si="224"/>
        <v>-</v>
      </c>
      <c r="K207" s="256" t="str">
        <f t="shared" si="225"/>
        <v>-</v>
      </c>
      <c r="L207" s="256" t="str">
        <f t="shared" si="226"/>
        <v>-</v>
      </c>
      <c r="M207" s="256" t="str">
        <f t="shared" si="227"/>
        <v>-</v>
      </c>
      <c r="N207" s="256" t="str">
        <f t="shared" si="228"/>
        <v>-</v>
      </c>
      <c r="O207" s="256" t="str">
        <f t="shared" si="229"/>
        <v>-</v>
      </c>
      <c r="P207" s="256" t="str">
        <f t="shared" si="230"/>
        <v>-</v>
      </c>
      <c r="Q207" s="256" t="str">
        <f t="shared" si="231"/>
        <v>-</v>
      </c>
      <c r="R207" s="256" t="str">
        <f t="shared" si="232"/>
        <v>-</v>
      </c>
      <c r="S207" s="256" t="str">
        <f t="shared" si="233"/>
        <v>-</v>
      </c>
      <c r="T207" s="256" t="str">
        <f t="shared" si="234"/>
        <v>-</v>
      </c>
      <c r="U207" s="256" t="str">
        <f t="shared" si="235"/>
        <v>-</v>
      </c>
      <c r="V207" s="256" t="str">
        <f t="shared" si="236"/>
        <v>-</v>
      </c>
      <c r="W207" s="255"/>
      <c r="X207" s="255"/>
      <c r="Y207" s="255"/>
      <c r="Z207" s="255"/>
      <c r="AA207" s="255"/>
      <c r="AB207" s="255"/>
      <c r="AC207" s="255"/>
      <c r="AD207" s="255"/>
      <c r="AE207" s="255"/>
      <c r="AF207" s="262" t="s">
        <v>415</v>
      </c>
      <c r="AG207" s="263" t="s">
        <v>415</v>
      </c>
      <c r="AH207" s="263" t="s">
        <v>415</v>
      </c>
      <c r="AI207" s="263" t="s">
        <v>415</v>
      </c>
      <c r="AJ207" s="263" t="s">
        <v>415</v>
      </c>
      <c r="AK207" s="263" t="s">
        <v>415</v>
      </c>
      <c r="AL207" s="263" t="s">
        <v>415</v>
      </c>
      <c r="AM207" s="263" t="s">
        <v>415</v>
      </c>
      <c r="AN207" s="263" t="s">
        <v>415</v>
      </c>
      <c r="AO207" s="263" t="s">
        <v>415</v>
      </c>
      <c r="AP207" s="263" t="s">
        <v>415</v>
      </c>
      <c r="AQ207" s="263" t="s">
        <v>415</v>
      </c>
      <c r="AR207" s="263" t="s">
        <v>415</v>
      </c>
      <c r="AS207" s="263" t="s">
        <v>415</v>
      </c>
      <c r="AT207" s="263" t="s">
        <v>415</v>
      </c>
      <c r="AU207" s="263" t="s">
        <v>415</v>
      </c>
      <c r="AV207" s="263" t="s">
        <v>415</v>
      </c>
      <c r="AW207" s="263" t="s">
        <v>415</v>
      </c>
      <c r="AX207" s="263" t="s">
        <v>415</v>
      </c>
      <c r="AY207" s="263" t="s">
        <v>415</v>
      </c>
      <c r="AZ207" s="263" t="s">
        <v>415</v>
      </c>
      <c r="BA207" s="263" t="s">
        <v>415</v>
      </c>
      <c r="BB207" s="263" t="s">
        <v>415</v>
      </c>
      <c r="BC207" s="263" t="s">
        <v>415</v>
      </c>
      <c r="BD207" s="263" t="s">
        <v>415</v>
      </c>
      <c r="BE207" s="263" t="s">
        <v>415</v>
      </c>
      <c r="BF207" s="264" t="s">
        <v>415</v>
      </c>
    </row>
    <row r="208" spans="2:58">
      <c r="B208" s="5" t="s">
        <v>327</v>
      </c>
      <c r="C208" s="5" t="str">
        <f t="shared" ca="1" si="237"/>
        <v>Indijos–Ramiojo vandenynų regiono politikos studijų programos/-ų parengimas Lietuvos universitetuose</v>
      </c>
      <c r="D208" t="str">
        <f t="shared" si="238"/>
        <v>True</v>
      </c>
      <c r="E208" s="256">
        <f t="shared" si="219"/>
        <v>2.0903211000426409E-6</v>
      </c>
      <c r="F208" s="256">
        <f t="shared" si="220"/>
        <v>-2.0903123614977386E-6</v>
      </c>
      <c r="G208" s="256">
        <f t="shared" si="221"/>
        <v>6.5676298342588995E-7</v>
      </c>
      <c r="H208" s="256">
        <f t="shared" si="222"/>
        <v>-6.5676298342588995E-7</v>
      </c>
      <c r="I208" s="256">
        <f t="shared" si="223"/>
        <v>4.6559966486833761E-7</v>
      </c>
      <c r="J208" s="256">
        <f t="shared" si="224"/>
        <v>-4.656001543818808E-7</v>
      </c>
      <c r="K208" s="256" t="str">
        <f t="shared" si="225"/>
        <v>-</v>
      </c>
      <c r="L208" s="256" t="str">
        <f t="shared" si="226"/>
        <v>-</v>
      </c>
      <c r="M208" s="256">
        <f t="shared" si="227"/>
        <v>0</v>
      </c>
      <c r="N208" s="256">
        <f t="shared" si="228"/>
        <v>0</v>
      </c>
      <c r="O208" s="256">
        <f t="shared" si="229"/>
        <v>-6.1645620212002932E-6</v>
      </c>
      <c r="P208" s="256">
        <f t="shared" si="230"/>
        <v>6.1645620210433609E-6</v>
      </c>
      <c r="Q208" s="256">
        <f t="shared" si="231"/>
        <v>-2.4995885480864814E-6</v>
      </c>
      <c r="R208" s="256">
        <f t="shared" si="232"/>
        <v>2.4995885483410105E-6</v>
      </c>
      <c r="S208" s="256" t="str">
        <f t="shared" si="233"/>
        <v>-</v>
      </c>
      <c r="T208" s="256" t="str">
        <f t="shared" si="234"/>
        <v>-</v>
      </c>
      <c r="U208" s="256">
        <f t="shared" si="235"/>
        <v>0</v>
      </c>
      <c r="V208" s="256">
        <f t="shared" si="236"/>
        <v>0</v>
      </c>
      <c r="W208" s="255"/>
      <c r="X208" s="255"/>
      <c r="Y208" s="255"/>
      <c r="Z208" s="255"/>
      <c r="AA208" s="255"/>
      <c r="AB208" s="255"/>
      <c r="AC208" s="255"/>
      <c r="AD208" s="255"/>
      <c r="AE208" s="255"/>
      <c r="AF208" s="262">
        <v>4.1827653594828194</v>
      </c>
      <c r="AG208" s="263">
        <v>4.1827566161784082</v>
      </c>
      <c r="AH208" s="263">
        <v>4.1827478729105483</v>
      </c>
      <c r="AI208" s="263">
        <v>352604315.5299691</v>
      </c>
      <c r="AJ208" s="263">
        <v>352604083.95265895</v>
      </c>
      <c r="AK208" s="263">
        <v>352603852.37534881</v>
      </c>
      <c r="AL208" s="263">
        <v>2.2816220272437198</v>
      </c>
      <c r="AM208" s="263">
        <v>2.2816209649217631</v>
      </c>
      <c r="AN208" s="263">
        <v>2.2816199025986896</v>
      </c>
      <c r="AO208" s="263" t="s">
        <v>414</v>
      </c>
      <c r="AP208" s="263" t="s">
        <v>414</v>
      </c>
      <c r="AQ208" s="263" t="s">
        <v>414</v>
      </c>
      <c r="AR208" s="263">
        <v>9.1639999999999997</v>
      </c>
      <c r="AS208" s="263">
        <v>9.1639999999999997</v>
      </c>
      <c r="AT208" s="263">
        <v>9.1639999999999997</v>
      </c>
      <c r="AU208" s="263">
        <v>-47476203.334840864</v>
      </c>
      <c r="AV208" s="263">
        <v>-47476496.006645046</v>
      </c>
      <c r="AW208" s="263">
        <v>-47476788.678449221</v>
      </c>
      <c r="AX208" s="263">
        <v>-117087699.42350678</v>
      </c>
      <c r="AY208" s="263">
        <v>-117087992.09531094</v>
      </c>
      <c r="AZ208" s="263">
        <v>-117088284.76711513</v>
      </c>
      <c r="BA208" s="263" t="s">
        <v>414</v>
      </c>
      <c r="BB208" s="263" t="s">
        <v>414</v>
      </c>
      <c r="BC208" s="263" t="s">
        <v>414</v>
      </c>
      <c r="BD208" s="263">
        <v>3.4471879118721363E-2</v>
      </c>
      <c r="BE208" s="263">
        <v>3.4471879118721363E-2</v>
      </c>
      <c r="BF208" s="264">
        <v>3.4471879118721363E-2</v>
      </c>
    </row>
    <row r="209" spans="2:58" hidden="1">
      <c r="B209" s="5" t="s">
        <v>328</v>
      </c>
      <c r="C209" s="5" t="str">
        <f t="shared" ca="1" si="237"/>
        <v>Veikla</v>
      </c>
      <c r="D209" t="str">
        <f t="shared" si="238"/>
        <v>False</v>
      </c>
      <c r="E209" s="256" t="str">
        <f t="shared" si="219"/>
        <v>-</v>
      </c>
      <c r="F209" s="256" t="str">
        <f t="shared" si="220"/>
        <v>-</v>
      </c>
      <c r="G209" s="256" t="str">
        <f t="shared" si="221"/>
        <v>-</v>
      </c>
      <c r="H209" s="256" t="str">
        <f t="shared" si="222"/>
        <v>-</v>
      </c>
      <c r="I209" s="256" t="str">
        <f t="shared" si="223"/>
        <v>-</v>
      </c>
      <c r="J209" s="256" t="str">
        <f t="shared" si="224"/>
        <v>-</v>
      </c>
      <c r="K209" s="256" t="str">
        <f t="shared" si="225"/>
        <v>-</v>
      </c>
      <c r="L209" s="256" t="str">
        <f t="shared" si="226"/>
        <v>-</v>
      </c>
      <c r="M209" s="256" t="str">
        <f t="shared" si="227"/>
        <v>-</v>
      </c>
      <c r="N209" s="256" t="str">
        <f t="shared" si="228"/>
        <v>-</v>
      </c>
      <c r="O209" s="256" t="str">
        <f t="shared" si="229"/>
        <v>-</v>
      </c>
      <c r="P209" s="256" t="str">
        <f t="shared" si="230"/>
        <v>-</v>
      </c>
      <c r="Q209" s="256" t="str">
        <f t="shared" si="231"/>
        <v>-</v>
      </c>
      <c r="R209" s="256" t="str">
        <f t="shared" si="232"/>
        <v>-</v>
      </c>
      <c r="S209" s="256" t="str">
        <f t="shared" si="233"/>
        <v>-</v>
      </c>
      <c r="T209" s="256" t="str">
        <f t="shared" si="234"/>
        <v>-</v>
      </c>
      <c r="U209" s="256" t="str">
        <f t="shared" si="235"/>
        <v>-</v>
      </c>
      <c r="V209" s="256" t="str">
        <f t="shared" si="236"/>
        <v>-</v>
      </c>
      <c r="W209" s="255"/>
      <c r="X209" s="255"/>
      <c r="Y209" s="255"/>
      <c r="Z209" s="255"/>
      <c r="AA209" s="255"/>
      <c r="AB209" s="255"/>
      <c r="AC209" s="255"/>
      <c r="AD209" s="255"/>
      <c r="AE209" s="255"/>
      <c r="AF209" s="262" t="s">
        <v>415</v>
      </c>
      <c r="AG209" s="263" t="s">
        <v>415</v>
      </c>
      <c r="AH209" s="263" t="s">
        <v>415</v>
      </c>
      <c r="AI209" s="263" t="s">
        <v>415</v>
      </c>
      <c r="AJ209" s="263" t="s">
        <v>415</v>
      </c>
      <c r="AK209" s="263" t="s">
        <v>415</v>
      </c>
      <c r="AL209" s="263" t="s">
        <v>415</v>
      </c>
      <c r="AM209" s="263" t="s">
        <v>415</v>
      </c>
      <c r="AN209" s="263" t="s">
        <v>415</v>
      </c>
      <c r="AO209" s="263" t="s">
        <v>415</v>
      </c>
      <c r="AP209" s="263" t="s">
        <v>415</v>
      </c>
      <c r="AQ209" s="263" t="s">
        <v>415</v>
      </c>
      <c r="AR209" s="263" t="s">
        <v>415</v>
      </c>
      <c r="AS209" s="263" t="s">
        <v>415</v>
      </c>
      <c r="AT209" s="263" t="s">
        <v>415</v>
      </c>
      <c r="AU209" s="263" t="s">
        <v>415</v>
      </c>
      <c r="AV209" s="263" t="s">
        <v>415</v>
      </c>
      <c r="AW209" s="263" t="s">
        <v>415</v>
      </c>
      <c r="AX209" s="263" t="s">
        <v>415</v>
      </c>
      <c r="AY209" s="263" t="s">
        <v>415</v>
      </c>
      <c r="AZ209" s="263" t="s">
        <v>415</v>
      </c>
      <c r="BA209" s="263" t="s">
        <v>415</v>
      </c>
      <c r="BB209" s="263" t="s">
        <v>415</v>
      </c>
      <c r="BC209" s="263" t="s">
        <v>415</v>
      </c>
      <c r="BD209" s="263" t="s">
        <v>415</v>
      </c>
      <c r="BE209" s="263" t="s">
        <v>415</v>
      </c>
      <c r="BF209" s="264" t="s">
        <v>415</v>
      </c>
    </row>
    <row r="210" spans="2:58" hidden="1">
      <c r="B210" s="5" t="s">
        <v>329</v>
      </c>
      <c r="C210" s="5" t="str">
        <f t="shared" ca="1" si="237"/>
        <v>Veikla</v>
      </c>
      <c r="D210" t="str">
        <f t="shared" si="238"/>
        <v>False</v>
      </c>
      <c r="E210" s="256" t="str">
        <f t="shared" si="219"/>
        <v>-</v>
      </c>
      <c r="F210" s="256" t="str">
        <f t="shared" si="220"/>
        <v>-</v>
      </c>
      <c r="G210" s="256" t="str">
        <f t="shared" si="221"/>
        <v>-</v>
      </c>
      <c r="H210" s="256" t="str">
        <f t="shared" si="222"/>
        <v>-</v>
      </c>
      <c r="I210" s="256" t="str">
        <f t="shared" si="223"/>
        <v>-</v>
      </c>
      <c r="J210" s="256" t="str">
        <f t="shared" si="224"/>
        <v>-</v>
      </c>
      <c r="K210" s="256" t="str">
        <f t="shared" si="225"/>
        <v>-</v>
      </c>
      <c r="L210" s="256" t="str">
        <f t="shared" si="226"/>
        <v>-</v>
      </c>
      <c r="M210" s="256" t="str">
        <f t="shared" si="227"/>
        <v>-</v>
      </c>
      <c r="N210" s="256" t="str">
        <f t="shared" si="228"/>
        <v>-</v>
      </c>
      <c r="O210" s="256" t="str">
        <f t="shared" si="229"/>
        <v>-</v>
      </c>
      <c r="P210" s="256" t="str">
        <f t="shared" si="230"/>
        <v>-</v>
      </c>
      <c r="Q210" s="256" t="str">
        <f t="shared" si="231"/>
        <v>-</v>
      </c>
      <c r="R210" s="256" t="str">
        <f t="shared" si="232"/>
        <v>-</v>
      </c>
      <c r="S210" s="256" t="str">
        <f t="shared" si="233"/>
        <v>-</v>
      </c>
      <c r="T210" s="256" t="str">
        <f t="shared" si="234"/>
        <v>-</v>
      </c>
      <c r="U210" s="256" t="str">
        <f t="shared" si="235"/>
        <v>-</v>
      </c>
      <c r="V210" s="256" t="str">
        <f t="shared" si="236"/>
        <v>-</v>
      </c>
      <c r="W210" s="255"/>
      <c r="X210" s="255"/>
      <c r="Y210" s="255"/>
      <c r="Z210" s="255"/>
      <c r="AA210" s="255"/>
      <c r="AB210" s="255"/>
      <c r="AC210" s="255"/>
      <c r="AD210" s="255"/>
      <c r="AE210" s="255"/>
      <c r="AF210" s="262" t="s">
        <v>415</v>
      </c>
      <c r="AG210" s="263" t="s">
        <v>415</v>
      </c>
      <c r="AH210" s="263" t="s">
        <v>415</v>
      </c>
      <c r="AI210" s="263" t="s">
        <v>415</v>
      </c>
      <c r="AJ210" s="263" t="s">
        <v>415</v>
      </c>
      <c r="AK210" s="263" t="s">
        <v>415</v>
      </c>
      <c r="AL210" s="263" t="s">
        <v>415</v>
      </c>
      <c r="AM210" s="263" t="s">
        <v>415</v>
      </c>
      <c r="AN210" s="263" t="s">
        <v>415</v>
      </c>
      <c r="AO210" s="263" t="s">
        <v>415</v>
      </c>
      <c r="AP210" s="263" t="s">
        <v>415</v>
      </c>
      <c r="AQ210" s="263" t="s">
        <v>415</v>
      </c>
      <c r="AR210" s="263" t="s">
        <v>415</v>
      </c>
      <c r="AS210" s="263" t="s">
        <v>415</v>
      </c>
      <c r="AT210" s="263" t="s">
        <v>415</v>
      </c>
      <c r="AU210" s="263" t="s">
        <v>415</v>
      </c>
      <c r="AV210" s="263" t="s">
        <v>415</v>
      </c>
      <c r="AW210" s="263" t="s">
        <v>415</v>
      </c>
      <c r="AX210" s="263" t="s">
        <v>415</v>
      </c>
      <c r="AY210" s="263" t="s">
        <v>415</v>
      </c>
      <c r="AZ210" s="263" t="s">
        <v>415</v>
      </c>
      <c r="BA210" s="263" t="s">
        <v>415</v>
      </c>
      <c r="BB210" s="263" t="s">
        <v>415</v>
      </c>
      <c r="BC210" s="263" t="s">
        <v>415</v>
      </c>
      <c r="BD210" s="263" t="s">
        <v>415</v>
      </c>
      <c r="BE210" s="263" t="s">
        <v>415</v>
      </c>
      <c r="BF210" s="264" t="s">
        <v>415</v>
      </c>
    </row>
    <row r="211" spans="2:58" hidden="1">
      <c r="B211" s="5" t="s">
        <v>330</v>
      </c>
      <c r="C211" s="5" t="str">
        <f t="shared" ca="1" si="237"/>
        <v>Veikla</v>
      </c>
      <c r="D211" t="str">
        <f t="shared" si="238"/>
        <v>False</v>
      </c>
      <c r="E211" s="256" t="str">
        <f t="shared" si="219"/>
        <v>-</v>
      </c>
      <c r="F211" s="256" t="str">
        <f t="shared" si="220"/>
        <v>-</v>
      </c>
      <c r="G211" s="256" t="str">
        <f t="shared" si="221"/>
        <v>-</v>
      </c>
      <c r="H211" s="256" t="str">
        <f t="shared" si="222"/>
        <v>-</v>
      </c>
      <c r="I211" s="256" t="str">
        <f t="shared" si="223"/>
        <v>-</v>
      </c>
      <c r="J211" s="256" t="str">
        <f t="shared" si="224"/>
        <v>-</v>
      </c>
      <c r="K211" s="256" t="str">
        <f t="shared" si="225"/>
        <v>-</v>
      </c>
      <c r="L211" s="256" t="str">
        <f t="shared" si="226"/>
        <v>-</v>
      </c>
      <c r="M211" s="256" t="str">
        <f t="shared" si="227"/>
        <v>-</v>
      </c>
      <c r="N211" s="256" t="str">
        <f t="shared" si="228"/>
        <v>-</v>
      </c>
      <c r="O211" s="256" t="str">
        <f t="shared" si="229"/>
        <v>-</v>
      </c>
      <c r="P211" s="256" t="str">
        <f t="shared" si="230"/>
        <v>-</v>
      </c>
      <c r="Q211" s="256" t="str">
        <f t="shared" si="231"/>
        <v>-</v>
      </c>
      <c r="R211" s="256" t="str">
        <f t="shared" si="232"/>
        <v>-</v>
      </c>
      <c r="S211" s="256" t="str">
        <f t="shared" si="233"/>
        <v>-</v>
      </c>
      <c r="T211" s="256" t="str">
        <f t="shared" si="234"/>
        <v>-</v>
      </c>
      <c r="U211" s="256" t="str">
        <f t="shared" si="235"/>
        <v>-</v>
      </c>
      <c r="V211" s="256" t="str">
        <f t="shared" si="236"/>
        <v>-</v>
      </c>
      <c r="W211" s="255"/>
      <c r="X211" s="255"/>
      <c r="Y211" s="255"/>
      <c r="Z211" s="255"/>
      <c r="AA211" s="255"/>
      <c r="AB211" s="255"/>
      <c r="AC211" s="255"/>
      <c r="AD211" s="255"/>
      <c r="AE211" s="255"/>
      <c r="AF211" s="262" t="s">
        <v>415</v>
      </c>
      <c r="AG211" s="263" t="s">
        <v>415</v>
      </c>
      <c r="AH211" s="263" t="s">
        <v>415</v>
      </c>
      <c r="AI211" s="263" t="s">
        <v>415</v>
      </c>
      <c r="AJ211" s="263" t="s">
        <v>415</v>
      </c>
      <c r="AK211" s="263" t="s">
        <v>415</v>
      </c>
      <c r="AL211" s="263" t="s">
        <v>415</v>
      </c>
      <c r="AM211" s="263" t="s">
        <v>415</v>
      </c>
      <c r="AN211" s="263" t="s">
        <v>415</v>
      </c>
      <c r="AO211" s="263" t="s">
        <v>415</v>
      </c>
      <c r="AP211" s="263" t="s">
        <v>415</v>
      </c>
      <c r="AQ211" s="263" t="s">
        <v>415</v>
      </c>
      <c r="AR211" s="263" t="s">
        <v>415</v>
      </c>
      <c r="AS211" s="263" t="s">
        <v>415</v>
      </c>
      <c r="AT211" s="263" t="s">
        <v>415</v>
      </c>
      <c r="AU211" s="263" t="s">
        <v>415</v>
      </c>
      <c r="AV211" s="263" t="s">
        <v>415</v>
      </c>
      <c r="AW211" s="263" t="s">
        <v>415</v>
      </c>
      <c r="AX211" s="263" t="s">
        <v>415</v>
      </c>
      <c r="AY211" s="263" t="s">
        <v>415</v>
      </c>
      <c r="AZ211" s="263" t="s">
        <v>415</v>
      </c>
      <c r="BA211" s="263" t="s">
        <v>415</v>
      </c>
      <c r="BB211" s="263" t="s">
        <v>415</v>
      </c>
      <c r="BC211" s="263" t="s">
        <v>415</v>
      </c>
      <c r="BD211" s="263" t="s">
        <v>415</v>
      </c>
      <c r="BE211" s="263" t="s">
        <v>415</v>
      </c>
      <c r="BF211" s="264" t="s">
        <v>415</v>
      </c>
    </row>
    <row r="212" spans="2:58" hidden="1">
      <c r="B212" s="5" t="s">
        <v>331</v>
      </c>
      <c r="C212" s="5" t="str">
        <f t="shared" ca="1" si="237"/>
        <v>Veikla</v>
      </c>
      <c r="D212" t="str">
        <f t="shared" si="238"/>
        <v>False</v>
      </c>
      <c r="E212" s="256" t="str">
        <f t="shared" si="219"/>
        <v>-</v>
      </c>
      <c r="F212" s="256" t="str">
        <f t="shared" si="220"/>
        <v>-</v>
      </c>
      <c r="G212" s="256" t="str">
        <f t="shared" si="221"/>
        <v>-</v>
      </c>
      <c r="H212" s="256" t="str">
        <f t="shared" si="222"/>
        <v>-</v>
      </c>
      <c r="I212" s="256" t="str">
        <f t="shared" si="223"/>
        <v>-</v>
      </c>
      <c r="J212" s="256" t="str">
        <f t="shared" si="224"/>
        <v>-</v>
      </c>
      <c r="K212" s="256" t="str">
        <f t="shared" si="225"/>
        <v>-</v>
      </c>
      <c r="L212" s="256" t="str">
        <f t="shared" si="226"/>
        <v>-</v>
      </c>
      <c r="M212" s="256" t="str">
        <f t="shared" si="227"/>
        <v>-</v>
      </c>
      <c r="N212" s="256" t="str">
        <f t="shared" si="228"/>
        <v>-</v>
      </c>
      <c r="O212" s="256" t="str">
        <f t="shared" si="229"/>
        <v>-</v>
      </c>
      <c r="P212" s="256" t="str">
        <f t="shared" si="230"/>
        <v>-</v>
      </c>
      <c r="Q212" s="256" t="str">
        <f t="shared" si="231"/>
        <v>-</v>
      </c>
      <c r="R212" s="256" t="str">
        <f t="shared" si="232"/>
        <v>-</v>
      </c>
      <c r="S212" s="256" t="str">
        <f t="shared" si="233"/>
        <v>-</v>
      </c>
      <c r="T212" s="256" t="str">
        <f t="shared" si="234"/>
        <v>-</v>
      </c>
      <c r="U212" s="256" t="str">
        <f t="shared" si="235"/>
        <v>-</v>
      </c>
      <c r="V212" s="256" t="str">
        <f t="shared" si="236"/>
        <v>-</v>
      </c>
      <c r="W212" s="255"/>
      <c r="X212" s="255"/>
      <c r="Y212" s="255"/>
      <c r="Z212" s="255"/>
      <c r="AA212" s="255"/>
      <c r="AB212" s="255"/>
      <c r="AC212" s="255"/>
      <c r="AD212" s="255"/>
      <c r="AE212" s="255"/>
      <c r="AF212" s="262" t="s">
        <v>415</v>
      </c>
      <c r="AG212" s="263" t="s">
        <v>415</v>
      </c>
      <c r="AH212" s="263" t="s">
        <v>415</v>
      </c>
      <c r="AI212" s="263" t="s">
        <v>415</v>
      </c>
      <c r="AJ212" s="263" t="s">
        <v>415</v>
      </c>
      <c r="AK212" s="263" t="s">
        <v>415</v>
      </c>
      <c r="AL212" s="263" t="s">
        <v>415</v>
      </c>
      <c r="AM212" s="263" t="s">
        <v>415</v>
      </c>
      <c r="AN212" s="263" t="s">
        <v>415</v>
      </c>
      <c r="AO212" s="263" t="s">
        <v>415</v>
      </c>
      <c r="AP212" s="263" t="s">
        <v>415</v>
      </c>
      <c r="AQ212" s="263" t="s">
        <v>415</v>
      </c>
      <c r="AR212" s="263" t="s">
        <v>415</v>
      </c>
      <c r="AS212" s="263" t="s">
        <v>415</v>
      </c>
      <c r="AT212" s="263" t="s">
        <v>415</v>
      </c>
      <c r="AU212" s="263" t="s">
        <v>415</v>
      </c>
      <c r="AV212" s="263" t="s">
        <v>415</v>
      </c>
      <c r="AW212" s="263" t="s">
        <v>415</v>
      </c>
      <c r="AX212" s="263" t="s">
        <v>415</v>
      </c>
      <c r="AY212" s="263" t="s">
        <v>415</v>
      </c>
      <c r="AZ212" s="263" t="s">
        <v>415</v>
      </c>
      <c r="BA212" s="263" t="s">
        <v>415</v>
      </c>
      <c r="BB212" s="263" t="s">
        <v>415</v>
      </c>
      <c r="BC212" s="263" t="s">
        <v>415</v>
      </c>
      <c r="BD212" s="263" t="s">
        <v>415</v>
      </c>
      <c r="BE212" s="263" t="s">
        <v>415</v>
      </c>
      <c r="BF212" s="264" t="s">
        <v>415</v>
      </c>
    </row>
    <row r="213" spans="2:58" hidden="1">
      <c r="B213" s="5" t="s">
        <v>332</v>
      </c>
      <c r="C213" s="5" t="str">
        <f t="shared" ca="1" si="237"/>
        <v>Veikla</v>
      </c>
      <c r="D213" t="str">
        <f t="shared" si="238"/>
        <v>False</v>
      </c>
      <c r="E213" s="256" t="str">
        <f t="shared" si="219"/>
        <v>-</v>
      </c>
      <c r="F213" s="256" t="str">
        <f t="shared" si="220"/>
        <v>-</v>
      </c>
      <c r="G213" s="256" t="str">
        <f t="shared" si="221"/>
        <v>-</v>
      </c>
      <c r="H213" s="256" t="str">
        <f t="shared" si="222"/>
        <v>-</v>
      </c>
      <c r="I213" s="256" t="str">
        <f t="shared" si="223"/>
        <v>-</v>
      </c>
      <c r="J213" s="256" t="str">
        <f t="shared" si="224"/>
        <v>-</v>
      </c>
      <c r="K213" s="256" t="str">
        <f t="shared" si="225"/>
        <v>-</v>
      </c>
      <c r="L213" s="256" t="str">
        <f t="shared" si="226"/>
        <v>-</v>
      </c>
      <c r="M213" s="256" t="str">
        <f t="shared" si="227"/>
        <v>-</v>
      </c>
      <c r="N213" s="256" t="str">
        <f t="shared" si="228"/>
        <v>-</v>
      </c>
      <c r="O213" s="256" t="str">
        <f t="shared" si="229"/>
        <v>-</v>
      </c>
      <c r="P213" s="256" t="str">
        <f t="shared" si="230"/>
        <v>-</v>
      </c>
      <c r="Q213" s="256" t="str">
        <f t="shared" si="231"/>
        <v>-</v>
      </c>
      <c r="R213" s="256" t="str">
        <f t="shared" si="232"/>
        <v>-</v>
      </c>
      <c r="S213" s="256" t="str">
        <f t="shared" si="233"/>
        <v>-</v>
      </c>
      <c r="T213" s="256" t="str">
        <f t="shared" si="234"/>
        <v>-</v>
      </c>
      <c r="U213" s="256" t="str">
        <f t="shared" si="235"/>
        <v>-</v>
      </c>
      <c r="V213" s="256" t="str">
        <f t="shared" si="236"/>
        <v>-</v>
      </c>
      <c r="W213" s="255"/>
      <c r="X213" s="255"/>
      <c r="Y213" s="255"/>
      <c r="Z213" s="255"/>
      <c r="AA213" s="255"/>
      <c r="AB213" s="255"/>
      <c r="AC213" s="255"/>
      <c r="AD213" s="255"/>
      <c r="AE213" s="255"/>
      <c r="AF213" s="262" t="s">
        <v>415</v>
      </c>
      <c r="AG213" s="263" t="s">
        <v>415</v>
      </c>
      <c r="AH213" s="263" t="s">
        <v>415</v>
      </c>
      <c r="AI213" s="263" t="s">
        <v>415</v>
      </c>
      <c r="AJ213" s="263" t="s">
        <v>415</v>
      </c>
      <c r="AK213" s="263" t="s">
        <v>415</v>
      </c>
      <c r="AL213" s="263" t="s">
        <v>415</v>
      </c>
      <c r="AM213" s="263" t="s">
        <v>415</v>
      </c>
      <c r="AN213" s="263" t="s">
        <v>415</v>
      </c>
      <c r="AO213" s="263" t="s">
        <v>415</v>
      </c>
      <c r="AP213" s="263" t="s">
        <v>415</v>
      </c>
      <c r="AQ213" s="263" t="s">
        <v>415</v>
      </c>
      <c r="AR213" s="263" t="s">
        <v>415</v>
      </c>
      <c r="AS213" s="263" t="s">
        <v>415</v>
      </c>
      <c r="AT213" s="263" t="s">
        <v>415</v>
      </c>
      <c r="AU213" s="263" t="s">
        <v>415</v>
      </c>
      <c r="AV213" s="263" t="s">
        <v>415</v>
      </c>
      <c r="AW213" s="263" t="s">
        <v>415</v>
      </c>
      <c r="AX213" s="263" t="s">
        <v>415</v>
      </c>
      <c r="AY213" s="263" t="s">
        <v>415</v>
      </c>
      <c r="AZ213" s="263" t="s">
        <v>415</v>
      </c>
      <c r="BA213" s="263" t="s">
        <v>415</v>
      </c>
      <c r="BB213" s="263" t="s">
        <v>415</v>
      </c>
      <c r="BC213" s="263" t="s">
        <v>415</v>
      </c>
      <c r="BD213" s="263" t="s">
        <v>415</v>
      </c>
      <c r="BE213" s="263" t="s">
        <v>415</v>
      </c>
      <c r="BF213" s="264" t="s">
        <v>415</v>
      </c>
    </row>
    <row r="214" spans="2:58" hidden="1">
      <c r="B214" s="5" t="s">
        <v>333</v>
      </c>
      <c r="C214" s="5" t="str">
        <f t="shared" ca="1" si="237"/>
        <v>Veikla</v>
      </c>
      <c r="D214" t="str">
        <f t="shared" si="238"/>
        <v>False</v>
      </c>
      <c r="E214" s="256" t="str">
        <f t="shared" si="219"/>
        <v>-</v>
      </c>
      <c r="F214" s="256" t="str">
        <f t="shared" si="220"/>
        <v>-</v>
      </c>
      <c r="G214" s="256" t="str">
        <f t="shared" si="221"/>
        <v>-</v>
      </c>
      <c r="H214" s="256" t="str">
        <f t="shared" si="222"/>
        <v>-</v>
      </c>
      <c r="I214" s="256" t="str">
        <f t="shared" si="223"/>
        <v>-</v>
      </c>
      <c r="J214" s="256" t="str">
        <f t="shared" si="224"/>
        <v>-</v>
      </c>
      <c r="K214" s="256" t="str">
        <f t="shared" si="225"/>
        <v>-</v>
      </c>
      <c r="L214" s="256" t="str">
        <f t="shared" si="226"/>
        <v>-</v>
      </c>
      <c r="M214" s="256" t="str">
        <f t="shared" si="227"/>
        <v>-</v>
      </c>
      <c r="N214" s="256" t="str">
        <f t="shared" si="228"/>
        <v>-</v>
      </c>
      <c r="O214" s="256" t="str">
        <f t="shared" si="229"/>
        <v>-</v>
      </c>
      <c r="P214" s="256" t="str">
        <f t="shared" si="230"/>
        <v>-</v>
      </c>
      <c r="Q214" s="256" t="str">
        <f t="shared" si="231"/>
        <v>-</v>
      </c>
      <c r="R214" s="256" t="str">
        <f t="shared" si="232"/>
        <v>-</v>
      </c>
      <c r="S214" s="256" t="str">
        <f t="shared" si="233"/>
        <v>-</v>
      </c>
      <c r="T214" s="256" t="str">
        <f t="shared" si="234"/>
        <v>-</v>
      </c>
      <c r="U214" s="256" t="str">
        <f t="shared" si="235"/>
        <v>-</v>
      </c>
      <c r="V214" s="256" t="str">
        <f t="shared" si="236"/>
        <v>-</v>
      </c>
      <c r="W214" s="255"/>
      <c r="X214" s="255"/>
      <c r="Y214" s="255"/>
      <c r="Z214" s="255"/>
      <c r="AA214" s="255"/>
      <c r="AB214" s="255"/>
      <c r="AC214" s="255"/>
      <c r="AD214" s="255"/>
      <c r="AE214" s="255"/>
      <c r="AF214" s="262" t="s">
        <v>415</v>
      </c>
      <c r="AG214" s="263" t="s">
        <v>415</v>
      </c>
      <c r="AH214" s="263" t="s">
        <v>415</v>
      </c>
      <c r="AI214" s="263" t="s">
        <v>415</v>
      </c>
      <c r="AJ214" s="263" t="s">
        <v>415</v>
      </c>
      <c r="AK214" s="263" t="s">
        <v>415</v>
      </c>
      <c r="AL214" s="263" t="s">
        <v>415</v>
      </c>
      <c r="AM214" s="263" t="s">
        <v>415</v>
      </c>
      <c r="AN214" s="263" t="s">
        <v>415</v>
      </c>
      <c r="AO214" s="263" t="s">
        <v>415</v>
      </c>
      <c r="AP214" s="263" t="s">
        <v>415</v>
      </c>
      <c r="AQ214" s="263" t="s">
        <v>415</v>
      </c>
      <c r="AR214" s="263" t="s">
        <v>415</v>
      </c>
      <c r="AS214" s="263" t="s">
        <v>415</v>
      </c>
      <c r="AT214" s="263" t="s">
        <v>415</v>
      </c>
      <c r="AU214" s="263" t="s">
        <v>415</v>
      </c>
      <c r="AV214" s="263" t="s">
        <v>415</v>
      </c>
      <c r="AW214" s="263" t="s">
        <v>415</v>
      </c>
      <c r="AX214" s="263" t="s">
        <v>415</v>
      </c>
      <c r="AY214" s="263" t="s">
        <v>415</v>
      </c>
      <c r="AZ214" s="263" t="s">
        <v>415</v>
      </c>
      <c r="BA214" s="263" t="s">
        <v>415</v>
      </c>
      <c r="BB214" s="263" t="s">
        <v>415</v>
      </c>
      <c r="BC214" s="263" t="s">
        <v>415</v>
      </c>
      <c r="BD214" s="263" t="s">
        <v>415</v>
      </c>
      <c r="BE214" s="263" t="s">
        <v>415</v>
      </c>
      <c r="BF214" s="264" t="s">
        <v>415</v>
      </c>
    </row>
    <row r="215" spans="2:58" hidden="1">
      <c r="B215" s="5" t="s">
        <v>334</v>
      </c>
      <c r="C215" s="5" t="str">
        <f t="shared" ca="1" si="237"/>
        <v>Veikla</v>
      </c>
      <c r="D215" t="str">
        <f t="shared" si="238"/>
        <v>False</v>
      </c>
      <c r="E215" s="256" t="str">
        <f t="shared" si="219"/>
        <v>-</v>
      </c>
      <c r="F215" s="256" t="str">
        <f t="shared" si="220"/>
        <v>-</v>
      </c>
      <c r="G215" s="256" t="str">
        <f t="shared" si="221"/>
        <v>-</v>
      </c>
      <c r="H215" s="256" t="str">
        <f t="shared" si="222"/>
        <v>-</v>
      </c>
      <c r="I215" s="256" t="str">
        <f t="shared" si="223"/>
        <v>-</v>
      </c>
      <c r="J215" s="256" t="str">
        <f t="shared" si="224"/>
        <v>-</v>
      </c>
      <c r="K215" s="256" t="str">
        <f t="shared" si="225"/>
        <v>-</v>
      </c>
      <c r="L215" s="256" t="str">
        <f t="shared" si="226"/>
        <v>-</v>
      </c>
      <c r="M215" s="256" t="str">
        <f t="shared" si="227"/>
        <v>-</v>
      </c>
      <c r="N215" s="256" t="str">
        <f t="shared" si="228"/>
        <v>-</v>
      </c>
      <c r="O215" s="256" t="str">
        <f t="shared" si="229"/>
        <v>-</v>
      </c>
      <c r="P215" s="256" t="str">
        <f t="shared" si="230"/>
        <v>-</v>
      </c>
      <c r="Q215" s="256" t="str">
        <f t="shared" si="231"/>
        <v>-</v>
      </c>
      <c r="R215" s="256" t="str">
        <f t="shared" si="232"/>
        <v>-</v>
      </c>
      <c r="S215" s="256" t="str">
        <f t="shared" si="233"/>
        <v>-</v>
      </c>
      <c r="T215" s="256" t="str">
        <f t="shared" si="234"/>
        <v>-</v>
      </c>
      <c r="U215" s="256" t="str">
        <f t="shared" si="235"/>
        <v>-</v>
      </c>
      <c r="V215" s="256" t="str">
        <f t="shared" si="236"/>
        <v>-</v>
      </c>
      <c r="W215" s="255"/>
      <c r="X215" s="255"/>
      <c r="Y215" s="255"/>
      <c r="Z215" s="255"/>
      <c r="AA215" s="255"/>
      <c r="AB215" s="255"/>
      <c r="AC215" s="255"/>
      <c r="AD215" s="255"/>
      <c r="AE215" s="255"/>
      <c r="AF215" s="262" t="s">
        <v>415</v>
      </c>
      <c r="AG215" s="263" t="s">
        <v>415</v>
      </c>
      <c r="AH215" s="263" t="s">
        <v>415</v>
      </c>
      <c r="AI215" s="263" t="s">
        <v>415</v>
      </c>
      <c r="AJ215" s="263" t="s">
        <v>415</v>
      </c>
      <c r="AK215" s="263" t="s">
        <v>415</v>
      </c>
      <c r="AL215" s="263" t="s">
        <v>415</v>
      </c>
      <c r="AM215" s="263" t="s">
        <v>415</v>
      </c>
      <c r="AN215" s="263" t="s">
        <v>415</v>
      </c>
      <c r="AO215" s="263" t="s">
        <v>415</v>
      </c>
      <c r="AP215" s="263" t="s">
        <v>415</v>
      </c>
      <c r="AQ215" s="263" t="s">
        <v>415</v>
      </c>
      <c r="AR215" s="263" t="s">
        <v>415</v>
      </c>
      <c r="AS215" s="263" t="s">
        <v>415</v>
      </c>
      <c r="AT215" s="263" t="s">
        <v>415</v>
      </c>
      <c r="AU215" s="263" t="s">
        <v>415</v>
      </c>
      <c r="AV215" s="263" t="s">
        <v>415</v>
      </c>
      <c r="AW215" s="263" t="s">
        <v>415</v>
      </c>
      <c r="AX215" s="263" t="s">
        <v>415</v>
      </c>
      <c r="AY215" s="263" t="s">
        <v>415</v>
      </c>
      <c r="AZ215" s="263" t="s">
        <v>415</v>
      </c>
      <c r="BA215" s="263" t="s">
        <v>415</v>
      </c>
      <c r="BB215" s="263" t="s">
        <v>415</v>
      </c>
      <c r="BC215" s="263" t="s">
        <v>415</v>
      </c>
      <c r="BD215" s="263" t="s">
        <v>415</v>
      </c>
      <c r="BE215" s="263" t="s">
        <v>415</v>
      </c>
      <c r="BF215" s="264" t="s">
        <v>415</v>
      </c>
    </row>
    <row r="216" spans="2:58" hidden="1">
      <c r="B216" s="5" t="s">
        <v>335</v>
      </c>
      <c r="C216" s="5" t="str">
        <f t="shared" ca="1" si="237"/>
        <v>Reinvesticijos (po priemonės įgyvendinimo)</v>
      </c>
      <c r="D216" t="str">
        <f t="shared" si="238"/>
        <v>False</v>
      </c>
      <c r="E216" s="256" t="str">
        <f t="shared" si="219"/>
        <v>-</v>
      </c>
      <c r="F216" s="256" t="str">
        <f t="shared" si="220"/>
        <v>-</v>
      </c>
      <c r="G216" s="256" t="str">
        <f t="shared" si="221"/>
        <v>-</v>
      </c>
      <c r="H216" s="256" t="str">
        <f t="shared" si="222"/>
        <v>-</v>
      </c>
      <c r="I216" s="256" t="str">
        <f t="shared" si="223"/>
        <v>-</v>
      </c>
      <c r="J216" s="256" t="str">
        <f t="shared" si="224"/>
        <v>-</v>
      </c>
      <c r="K216" s="256" t="str">
        <f t="shared" si="225"/>
        <v>-</v>
      </c>
      <c r="L216" s="256" t="str">
        <f t="shared" si="226"/>
        <v>-</v>
      </c>
      <c r="M216" s="256" t="str">
        <f t="shared" si="227"/>
        <v>-</v>
      </c>
      <c r="N216" s="256" t="str">
        <f t="shared" si="228"/>
        <v>-</v>
      </c>
      <c r="O216" s="256" t="str">
        <f t="shared" si="229"/>
        <v>-</v>
      </c>
      <c r="P216" s="256" t="str">
        <f t="shared" si="230"/>
        <v>-</v>
      </c>
      <c r="Q216" s="256" t="str">
        <f t="shared" si="231"/>
        <v>-</v>
      </c>
      <c r="R216" s="256" t="str">
        <f t="shared" si="232"/>
        <v>-</v>
      </c>
      <c r="S216" s="256" t="str">
        <f t="shared" si="233"/>
        <v>-</v>
      </c>
      <c r="T216" s="256" t="str">
        <f t="shared" si="234"/>
        <v>-</v>
      </c>
      <c r="U216" s="256" t="str">
        <f t="shared" si="235"/>
        <v>-</v>
      </c>
      <c r="V216" s="256" t="str">
        <f t="shared" si="236"/>
        <v>-</v>
      </c>
      <c r="W216" s="255"/>
      <c r="X216" s="255"/>
      <c r="Y216" s="255"/>
      <c r="Z216" s="255"/>
      <c r="AA216" s="255"/>
      <c r="AB216" s="255"/>
      <c r="AC216" s="255"/>
      <c r="AD216" s="255"/>
      <c r="AE216" s="255"/>
      <c r="AF216" s="262" t="s">
        <v>415</v>
      </c>
      <c r="AG216" s="263" t="s">
        <v>415</v>
      </c>
      <c r="AH216" s="263" t="s">
        <v>415</v>
      </c>
      <c r="AI216" s="263" t="s">
        <v>415</v>
      </c>
      <c r="AJ216" s="263" t="s">
        <v>415</v>
      </c>
      <c r="AK216" s="263" t="s">
        <v>415</v>
      </c>
      <c r="AL216" s="263" t="s">
        <v>415</v>
      </c>
      <c r="AM216" s="263" t="s">
        <v>415</v>
      </c>
      <c r="AN216" s="263" t="s">
        <v>415</v>
      </c>
      <c r="AO216" s="263" t="s">
        <v>415</v>
      </c>
      <c r="AP216" s="263" t="s">
        <v>415</v>
      </c>
      <c r="AQ216" s="263" t="s">
        <v>415</v>
      </c>
      <c r="AR216" s="263" t="s">
        <v>415</v>
      </c>
      <c r="AS216" s="263" t="s">
        <v>415</v>
      </c>
      <c r="AT216" s="263" t="s">
        <v>415</v>
      </c>
      <c r="AU216" s="263" t="s">
        <v>415</v>
      </c>
      <c r="AV216" s="263" t="s">
        <v>415</v>
      </c>
      <c r="AW216" s="263" t="s">
        <v>415</v>
      </c>
      <c r="AX216" s="263" t="s">
        <v>415</v>
      </c>
      <c r="AY216" s="263" t="s">
        <v>415</v>
      </c>
      <c r="AZ216" s="263" t="s">
        <v>415</v>
      </c>
      <c r="BA216" s="263" t="s">
        <v>415</v>
      </c>
      <c r="BB216" s="263" t="s">
        <v>415</v>
      </c>
      <c r="BC216" s="263" t="s">
        <v>415</v>
      </c>
      <c r="BD216" s="263" t="s">
        <v>415</v>
      </c>
      <c r="BE216" s="263" t="s">
        <v>415</v>
      </c>
      <c r="BF216" s="264" t="s">
        <v>415</v>
      </c>
    </row>
    <row r="217" spans="2:58" hidden="1">
      <c r="B217" s="5" t="s">
        <v>336</v>
      </c>
      <c r="C217" s="5" t="str">
        <f t="shared" ca="1" si="237"/>
        <v>Likutinė vertė</v>
      </c>
      <c r="D217" t="str">
        <f t="shared" si="238"/>
        <v>False</v>
      </c>
      <c r="E217" s="256" t="str">
        <f t="shared" si="219"/>
        <v>-</v>
      </c>
      <c r="F217" s="256" t="str">
        <f t="shared" si="220"/>
        <v>-</v>
      </c>
      <c r="G217" s="256" t="str">
        <f t="shared" si="221"/>
        <v>-</v>
      </c>
      <c r="H217" s="256" t="str">
        <f t="shared" si="222"/>
        <v>-</v>
      </c>
      <c r="I217" s="256" t="str">
        <f t="shared" si="223"/>
        <v>-</v>
      </c>
      <c r="J217" s="256" t="str">
        <f t="shared" si="224"/>
        <v>-</v>
      </c>
      <c r="K217" s="256" t="str">
        <f t="shared" si="225"/>
        <v>-</v>
      </c>
      <c r="L217" s="256" t="str">
        <f t="shared" si="226"/>
        <v>-</v>
      </c>
      <c r="M217" s="256" t="str">
        <f t="shared" si="227"/>
        <v>-</v>
      </c>
      <c r="N217" s="256" t="str">
        <f t="shared" si="228"/>
        <v>-</v>
      </c>
      <c r="O217" s="256" t="str">
        <f t="shared" si="229"/>
        <v>-</v>
      </c>
      <c r="P217" s="256" t="str">
        <f t="shared" si="230"/>
        <v>-</v>
      </c>
      <c r="Q217" s="256" t="str">
        <f t="shared" si="231"/>
        <v>-</v>
      </c>
      <c r="R217" s="256" t="str">
        <f t="shared" si="232"/>
        <v>-</v>
      </c>
      <c r="S217" s="256" t="str">
        <f t="shared" si="233"/>
        <v>-</v>
      </c>
      <c r="T217" s="256" t="str">
        <f t="shared" si="234"/>
        <v>-</v>
      </c>
      <c r="U217" s="256" t="str">
        <f t="shared" si="235"/>
        <v>-</v>
      </c>
      <c r="V217" s="256" t="str">
        <f t="shared" si="236"/>
        <v>-</v>
      </c>
      <c r="W217" s="255"/>
      <c r="X217" s="255"/>
      <c r="Y217" s="255"/>
      <c r="Z217" s="255"/>
      <c r="AA217" s="255"/>
      <c r="AB217" s="255"/>
      <c r="AC217" s="255"/>
      <c r="AD217" s="255"/>
      <c r="AE217" s="255"/>
      <c r="AF217" s="262" t="s">
        <v>415</v>
      </c>
      <c r="AG217" s="263" t="s">
        <v>415</v>
      </c>
      <c r="AH217" s="263" t="s">
        <v>415</v>
      </c>
      <c r="AI217" s="263" t="s">
        <v>415</v>
      </c>
      <c r="AJ217" s="263" t="s">
        <v>415</v>
      </c>
      <c r="AK217" s="263" t="s">
        <v>415</v>
      </c>
      <c r="AL217" s="263" t="s">
        <v>415</v>
      </c>
      <c r="AM217" s="263" t="s">
        <v>415</v>
      </c>
      <c r="AN217" s="263" t="s">
        <v>415</v>
      </c>
      <c r="AO217" s="263" t="s">
        <v>415</v>
      </c>
      <c r="AP217" s="263" t="s">
        <v>415</v>
      </c>
      <c r="AQ217" s="263" t="s">
        <v>415</v>
      </c>
      <c r="AR217" s="263" t="s">
        <v>415</v>
      </c>
      <c r="AS217" s="263" t="s">
        <v>415</v>
      </c>
      <c r="AT217" s="263" t="s">
        <v>415</v>
      </c>
      <c r="AU217" s="263" t="s">
        <v>415</v>
      </c>
      <c r="AV217" s="263" t="s">
        <v>415</v>
      </c>
      <c r="AW217" s="263" t="s">
        <v>415</v>
      </c>
      <c r="AX217" s="263" t="s">
        <v>415</v>
      </c>
      <c r="AY217" s="263" t="s">
        <v>415</v>
      </c>
      <c r="AZ217" s="263" t="s">
        <v>415</v>
      </c>
      <c r="BA217" s="263" t="s">
        <v>415</v>
      </c>
      <c r="BB217" s="263" t="s">
        <v>415</v>
      </c>
      <c r="BC217" s="263" t="s">
        <v>415</v>
      </c>
      <c r="BD217" s="263" t="s">
        <v>415</v>
      </c>
      <c r="BE217" s="263" t="s">
        <v>415</v>
      </c>
      <c r="BF217" s="264" t="s">
        <v>415</v>
      </c>
    </row>
    <row r="218" spans="2:58">
      <c r="B218" s="5" t="s">
        <v>337</v>
      </c>
      <c r="C218" s="5" t="str">
        <f t="shared" ca="1" si="237"/>
        <v>Ekonominės diplomatijos funkcijų stiprinimas</v>
      </c>
      <c r="D218" t="str">
        <f t="shared" si="238"/>
        <v>True</v>
      </c>
      <c r="E218" s="256">
        <f t="shared" si="219"/>
        <v>7.5954266322309419E-5</v>
      </c>
      <c r="F218" s="256">
        <f t="shared" si="220"/>
        <v>-7.5942729973625911E-5</v>
      </c>
      <c r="G218" s="256">
        <f t="shared" si="221"/>
        <v>2.3862489932056191E-5</v>
      </c>
      <c r="H218" s="256">
        <f t="shared" si="222"/>
        <v>-2.3862489932056191E-5</v>
      </c>
      <c r="I218" s="256">
        <f t="shared" si="223"/>
        <v>2.60223893549085E-4</v>
      </c>
      <c r="J218" s="256">
        <f t="shared" si="224"/>
        <v>-2.6016927780485771E-4</v>
      </c>
      <c r="K218" s="256" t="str">
        <f t="shared" si="225"/>
        <v>-</v>
      </c>
      <c r="L218" s="256" t="str">
        <f t="shared" si="226"/>
        <v>-</v>
      </c>
      <c r="M218" s="256">
        <f t="shared" si="227"/>
        <v>0</v>
      </c>
      <c r="N218" s="256">
        <f t="shared" si="228"/>
        <v>0</v>
      </c>
      <c r="O218" s="256">
        <f t="shared" si="229"/>
        <v>-1.8067601737295635E-4</v>
      </c>
      <c r="P218" s="256">
        <f t="shared" si="230"/>
        <v>1.806760173726425E-4</v>
      </c>
      <c r="Q218" s="256">
        <f t="shared" si="231"/>
        <v>-7.3259982204782918E-5</v>
      </c>
      <c r="R218" s="256">
        <f t="shared" si="232"/>
        <v>7.3259982204782918E-5</v>
      </c>
      <c r="S218" s="256" t="str">
        <f t="shared" si="233"/>
        <v>-</v>
      </c>
      <c r="T218" s="256" t="str">
        <f t="shared" si="234"/>
        <v>-</v>
      </c>
      <c r="U218" s="256">
        <f t="shared" si="235"/>
        <v>0</v>
      </c>
      <c r="V218" s="256">
        <f t="shared" si="236"/>
        <v>0</v>
      </c>
      <c r="W218" s="255"/>
      <c r="X218" s="255"/>
      <c r="Y218" s="255"/>
      <c r="Z218" s="255"/>
      <c r="AA218" s="255"/>
      <c r="AB218" s="255"/>
      <c r="AC218" s="255"/>
      <c r="AD218" s="255"/>
      <c r="AE218" s="255"/>
      <c r="AF218" s="262">
        <v>4.1830743143883948</v>
      </c>
      <c r="AG218" s="263">
        <v>4.1827566161784082</v>
      </c>
      <c r="AH218" s="263">
        <v>4.1824389662221604</v>
      </c>
      <c r="AI218" s="263">
        <v>352612497.96406227</v>
      </c>
      <c r="AJ218" s="263">
        <v>352604083.95265895</v>
      </c>
      <c r="AK218" s="263">
        <v>352595669.94125563</v>
      </c>
      <c r="AL218" s="263">
        <v>2.2822146972128583</v>
      </c>
      <c r="AM218" s="263">
        <v>2.2816209649217631</v>
      </c>
      <c r="AN218" s="263">
        <v>2.281027357243095</v>
      </c>
      <c r="AO218" s="263" t="s">
        <v>414</v>
      </c>
      <c r="AP218" s="263" t="s">
        <v>414</v>
      </c>
      <c r="AQ218" s="263" t="s">
        <v>414</v>
      </c>
      <c r="AR218" s="263">
        <v>9.1639999999999997</v>
      </c>
      <c r="AS218" s="263">
        <v>9.1639999999999997</v>
      </c>
      <c r="AT218" s="263">
        <v>9.1639999999999997</v>
      </c>
      <c r="AU218" s="263">
        <v>-47467918.142427742</v>
      </c>
      <c r="AV218" s="263">
        <v>-47476496.006645046</v>
      </c>
      <c r="AW218" s="263">
        <v>-47485073.870862335</v>
      </c>
      <c r="AX218" s="263">
        <v>-117079414.23109365</v>
      </c>
      <c r="AY218" s="263">
        <v>-117087992.09531094</v>
      </c>
      <c r="AZ218" s="263">
        <v>-117096569.95952824</v>
      </c>
      <c r="BA218" s="263" t="s">
        <v>414</v>
      </c>
      <c r="BB218" s="263" t="s">
        <v>414</v>
      </c>
      <c r="BC218" s="263" t="s">
        <v>414</v>
      </c>
      <c r="BD218" s="263">
        <v>3.4471879118721363E-2</v>
      </c>
      <c r="BE218" s="263">
        <v>3.4471879118721363E-2</v>
      </c>
      <c r="BF218" s="264">
        <v>3.4471879118721363E-2</v>
      </c>
    </row>
    <row r="219" spans="2:58">
      <c r="B219" s="5" t="s">
        <v>338</v>
      </c>
      <c r="C219" s="5" t="str">
        <f t="shared" ca="1" si="237"/>
        <v>Darbo su diaspora funkcijų stiprinimas</v>
      </c>
      <c r="D219" t="str">
        <f t="shared" si="238"/>
        <v>True</v>
      </c>
      <c r="E219" s="256">
        <f t="shared" si="219"/>
        <v>6.0551537569300506E-5</v>
      </c>
      <c r="F219" s="256">
        <f t="shared" si="220"/>
        <v>-6.0544205480172985E-5</v>
      </c>
      <c r="G219" s="256">
        <f t="shared" si="221"/>
        <v>1.9023720191170336E-5</v>
      </c>
      <c r="H219" s="256">
        <f t="shared" si="222"/>
        <v>-1.9023720191170336E-5</v>
      </c>
      <c r="I219" s="256">
        <f t="shared" si="223"/>
        <v>1.9338573727458748E-4</v>
      </c>
      <c r="J219" s="256">
        <f t="shared" si="224"/>
        <v>-1.933542110435531E-4</v>
      </c>
      <c r="K219" s="256" t="str">
        <f t="shared" si="225"/>
        <v>-</v>
      </c>
      <c r="L219" s="256" t="str">
        <f t="shared" si="226"/>
        <v>-</v>
      </c>
      <c r="M219" s="256">
        <f t="shared" si="227"/>
        <v>0</v>
      </c>
      <c r="N219" s="256">
        <f t="shared" si="228"/>
        <v>0</v>
      </c>
      <c r="O219" s="256">
        <f t="shared" si="229"/>
        <v>-1.4434504880067925E-4</v>
      </c>
      <c r="P219" s="256">
        <f t="shared" si="230"/>
        <v>1.4434504880052231E-4</v>
      </c>
      <c r="Q219" s="256">
        <f t="shared" si="231"/>
        <v>-5.8528607505656653E-5</v>
      </c>
      <c r="R219" s="256">
        <f t="shared" si="232"/>
        <v>5.8528607505529388E-5</v>
      </c>
      <c r="S219" s="256" t="str">
        <f t="shared" si="233"/>
        <v>-</v>
      </c>
      <c r="T219" s="256" t="str">
        <f t="shared" si="234"/>
        <v>-</v>
      </c>
      <c r="U219" s="256">
        <f t="shared" si="235"/>
        <v>0</v>
      </c>
      <c r="V219" s="256">
        <f t="shared" si="236"/>
        <v>0</v>
      </c>
      <c r="W219" s="255"/>
      <c r="X219" s="255"/>
      <c r="Y219" s="255"/>
      <c r="Z219" s="255"/>
      <c r="AA219" s="255"/>
      <c r="AB219" s="255"/>
      <c r="AC219" s="255"/>
      <c r="AD219" s="255"/>
      <c r="AE219" s="255"/>
      <c r="AF219" s="262">
        <v>4.183009888522796</v>
      </c>
      <c r="AG219" s="263">
        <v>4.1827566161784082</v>
      </c>
      <c r="AH219" s="263">
        <v>4.1825033745023648</v>
      </c>
      <c r="AI219" s="263">
        <v>352610791.79409033</v>
      </c>
      <c r="AJ219" s="263">
        <v>352604083.95265895</v>
      </c>
      <c r="AK219" s="263">
        <v>352597376.11122757</v>
      </c>
      <c r="AL219" s="263">
        <v>2.2820621978742457</v>
      </c>
      <c r="AM219" s="263">
        <v>2.2816209649217631</v>
      </c>
      <c r="AN219" s="263">
        <v>2.2811798039001903</v>
      </c>
      <c r="AO219" s="263" t="s">
        <v>414</v>
      </c>
      <c r="AP219" s="263" t="s">
        <v>414</v>
      </c>
      <c r="AQ219" s="263" t="s">
        <v>414</v>
      </c>
      <c r="AR219" s="263">
        <v>9.1639999999999997</v>
      </c>
      <c r="AS219" s="263">
        <v>9.1639999999999997</v>
      </c>
      <c r="AT219" s="263">
        <v>9.1639999999999997</v>
      </c>
      <c r="AU219" s="263">
        <v>-47469643.009512082</v>
      </c>
      <c r="AV219" s="263">
        <v>-47476496.006645046</v>
      </c>
      <c r="AW219" s="263">
        <v>-47483349.003778003</v>
      </c>
      <c r="AX219" s="263">
        <v>-117081139.09817797</v>
      </c>
      <c r="AY219" s="263">
        <v>-117087992.09531094</v>
      </c>
      <c r="AZ219" s="263">
        <v>-117094845.0924439</v>
      </c>
      <c r="BA219" s="263" t="s">
        <v>414</v>
      </c>
      <c r="BB219" s="263" t="s">
        <v>414</v>
      </c>
      <c r="BC219" s="263" t="s">
        <v>414</v>
      </c>
      <c r="BD219" s="263">
        <v>3.4471879118721363E-2</v>
      </c>
      <c r="BE219" s="263">
        <v>3.4471879118721363E-2</v>
      </c>
      <c r="BF219" s="264">
        <v>3.4471879118721363E-2</v>
      </c>
    </row>
    <row r="220" spans="2:58">
      <c r="B220" s="5" t="s">
        <v>339</v>
      </c>
      <c r="C220" s="5" t="str">
        <f t="shared" ca="1" si="237"/>
        <v xml:space="preserve">Kursai diplomatams, dirbantiems su fondas Indijos–Ramiojo vandenynų regionu </v>
      </c>
      <c r="D220" t="str">
        <f t="shared" si="238"/>
        <v>True</v>
      </c>
      <c r="E220" s="256">
        <f t="shared" si="219"/>
        <v>1.7193232448220595E-6</v>
      </c>
      <c r="F220" s="256">
        <f t="shared" si="220"/>
        <v>-1.719317332772703E-6</v>
      </c>
      <c r="G220" s="256">
        <f t="shared" si="221"/>
        <v>5.4019848089163233E-7</v>
      </c>
      <c r="H220" s="256">
        <f t="shared" si="222"/>
        <v>-5.4019848072259102E-7</v>
      </c>
      <c r="I220" s="256">
        <f t="shared" si="223"/>
        <v>1.3718493281183935E-5</v>
      </c>
      <c r="J220" s="256">
        <f t="shared" si="224"/>
        <v>-1.3718211752505319E-5</v>
      </c>
      <c r="K220" s="256" t="str">
        <f t="shared" si="225"/>
        <v>-</v>
      </c>
      <c r="L220" s="256" t="str">
        <f t="shared" si="226"/>
        <v>-</v>
      </c>
      <c r="M220" s="256">
        <f t="shared" si="227"/>
        <v>0</v>
      </c>
      <c r="N220" s="256">
        <f t="shared" si="228"/>
        <v>0</v>
      </c>
      <c r="O220" s="256">
        <f t="shared" si="229"/>
        <v>-4.0505873113463942E-6</v>
      </c>
      <c r="P220" s="256">
        <f t="shared" si="230"/>
        <v>4.0505873111894618E-6</v>
      </c>
      <c r="Q220" s="256">
        <f t="shared" si="231"/>
        <v>-1.6424202760921286E-6</v>
      </c>
      <c r="R220" s="256">
        <f t="shared" si="232"/>
        <v>1.6424202760921286E-6</v>
      </c>
      <c r="S220" s="256" t="str">
        <f t="shared" si="233"/>
        <v>-</v>
      </c>
      <c r="T220" s="256" t="str">
        <f t="shared" si="234"/>
        <v>-</v>
      </c>
      <c r="U220" s="256">
        <f t="shared" si="235"/>
        <v>0</v>
      </c>
      <c r="V220" s="256">
        <f t="shared" si="236"/>
        <v>0</v>
      </c>
      <c r="W220" s="255"/>
      <c r="X220" s="255"/>
      <c r="Y220" s="255"/>
      <c r="Z220" s="255"/>
      <c r="AA220" s="255"/>
      <c r="AB220" s="255"/>
      <c r="AC220" s="255"/>
      <c r="AD220" s="255"/>
      <c r="AE220" s="255"/>
      <c r="AF220" s="262">
        <v>4.1827638076890858</v>
      </c>
      <c r="AG220" s="263">
        <v>4.1827566161784082</v>
      </c>
      <c r="AH220" s="263">
        <v>4.1827494246924593</v>
      </c>
      <c r="AI220" s="263">
        <v>352604274.42884946</v>
      </c>
      <c r="AJ220" s="263">
        <v>352604083.95265895</v>
      </c>
      <c r="AK220" s="263">
        <v>352603893.4764685</v>
      </c>
      <c r="AL220" s="263">
        <v>2.2816522653236406</v>
      </c>
      <c r="AM220" s="263">
        <v>2.2816209649217631</v>
      </c>
      <c r="AN220" s="263">
        <v>2.2815896651622274</v>
      </c>
      <c r="AO220" s="263" t="s">
        <v>414</v>
      </c>
      <c r="AP220" s="263" t="s">
        <v>414</v>
      </c>
      <c r="AQ220" s="263" t="s">
        <v>414</v>
      </c>
      <c r="AR220" s="263">
        <v>9.1639999999999997</v>
      </c>
      <c r="AS220" s="263">
        <v>9.1639999999999997</v>
      </c>
      <c r="AT220" s="263">
        <v>9.1639999999999997</v>
      </c>
      <c r="AU220" s="263">
        <v>-47476303.698952734</v>
      </c>
      <c r="AV220" s="263">
        <v>-47476496.006645046</v>
      </c>
      <c r="AW220" s="263">
        <v>-47476688.31433735</v>
      </c>
      <c r="AX220" s="263">
        <v>-117087799.78761864</v>
      </c>
      <c r="AY220" s="263">
        <v>-117087992.09531094</v>
      </c>
      <c r="AZ220" s="263">
        <v>-117088184.40300325</v>
      </c>
      <c r="BA220" s="263" t="s">
        <v>414</v>
      </c>
      <c r="BB220" s="263" t="s">
        <v>414</v>
      </c>
      <c r="BC220" s="263" t="s">
        <v>414</v>
      </c>
      <c r="BD220" s="263">
        <v>3.4471879118721363E-2</v>
      </c>
      <c r="BE220" s="263">
        <v>3.4471879118721363E-2</v>
      </c>
      <c r="BF220" s="264">
        <v>3.4471879118721363E-2</v>
      </c>
    </row>
    <row r="221" spans="2:58">
      <c r="B221" s="5" t="s">
        <v>340</v>
      </c>
      <c r="C221" s="5" t="str">
        <f t="shared" ca="1" si="237"/>
        <v>Stipendijų fondas Indijos–Ramiojo vandenynų regiono studijų studentams</v>
      </c>
      <c r="D221" t="str">
        <f t="shared" si="238"/>
        <v>True</v>
      </c>
      <c r="E221" s="256">
        <f t="shared" si="219"/>
        <v>6.5398691711946392E-7</v>
      </c>
      <c r="F221" s="256">
        <f t="shared" si="220"/>
        <v>-6.5398606180250363E-7</v>
      </c>
      <c r="G221" s="256">
        <f t="shared" si="221"/>
        <v>2.0547800813120679E-7</v>
      </c>
      <c r="H221" s="256">
        <f t="shared" si="222"/>
        <v>-2.0547800779312423E-7</v>
      </c>
      <c r="I221" s="256">
        <f t="shared" si="223"/>
        <v>2.9473109983755026E-7</v>
      </c>
      <c r="J221" s="256">
        <f t="shared" si="224"/>
        <v>-2.9473122226459544E-7</v>
      </c>
      <c r="K221" s="256" t="str">
        <f t="shared" si="225"/>
        <v>-</v>
      </c>
      <c r="L221" s="256" t="str">
        <f t="shared" si="226"/>
        <v>-</v>
      </c>
      <c r="M221" s="256">
        <f t="shared" si="227"/>
        <v>0</v>
      </c>
      <c r="N221" s="256">
        <f t="shared" si="228"/>
        <v>0</v>
      </c>
      <c r="O221" s="256">
        <f t="shared" si="229"/>
        <v>-1.5917137142524085E-6</v>
      </c>
      <c r="P221" s="256">
        <f t="shared" si="230"/>
        <v>1.5917137140954766E-6</v>
      </c>
      <c r="Q221" s="256">
        <f t="shared" si="231"/>
        <v>-6.4540341354569874E-7</v>
      </c>
      <c r="R221" s="256">
        <f t="shared" si="232"/>
        <v>6.4540341367296332E-7</v>
      </c>
      <c r="S221" s="256" t="str">
        <f t="shared" si="233"/>
        <v>-</v>
      </c>
      <c r="T221" s="256" t="str">
        <f t="shared" si="234"/>
        <v>-</v>
      </c>
      <c r="U221" s="256">
        <f t="shared" si="235"/>
        <v>0</v>
      </c>
      <c r="V221" s="256">
        <f t="shared" si="236"/>
        <v>0</v>
      </c>
      <c r="W221" s="255"/>
      <c r="X221" s="255"/>
      <c r="Y221" s="255"/>
      <c r="Z221" s="255"/>
      <c r="AA221" s="255"/>
      <c r="AB221" s="255"/>
      <c r="AC221" s="255"/>
      <c r="AD221" s="255"/>
      <c r="AE221" s="255"/>
      <c r="AF221" s="262">
        <v>4.1827593516465127</v>
      </c>
      <c r="AG221" s="263">
        <v>4.1827566161784082</v>
      </c>
      <c r="AH221" s="263">
        <v>4.1827538807138813</v>
      </c>
      <c r="AI221" s="263">
        <v>352604156.40504378</v>
      </c>
      <c r="AJ221" s="263">
        <v>352604083.95265895</v>
      </c>
      <c r="AK221" s="263">
        <v>352604011.50027424</v>
      </c>
      <c r="AL221" s="263">
        <v>2.2816216373864195</v>
      </c>
      <c r="AM221" s="263">
        <v>2.2816209649217631</v>
      </c>
      <c r="AN221" s="263">
        <v>2.2816202924568274</v>
      </c>
      <c r="AO221" s="263" t="s">
        <v>414</v>
      </c>
      <c r="AP221" s="263" t="s">
        <v>414</v>
      </c>
      <c r="AQ221" s="263" t="s">
        <v>414</v>
      </c>
      <c r="AR221" s="263">
        <v>9.1639999999999997</v>
      </c>
      <c r="AS221" s="263">
        <v>9.1639999999999997</v>
      </c>
      <c r="AT221" s="263">
        <v>9.1639999999999997</v>
      </c>
      <c r="AU221" s="263">
        <v>-47476420.437655248</v>
      </c>
      <c r="AV221" s="263">
        <v>-47476496.006645046</v>
      </c>
      <c r="AW221" s="263">
        <v>-47476571.575634837</v>
      </c>
      <c r="AX221" s="263">
        <v>-117087916.52632116</v>
      </c>
      <c r="AY221" s="263">
        <v>-117087992.09531094</v>
      </c>
      <c r="AZ221" s="263">
        <v>-117088067.66430074</v>
      </c>
      <c r="BA221" s="263" t="s">
        <v>414</v>
      </c>
      <c r="BB221" s="263" t="s">
        <v>414</v>
      </c>
      <c r="BC221" s="263" t="s">
        <v>414</v>
      </c>
      <c r="BD221" s="263">
        <v>3.4471879118721363E-2</v>
      </c>
      <c r="BE221" s="263">
        <v>3.4471879118721363E-2</v>
      </c>
      <c r="BF221" s="264">
        <v>3.4471879118721363E-2</v>
      </c>
    </row>
    <row r="222" spans="2:58" hidden="1">
      <c r="B222" s="5" t="s">
        <v>341</v>
      </c>
      <c r="C222" s="5" t="str">
        <f t="shared" ca="1" si="237"/>
        <v/>
      </c>
      <c r="D222" t="str">
        <f t="shared" si="238"/>
        <v>False</v>
      </c>
      <c r="E222" s="256" t="str">
        <f t="shared" si="219"/>
        <v>-</v>
      </c>
      <c r="F222" s="256" t="str">
        <f t="shared" si="220"/>
        <v>-</v>
      </c>
      <c r="G222" s="256" t="str">
        <f t="shared" si="221"/>
        <v>-</v>
      </c>
      <c r="H222" s="256" t="str">
        <f t="shared" si="222"/>
        <v>-</v>
      </c>
      <c r="I222" s="256" t="str">
        <f t="shared" si="223"/>
        <v>-</v>
      </c>
      <c r="J222" s="256" t="str">
        <f t="shared" si="224"/>
        <v>-</v>
      </c>
      <c r="K222" s="256" t="str">
        <f t="shared" si="225"/>
        <v>-</v>
      </c>
      <c r="L222" s="256" t="str">
        <f t="shared" si="226"/>
        <v>-</v>
      </c>
      <c r="M222" s="256" t="str">
        <f t="shared" si="227"/>
        <v>-</v>
      </c>
      <c r="N222" s="256" t="str">
        <f t="shared" si="228"/>
        <v>-</v>
      </c>
      <c r="O222" s="256" t="str">
        <f t="shared" si="229"/>
        <v>-</v>
      </c>
      <c r="P222" s="256" t="str">
        <f t="shared" si="230"/>
        <v>-</v>
      </c>
      <c r="Q222" s="256" t="str">
        <f t="shared" si="231"/>
        <v>-</v>
      </c>
      <c r="R222" s="256" t="str">
        <f t="shared" si="232"/>
        <v>-</v>
      </c>
      <c r="S222" s="256" t="str">
        <f t="shared" si="233"/>
        <v>-</v>
      </c>
      <c r="T222" s="256" t="str">
        <f t="shared" si="234"/>
        <v>-</v>
      </c>
      <c r="U222" s="256" t="str">
        <f t="shared" si="235"/>
        <v>-</v>
      </c>
      <c r="V222" s="256" t="str">
        <f t="shared" si="236"/>
        <v>-</v>
      </c>
      <c r="W222" s="255"/>
      <c r="X222" s="255"/>
      <c r="Y222" s="255"/>
      <c r="Z222" s="255"/>
      <c r="AA222" s="255"/>
      <c r="AB222" s="255"/>
      <c r="AC222" s="255"/>
      <c r="AD222" s="255"/>
      <c r="AE222" s="255"/>
      <c r="AF222" s="262" t="s">
        <v>415</v>
      </c>
      <c r="AG222" s="263" t="s">
        <v>415</v>
      </c>
      <c r="AH222" s="263" t="s">
        <v>415</v>
      </c>
      <c r="AI222" s="263" t="s">
        <v>415</v>
      </c>
      <c r="AJ222" s="263" t="s">
        <v>415</v>
      </c>
      <c r="AK222" s="263" t="s">
        <v>415</v>
      </c>
      <c r="AL222" s="263" t="s">
        <v>415</v>
      </c>
      <c r="AM222" s="263" t="s">
        <v>415</v>
      </c>
      <c r="AN222" s="263" t="s">
        <v>415</v>
      </c>
      <c r="AO222" s="263" t="s">
        <v>415</v>
      </c>
      <c r="AP222" s="263" t="s">
        <v>415</v>
      </c>
      <c r="AQ222" s="263" t="s">
        <v>415</v>
      </c>
      <c r="AR222" s="263" t="s">
        <v>415</v>
      </c>
      <c r="AS222" s="263" t="s">
        <v>415</v>
      </c>
      <c r="AT222" s="263" t="s">
        <v>415</v>
      </c>
      <c r="AU222" s="263" t="s">
        <v>415</v>
      </c>
      <c r="AV222" s="263" t="s">
        <v>415</v>
      </c>
      <c r="AW222" s="263" t="s">
        <v>415</v>
      </c>
      <c r="AX222" s="263" t="s">
        <v>415</v>
      </c>
      <c r="AY222" s="263" t="s">
        <v>415</v>
      </c>
      <c r="AZ222" s="263" t="s">
        <v>415</v>
      </c>
      <c r="BA222" s="263" t="s">
        <v>415</v>
      </c>
      <c r="BB222" s="263" t="s">
        <v>415</v>
      </c>
      <c r="BC222" s="263" t="s">
        <v>415</v>
      </c>
      <c r="BD222" s="263" t="s">
        <v>415</v>
      </c>
      <c r="BE222" s="263" t="s">
        <v>415</v>
      </c>
      <c r="BF222" s="264" t="s">
        <v>415</v>
      </c>
    </row>
    <row r="223" spans="2:58" hidden="1">
      <c r="B223" s="5" t="s">
        <v>342</v>
      </c>
      <c r="C223" s="5" t="str">
        <f t="shared" ca="1" si="237"/>
        <v/>
      </c>
      <c r="D223" t="str">
        <f t="shared" si="238"/>
        <v>False</v>
      </c>
      <c r="E223" s="256" t="str">
        <f t="shared" si="219"/>
        <v>-</v>
      </c>
      <c r="F223" s="256" t="str">
        <f t="shared" si="220"/>
        <v>-</v>
      </c>
      <c r="G223" s="256" t="str">
        <f t="shared" si="221"/>
        <v>-</v>
      </c>
      <c r="H223" s="256" t="str">
        <f t="shared" si="222"/>
        <v>-</v>
      </c>
      <c r="I223" s="256" t="str">
        <f t="shared" si="223"/>
        <v>-</v>
      </c>
      <c r="J223" s="256" t="str">
        <f t="shared" si="224"/>
        <v>-</v>
      </c>
      <c r="K223" s="256" t="str">
        <f t="shared" si="225"/>
        <v>-</v>
      </c>
      <c r="L223" s="256" t="str">
        <f t="shared" si="226"/>
        <v>-</v>
      </c>
      <c r="M223" s="256" t="str">
        <f t="shared" si="227"/>
        <v>-</v>
      </c>
      <c r="N223" s="256" t="str">
        <f t="shared" si="228"/>
        <v>-</v>
      </c>
      <c r="O223" s="256" t="str">
        <f t="shared" si="229"/>
        <v>-</v>
      </c>
      <c r="P223" s="256" t="str">
        <f t="shared" si="230"/>
        <v>-</v>
      </c>
      <c r="Q223" s="256" t="str">
        <f t="shared" si="231"/>
        <v>-</v>
      </c>
      <c r="R223" s="256" t="str">
        <f t="shared" si="232"/>
        <v>-</v>
      </c>
      <c r="S223" s="256" t="str">
        <f t="shared" si="233"/>
        <v>-</v>
      </c>
      <c r="T223" s="256" t="str">
        <f t="shared" si="234"/>
        <v>-</v>
      </c>
      <c r="U223" s="256" t="str">
        <f t="shared" si="235"/>
        <v>-</v>
      </c>
      <c r="V223" s="256" t="str">
        <f t="shared" si="236"/>
        <v>-</v>
      </c>
      <c r="W223" s="255"/>
      <c r="X223" s="255"/>
      <c r="Y223" s="255"/>
      <c r="Z223" s="255"/>
      <c r="AA223" s="255"/>
      <c r="AB223" s="255"/>
      <c r="AC223" s="255"/>
      <c r="AD223" s="255"/>
      <c r="AE223" s="255"/>
      <c r="AF223" s="262" t="s">
        <v>415</v>
      </c>
      <c r="AG223" s="263" t="s">
        <v>415</v>
      </c>
      <c r="AH223" s="263" t="s">
        <v>415</v>
      </c>
      <c r="AI223" s="263" t="s">
        <v>415</v>
      </c>
      <c r="AJ223" s="263" t="s">
        <v>415</v>
      </c>
      <c r="AK223" s="263" t="s">
        <v>415</v>
      </c>
      <c r="AL223" s="263" t="s">
        <v>415</v>
      </c>
      <c r="AM223" s="263" t="s">
        <v>415</v>
      </c>
      <c r="AN223" s="263" t="s">
        <v>415</v>
      </c>
      <c r="AO223" s="263" t="s">
        <v>415</v>
      </c>
      <c r="AP223" s="263" t="s">
        <v>415</v>
      </c>
      <c r="AQ223" s="263" t="s">
        <v>415</v>
      </c>
      <c r="AR223" s="263" t="s">
        <v>415</v>
      </c>
      <c r="AS223" s="263" t="s">
        <v>415</v>
      </c>
      <c r="AT223" s="263" t="s">
        <v>415</v>
      </c>
      <c r="AU223" s="263" t="s">
        <v>415</v>
      </c>
      <c r="AV223" s="263" t="s">
        <v>415</v>
      </c>
      <c r="AW223" s="263" t="s">
        <v>415</v>
      </c>
      <c r="AX223" s="263" t="s">
        <v>415</v>
      </c>
      <c r="AY223" s="263" t="s">
        <v>415</v>
      </c>
      <c r="AZ223" s="263" t="s">
        <v>415</v>
      </c>
      <c r="BA223" s="263" t="s">
        <v>415</v>
      </c>
      <c r="BB223" s="263" t="s">
        <v>415</v>
      </c>
      <c r="BC223" s="263" t="s">
        <v>415</v>
      </c>
      <c r="BD223" s="263" t="s">
        <v>415</v>
      </c>
      <c r="BE223" s="263" t="s">
        <v>415</v>
      </c>
      <c r="BF223" s="264" t="s">
        <v>415</v>
      </c>
    </row>
    <row r="224" spans="2:58" hidden="1">
      <c r="B224" s="5" t="s">
        <v>343</v>
      </c>
      <c r="C224" s="5" t="str">
        <f t="shared" ca="1" si="237"/>
        <v/>
      </c>
      <c r="D224" t="str">
        <f t="shared" si="238"/>
        <v>False</v>
      </c>
      <c r="E224" s="256" t="str">
        <f t="shared" si="219"/>
        <v>-</v>
      </c>
      <c r="F224" s="256" t="str">
        <f t="shared" si="220"/>
        <v>-</v>
      </c>
      <c r="G224" s="256" t="str">
        <f t="shared" si="221"/>
        <v>-</v>
      </c>
      <c r="H224" s="256" t="str">
        <f t="shared" si="222"/>
        <v>-</v>
      </c>
      <c r="I224" s="256" t="str">
        <f t="shared" si="223"/>
        <v>-</v>
      </c>
      <c r="J224" s="256" t="str">
        <f t="shared" si="224"/>
        <v>-</v>
      </c>
      <c r="K224" s="256" t="str">
        <f t="shared" si="225"/>
        <v>-</v>
      </c>
      <c r="L224" s="256" t="str">
        <f t="shared" si="226"/>
        <v>-</v>
      </c>
      <c r="M224" s="256" t="str">
        <f t="shared" si="227"/>
        <v>-</v>
      </c>
      <c r="N224" s="256" t="str">
        <f t="shared" si="228"/>
        <v>-</v>
      </c>
      <c r="O224" s="256" t="str">
        <f t="shared" si="229"/>
        <v>-</v>
      </c>
      <c r="P224" s="256" t="str">
        <f t="shared" si="230"/>
        <v>-</v>
      </c>
      <c r="Q224" s="256" t="str">
        <f t="shared" si="231"/>
        <v>-</v>
      </c>
      <c r="R224" s="256" t="str">
        <f t="shared" si="232"/>
        <v>-</v>
      </c>
      <c r="S224" s="256" t="str">
        <f t="shared" si="233"/>
        <v>-</v>
      </c>
      <c r="T224" s="256" t="str">
        <f t="shared" si="234"/>
        <v>-</v>
      </c>
      <c r="U224" s="256" t="str">
        <f t="shared" si="235"/>
        <v>-</v>
      </c>
      <c r="V224" s="256" t="str">
        <f t="shared" si="236"/>
        <v>-</v>
      </c>
      <c r="W224" s="255"/>
      <c r="X224" s="255"/>
      <c r="Y224" s="255"/>
      <c r="Z224" s="255"/>
      <c r="AA224" s="255"/>
      <c r="AB224" s="255"/>
      <c r="AC224" s="255"/>
      <c r="AD224" s="255"/>
      <c r="AE224" s="255"/>
      <c r="AF224" s="262" t="s">
        <v>415</v>
      </c>
      <c r="AG224" s="263" t="s">
        <v>415</v>
      </c>
      <c r="AH224" s="263" t="s">
        <v>415</v>
      </c>
      <c r="AI224" s="263" t="s">
        <v>415</v>
      </c>
      <c r="AJ224" s="263" t="s">
        <v>415</v>
      </c>
      <c r="AK224" s="263" t="s">
        <v>415</v>
      </c>
      <c r="AL224" s="263" t="s">
        <v>415</v>
      </c>
      <c r="AM224" s="263" t="s">
        <v>415</v>
      </c>
      <c r="AN224" s="263" t="s">
        <v>415</v>
      </c>
      <c r="AO224" s="263" t="s">
        <v>415</v>
      </c>
      <c r="AP224" s="263" t="s">
        <v>415</v>
      </c>
      <c r="AQ224" s="263" t="s">
        <v>415</v>
      </c>
      <c r="AR224" s="263" t="s">
        <v>415</v>
      </c>
      <c r="AS224" s="263" t="s">
        <v>415</v>
      </c>
      <c r="AT224" s="263" t="s">
        <v>415</v>
      </c>
      <c r="AU224" s="263" t="s">
        <v>415</v>
      </c>
      <c r="AV224" s="263" t="s">
        <v>415</v>
      </c>
      <c r="AW224" s="263" t="s">
        <v>415</v>
      </c>
      <c r="AX224" s="263" t="s">
        <v>415</v>
      </c>
      <c r="AY224" s="263" t="s">
        <v>415</v>
      </c>
      <c r="AZ224" s="263" t="s">
        <v>415</v>
      </c>
      <c r="BA224" s="263" t="s">
        <v>415</v>
      </c>
      <c r="BB224" s="263" t="s">
        <v>415</v>
      </c>
      <c r="BC224" s="263" t="s">
        <v>415</v>
      </c>
      <c r="BD224" s="263" t="s">
        <v>415</v>
      </c>
      <c r="BE224" s="263" t="s">
        <v>415</v>
      </c>
      <c r="BF224" s="264" t="s">
        <v>415</v>
      </c>
    </row>
    <row r="225" spans="2:58" hidden="1">
      <c r="B225" s="5" t="s">
        <v>344</v>
      </c>
      <c r="C225" s="5" t="str">
        <f t="shared" ca="1" si="237"/>
        <v/>
      </c>
      <c r="D225" t="str">
        <f t="shared" si="238"/>
        <v>False</v>
      </c>
      <c r="E225" s="256" t="str">
        <f t="shared" si="219"/>
        <v>-</v>
      </c>
      <c r="F225" s="256" t="str">
        <f t="shared" si="220"/>
        <v>-</v>
      </c>
      <c r="G225" s="256" t="str">
        <f t="shared" si="221"/>
        <v>-</v>
      </c>
      <c r="H225" s="256" t="str">
        <f t="shared" si="222"/>
        <v>-</v>
      </c>
      <c r="I225" s="256" t="str">
        <f t="shared" si="223"/>
        <v>-</v>
      </c>
      <c r="J225" s="256" t="str">
        <f t="shared" si="224"/>
        <v>-</v>
      </c>
      <c r="K225" s="256" t="str">
        <f t="shared" si="225"/>
        <v>-</v>
      </c>
      <c r="L225" s="256" t="str">
        <f t="shared" si="226"/>
        <v>-</v>
      </c>
      <c r="M225" s="256" t="str">
        <f t="shared" si="227"/>
        <v>-</v>
      </c>
      <c r="N225" s="256" t="str">
        <f t="shared" si="228"/>
        <v>-</v>
      </c>
      <c r="O225" s="256" t="str">
        <f t="shared" si="229"/>
        <v>-</v>
      </c>
      <c r="P225" s="256" t="str">
        <f t="shared" si="230"/>
        <v>-</v>
      </c>
      <c r="Q225" s="256" t="str">
        <f t="shared" si="231"/>
        <v>-</v>
      </c>
      <c r="R225" s="256" t="str">
        <f t="shared" si="232"/>
        <v>-</v>
      </c>
      <c r="S225" s="256" t="str">
        <f t="shared" si="233"/>
        <v>-</v>
      </c>
      <c r="T225" s="256" t="str">
        <f t="shared" si="234"/>
        <v>-</v>
      </c>
      <c r="U225" s="256" t="str">
        <f t="shared" si="235"/>
        <v>-</v>
      </c>
      <c r="V225" s="256" t="str">
        <f t="shared" si="236"/>
        <v>-</v>
      </c>
      <c r="W225" s="255"/>
      <c r="X225" s="255"/>
      <c r="Y225" s="255"/>
      <c r="Z225" s="255"/>
      <c r="AA225" s="255"/>
      <c r="AB225" s="255"/>
      <c r="AC225" s="255"/>
      <c r="AD225" s="255"/>
      <c r="AE225" s="255"/>
      <c r="AF225" s="262" t="s">
        <v>415</v>
      </c>
      <c r="AG225" s="263" t="s">
        <v>415</v>
      </c>
      <c r="AH225" s="263" t="s">
        <v>415</v>
      </c>
      <c r="AI225" s="263" t="s">
        <v>415</v>
      </c>
      <c r="AJ225" s="263" t="s">
        <v>415</v>
      </c>
      <c r="AK225" s="263" t="s">
        <v>415</v>
      </c>
      <c r="AL225" s="263" t="s">
        <v>415</v>
      </c>
      <c r="AM225" s="263" t="s">
        <v>415</v>
      </c>
      <c r="AN225" s="263" t="s">
        <v>415</v>
      </c>
      <c r="AO225" s="263" t="s">
        <v>415</v>
      </c>
      <c r="AP225" s="263" t="s">
        <v>415</v>
      </c>
      <c r="AQ225" s="263" t="s">
        <v>415</v>
      </c>
      <c r="AR225" s="263" t="s">
        <v>415</v>
      </c>
      <c r="AS225" s="263" t="s">
        <v>415</v>
      </c>
      <c r="AT225" s="263" t="s">
        <v>415</v>
      </c>
      <c r="AU225" s="263" t="s">
        <v>415</v>
      </c>
      <c r="AV225" s="263" t="s">
        <v>415</v>
      </c>
      <c r="AW225" s="263" t="s">
        <v>415</v>
      </c>
      <c r="AX225" s="263" t="s">
        <v>415</v>
      </c>
      <c r="AY225" s="263" t="s">
        <v>415</v>
      </c>
      <c r="AZ225" s="263" t="s">
        <v>415</v>
      </c>
      <c r="BA225" s="263" t="s">
        <v>415</v>
      </c>
      <c r="BB225" s="263" t="s">
        <v>415</v>
      </c>
      <c r="BC225" s="263" t="s">
        <v>415</v>
      </c>
      <c r="BD225" s="263" t="s">
        <v>415</v>
      </c>
      <c r="BE225" s="263" t="s">
        <v>415</v>
      </c>
      <c r="BF225" s="264" t="s">
        <v>415</v>
      </c>
    </row>
    <row r="226" spans="2:58" hidden="1">
      <c r="B226" s="5" t="s">
        <v>345</v>
      </c>
      <c r="C226" s="5" t="str">
        <f t="shared" ca="1" si="237"/>
        <v>Reinvesticijos (po priemonės įgyvendinimo)</v>
      </c>
      <c r="D226" t="str">
        <f t="shared" si="238"/>
        <v>False</v>
      </c>
      <c r="E226" s="256" t="str">
        <f t="shared" si="219"/>
        <v>-</v>
      </c>
      <c r="F226" s="256" t="str">
        <f t="shared" si="220"/>
        <v>-</v>
      </c>
      <c r="G226" s="256" t="str">
        <f t="shared" si="221"/>
        <v>-</v>
      </c>
      <c r="H226" s="256" t="str">
        <f t="shared" si="222"/>
        <v>-</v>
      </c>
      <c r="I226" s="256" t="str">
        <f t="shared" si="223"/>
        <v>-</v>
      </c>
      <c r="J226" s="256" t="str">
        <f t="shared" si="224"/>
        <v>-</v>
      </c>
      <c r="K226" s="256" t="str">
        <f t="shared" si="225"/>
        <v>-</v>
      </c>
      <c r="L226" s="256" t="str">
        <f t="shared" si="226"/>
        <v>-</v>
      </c>
      <c r="M226" s="256" t="str">
        <f t="shared" si="227"/>
        <v>-</v>
      </c>
      <c r="N226" s="256" t="str">
        <f t="shared" si="228"/>
        <v>-</v>
      </c>
      <c r="O226" s="256" t="str">
        <f t="shared" si="229"/>
        <v>-</v>
      </c>
      <c r="P226" s="256" t="str">
        <f t="shared" si="230"/>
        <v>-</v>
      </c>
      <c r="Q226" s="256" t="str">
        <f t="shared" si="231"/>
        <v>-</v>
      </c>
      <c r="R226" s="256" t="str">
        <f t="shared" si="232"/>
        <v>-</v>
      </c>
      <c r="S226" s="256" t="str">
        <f t="shared" si="233"/>
        <v>-</v>
      </c>
      <c r="T226" s="256" t="str">
        <f t="shared" si="234"/>
        <v>-</v>
      </c>
      <c r="U226" s="256" t="str">
        <f t="shared" si="235"/>
        <v>-</v>
      </c>
      <c r="V226" s="256" t="str">
        <f t="shared" si="236"/>
        <v>-</v>
      </c>
      <c r="W226" s="255"/>
      <c r="X226" s="255"/>
      <c r="Y226" s="255"/>
      <c r="Z226" s="255"/>
      <c r="AA226" s="255"/>
      <c r="AB226" s="255"/>
      <c r="AC226" s="255"/>
      <c r="AD226" s="255"/>
      <c r="AE226" s="255"/>
      <c r="AF226" s="262" t="s">
        <v>415</v>
      </c>
      <c r="AG226" s="263" t="s">
        <v>415</v>
      </c>
      <c r="AH226" s="263" t="s">
        <v>415</v>
      </c>
      <c r="AI226" s="263" t="s">
        <v>415</v>
      </c>
      <c r="AJ226" s="263" t="s">
        <v>415</v>
      </c>
      <c r="AK226" s="263" t="s">
        <v>415</v>
      </c>
      <c r="AL226" s="263" t="s">
        <v>415</v>
      </c>
      <c r="AM226" s="263" t="s">
        <v>415</v>
      </c>
      <c r="AN226" s="263" t="s">
        <v>415</v>
      </c>
      <c r="AO226" s="263" t="s">
        <v>415</v>
      </c>
      <c r="AP226" s="263" t="s">
        <v>415</v>
      </c>
      <c r="AQ226" s="263" t="s">
        <v>415</v>
      </c>
      <c r="AR226" s="263" t="s">
        <v>415</v>
      </c>
      <c r="AS226" s="263" t="s">
        <v>415</v>
      </c>
      <c r="AT226" s="263" t="s">
        <v>415</v>
      </c>
      <c r="AU226" s="263" t="s">
        <v>415</v>
      </c>
      <c r="AV226" s="263" t="s">
        <v>415</v>
      </c>
      <c r="AW226" s="263" t="s">
        <v>415</v>
      </c>
      <c r="AX226" s="263" t="s">
        <v>415</v>
      </c>
      <c r="AY226" s="263" t="s">
        <v>415</v>
      </c>
      <c r="AZ226" s="263" t="s">
        <v>415</v>
      </c>
      <c r="BA226" s="263" t="s">
        <v>415</v>
      </c>
      <c r="BB226" s="263" t="s">
        <v>415</v>
      </c>
      <c r="BC226" s="263" t="s">
        <v>415</v>
      </c>
      <c r="BD226" s="263" t="s">
        <v>415</v>
      </c>
      <c r="BE226" s="263" t="s">
        <v>415</v>
      </c>
      <c r="BF226" s="264" t="s">
        <v>415</v>
      </c>
    </row>
    <row r="227" spans="2:58" hidden="1">
      <c r="B227" s="5" t="s">
        <v>346</v>
      </c>
      <c r="C227" s="5" t="str">
        <f t="shared" ca="1" si="237"/>
        <v>Likutinė vertė</v>
      </c>
      <c r="D227" t="str">
        <f t="shared" si="238"/>
        <v>False</v>
      </c>
      <c r="E227" s="256" t="str">
        <f t="shared" si="219"/>
        <v>-</v>
      </c>
      <c r="F227" s="256" t="str">
        <f t="shared" si="220"/>
        <v>-</v>
      </c>
      <c r="G227" s="256" t="str">
        <f t="shared" si="221"/>
        <v>-</v>
      </c>
      <c r="H227" s="256" t="str">
        <f t="shared" si="222"/>
        <v>-</v>
      </c>
      <c r="I227" s="256" t="str">
        <f t="shared" si="223"/>
        <v>-</v>
      </c>
      <c r="J227" s="256" t="str">
        <f t="shared" si="224"/>
        <v>-</v>
      </c>
      <c r="K227" s="256" t="str">
        <f t="shared" si="225"/>
        <v>-</v>
      </c>
      <c r="L227" s="256" t="str">
        <f t="shared" si="226"/>
        <v>-</v>
      </c>
      <c r="M227" s="256" t="str">
        <f t="shared" si="227"/>
        <v>-</v>
      </c>
      <c r="N227" s="256" t="str">
        <f t="shared" si="228"/>
        <v>-</v>
      </c>
      <c r="O227" s="256" t="str">
        <f t="shared" si="229"/>
        <v>-</v>
      </c>
      <c r="P227" s="256" t="str">
        <f t="shared" si="230"/>
        <v>-</v>
      </c>
      <c r="Q227" s="256" t="str">
        <f t="shared" si="231"/>
        <v>-</v>
      </c>
      <c r="R227" s="256" t="str">
        <f t="shared" si="232"/>
        <v>-</v>
      </c>
      <c r="S227" s="256" t="str">
        <f t="shared" si="233"/>
        <v>-</v>
      </c>
      <c r="T227" s="256" t="str">
        <f t="shared" si="234"/>
        <v>-</v>
      </c>
      <c r="U227" s="256" t="str">
        <f t="shared" si="235"/>
        <v>-</v>
      </c>
      <c r="V227" s="256" t="str">
        <f t="shared" si="236"/>
        <v>-</v>
      </c>
      <c r="W227" s="255"/>
      <c r="X227" s="255"/>
      <c r="Y227" s="255"/>
      <c r="Z227" s="255"/>
      <c r="AA227" s="255"/>
      <c r="AB227" s="255"/>
      <c r="AC227" s="255"/>
      <c r="AD227" s="255"/>
      <c r="AE227" s="255"/>
      <c r="AF227" s="262" t="s">
        <v>415</v>
      </c>
      <c r="AG227" s="263" t="s">
        <v>415</v>
      </c>
      <c r="AH227" s="263" t="s">
        <v>415</v>
      </c>
      <c r="AI227" s="263" t="s">
        <v>415</v>
      </c>
      <c r="AJ227" s="263" t="s">
        <v>415</v>
      </c>
      <c r="AK227" s="263" t="s">
        <v>415</v>
      </c>
      <c r="AL227" s="263" t="s">
        <v>415</v>
      </c>
      <c r="AM227" s="263" t="s">
        <v>415</v>
      </c>
      <c r="AN227" s="263" t="s">
        <v>415</v>
      </c>
      <c r="AO227" s="263" t="s">
        <v>415</v>
      </c>
      <c r="AP227" s="263" t="s">
        <v>415</v>
      </c>
      <c r="AQ227" s="263" t="s">
        <v>415</v>
      </c>
      <c r="AR227" s="263" t="s">
        <v>415</v>
      </c>
      <c r="AS227" s="263" t="s">
        <v>415</v>
      </c>
      <c r="AT227" s="263" t="s">
        <v>415</v>
      </c>
      <c r="AU227" s="263" t="s">
        <v>415</v>
      </c>
      <c r="AV227" s="263" t="s">
        <v>415</v>
      </c>
      <c r="AW227" s="263" t="s">
        <v>415</v>
      </c>
      <c r="AX227" s="263" t="s">
        <v>415</v>
      </c>
      <c r="AY227" s="263" t="s">
        <v>415</v>
      </c>
      <c r="AZ227" s="263" t="s">
        <v>415</v>
      </c>
      <c r="BA227" s="263" t="s">
        <v>415</v>
      </c>
      <c r="BB227" s="263" t="s">
        <v>415</v>
      </c>
      <c r="BC227" s="263" t="s">
        <v>415</v>
      </c>
      <c r="BD227" s="263" t="s">
        <v>415</v>
      </c>
      <c r="BE227" s="263" t="s">
        <v>415</v>
      </c>
      <c r="BF227" s="264" t="s">
        <v>415</v>
      </c>
    </row>
    <row r="228" spans="2:58" hidden="1">
      <c r="B228" s="5" t="s">
        <v>347</v>
      </c>
      <c r="C228" s="5" t="str">
        <f t="shared" ca="1" si="237"/>
        <v>Veikla</v>
      </c>
      <c r="D228" t="str">
        <f t="shared" si="238"/>
        <v>False</v>
      </c>
      <c r="E228" s="256" t="str">
        <f t="shared" si="219"/>
        <v>-</v>
      </c>
      <c r="F228" s="256" t="str">
        <f t="shared" si="220"/>
        <v>-</v>
      </c>
      <c r="G228" s="256" t="str">
        <f t="shared" si="221"/>
        <v>-</v>
      </c>
      <c r="H228" s="256" t="str">
        <f t="shared" si="222"/>
        <v>-</v>
      </c>
      <c r="I228" s="256" t="str">
        <f t="shared" si="223"/>
        <v>-</v>
      </c>
      <c r="J228" s="256" t="str">
        <f t="shared" si="224"/>
        <v>-</v>
      </c>
      <c r="K228" s="256" t="str">
        <f t="shared" si="225"/>
        <v>-</v>
      </c>
      <c r="L228" s="256" t="str">
        <f t="shared" si="226"/>
        <v>-</v>
      </c>
      <c r="M228" s="256" t="str">
        <f t="shared" si="227"/>
        <v>-</v>
      </c>
      <c r="N228" s="256" t="str">
        <f t="shared" si="228"/>
        <v>-</v>
      </c>
      <c r="O228" s="256" t="str">
        <f t="shared" si="229"/>
        <v>-</v>
      </c>
      <c r="P228" s="256" t="str">
        <f t="shared" si="230"/>
        <v>-</v>
      </c>
      <c r="Q228" s="256" t="str">
        <f t="shared" si="231"/>
        <v>-</v>
      </c>
      <c r="R228" s="256" t="str">
        <f t="shared" si="232"/>
        <v>-</v>
      </c>
      <c r="S228" s="256" t="str">
        <f t="shared" si="233"/>
        <v>-</v>
      </c>
      <c r="T228" s="256" t="str">
        <f t="shared" si="234"/>
        <v>-</v>
      </c>
      <c r="U228" s="256" t="str">
        <f t="shared" si="235"/>
        <v>-</v>
      </c>
      <c r="V228" s="256" t="str">
        <f t="shared" si="236"/>
        <v>-</v>
      </c>
      <c r="W228" s="255"/>
      <c r="X228" s="255"/>
      <c r="Y228" s="255"/>
      <c r="Z228" s="255"/>
      <c r="AA228" s="255"/>
      <c r="AB228" s="255"/>
      <c r="AC228" s="255"/>
      <c r="AD228" s="255"/>
      <c r="AE228" s="255"/>
      <c r="AF228" s="262" t="s">
        <v>415</v>
      </c>
      <c r="AG228" s="263" t="s">
        <v>415</v>
      </c>
      <c r="AH228" s="263" t="s">
        <v>415</v>
      </c>
      <c r="AI228" s="263" t="s">
        <v>415</v>
      </c>
      <c r="AJ228" s="263" t="s">
        <v>415</v>
      </c>
      <c r="AK228" s="263" t="s">
        <v>415</v>
      </c>
      <c r="AL228" s="263" t="s">
        <v>415</v>
      </c>
      <c r="AM228" s="263" t="s">
        <v>415</v>
      </c>
      <c r="AN228" s="263" t="s">
        <v>415</v>
      </c>
      <c r="AO228" s="263" t="s">
        <v>415</v>
      </c>
      <c r="AP228" s="263" t="s">
        <v>415</v>
      </c>
      <c r="AQ228" s="263" t="s">
        <v>415</v>
      </c>
      <c r="AR228" s="263" t="s">
        <v>415</v>
      </c>
      <c r="AS228" s="263" t="s">
        <v>415</v>
      </c>
      <c r="AT228" s="263" t="s">
        <v>415</v>
      </c>
      <c r="AU228" s="263" t="s">
        <v>415</v>
      </c>
      <c r="AV228" s="263" t="s">
        <v>415</v>
      </c>
      <c r="AW228" s="263" t="s">
        <v>415</v>
      </c>
      <c r="AX228" s="263" t="s">
        <v>415</v>
      </c>
      <c r="AY228" s="263" t="s">
        <v>415</v>
      </c>
      <c r="AZ228" s="263" t="s">
        <v>415</v>
      </c>
      <c r="BA228" s="263" t="s">
        <v>415</v>
      </c>
      <c r="BB228" s="263" t="s">
        <v>415</v>
      </c>
      <c r="BC228" s="263" t="s">
        <v>415</v>
      </c>
      <c r="BD228" s="263" t="s">
        <v>415</v>
      </c>
      <c r="BE228" s="263" t="s">
        <v>415</v>
      </c>
      <c r="BF228" s="264" t="s">
        <v>415</v>
      </c>
    </row>
    <row r="229" spans="2:58" hidden="1">
      <c r="B229" s="5" t="s">
        <v>348</v>
      </c>
      <c r="C229" s="5" t="str">
        <f t="shared" ca="1" si="237"/>
        <v>Veikla</v>
      </c>
      <c r="D229" t="str">
        <f t="shared" si="238"/>
        <v>False</v>
      </c>
      <c r="E229" s="256" t="str">
        <f t="shared" si="219"/>
        <v>-</v>
      </c>
      <c r="F229" s="256" t="str">
        <f t="shared" si="220"/>
        <v>-</v>
      </c>
      <c r="G229" s="256" t="str">
        <f t="shared" si="221"/>
        <v>-</v>
      </c>
      <c r="H229" s="256" t="str">
        <f t="shared" si="222"/>
        <v>-</v>
      </c>
      <c r="I229" s="256" t="str">
        <f t="shared" si="223"/>
        <v>-</v>
      </c>
      <c r="J229" s="256" t="str">
        <f t="shared" si="224"/>
        <v>-</v>
      </c>
      <c r="K229" s="256" t="str">
        <f t="shared" si="225"/>
        <v>-</v>
      </c>
      <c r="L229" s="256" t="str">
        <f t="shared" si="226"/>
        <v>-</v>
      </c>
      <c r="M229" s="256" t="str">
        <f t="shared" si="227"/>
        <v>-</v>
      </c>
      <c r="N229" s="256" t="str">
        <f t="shared" si="228"/>
        <v>-</v>
      </c>
      <c r="O229" s="256" t="str">
        <f t="shared" si="229"/>
        <v>-</v>
      </c>
      <c r="P229" s="256" t="str">
        <f t="shared" si="230"/>
        <v>-</v>
      </c>
      <c r="Q229" s="256" t="str">
        <f t="shared" si="231"/>
        <v>-</v>
      </c>
      <c r="R229" s="256" t="str">
        <f t="shared" si="232"/>
        <v>-</v>
      </c>
      <c r="S229" s="256" t="str">
        <f t="shared" si="233"/>
        <v>-</v>
      </c>
      <c r="T229" s="256" t="str">
        <f t="shared" si="234"/>
        <v>-</v>
      </c>
      <c r="U229" s="256" t="str">
        <f t="shared" si="235"/>
        <v>-</v>
      </c>
      <c r="V229" s="256" t="str">
        <f t="shared" si="236"/>
        <v>-</v>
      </c>
      <c r="W229" s="255"/>
      <c r="X229" s="255"/>
      <c r="Y229" s="255"/>
      <c r="Z229" s="255"/>
      <c r="AA229" s="255"/>
      <c r="AB229" s="255"/>
      <c r="AC229" s="255"/>
      <c r="AD229" s="255"/>
      <c r="AE229" s="255"/>
      <c r="AF229" s="262" t="s">
        <v>415</v>
      </c>
      <c r="AG229" s="263" t="s">
        <v>415</v>
      </c>
      <c r="AH229" s="263" t="s">
        <v>415</v>
      </c>
      <c r="AI229" s="263" t="s">
        <v>415</v>
      </c>
      <c r="AJ229" s="263" t="s">
        <v>415</v>
      </c>
      <c r="AK229" s="263" t="s">
        <v>415</v>
      </c>
      <c r="AL229" s="263" t="s">
        <v>415</v>
      </c>
      <c r="AM229" s="263" t="s">
        <v>415</v>
      </c>
      <c r="AN229" s="263" t="s">
        <v>415</v>
      </c>
      <c r="AO229" s="263" t="s">
        <v>415</v>
      </c>
      <c r="AP229" s="263" t="s">
        <v>415</v>
      </c>
      <c r="AQ229" s="263" t="s">
        <v>415</v>
      </c>
      <c r="AR229" s="263" t="s">
        <v>415</v>
      </c>
      <c r="AS229" s="263" t="s">
        <v>415</v>
      </c>
      <c r="AT229" s="263" t="s">
        <v>415</v>
      </c>
      <c r="AU229" s="263" t="s">
        <v>415</v>
      </c>
      <c r="AV229" s="263" t="s">
        <v>415</v>
      </c>
      <c r="AW229" s="263" t="s">
        <v>415</v>
      </c>
      <c r="AX229" s="263" t="s">
        <v>415</v>
      </c>
      <c r="AY229" s="263" t="s">
        <v>415</v>
      </c>
      <c r="AZ229" s="263" t="s">
        <v>415</v>
      </c>
      <c r="BA229" s="263" t="s">
        <v>415</v>
      </c>
      <c r="BB229" s="263" t="s">
        <v>415</v>
      </c>
      <c r="BC229" s="263" t="s">
        <v>415</v>
      </c>
      <c r="BD229" s="263" t="s">
        <v>415</v>
      </c>
      <c r="BE229" s="263" t="s">
        <v>415</v>
      </c>
      <c r="BF229" s="264" t="s">
        <v>415</v>
      </c>
    </row>
    <row r="230" spans="2:58" hidden="1">
      <c r="B230" s="5" t="s">
        <v>349</v>
      </c>
      <c r="C230" s="5" t="str">
        <f t="shared" ca="1" si="237"/>
        <v>Veikla</v>
      </c>
      <c r="D230" t="str">
        <f t="shared" si="238"/>
        <v>False</v>
      </c>
      <c r="E230" s="256" t="str">
        <f t="shared" ref="E230:E269" si="239">IFERROR((AF230-$AG230)/$AG230,"-")</f>
        <v>-</v>
      </c>
      <c r="F230" s="256" t="str">
        <f t="shared" ref="F230:F269" si="240">IFERROR((AH230-$AG230)/$AG230,"-")</f>
        <v>-</v>
      </c>
      <c r="G230" s="256" t="str">
        <f t="shared" ref="G230:G269" si="241">IFERROR((AI230-$AJ230)/$AJ230,"-")</f>
        <v>-</v>
      </c>
      <c r="H230" s="256" t="str">
        <f t="shared" ref="H230:H269" si="242">IFERROR((AK230-$AJ230)/$AJ230,"-")</f>
        <v>-</v>
      </c>
      <c r="I230" s="256" t="str">
        <f t="shared" ref="I230:I269" si="243">IFERROR((AL230-$AM230)/$AM230,"-")</f>
        <v>-</v>
      </c>
      <c r="J230" s="256" t="str">
        <f t="shared" ref="J230:J269" si="244">IFERROR((AN230-$AM230)/$AM230,"-")</f>
        <v>-</v>
      </c>
      <c r="K230" s="256" t="str">
        <f t="shared" ref="K230:K269" si="245">IFERROR((AO230-$AP230)/$AP230,"-")</f>
        <v>-</v>
      </c>
      <c r="L230" s="256" t="str">
        <f t="shared" ref="L230:L269" si="246">IFERROR((AQ230-$AP230)/$AP230,"-")</f>
        <v>-</v>
      </c>
      <c r="M230" s="256" t="str">
        <f t="shared" ref="M230:M269" si="247">IFERROR((AR230-$AS230)/$AS230,"-")</f>
        <v>-</v>
      </c>
      <c r="N230" s="256" t="str">
        <f t="shared" ref="N230:N269" si="248">IFERROR((AT230-$AS230)/$AS230,"-")</f>
        <v>-</v>
      </c>
      <c r="O230" s="256" t="str">
        <f t="shared" ref="O230:O269" si="249">IFERROR((AU230-$AV230)/$AV230,"-")</f>
        <v>-</v>
      </c>
      <c r="P230" s="256" t="str">
        <f t="shared" ref="P230:P269" si="250">IFERROR((AW230-$AV230)/$AV230,"-")</f>
        <v>-</v>
      </c>
      <c r="Q230" s="256" t="str">
        <f t="shared" ref="Q230:Q269" si="251">IFERROR((AX230-$AY230)/$AY230,"-")</f>
        <v>-</v>
      </c>
      <c r="R230" s="256" t="str">
        <f t="shared" ref="R230:R269" si="252">IFERROR((AZ230-$AY230)/$AY230,"-")</f>
        <v>-</v>
      </c>
      <c r="S230" s="256" t="str">
        <f t="shared" ref="S230:S269" si="253">IFERROR((BA230-$BB230)/$BB230,"-")</f>
        <v>-</v>
      </c>
      <c r="T230" s="256" t="str">
        <f t="shared" ref="T230:T269" si="254">IFERROR((BC230-$BB230)/$BB230,"-")</f>
        <v>-</v>
      </c>
      <c r="U230" s="256" t="str">
        <f t="shared" ref="U230:U269" si="255">IFERROR((BD230-$BE230)/$BE230,"-")</f>
        <v>-</v>
      </c>
      <c r="V230" s="256" t="str">
        <f t="shared" ref="V230:V269" si="256">IFERROR((BF230-$BE230)/$BE230,"-")</f>
        <v>-</v>
      </c>
      <c r="W230" s="255"/>
      <c r="X230" s="255"/>
      <c r="Y230" s="255"/>
      <c r="Z230" s="255"/>
      <c r="AA230" s="255"/>
      <c r="AB230" s="255"/>
      <c r="AC230" s="255"/>
      <c r="AD230" s="255"/>
      <c r="AE230" s="255"/>
      <c r="AF230" s="262" t="s">
        <v>415</v>
      </c>
      <c r="AG230" s="263" t="s">
        <v>415</v>
      </c>
      <c r="AH230" s="263" t="s">
        <v>415</v>
      </c>
      <c r="AI230" s="263" t="s">
        <v>415</v>
      </c>
      <c r="AJ230" s="263" t="s">
        <v>415</v>
      </c>
      <c r="AK230" s="263" t="s">
        <v>415</v>
      </c>
      <c r="AL230" s="263" t="s">
        <v>415</v>
      </c>
      <c r="AM230" s="263" t="s">
        <v>415</v>
      </c>
      <c r="AN230" s="263" t="s">
        <v>415</v>
      </c>
      <c r="AO230" s="263" t="s">
        <v>415</v>
      </c>
      <c r="AP230" s="263" t="s">
        <v>415</v>
      </c>
      <c r="AQ230" s="263" t="s">
        <v>415</v>
      </c>
      <c r="AR230" s="263" t="s">
        <v>415</v>
      </c>
      <c r="AS230" s="263" t="s">
        <v>415</v>
      </c>
      <c r="AT230" s="263" t="s">
        <v>415</v>
      </c>
      <c r="AU230" s="263" t="s">
        <v>415</v>
      </c>
      <c r="AV230" s="263" t="s">
        <v>415</v>
      </c>
      <c r="AW230" s="263" t="s">
        <v>415</v>
      </c>
      <c r="AX230" s="263" t="s">
        <v>415</v>
      </c>
      <c r="AY230" s="263" t="s">
        <v>415</v>
      </c>
      <c r="AZ230" s="263" t="s">
        <v>415</v>
      </c>
      <c r="BA230" s="263" t="s">
        <v>415</v>
      </c>
      <c r="BB230" s="263" t="s">
        <v>415</v>
      </c>
      <c r="BC230" s="263" t="s">
        <v>415</v>
      </c>
      <c r="BD230" s="263" t="s">
        <v>415</v>
      </c>
      <c r="BE230" s="263" t="s">
        <v>415</v>
      </c>
      <c r="BF230" s="264" t="s">
        <v>415</v>
      </c>
    </row>
    <row r="231" spans="2:58" hidden="1">
      <c r="B231" s="5" t="s">
        <v>350</v>
      </c>
      <c r="C231" s="5" t="str">
        <f t="shared" ca="1" si="237"/>
        <v>Veikla</v>
      </c>
      <c r="D231" t="str">
        <f t="shared" si="238"/>
        <v>False</v>
      </c>
      <c r="E231" s="256" t="str">
        <f t="shared" si="239"/>
        <v>-</v>
      </c>
      <c r="F231" s="256" t="str">
        <f t="shared" si="240"/>
        <v>-</v>
      </c>
      <c r="G231" s="256" t="str">
        <f t="shared" si="241"/>
        <v>-</v>
      </c>
      <c r="H231" s="256" t="str">
        <f t="shared" si="242"/>
        <v>-</v>
      </c>
      <c r="I231" s="256" t="str">
        <f t="shared" si="243"/>
        <v>-</v>
      </c>
      <c r="J231" s="256" t="str">
        <f t="shared" si="244"/>
        <v>-</v>
      </c>
      <c r="K231" s="256" t="str">
        <f t="shared" si="245"/>
        <v>-</v>
      </c>
      <c r="L231" s="256" t="str">
        <f t="shared" si="246"/>
        <v>-</v>
      </c>
      <c r="M231" s="256" t="str">
        <f t="shared" si="247"/>
        <v>-</v>
      </c>
      <c r="N231" s="256" t="str">
        <f t="shared" si="248"/>
        <v>-</v>
      </c>
      <c r="O231" s="256" t="str">
        <f t="shared" si="249"/>
        <v>-</v>
      </c>
      <c r="P231" s="256" t="str">
        <f t="shared" si="250"/>
        <v>-</v>
      </c>
      <c r="Q231" s="256" t="str">
        <f t="shared" si="251"/>
        <v>-</v>
      </c>
      <c r="R231" s="256" t="str">
        <f t="shared" si="252"/>
        <v>-</v>
      </c>
      <c r="S231" s="256" t="str">
        <f t="shared" si="253"/>
        <v>-</v>
      </c>
      <c r="T231" s="256" t="str">
        <f t="shared" si="254"/>
        <v>-</v>
      </c>
      <c r="U231" s="256" t="str">
        <f t="shared" si="255"/>
        <v>-</v>
      </c>
      <c r="V231" s="256" t="str">
        <f t="shared" si="256"/>
        <v>-</v>
      </c>
      <c r="W231" s="255"/>
      <c r="X231" s="255"/>
      <c r="Y231" s="255"/>
      <c r="Z231" s="255"/>
      <c r="AA231" s="255"/>
      <c r="AB231" s="255"/>
      <c r="AC231" s="255"/>
      <c r="AD231" s="255"/>
      <c r="AE231" s="255"/>
      <c r="AF231" s="262" t="s">
        <v>415</v>
      </c>
      <c r="AG231" s="263" t="s">
        <v>415</v>
      </c>
      <c r="AH231" s="263" t="s">
        <v>415</v>
      </c>
      <c r="AI231" s="263" t="s">
        <v>415</v>
      </c>
      <c r="AJ231" s="263" t="s">
        <v>415</v>
      </c>
      <c r="AK231" s="263" t="s">
        <v>415</v>
      </c>
      <c r="AL231" s="263" t="s">
        <v>415</v>
      </c>
      <c r="AM231" s="263" t="s">
        <v>415</v>
      </c>
      <c r="AN231" s="263" t="s">
        <v>415</v>
      </c>
      <c r="AO231" s="263" t="s">
        <v>415</v>
      </c>
      <c r="AP231" s="263" t="s">
        <v>415</v>
      </c>
      <c r="AQ231" s="263" t="s">
        <v>415</v>
      </c>
      <c r="AR231" s="263" t="s">
        <v>415</v>
      </c>
      <c r="AS231" s="263" t="s">
        <v>415</v>
      </c>
      <c r="AT231" s="263" t="s">
        <v>415</v>
      </c>
      <c r="AU231" s="263" t="s">
        <v>415</v>
      </c>
      <c r="AV231" s="263" t="s">
        <v>415</v>
      </c>
      <c r="AW231" s="263" t="s">
        <v>415</v>
      </c>
      <c r="AX231" s="263" t="s">
        <v>415</v>
      </c>
      <c r="AY231" s="263" t="s">
        <v>415</v>
      </c>
      <c r="AZ231" s="263" t="s">
        <v>415</v>
      </c>
      <c r="BA231" s="263" t="s">
        <v>415</v>
      </c>
      <c r="BB231" s="263" t="s">
        <v>415</v>
      </c>
      <c r="BC231" s="263" t="s">
        <v>415</v>
      </c>
      <c r="BD231" s="263" t="s">
        <v>415</v>
      </c>
      <c r="BE231" s="263" t="s">
        <v>415</v>
      </c>
      <c r="BF231" s="264" t="s">
        <v>415</v>
      </c>
    </row>
    <row r="232" spans="2:58" hidden="1">
      <c r="B232" s="5" t="s">
        <v>351</v>
      </c>
      <c r="C232" s="5" t="str">
        <f t="shared" ca="1" si="237"/>
        <v>Veikla</v>
      </c>
      <c r="D232" t="str">
        <f t="shared" si="238"/>
        <v>False</v>
      </c>
      <c r="E232" s="256" t="str">
        <f t="shared" si="239"/>
        <v>-</v>
      </c>
      <c r="F232" s="256" t="str">
        <f t="shared" si="240"/>
        <v>-</v>
      </c>
      <c r="G232" s="256" t="str">
        <f t="shared" si="241"/>
        <v>-</v>
      </c>
      <c r="H232" s="256" t="str">
        <f t="shared" si="242"/>
        <v>-</v>
      </c>
      <c r="I232" s="256" t="str">
        <f t="shared" si="243"/>
        <v>-</v>
      </c>
      <c r="J232" s="256" t="str">
        <f t="shared" si="244"/>
        <v>-</v>
      </c>
      <c r="K232" s="256" t="str">
        <f t="shared" si="245"/>
        <v>-</v>
      </c>
      <c r="L232" s="256" t="str">
        <f t="shared" si="246"/>
        <v>-</v>
      </c>
      <c r="M232" s="256" t="str">
        <f t="shared" si="247"/>
        <v>-</v>
      </c>
      <c r="N232" s="256" t="str">
        <f t="shared" si="248"/>
        <v>-</v>
      </c>
      <c r="O232" s="256" t="str">
        <f t="shared" si="249"/>
        <v>-</v>
      </c>
      <c r="P232" s="256" t="str">
        <f t="shared" si="250"/>
        <v>-</v>
      </c>
      <c r="Q232" s="256" t="str">
        <f t="shared" si="251"/>
        <v>-</v>
      </c>
      <c r="R232" s="256" t="str">
        <f t="shared" si="252"/>
        <v>-</v>
      </c>
      <c r="S232" s="256" t="str">
        <f t="shared" si="253"/>
        <v>-</v>
      </c>
      <c r="T232" s="256" t="str">
        <f t="shared" si="254"/>
        <v>-</v>
      </c>
      <c r="U232" s="256" t="str">
        <f t="shared" si="255"/>
        <v>-</v>
      </c>
      <c r="V232" s="256" t="str">
        <f t="shared" si="256"/>
        <v>-</v>
      </c>
      <c r="W232" s="255"/>
      <c r="X232" s="255"/>
      <c r="Y232" s="255"/>
      <c r="Z232" s="255"/>
      <c r="AA232" s="255"/>
      <c r="AB232" s="255"/>
      <c r="AC232" s="255"/>
      <c r="AD232" s="255"/>
      <c r="AE232" s="255"/>
      <c r="AF232" s="262" t="s">
        <v>415</v>
      </c>
      <c r="AG232" s="263" t="s">
        <v>415</v>
      </c>
      <c r="AH232" s="263" t="s">
        <v>415</v>
      </c>
      <c r="AI232" s="263" t="s">
        <v>415</v>
      </c>
      <c r="AJ232" s="263" t="s">
        <v>415</v>
      </c>
      <c r="AK232" s="263" t="s">
        <v>415</v>
      </c>
      <c r="AL232" s="263" t="s">
        <v>415</v>
      </c>
      <c r="AM232" s="263" t="s">
        <v>415</v>
      </c>
      <c r="AN232" s="263" t="s">
        <v>415</v>
      </c>
      <c r="AO232" s="263" t="s">
        <v>415</v>
      </c>
      <c r="AP232" s="263" t="s">
        <v>415</v>
      </c>
      <c r="AQ232" s="263" t="s">
        <v>415</v>
      </c>
      <c r="AR232" s="263" t="s">
        <v>415</v>
      </c>
      <c r="AS232" s="263" t="s">
        <v>415</v>
      </c>
      <c r="AT232" s="263" t="s">
        <v>415</v>
      </c>
      <c r="AU232" s="263" t="s">
        <v>415</v>
      </c>
      <c r="AV232" s="263" t="s">
        <v>415</v>
      </c>
      <c r="AW232" s="263" t="s">
        <v>415</v>
      </c>
      <c r="AX232" s="263" t="s">
        <v>415</v>
      </c>
      <c r="AY232" s="263" t="s">
        <v>415</v>
      </c>
      <c r="AZ232" s="263" t="s">
        <v>415</v>
      </c>
      <c r="BA232" s="263" t="s">
        <v>415</v>
      </c>
      <c r="BB232" s="263" t="s">
        <v>415</v>
      </c>
      <c r="BC232" s="263" t="s">
        <v>415</v>
      </c>
      <c r="BD232" s="263" t="s">
        <v>415</v>
      </c>
      <c r="BE232" s="263" t="s">
        <v>415</v>
      </c>
      <c r="BF232" s="264" t="s">
        <v>415</v>
      </c>
    </row>
    <row r="233" spans="2:58" hidden="1">
      <c r="B233" s="5" t="s">
        <v>352</v>
      </c>
      <c r="C233" s="5" t="str">
        <f t="shared" ref="C233:C269" ca="1" si="257">VLOOKUP(B233,$B$12:$C$129,2,FALSE)</f>
        <v>Veikla</v>
      </c>
      <c r="D233" t="str">
        <f t="shared" ref="D233:D269" si="258">IF(COUNTIF(E233:BF233,"-")&lt;18,"True","False")</f>
        <v>False</v>
      </c>
      <c r="E233" s="256" t="str">
        <f t="shared" si="239"/>
        <v>-</v>
      </c>
      <c r="F233" s="256" t="str">
        <f t="shared" si="240"/>
        <v>-</v>
      </c>
      <c r="G233" s="256" t="str">
        <f t="shared" si="241"/>
        <v>-</v>
      </c>
      <c r="H233" s="256" t="str">
        <f t="shared" si="242"/>
        <v>-</v>
      </c>
      <c r="I233" s="256" t="str">
        <f t="shared" si="243"/>
        <v>-</v>
      </c>
      <c r="J233" s="256" t="str">
        <f t="shared" si="244"/>
        <v>-</v>
      </c>
      <c r="K233" s="256" t="str">
        <f t="shared" si="245"/>
        <v>-</v>
      </c>
      <c r="L233" s="256" t="str">
        <f t="shared" si="246"/>
        <v>-</v>
      </c>
      <c r="M233" s="256" t="str">
        <f t="shared" si="247"/>
        <v>-</v>
      </c>
      <c r="N233" s="256" t="str">
        <f t="shared" si="248"/>
        <v>-</v>
      </c>
      <c r="O233" s="256" t="str">
        <f t="shared" si="249"/>
        <v>-</v>
      </c>
      <c r="P233" s="256" t="str">
        <f t="shared" si="250"/>
        <v>-</v>
      </c>
      <c r="Q233" s="256" t="str">
        <f t="shared" si="251"/>
        <v>-</v>
      </c>
      <c r="R233" s="256" t="str">
        <f t="shared" si="252"/>
        <v>-</v>
      </c>
      <c r="S233" s="256" t="str">
        <f t="shared" si="253"/>
        <v>-</v>
      </c>
      <c r="T233" s="256" t="str">
        <f t="shared" si="254"/>
        <v>-</v>
      </c>
      <c r="U233" s="256" t="str">
        <f t="shared" si="255"/>
        <v>-</v>
      </c>
      <c r="V233" s="256" t="str">
        <f t="shared" si="256"/>
        <v>-</v>
      </c>
      <c r="W233" s="255"/>
      <c r="X233" s="255"/>
      <c r="Y233" s="255"/>
      <c r="Z233" s="255"/>
      <c r="AA233" s="255"/>
      <c r="AB233" s="255"/>
      <c r="AC233" s="255"/>
      <c r="AD233" s="255"/>
      <c r="AE233" s="255"/>
      <c r="AF233" s="262" t="s">
        <v>415</v>
      </c>
      <c r="AG233" s="263" t="s">
        <v>415</v>
      </c>
      <c r="AH233" s="263" t="s">
        <v>415</v>
      </c>
      <c r="AI233" s="263" t="s">
        <v>415</v>
      </c>
      <c r="AJ233" s="263" t="s">
        <v>415</v>
      </c>
      <c r="AK233" s="263" t="s">
        <v>415</v>
      </c>
      <c r="AL233" s="263" t="s">
        <v>415</v>
      </c>
      <c r="AM233" s="263" t="s">
        <v>415</v>
      </c>
      <c r="AN233" s="263" t="s">
        <v>415</v>
      </c>
      <c r="AO233" s="263" t="s">
        <v>415</v>
      </c>
      <c r="AP233" s="263" t="s">
        <v>415</v>
      </c>
      <c r="AQ233" s="263" t="s">
        <v>415</v>
      </c>
      <c r="AR233" s="263" t="s">
        <v>415</v>
      </c>
      <c r="AS233" s="263" t="s">
        <v>415</v>
      </c>
      <c r="AT233" s="263" t="s">
        <v>415</v>
      </c>
      <c r="AU233" s="263" t="s">
        <v>415</v>
      </c>
      <c r="AV233" s="263" t="s">
        <v>415</v>
      </c>
      <c r="AW233" s="263" t="s">
        <v>415</v>
      </c>
      <c r="AX233" s="263" t="s">
        <v>415</v>
      </c>
      <c r="AY233" s="263" t="s">
        <v>415</v>
      </c>
      <c r="AZ233" s="263" t="s">
        <v>415</v>
      </c>
      <c r="BA233" s="263" t="s">
        <v>415</v>
      </c>
      <c r="BB233" s="263" t="s">
        <v>415</v>
      </c>
      <c r="BC233" s="263" t="s">
        <v>415</v>
      </c>
      <c r="BD233" s="263" t="s">
        <v>415</v>
      </c>
      <c r="BE233" s="263" t="s">
        <v>415</v>
      </c>
      <c r="BF233" s="264" t="s">
        <v>415</v>
      </c>
    </row>
    <row r="234" spans="2:58" hidden="1">
      <c r="B234" s="5" t="s">
        <v>353</v>
      </c>
      <c r="C234" s="5" t="str">
        <f t="shared" ca="1" si="257"/>
        <v>Veikla</v>
      </c>
      <c r="D234" t="str">
        <f t="shared" si="258"/>
        <v>False</v>
      </c>
      <c r="E234" s="256" t="str">
        <f t="shared" si="239"/>
        <v>-</v>
      </c>
      <c r="F234" s="256" t="str">
        <f t="shared" si="240"/>
        <v>-</v>
      </c>
      <c r="G234" s="256" t="str">
        <f t="shared" si="241"/>
        <v>-</v>
      </c>
      <c r="H234" s="256" t="str">
        <f t="shared" si="242"/>
        <v>-</v>
      </c>
      <c r="I234" s="256" t="str">
        <f t="shared" si="243"/>
        <v>-</v>
      </c>
      <c r="J234" s="256" t="str">
        <f t="shared" si="244"/>
        <v>-</v>
      </c>
      <c r="K234" s="256" t="str">
        <f t="shared" si="245"/>
        <v>-</v>
      </c>
      <c r="L234" s="256" t="str">
        <f t="shared" si="246"/>
        <v>-</v>
      </c>
      <c r="M234" s="256" t="str">
        <f t="shared" si="247"/>
        <v>-</v>
      </c>
      <c r="N234" s="256" t="str">
        <f t="shared" si="248"/>
        <v>-</v>
      </c>
      <c r="O234" s="256" t="str">
        <f t="shared" si="249"/>
        <v>-</v>
      </c>
      <c r="P234" s="256" t="str">
        <f t="shared" si="250"/>
        <v>-</v>
      </c>
      <c r="Q234" s="256" t="str">
        <f t="shared" si="251"/>
        <v>-</v>
      </c>
      <c r="R234" s="256" t="str">
        <f t="shared" si="252"/>
        <v>-</v>
      </c>
      <c r="S234" s="256" t="str">
        <f t="shared" si="253"/>
        <v>-</v>
      </c>
      <c r="T234" s="256" t="str">
        <f t="shared" si="254"/>
        <v>-</v>
      </c>
      <c r="U234" s="256" t="str">
        <f t="shared" si="255"/>
        <v>-</v>
      </c>
      <c r="V234" s="256" t="str">
        <f t="shared" si="256"/>
        <v>-</v>
      </c>
      <c r="W234" s="255"/>
      <c r="X234" s="255"/>
      <c r="Y234" s="255"/>
      <c r="Z234" s="255"/>
      <c r="AA234" s="255"/>
      <c r="AB234" s="255"/>
      <c r="AC234" s="255"/>
      <c r="AD234" s="255"/>
      <c r="AE234" s="255"/>
      <c r="AF234" s="262" t="s">
        <v>415</v>
      </c>
      <c r="AG234" s="263" t="s">
        <v>415</v>
      </c>
      <c r="AH234" s="263" t="s">
        <v>415</v>
      </c>
      <c r="AI234" s="263" t="s">
        <v>415</v>
      </c>
      <c r="AJ234" s="263" t="s">
        <v>415</v>
      </c>
      <c r="AK234" s="263" t="s">
        <v>415</v>
      </c>
      <c r="AL234" s="263" t="s">
        <v>415</v>
      </c>
      <c r="AM234" s="263" t="s">
        <v>415</v>
      </c>
      <c r="AN234" s="263" t="s">
        <v>415</v>
      </c>
      <c r="AO234" s="263" t="s">
        <v>415</v>
      </c>
      <c r="AP234" s="263" t="s">
        <v>415</v>
      </c>
      <c r="AQ234" s="263" t="s">
        <v>415</v>
      </c>
      <c r="AR234" s="263" t="s">
        <v>415</v>
      </c>
      <c r="AS234" s="263" t="s">
        <v>415</v>
      </c>
      <c r="AT234" s="263" t="s">
        <v>415</v>
      </c>
      <c r="AU234" s="263" t="s">
        <v>415</v>
      </c>
      <c r="AV234" s="263" t="s">
        <v>415</v>
      </c>
      <c r="AW234" s="263" t="s">
        <v>415</v>
      </c>
      <c r="AX234" s="263" t="s">
        <v>415</v>
      </c>
      <c r="AY234" s="263" t="s">
        <v>415</v>
      </c>
      <c r="AZ234" s="263" t="s">
        <v>415</v>
      </c>
      <c r="BA234" s="263" t="s">
        <v>415</v>
      </c>
      <c r="BB234" s="263" t="s">
        <v>415</v>
      </c>
      <c r="BC234" s="263" t="s">
        <v>415</v>
      </c>
      <c r="BD234" s="263" t="s">
        <v>415</v>
      </c>
      <c r="BE234" s="263" t="s">
        <v>415</v>
      </c>
      <c r="BF234" s="264" t="s">
        <v>415</v>
      </c>
    </row>
    <row r="235" spans="2:58" hidden="1">
      <c r="B235" s="5" t="s">
        <v>354</v>
      </c>
      <c r="C235" s="5" t="str">
        <f t="shared" ca="1" si="257"/>
        <v>Veikla</v>
      </c>
      <c r="D235" t="str">
        <f t="shared" si="258"/>
        <v>False</v>
      </c>
      <c r="E235" s="256" t="str">
        <f t="shared" si="239"/>
        <v>-</v>
      </c>
      <c r="F235" s="256" t="str">
        <f t="shared" si="240"/>
        <v>-</v>
      </c>
      <c r="G235" s="256" t="str">
        <f t="shared" si="241"/>
        <v>-</v>
      </c>
      <c r="H235" s="256" t="str">
        <f t="shared" si="242"/>
        <v>-</v>
      </c>
      <c r="I235" s="256" t="str">
        <f t="shared" si="243"/>
        <v>-</v>
      </c>
      <c r="J235" s="256" t="str">
        <f t="shared" si="244"/>
        <v>-</v>
      </c>
      <c r="K235" s="256" t="str">
        <f t="shared" si="245"/>
        <v>-</v>
      </c>
      <c r="L235" s="256" t="str">
        <f t="shared" si="246"/>
        <v>-</v>
      </c>
      <c r="M235" s="256" t="str">
        <f t="shared" si="247"/>
        <v>-</v>
      </c>
      <c r="N235" s="256" t="str">
        <f t="shared" si="248"/>
        <v>-</v>
      </c>
      <c r="O235" s="256" t="str">
        <f t="shared" si="249"/>
        <v>-</v>
      </c>
      <c r="P235" s="256" t="str">
        <f t="shared" si="250"/>
        <v>-</v>
      </c>
      <c r="Q235" s="256" t="str">
        <f t="shared" si="251"/>
        <v>-</v>
      </c>
      <c r="R235" s="256" t="str">
        <f t="shared" si="252"/>
        <v>-</v>
      </c>
      <c r="S235" s="256" t="str">
        <f t="shared" si="253"/>
        <v>-</v>
      </c>
      <c r="T235" s="256" t="str">
        <f t="shared" si="254"/>
        <v>-</v>
      </c>
      <c r="U235" s="256" t="str">
        <f t="shared" si="255"/>
        <v>-</v>
      </c>
      <c r="V235" s="256" t="str">
        <f t="shared" si="256"/>
        <v>-</v>
      </c>
      <c r="W235" s="255"/>
      <c r="X235" s="255"/>
      <c r="Y235" s="255"/>
      <c r="Z235" s="255"/>
      <c r="AA235" s="255"/>
      <c r="AB235" s="255"/>
      <c r="AC235" s="255"/>
      <c r="AD235" s="255"/>
      <c r="AE235" s="255"/>
      <c r="AF235" s="262" t="s">
        <v>415</v>
      </c>
      <c r="AG235" s="263" t="s">
        <v>415</v>
      </c>
      <c r="AH235" s="263" t="s">
        <v>415</v>
      </c>
      <c r="AI235" s="263" t="s">
        <v>415</v>
      </c>
      <c r="AJ235" s="263" t="s">
        <v>415</v>
      </c>
      <c r="AK235" s="263" t="s">
        <v>415</v>
      </c>
      <c r="AL235" s="263" t="s">
        <v>415</v>
      </c>
      <c r="AM235" s="263" t="s">
        <v>415</v>
      </c>
      <c r="AN235" s="263" t="s">
        <v>415</v>
      </c>
      <c r="AO235" s="263" t="s">
        <v>415</v>
      </c>
      <c r="AP235" s="263" t="s">
        <v>415</v>
      </c>
      <c r="AQ235" s="263" t="s">
        <v>415</v>
      </c>
      <c r="AR235" s="263" t="s">
        <v>415</v>
      </c>
      <c r="AS235" s="263" t="s">
        <v>415</v>
      </c>
      <c r="AT235" s="263" t="s">
        <v>415</v>
      </c>
      <c r="AU235" s="263" t="s">
        <v>415</v>
      </c>
      <c r="AV235" s="263" t="s">
        <v>415</v>
      </c>
      <c r="AW235" s="263" t="s">
        <v>415</v>
      </c>
      <c r="AX235" s="263" t="s">
        <v>415</v>
      </c>
      <c r="AY235" s="263" t="s">
        <v>415</v>
      </c>
      <c r="AZ235" s="263" t="s">
        <v>415</v>
      </c>
      <c r="BA235" s="263" t="s">
        <v>415</v>
      </c>
      <c r="BB235" s="263" t="s">
        <v>415</v>
      </c>
      <c r="BC235" s="263" t="s">
        <v>415</v>
      </c>
      <c r="BD235" s="263" t="s">
        <v>415</v>
      </c>
      <c r="BE235" s="263" t="s">
        <v>415</v>
      </c>
      <c r="BF235" s="264" t="s">
        <v>415</v>
      </c>
    </row>
    <row r="236" spans="2:58" hidden="1">
      <c r="B236" s="5" t="s">
        <v>355</v>
      </c>
      <c r="C236" s="5" t="str">
        <f t="shared" ca="1" si="257"/>
        <v>Reinvesticijos (po priemonės įgyvendinimo)</v>
      </c>
      <c r="D236" t="str">
        <f t="shared" si="258"/>
        <v>False</v>
      </c>
      <c r="E236" s="256" t="str">
        <f t="shared" si="239"/>
        <v>-</v>
      </c>
      <c r="F236" s="256" t="str">
        <f t="shared" si="240"/>
        <v>-</v>
      </c>
      <c r="G236" s="256" t="str">
        <f t="shared" si="241"/>
        <v>-</v>
      </c>
      <c r="H236" s="256" t="str">
        <f t="shared" si="242"/>
        <v>-</v>
      </c>
      <c r="I236" s="256" t="str">
        <f t="shared" si="243"/>
        <v>-</v>
      </c>
      <c r="J236" s="256" t="str">
        <f t="shared" si="244"/>
        <v>-</v>
      </c>
      <c r="K236" s="256" t="str">
        <f t="shared" si="245"/>
        <v>-</v>
      </c>
      <c r="L236" s="256" t="str">
        <f t="shared" si="246"/>
        <v>-</v>
      </c>
      <c r="M236" s="256" t="str">
        <f t="shared" si="247"/>
        <v>-</v>
      </c>
      <c r="N236" s="256" t="str">
        <f t="shared" si="248"/>
        <v>-</v>
      </c>
      <c r="O236" s="256" t="str">
        <f t="shared" si="249"/>
        <v>-</v>
      </c>
      <c r="P236" s="256" t="str">
        <f t="shared" si="250"/>
        <v>-</v>
      </c>
      <c r="Q236" s="256" t="str">
        <f t="shared" si="251"/>
        <v>-</v>
      </c>
      <c r="R236" s="256" t="str">
        <f t="shared" si="252"/>
        <v>-</v>
      </c>
      <c r="S236" s="256" t="str">
        <f t="shared" si="253"/>
        <v>-</v>
      </c>
      <c r="T236" s="256" t="str">
        <f t="shared" si="254"/>
        <v>-</v>
      </c>
      <c r="U236" s="256" t="str">
        <f t="shared" si="255"/>
        <v>-</v>
      </c>
      <c r="V236" s="256" t="str">
        <f t="shared" si="256"/>
        <v>-</v>
      </c>
      <c r="W236" s="255"/>
      <c r="X236" s="255"/>
      <c r="Y236" s="255"/>
      <c r="Z236" s="255"/>
      <c r="AA236" s="255"/>
      <c r="AB236" s="255"/>
      <c r="AC236" s="255"/>
      <c r="AD236" s="255"/>
      <c r="AE236" s="255"/>
      <c r="AF236" s="262" t="s">
        <v>415</v>
      </c>
      <c r="AG236" s="263" t="s">
        <v>415</v>
      </c>
      <c r="AH236" s="263" t="s">
        <v>415</v>
      </c>
      <c r="AI236" s="263" t="s">
        <v>415</v>
      </c>
      <c r="AJ236" s="263" t="s">
        <v>415</v>
      </c>
      <c r="AK236" s="263" t="s">
        <v>415</v>
      </c>
      <c r="AL236" s="263" t="s">
        <v>415</v>
      </c>
      <c r="AM236" s="263" t="s">
        <v>415</v>
      </c>
      <c r="AN236" s="263" t="s">
        <v>415</v>
      </c>
      <c r="AO236" s="263" t="s">
        <v>415</v>
      </c>
      <c r="AP236" s="263" t="s">
        <v>415</v>
      </c>
      <c r="AQ236" s="263" t="s">
        <v>415</v>
      </c>
      <c r="AR236" s="263" t="s">
        <v>415</v>
      </c>
      <c r="AS236" s="263" t="s">
        <v>415</v>
      </c>
      <c r="AT236" s="263" t="s">
        <v>415</v>
      </c>
      <c r="AU236" s="263" t="s">
        <v>415</v>
      </c>
      <c r="AV236" s="263" t="s">
        <v>415</v>
      </c>
      <c r="AW236" s="263" t="s">
        <v>415</v>
      </c>
      <c r="AX236" s="263" t="s">
        <v>415</v>
      </c>
      <c r="AY236" s="263" t="s">
        <v>415</v>
      </c>
      <c r="AZ236" s="263" t="s">
        <v>415</v>
      </c>
      <c r="BA236" s="263" t="s">
        <v>415</v>
      </c>
      <c r="BB236" s="263" t="s">
        <v>415</v>
      </c>
      <c r="BC236" s="263" t="s">
        <v>415</v>
      </c>
      <c r="BD236" s="263" t="s">
        <v>415</v>
      </c>
      <c r="BE236" s="263" t="s">
        <v>415</v>
      </c>
      <c r="BF236" s="264" t="s">
        <v>415</v>
      </c>
    </row>
    <row r="237" spans="2:58" hidden="1">
      <c r="B237" s="5" t="s">
        <v>356</v>
      </c>
      <c r="C237" s="5" t="str">
        <f t="shared" ca="1" si="257"/>
        <v>Likutinė vertė</v>
      </c>
      <c r="D237" t="str">
        <f t="shared" si="258"/>
        <v>False</v>
      </c>
      <c r="E237" s="256" t="str">
        <f t="shared" si="239"/>
        <v>-</v>
      </c>
      <c r="F237" s="256" t="str">
        <f t="shared" si="240"/>
        <v>-</v>
      </c>
      <c r="G237" s="256" t="str">
        <f t="shared" si="241"/>
        <v>-</v>
      </c>
      <c r="H237" s="256" t="str">
        <f t="shared" si="242"/>
        <v>-</v>
      </c>
      <c r="I237" s="256" t="str">
        <f t="shared" si="243"/>
        <v>-</v>
      </c>
      <c r="J237" s="256" t="str">
        <f t="shared" si="244"/>
        <v>-</v>
      </c>
      <c r="K237" s="256" t="str">
        <f t="shared" si="245"/>
        <v>-</v>
      </c>
      <c r="L237" s="256" t="str">
        <f t="shared" si="246"/>
        <v>-</v>
      </c>
      <c r="M237" s="256" t="str">
        <f t="shared" si="247"/>
        <v>-</v>
      </c>
      <c r="N237" s="256" t="str">
        <f t="shared" si="248"/>
        <v>-</v>
      </c>
      <c r="O237" s="256" t="str">
        <f t="shared" si="249"/>
        <v>-</v>
      </c>
      <c r="P237" s="256" t="str">
        <f t="shared" si="250"/>
        <v>-</v>
      </c>
      <c r="Q237" s="256" t="str">
        <f t="shared" si="251"/>
        <v>-</v>
      </c>
      <c r="R237" s="256" t="str">
        <f t="shared" si="252"/>
        <v>-</v>
      </c>
      <c r="S237" s="256" t="str">
        <f t="shared" si="253"/>
        <v>-</v>
      </c>
      <c r="T237" s="256" t="str">
        <f t="shared" si="254"/>
        <v>-</v>
      </c>
      <c r="U237" s="256" t="str">
        <f t="shared" si="255"/>
        <v>-</v>
      </c>
      <c r="V237" s="256" t="str">
        <f t="shared" si="256"/>
        <v>-</v>
      </c>
      <c r="W237" s="255"/>
      <c r="X237" s="255"/>
      <c r="Y237" s="255"/>
      <c r="Z237" s="255"/>
      <c r="AA237" s="255"/>
      <c r="AB237" s="255"/>
      <c r="AC237" s="255"/>
      <c r="AD237" s="255"/>
      <c r="AE237" s="255"/>
      <c r="AF237" s="262" t="s">
        <v>415</v>
      </c>
      <c r="AG237" s="263" t="s">
        <v>415</v>
      </c>
      <c r="AH237" s="263" t="s">
        <v>415</v>
      </c>
      <c r="AI237" s="263" t="s">
        <v>415</v>
      </c>
      <c r="AJ237" s="263" t="s">
        <v>415</v>
      </c>
      <c r="AK237" s="263" t="s">
        <v>415</v>
      </c>
      <c r="AL237" s="263" t="s">
        <v>415</v>
      </c>
      <c r="AM237" s="263" t="s">
        <v>415</v>
      </c>
      <c r="AN237" s="263" t="s">
        <v>415</v>
      </c>
      <c r="AO237" s="263" t="s">
        <v>415</v>
      </c>
      <c r="AP237" s="263" t="s">
        <v>415</v>
      </c>
      <c r="AQ237" s="263" t="s">
        <v>415</v>
      </c>
      <c r="AR237" s="263" t="s">
        <v>415</v>
      </c>
      <c r="AS237" s="263" t="s">
        <v>415</v>
      </c>
      <c r="AT237" s="263" t="s">
        <v>415</v>
      </c>
      <c r="AU237" s="263" t="s">
        <v>415</v>
      </c>
      <c r="AV237" s="263" t="s">
        <v>415</v>
      </c>
      <c r="AW237" s="263" t="s">
        <v>415</v>
      </c>
      <c r="AX237" s="263" t="s">
        <v>415</v>
      </c>
      <c r="AY237" s="263" t="s">
        <v>415</v>
      </c>
      <c r="AZ237" s="263" t="s">
        <v>415</v>
      </c>
      <c r="BA237" s="263" t="s">
        <v>415</v>
      </c>
      <c r="BB237" s="263" t="s">
        <v>415</v>
      </c>
      <c r="BC237" s="263" t="s">
        <v>415</v>
      </c>
      <c r="BD237" s="263" t="s">
        <v>415</v>
      </c>
      <c r="BE237" s="263" t="s">
        <v>415</v>
      </c>
      <c r="BF237" s="264" t="s">
        <v>415</v>
      </c>
    </row>
    <row r="238" spans="2:58">
      <c r="B238" s="5" t="s">
        <v>357</v>
      </c>
      <c r="C238" s="5" t="str">
        <f t="shared" ca="1" si="257"/>
        <v>Ekonominės diplomatijos funkcijų stiprinimas</v>
      </c>
      <c r="D238" t="str">
        <f t="shared" si="258"/>
        <v>True</v>
      </c>
      <c r="E238" s="256">
        <f t="shared" si="239"/>
        <v>8.2555866880227615E-4</v>
      </c>
      <c r="F238" s="256">
        <f t="shared" si="240"/>
        <v>-8.2419782148998707E-4</v>
      </c>
      <c r="G238" s="256">
        <f t="shared" si="241"/>
        <v>2.5917083313464257E-4</v>
      </c>
      <c r="H238" s="256">
        <f t="shared" si="242"/>
        <v>-2.5917083313498063E-4</v>
      </c>
      <c r="I238" s="256">
        <f t="shared" si="243"/>
        <v>1.0177715296382787E-4</v>
      </c>
      <c r="J238" s="256">
        <f t="shared" si="244"/>
        <v>-1.0178997450088701E-4</v>
      </c>
      <c r="K238" s="256" t="str">
        <f t="shared" si="245"/>
        <v>-</v>
      </c>
      <c r="L238" s="256" t="str">
        <f t="shared" si="246"/>
        <v>-</v>
      </c>
      <c r="M238" s="256">
        <f t="shared" si="247"/>
        <v>0</v>
      </c>
      <c r="N238" s="256">
        <f t="shared" si="248"/>
        <v>0</v>
      </c>
      <c r="O238" s="256">
        <f t="shared" si="249"/>
        <v>-2.1252265371379734E-3</v>
      </c>
      <c r="P238" s="256">
        <f t="shared" si="250"/>
        <v>2.1252265371379734E-3</v>
      </c>
      <c r="Q238" s="256">
        <f t="shared" si="251"/>
        <v>-8.6173063008478416E-4</v>
      </c>
      <c r="R238" s="256">
        <f t="shared" si="252"/>
        <v>8.6173063008491144E-4</v>
      </c>
      <c r="S238" s="256" t="str">
        <f t="shared" si="253"/>
        <v>-</v>
      </c>
      <c r="T238" s="256" t="str">
        <f t="shared" si="254"/>
        <v>-</v>
      </c>
      <c r="U238" s="256">
        <f t="shared" si="255"/>
        <v>0</v>
      </c>
      <c r="V238" s="256">
        <f t="shared" si="256"/>
        <v>0</v>
      </c>
      <c r="W238" s="255"/>
      <c r="X238" s="255"/>
      <c r="Y238" s="255"/>
      <c r="Z238" s="255"/>
      <c r="AA238" s="255"/>
      <c r="AB238" s="255"/>
      <c r="AC238" s="255"/>
      <c r="AD238" s="255"/>
      <c r="AE238" s="255"/>
      <c r="AF238" s="262">
        <v>4.1862097271623844</v>
      </c>
      <c r="AG238" s="263">
        <v>4.1827566161784082</v>
      </c>
      <c r="AH238" s="263">
        <v>4.1793091972875311</v>
      </c>
      <c r="AI238" s="263">
        <v>352695468.64686364</v>
      </c>
      <c r="AJ238" s="263">
        <v>352604083.95265895</v>
      </c>
      <c r="AK238" s="263">
        <v>352512699.25845414</v>
      </c>
      <c r="AL238" s="263">
        <v>2.2818531818077155</v>
      </c>
      <c r="AM238" s="263">
        <v>2.2816209649217631</v>
      </c>
      <c r="AN238" s="263">
        <v>2.2813887187819231</v>
      </c>
      <c r="AO238" s="263" t="s">
        <v>414</v>
      </c>
      <c r="AP238" s="263" t="s">
        <v>414</v>
      </c>
      <c r="AQ238" s="263" t="s">
        <v>414</v>
      </c>
      <c r="AR238" s="263">
        <v>9.1639999999999997</v>
      </c>
      <c r="AS238" s="263">
        <v>9.1639999999999997</v>
      </c>
      <c r="AT238" s="263">
        <v>9.1639999999999997</v>
      </c>
      <c r="AU238" s="263">
        <v>-47375597.697441399</v>
      </c>
      <c r="AV238" s="263">
        <v>-47476496.006645046</v>
      </c>
      <c r="AW238" s="263">
        <v>-47577394.315848693</v>
      </c>
      <c r="AX238" s="263">
        <v>-116987093.78610729</v>
      </c>
      <c r="AY238" s="263">
        <v>-117087992.09531094</v>
      </c>
      <c r="AZ238" s="263">
        <v>-117188890.40451461</v>
      </c>
      <c r="BA238" s="263" t="s">
        <v>414</v>
      </c>
      <c r="BB238" s="263" t="s">
        <v>414</v>
      </c>
      <c r="BC238" s="263" t="s">
        <v>414</v>
      </c>
      <c r="BD238" s="263">
        <v>3.4471879118721363E-2</v>
      </c>
      <c r="BE238" s="263">
        <v>3.4471879118721363E-2</v>
      </c>
      <c r="BF238" s="264">
        <v>3.4471879118721363E-2</v>
      </c>
    </row>
    <row r="239" spans="2:58">
      <c r="B239" s="5" t="s">
        <v>358</v>
      </c>
      <c r="C239" s="5" t="str">
        <f t="shared" ca="1" si="257"/>
        <v>Darbo su diaspora funkcijų stiprinimas</v>
      </c>
      <c r="D239" t="str">
        <f t="shared" si="258"/>
        <v>True</v>
      </c>
      <c r="E239" s="256">
        <f t="shared" si="239"/>
        <v>6.6797109289337252E-4</v>
      </c>
      <c r="F239" s="256">
        <f t="shared" si="240"/>
        <v>-6.6707991269679423E-4</v>
      </c>
      <c r="G239" s="256">
        <f t="shared" si="241"/>
        <v>2.0973177840832356E-4</v>
      </c>
      <c r="H239" s="256">
        <f t="shared" si="242"/>
        <v>-2.0973177840832356E-4</v>
      </c>
      <c r="I239" s="256">
        <f t="shared" si="243"/>
        <v>7.8249903417634934E-5</v>
      </c>
      <c r="J239" s="256">
        <f t="shared" si="244"/>
        <v>-7.8257190334145627E-5</v>
      </c>
      <c r="K239" s="256" t="str">
        <f t="shared" si="245"/>
        <v>-</v>
      </c>
      <c r="L239" s="256" t="str">
        <f t="shared" si="246"/>
        <v>-</v>
      </c>
      <c r="M239" s="256">
        <f t="shared" si="247"/>
        <v>0</v>
      </c>
      <c r="N239" s="256">
        <f t="shared" si="248"/>
        <v>0</v>
      </c>
      <c r="O239" s="256">
        <f t="shared" si="249"/>
        <v>-1.7218137068498599E-3</v>
      </c>
      <c r="P239" s="256">
        <f t="shared" si="250"/>
        <v>1.7218137068492321E-3</v>
      </c>
      <c r="Q239" s="256">
        <f t="shared" si="251"/>
        <v>-6.9815597752233445E-4</v>
      </c>
      <c r="R239" s="256">
        <f t="shared" si="252"/>
        <v>6.9815597752246163E-4</v>
      </c>
      <c r="S239" s="256" t="str">
        <f t="shared" si="253"/>
        <v>-</v>
      </c>
      <c r="T239" s="256" t="str">
        <f t="shared" si="254"/>
        <v>-</v>
      </c>
      <c r="U239" s="256">
        <f t="shared" si="255"/>
        <v>0</v>
      </c>
      <c r="V239" s="256">
        <f t="shared" si="256"/>
        <v>0</v>
      </c>
      <c r="W239" s="255"/>
      <c r="X239" s="255"/>
      <c r="Y239" s="255"/>
      <c r="Z239" s="255"/>
      <c r="AA239" s="255"/>
      <c r="AB239" s="255"/>
      <c r="AC239" s="255"/>
      <c r="AD239" s="255"/>
      <c r="AE239" s="255"/>
      <c r="AF239" s="262">
        <v>4.1855505766866239</v>
      </c>
      <c r="AG239" s="263">
        <v>4.1827566161784082</v>
      </c>
      <c r="AH239" s="263">
        <v>4.179966383260056</v>
      </c>
      <c r="AI239" s="263">
        <v>352678036.23426038</v>
      </c>
      <c r="AJ239" s="263">
        <v>352604083.95265895</v>
      </c>
      <c r="AK239" s="263">
        <v>352530131.67105752</v>
      </c>
      <c r="AL239" s="263">
        <v>2.2817995015419039</v>
      </c>
      <c r="AM239" s="263">
        <v>2.2816209649217631</v>
      </c>
      <c r="AN239" s="263">
        <v>2.2814424116756409</v>
      </c>
      <c r="AO239" s="263" t="s">
        <v>414</v>
      </c>
      <c r="AP239" s="263" t="s">
        <v>414</v>
      </c>
      <c r="AQ239" s="263" t="s">
        <v>414</v>
      </c>
      <c r="AR239" s="263">
        <v>9.1639999999999997</v>
      </c>
      <c r="AS239" s="263">
        <v>9.1639999999999997</v>
      </c>
      <c r="AT239" s="263">
        <v>9.1639999999999997</v>
      </c>
      <c r="AU239" s="263">
        <v>-47394750.325067602</v>
      </c>
      <c r="AV239" s="263">
        <v>-47476496.006645046</v>
      </c>
      <c r="AW239" s="263">
        <v>-47558241.68822246</v>
      </c>
      <c r="AX239" s="263">
        <v>-117006246.41373351</v>
      </c>
      <c r="AY239" s="263">
        <v>-117087992.09531094</v>
      </c>
      <c r="AZ239" s="263">
        <v>-117169737.77688839</v>
      </c>
      <c r="BA239" s="263" t="s">
        <v>414</v>
      </c>
      <c r="BB239" s="263" t="s">
        <v>414</v>
      </c>
      <c r="BC239" s="263" t="s">
        <v>414</v>
      </c>
      <c r="BD239" s="263">
        <v>3.4471879118721363E-2</v>
      </c>
      <c r="BE239" s="263">
        <v>3.4471879118721363E-2</v>
      </c>
      <c r="BF239" s="264">
        <v>3.4471879118721363E-2</v>
      </c>
    </row>
    <row r="240" spans="2:58">
      <c r="B240" s="5" t="s">
        <v>359</v>
      </c>
      <c r="C240" s="5" t="str">
        <f t="shared" ca="1" si="257"/>
        <v xml:space="preserve">Kursai diplomatams, dirbantiems su Azijos regionu </v>
      </c>
      <c r="D240" t="str">
        <f t="shared" si="258"/>
        <v>True</v>
      </c>
      <c r="E240" s="256">
        <f t="shared" si="239"/>
        <v>2.0778969107590942E-5</v>
      </c>
      <c r="F240" s="256">
        <f t="shared" si="240"/>
        <v>-2.0778105612246169E-5</v>
      </c>
      <c r="G240" s="256">
        <f t="shared" si="241"/>
        <v>6.5284719683475387E-6</v>
      </c>
      <c r="H240" s="256">
        <f t="shared" si="242"/>
        <v>-6.5284719683475387E-6</v>
      </c>
      <c r="I240" s="256">
        <f t="shared" si="243"/>
        <v>6.0125375496664779E-6</v>
      </c>
      <c r="J240" s="256">
        <f t="shared" si="244"/>
        <v>-6.0125557718324534E-6</v>
      </c>
      <c r="K240" s="256" t="str">
        <f t="shared" si="245"/>
        <v>-</v>
      </c>
      <c r="L240" s="256" t="str">
        <f t="shared" si="246"/>
        <v>-</v>
      </c>
      <c r="M240" s="256">
        <f t="shared" si="247"/>
        <v>0</v>
      </c>
      <c r="N240" s="256">
        <f t="shared" si="248"/>
        <v>0</v>
      </c>
      <c r="O240" s="256">
        <f t="shared" si="249"/>
        <v>-5.320016827590873E-5</v>
      </c>
      <c r="P240" s="256">
        <f t="shared" si="250"/>
        <v>5.3200168275124072E-5</v>
      </c>
      <c r="Q240" s="256">
        <f t="shared" si="251"/>
        <v>-2.1571448374040184E-5</v>
      </c>
      <c r="R240" s="256">
        <f t="shared" si="252"/>
        <v>2.1571448373912919E-5</v>
      </c>
      <c r="S240" s="256" t="str">
        <f t="shared" si="253"/>
        <v>-</v>
      </c>
      <c r="T240" s="256" t="str">
        <f t="shared" si="254"/>
        <v>-</v>
      </c>
      <c r="U240" s="256">
        <f t="shared" si="255"/>
        <v>0</v>
      </c>
      <c r="V240" s="256">
        <f t="shared" si="256"/>
        <v>0</v>
      </c>
      <c r="W240" s="255"/>
      <c r="X240" s="255"/>
      <c r="Y240" s="255"/>
      <c r="Z240" s="255"/>
      <c r="AA240" s="255"/>
      <c r="AB240" s="255"/>
      <c r="AC240" s="255"/>
      <c r="AD240" s="255"/>
      <c r="AE240" s="255"/>
      <c r="AF240" s="262">
        <v>4.1828435295489204</v>
      </c>
      <c r="AG240" s="263">
        <v>4.1827566161784082</v>
      </c>
      <c r="AH240" s="263">
        <v>4.1826697064196869</v>
      </c>
      <c r="AI240" s="263">
        <v>352606385.91853696</v>
      </c>
      <c r="AJ240" s="263">
        <v>352604083.95265895</v>
      </c>
      <c r="AK240" s="263">
        <v>352601781.98678094</v>
      </c>
      <c r="AL240" s="263">
        <v>2.2816346832534888</v>
      </c>
      <c r="AM240" s="263">
        <v>2.2816209649217631</v>
      </c>
      <c r="AN240" s="263">
        <v>2.2816072465484614</v>
      </c>
      <c r="AO240" s="263" t="s">
        <v>414</v>
      </c>
      <c r="AP240" s="263" t="s">
        <v>414</v>
      </c>
      <c r="AQ240" s="263" t="s">
        <v>414</v>
      </c>
      <c r="AR240" s="263">
        <v>9.1639999999999997</v>
      </c>
      <c r="AS240" s="263">
        <v>9.1639999999999997</v>
      </c>
      <c r="AT240" s="263">
        <v>9.1639999999999997</v>
      </c>
      <c r="AU240" s="263">
        <v>-47473970.249068342</v>
      </c>
      <c r="AV240" s="263">
        <v>-47476496.006645046</v>
      </c>
      <c r="AW240" s="263">
        <v>-47479021.764221713</v>
      </c>
      <c r="AX240" s="263">
        <v>-117085466.33773424</v>
      </c>
      <c r="AY240" s="263">
        <v>-117087992.09531094</v>
      </c>
      <c r="AZ240" s="263">
        <v>-117090517.85288763</v>
      </c>
      <c r="BA240" s="263" t="s">
        <v>414</v>
      </c>
      <c r="BB240" s="263" t="s">
        <v>414</v>
      </c>
      <c r="BC240" s="263" t="s">
        <v>414</v>
      </c>
      <c r="BD240" s="263">
        <v>3.4471879118721363E-2</v>
      </c>
      <c r="BE240" s="263">
        <v>3.4471879118721363E-2</v>
      </c>
      <c r="BF240" s="264">
        <v>3.4471879118721363E-2</v>
      </c>
    </row>
    <row r="241" spans="2:58">
      <c r="B241" s="5" t="s">
        <v>360</v>
      </c>
      <c r="C241" s="5" t="str">
        <f t="shared" ca="1" si="257"/>
        <v>Stipendijų fondas Azijos regiono studijų studentams</v>
      </c>
      <c r="D241" t="str">
        <f t="shared" si="258"/>
        <v>True</v>
      </c>
      <c r="E241" s="256">
        <f t="shared" si="239"/>
        <v>6.956237386132954E-6</v>
      </c>
      <c r="F241" s="256">
        <f t="shared" si="240"/>
        <v>-6.9561406091847951E-6</v>
      </c>
      <c r="G241" s="256">
        <f t="shared" si="241"/>
        <v>2.1855862186654245E-6</v>
      </c>
      <c r="H241" s="256">
        <f t="shared" si="242"/>
        <v>-2.185586218834466E-6</v>
      </c>
      <c r="I241" s="256">
        <f t="shared" si="243"/>
        <v>1.2917618602223986E-7</v>
      </c>
      <c r="J241" s="256">
        <f t="shared" si="244"/>
        <v>-1.29176243634967E-7</v>
      </c>
      <c r="K241" s="256" t="str">
        <f t="shared" si="245"/>
        <v>-</v>
      </c>
      <c r="L241" s="256" t="str">
        <f t="shared" si="246"/>
        <v>-</v>
      </c>
      <c r="M241" s="256">
        <f t="shared" si="247"/>
        <v>0</v>
      </c>
      <c r="N241" s="256">
        <f t="shared" si="248"/>
        <v>0</v>
      </c>
      <c r="O241" s="256">
        <f t="shared" si="249"/>
        <v>-1.8163811328755957E-5</v>
      </c>
      <c r="P241" s="256">
        <f t="shared" si="250"/>
        <v>1.8163811328128228E-5</v>
      </c>
      <c r="Q241" s="256">
        <f t="shared" si="251"/>
        <v>-7.3650090037048351E-6</v>
      </c>
      <c r="R241" s="256">
        <f t="shared" si="252"/>
        <v>7.365009003450306E-6</v>
      </c>
      <c r="S241" s="256" t="str">
        <f t="shared" si="253"/>
        <v>-</v>
      </c>
      <c r="T241" s="256" t="str">
        <f t="shared" si="254"/>
        <v>-</v>
      </c>
      <c r="U241" s="256">
        <f t="shared" si="255"/>
        <v>0</v>
      </c>
      <c r="V241" s="256">
        <f t="shared" si="256"/>
        <v>0</v>
      </c>
      <c r="W241" s="255"/>
      <c r="X241" s="255"/>
      <c r="Y241" s="255"/>
      <c r="Z241" s="255"/>
      <c r="AA241" s="255"/>
      <c r="AB241" s="255"/>
      <c r="AC241" s="255"/>
      <c r="AD241" s="255"/>
      <c r="AE241" s="255"/>
      <c r="AF241" s="262">
        <v>4.1827857124263588</v>
      </c>
      <c r="AG241" s="263">
        <v>4.1827566161784082</v>
      </c>
      <c r="AH241" s="263">
        <v>4.1827275203352521</v>
      </c>
      <c r="AI241" s="263">
        <v>352604854.59928548</v>
      </c>
      <c r="AJ241" s="263">
        <v>352604083.95265895</v>
      </c>
      <c r="AK241" s="263">
        <v>352603313.30603236</v>
      </c>
      <c r="AL241" s="263">
        <v>2.2816212596528573</v>
      </c>
      <c r="AM241" s="263">
        <v>2.2816209649217631</v>
      </c>
      <c r="AN241" s="263">
        <v>2.2816206701905375</v>
      </c>
      <c r="AO241" s="263" t="s">
        <v>414</v>
      </c>
      <c r="AP241" s="263" t="s">
        <v>414</v>
      </c>
      <c r="AQ241" s="263" t="s">
        <v>414</v>
      </c>
      <c r="AR241" s="263">
        <v>9.1639999999999997</v>
      </c>
      <c r="AS241" s="263">
        <v>9.1639999999999997</v>
      </c>
      <c r="AT241" s="263">
        <v>9.1639999999999997</v>
      </c>
      <c r="AU241" s="263">
        <v>-47475633.652529031</v>
      </c>
      <c r="AV241" s="263">
        <v>-47476496.006645046</v>
      </c>
      <c r="AW241" s="263">
        <v>-47477358.360761032</v>
      </c>
      <c r="AX241" s="263">
        <v>-117087129.74119493</v>
      </c>
      <c r="AY241" s="263">
        <v>-117087992.09531094</v>
      </c>
      <c r="AZ241" s="263">
        <v>-117088854.44942692</v>
      </c>
      <c r="BA241" s="263" t="s">
        <v>414</v>
      </c>
      <c r="BB241" s="263" t="s">
        <v>414</v>
      </c>
      <c r="BC241" s="263" t="s">
        <v>414</v>
      </c>
      <c r="BD241" s="263">
        <v>3.4471879118721363E-2</v>
      </c>
      <c r="BE241" s="263">
        <v>3.4471879118721363E-2</v>
      </c>
      <c r="BF241" s="264">
        <v>3.4471879118721363E-2</v>
      </c>
    </row>
    <row r="242" spans="2:58">
      <c r="B242" s="5" t="s">
        <v>361</v>
      </c>
      <c r="C242" s="5" t="str">
        <f t="shared" ca="1" si="257"/>
        <v xml:space="preserve">Ambasados Singapūre išlaikymo išlaidos </v>
      </c>
      <c r="D242" t="str">
        <f t="shared" si="258"/>
        <v>True</v>
      </c>
      <c r="E242" s="256">
        <f t="shared" si="239"/>
        <v>1.8392016360899951E-3</v>
      </c>
      <c r="F242" s="256">
        <f t="shared" si="240"/>
        <v>-1.8324611051648459E-3</v>
      </c>
      <c r="G242" s="256">
        <f t="shared" si="241"/>
        <v>5.7680350865578641E-4</v>
      </c>
      <c r="H242" s="256">
        <f t="shared" si="242"/>
        <v>-5.7680350865578641E-4</v>
      </c>
      <c r="I242" s="256">
        <f t="shared" si="243"/>
        <v>1.6111906643662588E-3</v>
      </c>
      <c r="J242" s="256">
        <f t="shared" si="244"/>
        <v>-1.6088926408801597E-3</v>
      </c>
      <c r="K242" s="256" t="str">
        <f t="shared" si="245"/>
        <v>-</v>
      </c>
      <c r="L242" s="256" t="str">
        <f t="shared" si="246"/>
        <v>-</v>
      </c>
      <c r="M242" s="256">
        <f t="shared" si="247"/>
        <v>0</v>
      </c>
      <c r="N242" s="256">
        <f t="shared" si="248"/>
        <v>0</v>
      </c>
      <c r="O242" s="256">
        <f t="shared" si="249"/>
        <v>-4.6716616558820723E-3</v>
      </c>
      <c r="P242" s="256">
        <f t="shared" si="250"/>
        <v>4.6716616558816013E-3</v>
      </c>
      <c r="Q242" s="256">
        <f t="shared" si="251"/>
        <v>-1.894251681840412E-3</v>
      </c>
      <c r="R242" s="256">
        <f t="shared" si="252"/>
        <v>1.894251681840412E-3</v>
      </c>
      <c r="S242" s="256" t="str">
        <f t="shared" si="253"/>
        <v>-</v>
      </c>
      <c r="T242" s="256" t="str">
        <f t="shared" si="254"/>
        <v>-</v>
      </c>
      <c r="U242" s="256">
        <f t="shared" si="255"/>
        <v>0</v>
      </c>
      <c r="V242" s="256">
        <f t="shared" si="256"/>
        <v>0</v>
      </c>
      <c r="W242" s="255"/>
      <c r="X242" s="255"/>
      <c r="Y242" s="255"/>
      <c r="Z242" s="255"/>
      <c r="AA242" s="255"/>
      <c r="AB242" s="255"/>
      <c r="AC242" s="255"/>
      <c r="AD242" s="255"/>
      <c r="AE242" s="255"/>
      <c r="AF242" s="262">
        <v>4.1904495489902498</v>
      </c>
      <c r="AG242" s="263">
        <v>4.1827566161784082</v>
      </c>
      <c r="AH242" s="263">
        <v>4.1750918773668904</v>
      </c>
      <c r="AI242" s="263">
        <v>352807467.2254492</v>
      </c>
      <c r="AJ242" s="263">
        <v>352604083.95265895</v>
      </c>
      <c r="AK242" s="263">
        <v>352400700.6798687</v>
      </c>
      <c r="AL242" s="263">
        <v>2.2852970913200674</v>
      </c>
      <c r="AM242" s="263">
        <v>2.2816209649217631</v>
      </c>
      <c r="AN242" s="263">
        <v>2.2779500817420226</v>
      </c>
      <c r="AO242" s="263" t="s">
        <v>414</v>
      </c>
      <c r="AP242" s="263" t="s">
        <v>414</v>
      </c>
      <c r="AQ242" s="263" t="s">
        <v>414</v>
      </c>
      <c r="AR242" s="263">
        <v>9.1639999999999997</v>
      </c>
      <c r="AS242" s="263">
        <v>9.1639999999999997</v>
      </c>
      <c r="AT242" s="263">
        <v>9.1639999999999997</v>
      </c>
      <c r="AU242" s="263">
        <v>-47254701.880695164</v>
      </c>
      <c r="AV242" s="263">
        <v>-47476496.006645046</v>
      </c>
      <c r="AW242" s="263">
        <v>-47698290.132594906</v>
      </c>
      <c r="AX242" s="263">
        <v>-116866197.96936108</v>
      </c>
      <c r="AY242" s="263">
        <v>-117087992.09531094</v>
      </c>
      <c r="AZ242" s="263">
        <v>-117309786.2212608</v>
      </c>
      <c r="BA242" s="263" t="s">
        <v>414</v>
      </c>
      <c r="BB242" s="263" t="s">
        <v>414</v>
      </c>
      <c r="BC242" s="263" t="s">
        <v>414</v>
      </c>
      <c r="BD242" s="263">
        <v>3.4471879118721363E-2</v>
      </c>
      <c r="BE242" s="263">
        <v>3.4471879118721363E-2</v>
      </c>
      <c r="BF242" s="264">
        <v>3.4471879118721363E-2</v>
      </c>
    </row>
    <row r="243" spans="2:58">
      <c r="B243" s="5" t="s">
        <v>362</v>
      </c>
      <c r="C243" s="5" t="str">
        <f t="shared" ca="1" si="257"/>
        <v>Kitų, naujai įsteigtų, ambasadų užsienio valstybėse išlaikymo išlaidos</v>
      </c>
      <c r="D243" t="str">
        <f t="shared" si="258"/>
        <v>True</v>
      </c>
      <c r="E243" s="256">
        <f t="shared" si="239"/>
        <v>5.7133488198877367E-3</v>
      </c>
      <c r="F243" s="256">
        <f t="shared" si="240"/>
        <v>-5.6488016711644384E-3</v>
      </c>
      <c r="G243" s="256">
        <f t="shared" si="241"/>
        <v>1.7848967382431762E-3</v>
      </c>
      <c r="H243" s="256">
        <f t="shared" si="242"/>
        <v>-1.7848967382435143E-3</v>
      </c>
      <c r="I243" s="256">
        <f t="shared" si="243"/>
        <v>9.2506085416168649E-4</v>
      </c>
      <c r="J243" s="256">
        <f t="shared" si="244"/>
        <v>-9.2577833472717885E-4</v>
      </c>
      <c r="K243" s="256" t="str">
        <f t="shared" si="245"/>
        <v>-</v>
      </c>
      <c r="L243" s="256" t="str">
        <f t="shared" si="246"/>
        <v>-</v>
      </c>
      <c r="M243" s="256">
        <f t="shared" si="247"/>
        <v>0</v>
      </c>
      <c r="N243" s="256">
        <f t="shared" si="248"/>
        <v>0</v>
      </c>
      <c r="O243" s="256">
        <f t="shared" si="249"/>
        <v>0</v>
      </c>
      <c r="P243" s="256">
        <f t="shared" si="250"/>
        <v>0</v>
      </c>
      <c r="Q243" s="256">
        <f t="shared" si="251"/>
        <v>-5.9298014452433111E-3</v>
      </c>
      <c r="R243" s="256">
        <f t="shared" si="252"/>
        <v>5.9298014452430561E-3</v>
      </c>
      <c r="S243" s="256" t="str">
        <f t="shared" si="253"/>
        <v>-</v>
      </c>
      <c r="T243" s="256" t="str">
        <f t="shared" si="254"/>
        <v>-</v>
      </c>
      <c r="U243" s="256">
        <f t="shared" si="255"/>
        <v>0</v>
      </c>
      <c r="V243" s="256">
        <f t="shared" si="256"/>
        <v>0</v>
      </c>
      <c r="W243" s="255"/>
      <c r="X243" s="255"/>
      <c r="Y243" s="255"/>
      <c r="Z243" s="255"/>
      <c r="AA243" s="255"/>
      <c r="AB243" s="255"/>
      <c r="AC243" s="255"/>
      <c r="AD243" s="255"/>
      <c r="AE243" s="255"/>
      <c r="AF243" s="262">
        <v>4.2066541637553287</v>
      </c>
      <c r="AG243" s="263">
        <v>4.1827566161784082</v>
      </c>
      <c r="AH243" s="263">
        <v>4.1591290536148655</v>
      </c>
      <c r="AI243" s="263">
        <v>353233445.83199728</v>
      </c>
      <c r="AJ243" s="263">
        <v>352604083.95265895</v>
      </c>
      <c r="AK243" s="263">
        <v>351974722.07332051</v>
      </c>
      <c r="AL243" s="263">
        <v>2.2837316031604469</v>
      </c>
      <c r="AM243" s="263">
        <v>2.2816209649217631</v>
      </c>
      <c r="AN243" s="263">
        <v>2.2795086896643793</v>
      </c>
      <c r="AO243" s="263" t="s">
        <v>414</v>
      </c>
      <c r="AP243" s="263" t="s">
        <v>414</v>
      </c>
      <c r="AQ243" s="263" t="s">
        <v>414</v>
      </c>
      <c r="AR243" s="263">
        <v>9.1639999999999997</v>
      </c>
      <c r="AS243" s="263">
        <v>9.1639999999999997</v>
      </c>
      <c r="AT243" s="263">
        <v>9.1639999999999997</v>
      </c>
      <c r="AU243" s="263">
        <v>-47476496.006645046</v>
      </c>
      <c r="AV243" s="263">
        <v>-47476496.006645046</v>
      </c>
      <c r="AW243" s="263">
        <v>-47476496.006645046</v>
      </c>
      <c r="AX243" s="263">
        <v>-116393683.55056353</v>
      </c>
      <c r="AY243" s="263">
        <v>-117087992.09531094</v>
      </c>
      <c r="AZ243" s="263">
        <v>-117782300.64005832</v>
      </c>
      <c r="BA243" s="263" t="s">
        <v>414</v>
      </c>
      <c r="BB243" s="263" t="s">
        <v>414</v>
      </c>
      <c r="BC243" s="263" t="s">
        <v>414</v>
      </c>
      <c r="BD243" s="263">
        <v>3.4471879118721363E-2</v>
      </c>
      <c r="BE243" s="263">
        <v>3.4471879118721363E-2</v>
      </c>
      <c r="BF243" s="264">
        <v>3.4471879118721363E-2</v>
      </c>
    </row>
    <row r="244" spans="2:58" hidden="1">
      <c r="B244" s="5" t="s">
        <v>363</v>
      </c>
      <c r="C244" s="5" t="str">
        <f t="shared" ca="1" si="257"/>
        <v/>
      </c>
      <c r="D244" t="str">
        <f t="shared" si="258"/>
        <v>False</v>
      </c>
      <c r="E244" s="256" t="str">
        <f t="shared" si="239"/>
        <v>-</v>
      </c>
      <c r="F244" s="256" t="str">
        <f t="shared" si="240"/>
        <v>-</v>
      </c>
      <c r="G244" s="256" t="str">
        <f t="shared" si="241"/>
        <v>-</v>
      </c>
      <c r="H244" s="256" t="str">
        <f t="shared" si="242"/>
        <v>-</v>
      </c>
      <c r="I244" s="256" t="str">
        <f t="shared" si="243"/>
        <v>-</v>
      </c>
      <c r="J244" s="256" t="str">
        <f t="shared" si="244"/>
        <v>-</v>
      </c>
      <c r="K244" s="256" t="str">
        <f t="shared" si="245"/>
        <v>-</v>
      </c>
      <c r="L244" s="256" t="str">
        <f t="shared" si="246"/>
        <v>-</v>
      </c>
      <c r="M244" s="256" t="str">
        <f t="shared" si="247"/>
        <v>-</v>
      </c>
      <c r="N244" s="256" t="str">
        <f t="shared" si="248"/>
        <v>-</v>
      </c>
      <c r="O244" s="256" t="str">
        <f t="shared" si="249"/>
        <v>-</v>
      </c>
      <c r="P244" s="256" t="str">
        <f t="shared" si="250"/>
        <v>-</v>
      </c>
      <c r="Q244" s="256" t="str">
        <f t="shared" si="251"/>
        <v>-</v>
      </c>
      <c r="R244" s="256" t="str">
        <f t="shared" si="252"/>
        <v>-</v>
      </c>
      <c r="S244" s="256" t="str">
        <f t="shared" si="253"/>
        <v>-</v>
      </c>
      <c r="T244" s="256" t="str">
        <f t="shared" si="254"/>
        <v>-</v>
      </c>
      <c r="U244" s="256" t="str">
        <f t="shared" si="255"/>
        <v>-</v>
      </c>
      <c r="V244" s="256" t="str">
        <f t="shared" si="256"/>
        <v>-</v>
      </c>
      <c r="W244" s="255"/>
      <c r="X244" s="255"/>
      <c r="Y244" s="255"/>
      <c r="Z244" s="255"/>
      <c r="AA244" s="255"/>
      <c r="AB244" s="255"/>
      <c r="AC244" s="255"/>
      <c r="AD244" s="255"/>
      <c r="AE244" s="255"/>
      <c r="AF244" s="262" t="s">
        <v>415</v>
      </c>
      <c r="AG244" s="263" t="s">
        <v>415</v>
      </c>
      <c r="AH244" s="263" t="s">
        <v>415</v>
      </c>
      <c r="AI244" s="263" t="s">
        <v>415</v>
      </c>
      <c r="AJ244" s="263" t="s">
        <v>415</v>
      </c>
      <c r="AK244" s="263" t="s">
        <v>415</v>
      </c>
      <c r="AL244" s="263" t="s">
        <v>415</v>
      </c>
      <c r="AM244" s="263" t="s">
        <v>415</v>
      </c>
      <c r="AN244" s="263" t="s">
        <v>415</v>
      </c>
      <c r="AO244" s="263" t="s">
        <v>415</v>
      </c>
      <c r="AP244" s="263" t="s">
        <v>415</v>
      </c>
      <c r="AQ244" s="263" t="s">
        <v>415</v>
      </c>
      <c r="AR244" s="263" t="s">
        <v>415</v>
      </c>
      <c r="AS244" s="263" t="s">
        <v>415</v>
      </c>
      <c r="AT244" s="263" t="s">
        <v>415</v>
      </c>
      <c r="AU244" s="263" t="s">
        <v>415</v>
      </c>
      <c r="AV244" s="263" t="s">
        <v>415</v>
      </c>
      <c r="AW244" s="263" t="s">
        <v>415</v>
      </c>
      <c r="AX244" s="263" t="s">
        <v>415</v>
      </c>
      <c r="AY244" s="263" t="s">
        <v>415</v>
      </c>
      <c r="AZ244" s="263" t="s">
        <v>415</v>
      </c>
      <c r="BA244" s="263" t="s">
        <v>415</v>
      </c>
      <c r="BB244" s="263" t="s">
        <v>415</v>
      </c>
      <c r="BC244" s="263" t="s">
        <v>415</v>
      </c>
      <c r="BD244" s="263" t="s">
        <v>415</v>
      </c>
      <c r="BE244" s="263" t="s">
        <v>415</v>
      </c>
      <c r="BF244" s="264" t="s">
        <v>415</v>
      </c>
    </row>
    <row r="245" spans="2:58" hidden="1">
      <c r="B245" s="5" t="s">
        <v>364</v>
      </c>
      <c r="C245" s="5" t="str">
        <f t="shared" ca="1" si="257"/>
        <v/>
      </c>
      <c r="D245" t="str">
        <f t="shared" si="258"/>
        <v>False</v>
      </c>
      <c r="E245" s="256" t="str">
        <f t="shared" si="239"/>
        <v>-</v>
      </c>
      <c r="F245" s="256" t="str">
        <f t="shared" si="240"/>
        <v>-</v>
      </c>
      <c r="G245" s="256" t="str">
        <f t="shared" si="241"/>
        <v>-</v>
      </c>
      <c r="H245" s="256" t="str">
        <f t="shared" si="242"/>
        <v>-</v>
      </c>
      <c r="I245" s="256" t="str">
        <f t="shared" si="243"/>
        <v>-</v>
      </c>
      <c r="J245" s="256" t="str">
        <f t="shared" si="244"/>
        <v>-</v>
      </c>
      <c r="K245" s="256" t="str">
        <f t="shared" si="245"/>
        <v>-</v>
      </c>
      <c r="L245" s="256" t="str">
        <f t="shared" si="246"/>
        <v>-</v>
      </c>
      <c r="M245" s="256" t="str">
        <f t="shared" si="247"/>
        <v>-</v>
      </c>
      <c r="N245" s="256" t="str">
        <f t="shared" si="248"/>
        <v>-</v>
      </c>
      <c r="O245" s="256" t="str">
        <f t="shared" si="249"/>
        <v>-</v>
      </c>
      <c r="P245" s="256" t="str">
        <f t="shared" si="250"/>
        <v>-</v>
      </c>
      <c r="Q245" s="256" t="str">
        <f t="shared" si="251"/>
        <v>-</v>
      </c>
      <c r="R245" s="256" t="str">
        <f t="shared" si="252"/>
        <v>-</v>
      </c>
      <c r="S245" s="256" t="str">
        <f t="shared" si="253"/>
        <v>-</v>
      </c>
      <c r="T245" s="256" t="str">
        <f t="shared" si="254"/>
        <v>-</v>
      </c>
      <c r="U245" s="256" t="str">
        <f t="shared" si="255"/>
        <v>-</v>
      </c>
      <c r="V245" s="256" t="str">
        <f t="shared" si="256"/>
        <v>-</v>
      </c>
      <c r="W245" s="255"/>
      <c r="X245" s="255"/>
      <c r="Y245" s="255"/>
      <c r="Z245" s="255"/>
      <c r="AA245" s="255"/>
      <c r="AB245" s="255"/>
      <c r="AC245" s="255"/>
      <c r="AD245" s="255"/>
      <c r="AE245" s="255"/>
      <c r="AF245" s="262" t="s">
        <v>415</v>
      </c>
      <c r="AG245" s="263" t="s">
        <v>415</v>
      </c>
      <c r="AH245" s="263" t="s">
        <v>415</v>
      </c>
      <c r="AI245" s="263" t="s">
        <v>415</v>
      </c>
      <c r="AJ245" s="263" t="s">
        <v>415</v>
      </c>
      <c r="AK245" s="263" t="s">
        <v>415</v>
      </c>
      <c r="AL245" s="263" t="s">
        <v>415</v>
      </c>
      <c r="AM245" s="263" t="s">
        <v>415</v>
      </c>
      <c r="AN245" s="263" t="s">
        <v>415</v>
      </c>
      <c r="AO245" s="263" t="s">
        <v>415</v>
      </c>
      <c r="AP245" s="263" t="s">
        <v>415</v>
      </c>
      <c r="AQ245" s="263" t="s">
        <v>415</v>
      </c>
      <c r="AR245" s="263" t="s">
        <v>415</v>
      </c>
      <c r="AS245" s="263" t="s">
        <v>415</v>
      </c>
      <c r="AT245" s="263" t="s">
        <v>415</v>
      </c>
      <c r="AU245" s="263" t="s">
        <v>415</v>
      </c>
      <c r="AV245" s="263" t="s">
        <v>415</v>
      </c>
      <c r="AW245" s="263" t="s">
        <v>415</v>
      </c>
      <c r="AX245" s="263" t="s">
        <v>415</v>
      </c>
      <c r="AY245" s="263" t="s">
        <v>415</v>
      </c>
      <c r="AZ245" s="263" t="s">
        <v>415</v>
      </c>
      <c r="BA245" s="263" t="s">
        <v>415</v>
      </c>
      <c r="BB245" s="263" t="s">
        <v>415</v>
      </c>
      <c r="BC245" s="263" t="s">
        <v>415</v>
      </c>
      <c r="BD245" s="263" t="s">
        <v>415</v>
      </c>
      <c r="BE245" s="263" t="s">
        <v>415</v>
      </c>
      <c r="BF245" s="264" t="s">
        <v>415</v>
      </c>
    </row>
    <row r="246" spans="2:58" hidden="1">
      <c r="B246" s="5" t="s">
        <v>365</v>
      </c>
      <c r="C246" s="5" t="str">
        <f t="shared" ca="1" si="257"/>
        <v/>
      </c>
      <c r="D246" t="str">
        <f t="shared" si="258"/>
        <v>False</v>
      </c>
      <c r="E246" s="256" t="str">
        <f t="shared" si="239"/>
        <v>-</v>
      </c>
      <c r="F246" s="256" t="str">
        <f t="shared" si="240"/>
        <v>-</v>
      </c>
      <c r="G246" s="256" t="str">
        <f t="shared" si="241"/>
        <v>-</v>
      </c>
      <c r="H246" s="256" t="str">
        <f t="shared" si="242"/>
        <v>-</v>
      </c>
      <c r="I246" s="256" t="str">
        <f t="shared" si="243"/>
        <v>-</v>
      </c>
      <c r="J246" s="256" t="str">
        <f t="shared" si="244"/>
        <v>-</v>
      </c>
      <c r="K246" s="256" t="str">
        <f t="shared" si="245"/>
        <v>-</v>
      </c>
      <c r="L246" s="256" t="str">
        <f t="shared" si="246"/>
        <v>-</v>
      </c>
      <c r="M246" s="256" t="str">
        <f t="shared" si="247"/>
        <v>-</v>
      </c>
      <c r="N246" s="256" t="str">
        <f t="shared" si="248"/>
        <v>-</v>
      </c>
      <c r="O246" s="256" t="str">
        <f t="shared" si="249"/>
        <v>-</v>
      </c>
      <c r="P246" s="256" t="str">
        <f t="shared" si="250"/>
        <v>-</v>
      </c>
      <c r="Q246" s="256" t="str">
        <f t="shared" si="251"/>
        <v>-</v>
      </c>
      <c r="R246" s="256" t="str">
        <f t="shared" si="252"/>
        <v>-</v>
      </c>
      <c r="S246" s="256" t="str">
        <f t="shared" si="253"/>
        <v>-</v>
      </c>
      <c r="T246" s="256" t="str">
        <f t="shared" si="254"/>
        <v>-</v>
      </c>
      <c r="U246" s="256" t="str">
        <f t="shared" si="255"/>
        <v>-</v>
      </c>
      <c r="V246" s="256" t="str">
        <f t="shared" si="256"/>
        <v>-</v>
      </c>
      <c r="W246" s="255"/>
      <c r="X246" s="255"/>
      <c r="Y246" s="255"/>
      <c r="Z246" s="255"/>
      <c r="AA246" s="255"/>
      <c r="AB246" s="255"/>
      <c r="AC246" s="255"/>
      <c r="AD246" s="255"/>
      <c r="AE246" s="255"/>
      <c r="AF246" s="262" t="s">
        <v>415</v>
      </c>
      <c r="AG246" s="263" t="s">
        <v>415</v>
      </c>
      <c r="AH246" s="263" t="s">
        <v>415</v>
      </c>
      <c r="AI246" s="263" t="s">
        <v>415</v>
      </c>
      <c r="AJ246" s="263" t="s">
        <v>415</v>
      </c>
      <c r="AK246" s="263" t="s">
        <v>415</v>
      </c>
      <c r="AL246" s="263" t="s">
        <v>415</v>
      </c>
      <c r="AM246" s="263" t="s">
        <v>415</v>
      </c>
      <c r="AN246" s="263" t="s">
        <v>415</v>
      </c>
      <c r="AO246" s="263" t="s">
        <v>415</v>
      </c>
      <c r="AP246" s="263" t="s">
        <v>415</v>
      </c>
      <c r="AQ246" s="263" t="s">
        <v>415</v>
      </c>
      <c r="AR246" s="263" t="s">
        <v>415</v>
      </c>
      <c r="AS246" s="263" t="s">
        <v>415</v>
      </c>
      <c r="AT246" s="263" t="s">
        <v>415</v>
      </c>
      <c r="AU246" s="263" t="s">
        <v>415</v>
      </c>
      <c r="AV246" s="263" t="s">
        <v>415</v>
      </c>
      <c r="AW246" s="263" t="s">
        <v>415</v>
      </c>
      <c r="AX246" s="263" t="s">
        <v>415</v>
      </c>
      <c r="AY246" s="263" t="s">
        <v>415</v>
      </c>
      <c r="AZ246" s="263" t="s">
        <v>415</v>
      </c>
      <c r="BA246" s="263" t="s">
        <v>415</v>
      </c>
      <c r="BB246" s="263" t="s">
        <v>415</v>
      </c>
      <c r="BC246" s="263" t="s">
        <v>415</v>
      </c>
      <c r="BD246" s="263" t="s">
        <v>415</v>
      </c>
      <c r="BE246" s="263" t="s">
        <v>415</v>
      </c>
      <c r="BF246" s="264" t="s">
        <v>415</v>
      </c>
    </row>
    <row r="247" spans="2:58" hidden="1">
      <c r="B247" s="5" t="s">
        <v>366</v>
      </c>
      <c r="C247" s="5" t="str">
        <f t="shared" ca="1" si="257"/>
        <v/>
      </c>
      <c r="D247" t="str">
        <f t="shared" si="258"/>
        <v>False</v>
      </c>
      <c r="E247" s="256" t="str">
        <f t="shared" si="239"/>
        <v>-</v>
      </c>
      <c r="F247" s="256" t="str">
        <f t="shared" si="240"/>
        <v>-</v>
      </c>
      <c r="G247" s="256" t="str">
        <f t="shared" si="241"/>
        <v>-</v>
      </c>
      <c r="H247" s="256" t="str">
        <f t="shared" si="242"/>
        <v>-</v>
      </c>
      <c r="I247" s="256" t="str">
        <f t="shared" si="243"/>
        <v>-</v>
      </c>
      <c r="J247" s="256" t="str">
        <f t="shared" si="244"/>
        <v>-</v>
      </c>
      <c r="K247" s="256" t="str">
        <f t="shared" si="245"/>
        <v>-</v>
      </c>
      <c r="L247" s="256" t="str">
        <f t="shared" si="246"/>
        <v>-</v>
      </c>
      <c r="M247" s="256" t="str">
        <f t="shared" si="247"/>
        <v>-</v>
      </c>
      <c r="N247" s="256" t="str">
        <f t="shared" si="248"/>
        <v>-</v>
      </c>
      <c r="O247" s="256" t="str">
        <f t="shared" si="249"/>
        <v>-</v>
      </c>
      <c r="P247" s="256" t="str">
        <f t="shared" si="250"/>
        <v>-</v>
      </c>
      <c r="Q247" s="256" t="str">
        <f t="shared" si="251"/>
        <v>-</v>
      </c>
      <c r="R247" s="256" t="str">
        <f t="shared" si="252"/>
        <v>-</v>
      </c>
      <c r="S247" s="256" t="str">
        <f t="shared" si="253"/>
        <v>-</v>
      </c>
      <c r="T247" s="256" t="str">
        <f t="shared" si="254"/>
        <v>-</v>
      </c>
      <c r="U247" s="256" t="str">
        <f t="shared" si="255"/>
        <v>-</v>
      </c>
      <c r="V247" s="256" t="str">
        <f t="shared" si="256"/>
        <v>-</v>
      </c>
      <c r="W247" s="255"/>
      <c r="X247" s="255"/>
      <c r="Y247" s="255"/>
      <c r="Z247" s="255"/>
      <c r="AA247" s="255"/>
      <c r="AB247" s="255"/>
      <c r="AC247" s="255"/>
      <c r="AD247" s="255"/>
      <c r="AE247" s="255"/>
      <c r="AF247" s="262" t="s">
        <v>415</v>
      </c>
      <c r="AG247" s="263" t="s">
        <v>415</v>
      </c>
      <c r="AH247" s="263" t="s">
        <v>415</v>
      </c>
      <c r="AI247" s="263" t="s">
        <v>415</v>
      </c>
      <c r="AJ247" s="263" t="s">
        <v>415</v>
      </c>
      <c r="AK247" s="263" t="s">
        <v>415</v>
      </c>
      <c r="AL247" s="263" t="s">
        <v>415</v>
      </c>
      <c r="AM247" s="263" t="s">
        <v>415</v>
      </c>
      <c r="AN247" s="263" t="s">
        <v>415</v>
      </c>
      <c r="AO247" s="263" t="s">
        <v>415</v>
      </c>
      <c r="AP247" s="263" t="s">
        <v>415</v>
      </c>
      <c r="AQ247" s="263" t="s">
        <v>415</v>
      </c>
      <c r="AR247" s="263" t="s">
        <v>415</v>
      </c>
      <c r="AS247" s="263" t="s">
        <v>415</v>
      </c>
      <c r="AT247" s="263" t="s">
        <v>415</v>
      </c>
      <c r="AU247" s="263" t="s">
        <v>415</v>
      </c>
      <c r="AV247" s="263" t="s">
        <v>415</v>
      </c>
      <c r="AW247" s="263" t="s">
        <v>415</v>
      </c>
      <c r="AX247" s="263" t="s">
        <v>415</v>
      </c>
      <c r="AY247" s="263" t="s">
        <v>415</v>
      </c>
      <c r="AZ247" s="263" t="s">
        <v>415</v>
      </c>
      <c r="BA247" s="263" t="s">
        <v>415</v>
      </c>
      <c r="BB247" s="263" t="s">
        <v>415</v>
      </c>
      <c r="BC247" s="263" t="s">
        <v>415</v>
      </c>
      <c r="BD247" s="263" t="s">
        <v>415</v>
      </c>
      <c r="BE247" s="263" t="s">
        <v>415</v>
      </c>
      <c r="BF247" s="264" t="s">
        <v>415</v>
      </c>
    </row>
    <row r="248" spans="2:58">
      <c r="B248" s="5" t="s">
        <v>367</v>
      </c>
      <c r="C248" s="5" t="str">
        <f t="shared" ca="1" si="257"/>
        <v>Konsulinės paslaugos (Singapūras)</v>
      </c>
      <c r="D248" t="str">
        <f t="shared" si="258"/>
        <v>True</v>
      </c>
      <c r="E248" s="256">
        <f t="shared" si="239"/>
        <v>0</v>
      </c>
      <c r="F248" s="256">
        <f t="shared" si="240"/>
        <v>0</v>
      </c>
      <c r="G248" s="256">
        <f t="shared" si="241"/>
        <v>0</v>
      </c>
      <c r="H248" s="256">
        <f t="shared" si="242"/>
        <v>0</v>
      </c>
      <c r="I248" s="256">
        <f t="shared" si="243"/>
        <v>0</v>
      </c>
      <c r="J248" s="256">
        <f t="shared" si="244"/>
        <v>0</v>
      </c>
      <c r="K248" s="256" t="str">
        <f t="shared" si="245"/>
        <v>-</v>
      </c>
      <c r="L248" s="256" t="str">
        <f t="shared" si="246"/>
        <v>-</v>
      </c>
      <c r="M248" s="256">
        <f t="shared" si="247"/>
        <v>0</v>
      </c>
      <c r="N248" s="256">
        <f t="shared" si="248"/>
        <v>0</v>
      </c>
      <c r="O248" s="256">
        <f t="shared" si="249"/>
        <v>6.7609703029232495E-5</v>
      </c>
      <c r="P248" s="256">
        <f t="shared" si="250"/>
        <v>-6.7609703030017159E-5</v>
      </c>
      <c r="Q248" s="256">
        <f t="shared" si="251"/>
        <v>2.7414184311015813E-5</v>
      </c>
      <c r="R248" s="256">
        <f t="shared" si="252"/>
        <v>-2.7414184311143078E-5</v>
      </c>
      <c r="S248" s="256" t="str">
        <f t="shared" si="253"/>
        <v>-</v>
      </c>
      <c r="T248" s="256" t="str">
        <f t="shared" si="254"/>
        <v>-</v>
      </c>
      <c r="U248" s="256">
        <f t="shared" si="255"/>
        <v>0</v>
      </c>
      <c r="V248" s="256">
        <f t="shared" si="256"/>
        <v>0</v>
      </c>
      <c r="W248" s="255"/>
      <c r="X248" s="255"/>
      <c r="Y248" s="255"/>
      <c r="Z248" s="255"/>
      <c r="AA248" s="255"/>
      <c r="AB248" s="255"/>
      <c r="AC248" s="255"/>
      <c r="AD248" s="255"/>
      <c r="AE248" s="255"/>
      <c r="AF248" s="262">
        <v>4.1827566161784082</v>
      </c>
      <c r="AG248" s="263">
        <v>4.1827566161784082</v>
      </c>
      <c r="AH248" s="263">
        <v>4.1827566161784082</v>
      </c>
      <c r="AI248" s="263">
        <v>352604083.95265895</v>
      </c>
      <c r="AJ248" s="263">
        <v>352604083.95265895</v>
      </c>
      <c r="AK248" s="263">
        <v>352604083.95265895</v>
      </c>
      <c r="AL248" s="263">
        <v>2.2816209649217631</v>
      </c>
      <c r="AM248" s="263">
        <v>2.2816209649217631</v>
      </c>
      <c r="AN248" s="263">
        <v>2.2816209649217631</v>
      </c>
      <c r="AO248" s="263" t="s">
        <v>414</v>
      </c>
      <c r="AP248" s="263" t="s">
        <v>414</v>
      </c>
      <c r="AQ248" s="263" t="s">
        <v>414</v>
      </c>
      <c r="AR248" s="263">
        <v>9.1639999999999997</v>
      </c>
      <c r="AS248" s="263">
        <v>9.1639999999999997</v>
      </c>
      <c r="AT248" s="263">
        <v>9.1639999999999997</v>
      </c>
      <c r="AU248" s="263">
        <v>-47479705.878440924</v>
      </c>
      <c r="AV248" s="263">
        <v>-47476496.006645046</v>
      </c>
      <c r="AW248" s="263">
        <v>-47473286.134849131</v>
      </c>
      <c r="AX248" s="263">
        <v>-117091201.96710685</v>
      </c>
      <c r="AY248" s="263">
        <v>-117087992.09531094</v>
      </c>
      <c r="AZ248" s="263">
        <v>-117084782.22351502</v>
      </c>
      <c r="BA248" s="263" t="s">
        <v>414</v>
      </c>
      <c r="BB248" s="263" t="s">
        <v>414</v>
      </c>
      <c r="BC248" s="263" t="s">
        <v>414</v>
      </c>
      <c r="BD248" s="263">
        <v>3.4471879118721363E-2</v>
      </c>
      <c r="BE248" s="263">
        <v>3.4471879118721363E-2</v>
      </c>
      <c r="BF248" s="264">
        <v>3.4471879118721363E-2</v>
      </c>
    </row>
    <row r="249" spans="2:58">
      <c r="B249" s="5" t="s">
        <v>368</v>
      </c>
      <c r="C249" s="5" t="str">
        <f t="shared" ca="1" si="257"/>
        <v>Konsulines paslaugos (kitų, naujai įsteigtų atstovybių)</v>
      </c>
      <c r="D249" t="str">
        <f t="shared" si="258"/>
        <v>True</v>
      </c>
      <c r="E249" s="256">
        <f t="shared" si="239"/>
        <v>0</v>
      </c>
      <c r="F249" s="256">
        <f t="shared" si="240"/>
        <v>0</v>
      </c>
      <c r="G249" s="256">
        <f t="shared" si="241"/>
        <v>0</v>
      </c>
      <c r="H249" s="256">
        <f t="shared" si="242"/>
        <v>0</v>
      </c>
      <c r="I249" s="256">
        <f t="shared" si="243"/>
        <v>0</v>
      </c>
      <c r="J249" s="256">
        <f t="shared" si="244"/>
        <v>0</v>
      </c>
      <c r="K249" s="256" t="str">
        <f t="shared" si="245"/>
        <v>-</v>
      </c>
      <c r="L249" s="256" t="str">
        <f t="shared" si="246"/>
        <v>-</v>
      </c>
      <c r="M249" s="256">
        <f t="shared" si="247"/>
        <v>0</v>
      </c>
      <c r="N249" s="256">
        <f t="shared" si="248"/>
        <v>0</v>
      </c>
      <c r="O249" s="256">
        <f t="shared" si="249"/>
        <v>8.1289915853887458E-4</v>
      </c>
      <c r="P249" s="256">
        <f t="shared" si="250"/>
        <v>-8.1289915853965922E-4</v>
      </c>
      <c r="Q249" s="256">
        <f t="shared" si="251"/>
        <v>3.2961196928511994E-4</v>
      </c>
      <c r="R249" s="256">
        <f t="shared" si="252"/>
        <v>-3.2961196928524723E-4</v>
      </c>
      <c r="S249" s="256" t="str">
        <f t="shared" si="253"/>
        <v>-</v>
      </c>
      <c r="T249" s="256" t="str">
        <f t="shared" si="254"/>
        <v>-</v>
      </c>
      <c r="U249" s="256">
        <f t="shared" si="255"/>
        <v>0</v>
      </c>
      <c r="V249" s="256">
        <f t="shared" si="256"/>
        <v>0</v>
      </c>
      <c r="W249" s="255"/>
      <c r="X249" s="255"/>
      <c r="Y249" s="255"/>
      <c r="Z249" s="255"/>
      <c r="AA249" s="255"/>
      <c r="AB249" s="255"/>
      <c r="AC249" s="255"/>
      <c r="AD249" s="255"/>
      <c r="AE249" s="255"/>
      <c r="AF249" s="262">
        <v>4.1827566161784082</v>
      </c>
      <c r="AG249" s="263">
        <v>4.1827566161784082</v>
      </c>
      <c r="AH249" s="263">
        <v>4.1827566161784082</v>
      </c>
      <c r="AI249" s="263">
        <v>352604083.95265895</v>
      </c>
      <c r="AJ249" s="263">
        <v>352604083.95265895</v>
      </c>
      <c r="AK249" s="263">
        <v>352604083.95265895</v>
      </c>
      <c r="AL249" s="263">
        <v>2.2816209649217631</v>
      </c>
      <c r="AM249" s="263">
        <v>2.2816209649217631</v>
      </c>
      <c r="AN249" s="263">
        <v>2.2816209649217631</v>
      </c>
      <c r="AO249" s="263" t="s">
        <v>414</v>
      </c>
      <c r="AP249" s="263" t="s">
        <v>414</v>
      </c>
      <c r="AQ249" s="263" t="s">
        <v>414</v>
      </c>
      <c r="AR249" s="263">
        <v>9.1639999999999997</v>
      </c>
      <c r="AS249" s="263">
        <v>9.1639999999999997</v>
      </c>
      <c r="AT249" s="263">
        <v>9.1639999999999997</v>
      </c>
      <c r="AU249" s="263">
        <v>-47515089.610299222</v>
      </c>
      <c r="AV249" s="263">
        <v>-47476496.006645046</v>
      </c>
      <c r="AW249" s="263">
        <v>-47437902.402990833</v>
      </c>
      <c r="AX249" s="263">
        <v>-117126585.69896512</v>
      </c>
      <c r="AY249" s="263">
        <v>-117087992.09531094</v>
      </c>
      <c r="AZ249" s="263">
        <v>-117049398.49165675</v>
      </c>
      <c r="BA249" s="263" t="s">
        <v>414</v>
      </c>
      <c r="BB249" s="263" t="s">
        <v>414</v>
      </c>
      <c r="BC249" s="263" t="s">
        <v>414</v>
      </c>
      <c r="BD249" s="263">
        <v>3.4471879118721363E-2</v>
      </c>
      <c r="BE249" s="263">
        <v>3.4471879118721363E-2</v>
      </c>
      <c r="BF249" s="264">
        <v>3.4471879118721363E-2</v>
      </c>
    </row>
    <row r="250" spans="2:58" hidden="1">
      <c r="B250" s="5" t="s">
        <v>369</v>
      </c>
      <c r="C250" s="5" t="str">
        <f t="shared" ca="1" si="257"/>
        <v/>
      </c>
      <c r="D250" t="str">
        <f t="shared" si="258"/>
        <v>False</v>
      </c>
      <c r="E250" s="256" t="str">
        <f t="shared" si="239"/>
        <v>-</v>
      </c>
      <c r="F250" s="256" t="str">
        <f t="shared" si="240"/>
        <v>-</v>
      </c>
      <c r="G250" s="256" t="str">
        <f t="shared" si="241"/>
        <v>-</v>
      </c>
      <c r="H250" s="256" t="str">
        <f t="shared" si="242"/>
        <v>-</v>
      </c>
      <c r="I250" s="256" t="str">
        <f t="shared" si="243"/>
        <v>-</v>
      </c>
      <c r="J250" s="256" t="str">
        <f t="shared" si="244"/>
        <v>-</v>
      </c>
      <c r="K250" s="256" t="str">
        <f t="shared" si="245"/>
        <v>-</v>
      </c>
      <c r="L250" s="256" t="str">
        <f t="shared" si="246"/>
        <v>-</v>
      </c>
      <c r="M250" s="256" t="str">
        <f t="shared" si="247"/>
        <v>-</v>
      </c>
      <c r="N250" s="256" t="str">
        <f t="shared" si="248"/>
        <v>-</v>
      </c>
      <c r="O250" s="256" t="str">
        <f t="shared" si="249"/>
        <v>-</v>
      </c>
      <c r="P250" s="256" t="str">
        <f t="shared" si="250"/>
        <v>-</v>
      </c>
      <c r="Q250" s="256" t="str">
        <f t="shared" si="251"/>
        <v>-</v>
      </c>
      <c r="R250" s="256" t="str">
        <f t="shared" si="252"/>
        <v>-</v>
      </c>
      <c r="S250" s="256" t="str">
        <f t="shared" si="253"/>
        <v>-</v>
      </c>
      <c r="T250" s="256" t="str">
        <f t="shared" si="254"/>
        <v>-</v>
      </c>
      <c r="U250" s="256" t="str">
        <f t="shared" si="255"/>
        <v>-</v>
      </c>
      <c r="V250" s="256" t="str">
        <f t="shared" si="256"/>
        <v>-</v>
      </c>
      <c r="W250" s="255"/>
      <c r="X250" s="255"/>
      <c r="Y250" s="255"/>
      <c r="Z250" s="255"/>
      <c r="AA250" s="255"/>
      <c r="AB250" s="255"/>
      <c r="AC250" s="255"/>
      <c r="AD250" s="255"/>
      <c r="AE250" s="255"/>
      <c r="AF250" s="262" t="s">
        <v>415</v>
      </c>
      <c r="AG250" s="263" t="s">
        <v>415</v>
      </c>
      <c r="AH250" s="263" t="s">
        <v>415</v>
      </c>
      <c r="AI250" s="263" t="s">
        <v>415</v>
      </c>
      <c r="AJ250" s="263" t="s">
        <v>415</v>
      </c>
      <c r="AK250" s="263" t="s">
        <v>415</v>
      </c>
      <c r="AL250" s="263" t="s">
        <v>415</v>
      </c>
      <c r="AM250" s="263" t="s">
        <v>415</v>
      </c>
      <c r="AN250" s="263" t="s">
        <v>415</v>
      </c>
      <c r="AO250" s="263" t="s">
        <v>415</v>
      </c>
      <c r="AP250" s="263" t="s">
        <v>415</v>
      </c>
      <c r="AQ250" s="263" t="s">
        <v>415</v>
      </c>
      <c r="AR250" s="263" t="s">
        <v>415</v>
      </c>
      <c r="AS250" s="263" t="s">
        <v>415</v>
      </c>
      <c r="AT250" s="263" t="s">
        <v>415</v>
      </c>
      <c r="AU250" s="263" t="s">
        <v>415</v>
      </c>
      <c r="AV250" s="263" t="s">
        <v>415</v>
      </c>
      <c r="AW250" s="263" t="s">
        <v>415</v>
      </c>
      <c r="AX250" s="263" t="s">
        <v>415</v>
      </c>
      <c r="AY250" s="263" t="s">
        <v>415</v>
      </c>
      <c r="AZ250" s="263" t="s">
        <v>415</v>
      </c>
      <c r="BA250" s="263" t="s">
        <v>415</v>
      </c>
      <c r="BB250" s="263" t="s">
        <v>415</v>
      </c>
      <c r="BC250" s="263" t="s">
        <v>415</v>
      </c>
      <c r="BD250" s="263" t="s">
        <v>415</v>
      </c>
      <c r="BE250" s="263" t="s">
        <v>415</v>
      </c>
      <c r="BF250" s="264" t="s">
        <v>415</v>
      </c>
    </row>
    <row r="251" spans="2:58" hidden="1">
      <c r="B251" s="5" t="s">
        <v>370</v>
      </c>
      <c r="C251" s="5" t="str">
        <f t="shared" ca="1" si="257"/>
        <v>Veiklos pajamos 4 (viešojo sektoriaus)</v>
      </c>
      <c r="D251" t="str">
        <f t="shared" si="258"/>
        <v>False</v>
      </c>
      <c r="E251" s="256" t="str">
        <f t="shared" si="239"/>
        <v>-</v>
      </c>
      <c r="F251" s="256" t="str">
        <f t="shared" si="240"/>
        <v>-</v>
      </c>
      <c r="G251" s="256" t="str">
        <f t="shared" si="241"/>
        <v>-</v>
      </c>
      <c r="H251" s="256" t="str">
        <f t="shared" si="242"/>
        <v>-</v>
      </c>
      <c r="I251" s="256" t="str">
        <f t="shared" si="243"/>
        <v>-</v>
      </c>
      <c r="J251" s="256" t="str">
        <f t="shared" si="244"/>
        <v>-</v>
      </c>
      <c r="K251" s="256" t="str">
        <f t="shared" si="245"/>
        <v>-</v>
      </c>
      <c r="L251" s="256" t="str">
        <f t="shared" si="246"/>
        <v>-</v>
      </c>
      <c r="M251" s="256" t="str">
        <f t="shared" si="247"/>
        <v>-</v>
      </c>
      <c r="N251" s="256" t="str">
        <f t="shared" si="248"/>
        <v>-</v>
      </c>
      <c r="O251" s="256" t="str">
        <f t="shared" si="249"/>
        <v>-</v>
      </c>
      <c r="P251" s="256" t="str">
        <f t="shared" si="250"/>
        <v>-</v>
      </c>
      <c r="Q251" s="256" t="str">
        <f t="shared" si="251"/>
        <v>-</v>
      </c>
      <c r="R251" s="256" t="str">
        <f t="shared" si="252"/>
        <v>-</v>
      </c>
      <c r="S251" s="256" t="str">
        <f t="shared" si="253"/>
        <v>-</v>
      </c>
      <c r="T251" s="256" t="str">
        <f t="shared" si="254"/>
        <v>-</v>
      </c>
      <c r="U251" s="256" t="str">
        <f t="shared" si="255"/>
        <v>-</v>
      </c>
      <c r="V251" s="256" t="str">
        <f t="shared" si="256"/>
        <v>-</v>
      </c>
      <c r="W251" s="255"/>
      <c r="X251" s="255"/>
      <c r="Y251" s="255"/>
      <c r="Z251" s="255"/>
      <c r="AA251" s="255"/>
      <c r="AB251" s="255"/>
      <c r="AC251" s="255"/>
      <c r="AD251" s="255"/>
      <c r="AE251" s="255"/>
      <c r="AF251" s="262" t="s">
        <v>415</v>
      </c>
      <c r="AG251" s="263" t="s">
        <v>415</v>
      </c>
      <c r="AH251" s="263" t="s">
        <v>415</v>
      </c>
      <c r="AI251" s="263" t="s">
        <v>415</v>
      </c>
      <c r="AJ251" s="263" t="s">
        <v>415</v>
      </c>
      <c r="AK251" s="263" t="s">
        <v>415</v>
      </c>
      <c r="AL251" s="263" t="s">
        <v>415</v>
      </c>
      <c r="AM251" s="263" t="s">
        <v>415</v>
      </c>
      <c r="AN251" s="263" t="s">
        <v>415</v>
      </c>
      <c r="AO251" s="263" t="s">
        <v>415</v>
      </c>
      <c r="AP251" s="263" t="s">
        <v>415</v>
      </c>
      <c r="AQ251" s="263" t="s">
        <v>415</v>
      </c>
      <c r="AR251" s="263" t="s">
        <v>415</v>
      </c>
      <c r="AS251" s="263" t="s">
        <v>415</v>
      </c>
      <c r="AT251" s="263" t="s">
        <v>415</v>
      </c>
      <c r="AU251" s="263" t="s">
        <v>415</v>
      </c>
      <c r="AV251" s="263" t="s">
        <v>415</v>
      </c>
      <c r="AW251" s="263" t="s">
        <v>415</v>
      </c>
      <c r="AX251" s="263" t="s">
        <v>415</v>
      </c>
      <c r="AY251" s="263" t="s">
        <v>415</v>
      </c>
      <c r="AZ251" s="263" t="s">
        <v>415</v>
      </c>
      <c r="BA251" s="263" t="s">
        <v>415</v>
      </c>
      <c r="BB251" s="263" t="s">
        <v>415</v>
      </c>
      <c r="BC251" s="263" t="s">
        <v>415</v>
      </c>
      <c r="BD251" s="263" t="s">
        <v>415</v>
      </c>
      <c r="BE251" s="263" t="s">
        <v>415</v>
      </c>
      <c r="BF251" s="264" t="s">
        <v>415</v>
      </c>
    </row>
    <row r="252" spans="2:58" hidden="1">
      <c r="B252" s="5" t="s">
        <v>371</v>
      </c>
      <c r="C252" s="5" t="str">
        <f t="shared" ca="1" si="257"/>
        <v>Veiklos pajamos 5 (viešojo sektoriaus)</v>
      </c>
      <c r="D252" t="str">
        <f t="shared" si="258"/>
        <v>False</v>
      </c>
      <c r="E252" s="256" t="str">
        <f t="shared" si="239"/>
        <v>-</v>
      </c>
      <c r="F252" s="256" t="str">
        <f t="shared" si="240"/>
        <v>-</v>
      </c>
      <c r="G252" s="256" t="str">
        <f t="shared" si="241"/>
        <v>-</v>
      </c>
      <c r="H252" s="256" t="str">
        <f t="shared" si="242"/>
        <v>-</v>
      </c>
      <c r="I252" s="256" t="str">
        <f t="shared" si="243"/>
        <v>-</v>
      </c>
      <c r="J252" s="256" t="str">
        <f t="shared" si="244"/>
        <v>-</v>
      </c>
      <c r="K252" s="256" t="str">
        <f t="shared" si="245"/>
        <v>-</v>
      </c>
      <c r="L252" s="256" t="str">
        <f t="shared" si="246"/>
        <v>-</v>
      </c>
      <c r="M252" s="256" t="str">
        <f t="shared" si="247"/>
        <v>-</v>
      </c>
      <c r="N252" s="256" t="str">
        <f t="shared" si="248"/>
        <v>-</v>
      </c>
      <c r="O252" s="256" t="str">
        <f t="shared" si="249"/>
        <v>-</v>
      </c>
      <c r="P252" s="256" t="str">
        <f t="shared" si="250"/>
        <v>-</v>
      </c>
      <c r="Q252" s="256" t="str">
        <f t="shared" si="251"/>
        <v>-</v>
      </c>
      <c r="R252" s="256" t="str">
        <f t="shared" si="252"/>
        <v>-</v>
      </c>
      <c r="S252" s="256" t="str">
        <f t="shared" si="253"/>
        <v>-</v>
      </c>
      <c r="T252" s="256" t="str">
        <f t="shared" si="254"/>
        <v>-</v>
      </c>
      <c r="U252" s="256" t="str">
        <f t="shared" si="255"/>
        <v>-</v>
      </c>
      <c r="V252" s="256" t="str">
        <f t="shared" si="256"/>
        <v>-</v>
      </c>
      <c r="W252" s="255"/>
      <c r="X252" s="255"/>
      <c r="Y252" s="255"/>
      <c r="Z252" s="255"/>
      <c r="AA252" s="255"/>
      <c r="AB252" s="255"/>
      <c r="AC252" s="255"/>
      <c r="AD252" s="255"/>
      <c r="AE252" s="255"/>
      <c r="AF252" s="262" t="s">
        <v>415</v>
      </c>
      <c r="AG252" s="263" t="s">
        <v>415</v>
      </c>
      <c r="AH252" s="263" t="s">
        <v>415</v>
      </c>
      <c r="AI252" s="263" t="s">
        <v>415</v>
      </c>
      <c r="AJ252" s="263" t="s">
        <v>415</v>
      </c>
      <c r="AK252" s="263" t="s">
        <v>415</v>
      </c>
      <c r="AL252" s="263" t="s">
        <v>415</v>
      </c>
      <c r="AM252" s="263" t="s">
        <v>415</v>
      </c>
      <c r="AN252" s="263" t="s">
        <v>415</v>
      </c>
      <c r="AO252" s="263" t="s">
        <v>415</v>
      </c>
      <c r="AP252" s="263" t="s">
        <v>415</v>
      </c>
      <c r="AQ252" s="263" t="s">
        <v>415</v>
      </c>
      <c r="AR252" s="263" t="s">
        <v>415</v>
      </c>
      <c r="AS252" s="263" t="s">
        <v>415</v>
      </c>
      <c r="AT252" s="263" t="s">
        <v>415</v>
      </c>
      <c r="AU252" s="263" t="s">
        <v>415</v>
      </c>
      <c r="AV252" s="263" t="s">
        <v>415</v>
      </c>
      <c r="AW252" s="263" t="s">
        <v>415</v>
      </c>
      <c r="AX252" s="263" t="s">
        <v>415</v>
      </c>
      <c r="AY252" s="263" t="s">
        <v>415</v>
      </c>
      <c r="AZ252" s="263" t="s">
        <v>415</v>
      </c>
      <c r="BA252" s="263" t="s">
        <v>415</v>
      </c>
      <c r="BB252" s="263" t="s">
        <v>415</v>
      </c>
      <c r="BC252" s="263" t="s">
        <v>415</v>
      </c>
      <c r="BD252" s="263" t="s">
        <v>415</v>
      </c>
      <c r="BE252" s="263" t="s">
        <v>415</v>
      </c>
      <c r="BF252" s="264" t="s">
        <v>415</v>
      </c>
    </row>
    <row r="253" spans="2:58" hidden="1">
      <c r="B253" s="5" t="s">
        <v>372</v>
      </c>
      <c r="C253" s="5" t="str">
        <f t="shared" ca="1" si="257"/>
        <v>Veiklos pajamos 1 (privataus ir NVO sektoriaus)</v>
      </c>
      <c r="D253" t="str">
        <f t="shared" si="258"/>
        <v>False</v>
      </c>
      <c r="E253" s="256" t="str">
        <f t="shared" si="239"/>
        <v>-</v>
      </c>
      <c r="F253" s="256" t="str">
        <f t="shared" si="240"/>
        <v>-</v>
      </c>
      <c r="G253" s="256" t="str">
        <f t="shared" si="241"/>
        <v>-</v>
      </c>
      <c r="H253" s="256" t="str">
        <f t="shared" si="242"/>
        <v>-</v>
      </c>
      <c r="I253" s="256" t="str">
        <f t="shared" si="243"/>
        <v>-</v>
      </c>
      <c r="J253" s="256" t="str">
        <f t="shared" si="244"/>
        <v>-</v>
      </c>
      <c r="K253" s="256" t="str">
        <f t="shared" si="245"/>
        <v>-</v>
      </c>
      <c r="L253" s="256" t="str">
        <f t="shared" si="246"/>
        <v>-</v>
      </c>
      <c r="M253" s="256" t="str">
        <f t="shared" si="247"/>
        <v>-</v>
      </c>
      <c r="N253" s="256" t="str">
        <f t="shared" si="248"/>
        <v>-</v>
      </c>
      <c r="O253" s="256" t="str">
        <f t="shared" si="249"/>
        <v>-</v>
      </c>
      <c r="P253" s="256" t="str">
        <f t="shared" si="250"/>
        <v>-</v>
      </c>
      <c r="Q253" s="256" t="str">
        <f t="shared" si="251"/>
        <v>-</v>
      </c>
      <c r="R253" s="256" t="str">
        <f t="shared" si="252"/>
        <v>-</v>
      </c>
      <c r="S253" s="256" t="str">
        <f t="shared" si="253"/>
        <v>-</v>
      </c>
      <c r="T253" s="256" t="str">
        <f t="shared" si="254"/>
        <v>-</v>
      </c>
      <c r="U253" s="256" t="str">
        <f t="shared" si="255"/>
        <v>-</v>
      </c>
      <c r="V253" s="256" t="str">
        <f t="shared" si="256"/>
        <v>-</v>
      </c>
      <c r="W253" s="255"/>
      <c r="X253" s="255"/>
      <c r="Y253" s="255"/>
      <c r="Z253" s="255"/>
      <c r="AA253" s="255"/>
      <c r="AB253" s="255"/>
      <c r="AC253" s="255"/>
      <c r="AD253" s="255"/>
      <c r="AE253" s="255"/>
      <c r="AF253" s="262" t="s">
        <v>415</v>
      </c>
      <c r="AG253" s="263" t="s">
        <v>415</v>
      </c>
      <c r="AH253" s="263" t="s">
        <v>415</v>
      </c>
      <c r="AI253" s="263" t="s">
        <v>415</v>
      </c>
      <c r="AJ253" s="263" t="s">
        <v>415</v>
      </c>
      <c r="AK253" s="263" t="s">
        <v>415</v>
      </c>
      <c r="AL253" s="263" t="s">
        <v>415</v>
      </c>
      <c r="AM253" s="263" t="s">
        <v>415</v>
      </c>
      <c r="AN253" s="263" t="s">
        <v>415</v>
      </c>
      <c r="AO253" s="263" t="s">
        <v>415</v>
      </c>
      <c r="AP253" s="263" t="s">
        <v>415</v>
      </c>
      <c r="AQ253" s="263" t="s">
        <v>415</v>
      </c>
      <c r="AR253" s="263" t="s">
        <v>415</v>
      </c>
      <c r="AS253" s="263" t="s">
        <v>415</v>
      </c>
      <c r="AT253" s="263" t="s">
        <v>415</v>
      </c>
      <c r="AU253" s="263" t="s">
        <v>415</v>
      </c>
      <c r="AV253" s="263" t="s">
        <v>415</v>
      </c>
      <c r="AW253" s="263" t="s">
        <v>415</v>
      </c>
      <c r="AX253" s="263" t="s">
        <v>415</v>
      </c>
      <c r="AY253" s="263" t="s">
        <v>415</v>
      </c>
      <c r="AZ253" s="263" t="s">
        <v>415</v>
      </c>
      <c r="BA253" s="263" t="s">
        <v>415</v>
      </c>
      <c r="BB253" s="263" t="s">
        <v>415</v>
      </c>
      <c r="BC253" s="263" t="s">
        <v>415</v>
      </c>
      <c r="BD253" s="263" t="s">
        <v>415</v>
      </c>
      <c r="BE253" s="263" t="s">
        <v>415</v>
      </c>
      <c r="BF253" s="264" t="s">
        <v>415</v>
      </c>
    </row>
    <row r="254" spans="2:58" hidden="1">
      <c r="B254" s="5" t="s">
        <v>373</v>
      </c>
      <c r="C254" s="5" t="str">
        <f t="shared" ca="1" si="257"/>
        <v>Veiklos pajamos 2 (privataus ir NVO sektoriaus)</v>
      </c>
      <c r="D254" t="str">
        <f t="shared" si="258"/>
        <v>False</v>
      </c>
      <c r="E254" s="256" t="str">
        <f t="shared" si="239"/>
        <v>-</v>
      </c>
      <c r="F254" s="256" t="str">
        <f t="shared" si="240"/>
        <v>-</v>
      </c>
      <c r="G254" s="256" t="str">
        <f t="shared" si="241"/>
        <v>-</v>
      </c>
      <c r="H254" s="256" t="str">
        <f t="shared" si="242"/>
        <v>-</v>
      </c>
      <c r="I254" s="256" t="str">
        <f t="shared" si="243"/>
        <v>-</v>
      </c>
      <c r="J254" s="256" t="str">
        <f t="shared" si="244"/>
        <v>-</v>
      </c>
      <c r="K254" s="256" t="str">
        <f t="shared" si="245"/>
        <v>-</v>
      </c>
      <c r="L254" s="256" t="str">
        <f t="shared" si="246"/>
        <v>-</v>
      </c>
      <c r="M254" s="256" t="str">
        <f t="shared" si="247"/>
        <v>-</v>
      </c>
      <c r="N254" s="256" t="str">
        <f t="shared" si="248"/>
        <v>-</v>
      </c>
      <c r="O254" s="256" t="str">
        <f t="shared" si="249"/>
        <v>-</v>
      </c>
      <c r="P254" s="256" t="str">
        <f t="shared" si="250"/>
        <v>-</v>
      </c>
      <c r="Q254" s="256" t="str">
        <f t="shared" si="251"/>
        <v>-</v>
      </c>
      <c r="R254" s="256" t="str">
        <f t="shared" si="252"/>
        <v>-</v>
      </c>
      <c r="S254" s="256" t="str">
        <f t="shared" si="253"/>
        <v>-</v>
      </c>
      <c r="T254" s="256" t="str">
        <f t="shared" si="254"/>
        <v>-</v>
      </c>
      <c r="U254" s="256" t="str">
        <f t="shared" si="255"/>
        <v>-</v>
      </c>
      <c r="V254" s="256" t="str">
        <f t="shared" si="256"/>
        <v>-</v>
      </c>
      <c r="W254" s="255"/>
      <c r="X254" s="255"/>
      <c r="Y254" s="255"/>
      <c r="Z254" s="255"/>
      <c r="AA254" s="255"/>
      <c r="AB254" s="255"/>
      <c r="AC254" s="255"/>
      <c r="AD254" s="255"/>
      <c r="AE254" s="255"/>
      <c r="AF254" s="262" t="s">
        <v>415</v>
      </c>
      <c r="AG254" s="263" t="s">
        <v>415</v>
      </c>
      <c r="AH254" s="263" t="s">
        <v>415</v>
      </c>
      <c r="AI254" s="263" t="s">
        <v>415</v>
      </c>
      <c r="AJ254" s="263" t="s">
        <v>415</v>
      </c>
      <c r="AK254" s="263" t="s">
        <v>415</v>
      </c>
      <c r="AL254" s="263" t="s">
        <v>415</v>
      </c>
      <c r="AM254" s="263" t="s">
        <v>415</v>
      </c>
      <c r="AN254" s="263" t="s">
        <v>415</v>
      </c>
      <c r="AO254" s="263" t="s">
        <v>415</v>
      </c>
      <c r="AP254" s="263" t="s">
        <v>415</v>
      </c>
      <c r="AQ254" s="263" t="s">
        <v>415</v>
      </c>
      <c r="AR254" s="263" t="s">
        <v>415</v>
      </c>
      <c r="AS254" s="263" t="s">
        <v>415</v>
      </c>
      <c r="AT254" s="263" t="s">
        <v>415</v>
      </c>
      <c r="AU254" s="263" t="s">
        <v>415</v>
      </c>
      <c r="AV254" s="263" t="s">
        <v>415</v>
      </c>
      <c r="AW254" s="263" t="s">
        <v>415</v>
      </c>
      <c r="AX254" s="263" t="s">
        <v>415</v>
      </c>
      <c r="AY254" s="263" t="s">
        <v>415</v>
      </c>
      <c r="AZ254" s="263" t="s">
        <v>415</v>
      </c>
      <c r="BA254" s="263" t="s">
        <v>415</v>
      </c>
      <c r="BB254" s="263" t="s">
        <v>415</v>
      </c>
      <c r="BC254" s="263" t="s">
        <v>415</v>
      </c>
      <c r="BD254" s="263" t="s">
        <v>415</v>
      </c>
      <c r="BE254" s="263" t="s">
        <v>415</v>
      </c>
      <c r="BF254" s="264" t="s">
        <v>415</v>
      </c>
    </row>
    <row r="255" spans="2:58" hidden="1">
      <c r="B255" s="5" t="s">
        <v>374</v>
      </c>
      <c r="C255" s="5" t="str">
        <f t="shared" ca="1" si="257"/>
        <v>Veiklos pajamos 3 (privataus ir NVO sektoriaus)</v>
      </c>
      <c r="D255" t="str">
        <f t="shared" si="258"/>
        <v>False</v>
      </c>
      <c r="E255" s="256" t="str">
        <f t="shared" si="239"/>
        <v>-</v>
      </c>
      <c r="F255" s="256" t="str">
        <f t="shared" si="240"/>
        <v>-</v>
      </c>
      <c r="G255" s="256" t="str">
        <f t="shared" si="241"/>
        <v>-</v>
      </c>
      <c r="H255" s="256" t="str">
        <f t="shared" si="242"/>
        <v>-</v>
      </c>
      <c r="I255" s="256" t="str">
        <f t="shared" si="243"/>
        <v>-</v>
      </c>
      <c r="J255" s="256" t="str">
        <f t="shared" si="244"/>
        <v>-</v>
      </c>
      <c r="K255" s="256" t="str">
        <f t="shared" si="245"/>
        <v>-</v>
      </c>
      <c r="L255" s="256" t="str">
        <f t="shared" si="246"/>
        <v>-</v>
      </c>
      <c r="M255" s="256" t="str">
        <f t="shared" si="247"/>
        <v>-</v>
      </c>
      <c r="N255" s="256" t="str">
        <f t="shared" si="248"/>
        <v>-</v>
      </c>
      <c r="O255" s="256" t="str">
        <f t="shared" si="249"/>
        <v>-</v>
      </c>
      <c r="P255" s="256" t="str">
        <f t="shared" si="250"/>
        <v>-</v>
      </c>
      <c r="Q255" s="256" t="str">
        <f t="shared" si="251"/>
        <v>-</v>
      </c>
      <c r="R255" s="256" t="str">
        <f t="shared" si="252"/>
        <v>-</v>
      </c>
      <c r="S255" s="256" t="str">
        <f t="shared" si="253"/>
        <v>-</v>
      </c>
      <c r="T255" s="256" t="str">
        <f t="shared" si="254"/>
        <v>-</v>
      </c>
      <c r="U255" s="256" t="str">
        <f t="shared" si="255"/>
        <v>-</v>
      </c>
      <c r="V255" s="256" t="str">
        <f t="shared" si="256"/>
        <v>-</v>
      </c>
      <c r="W255" s="255"/>
      <c r="X255" s="255"/>
      <c r="Y255" s="255"/>
      <c r="Z255" s="255"/>
      <c r="AA255" s="255"/>
      <c r="AB255" s="255"/>
      <c r="AC255" s="255"/>
      <c r="AD255" s="255"/>
      <c r="AE255" s="255"/>
      <c r="AF255" s="262" t="s">
        <v>415</v>
      </c>
      <c r="AG255" s="263" t="s">
        <v>415</v>
      </c>
      <c r="AH255" s="263" t="s">
        <v>415</v>
      </c>
      <c r="AI255" s="263" t="s">
        <v>415</v>
      </c>
      <c r="AJ255" s="263" t="s">
        <v>415</v>
      </c>
      <c r="AK255" s="263" t="s">
        <v>415</v>
      </c>
      <c r="AL255" s="263" t="s">
        <v>415</v>
      </c>
      <c r="AM255" s="263" t="s">
        <v>415</v>
      </c>
      <c r="AN255" s="263" t="s">
        <v>415</v>
      </c>
      <c r="AO255" s="263" t="s">
        <v>415</v>
      </c>
      <c r="AP255" s="263" t="s">
        <v>415</v>
      </c>
      <c r="AQ255" s="263" t="s">
        <v>415</v>
      </c>
      <c r="AR255" s="263" t="s">
        <v>415</v>
      </c>
      <c r="AS255" s="263" t="s">
        <v>415</v>
      </c>
      <c r="AT255" s="263" t="s">
        <v>415</v>
      </c>
      <c r="AU255" s="263" t="s">
        <v>415</v>
      </c>
      <c r="AV255" s="263" t="s">
        <v>415</v>
      </c>
      <c r="AW255" s="263" t="s">
        <v>415</v>
      </c>
      <c r="AX255" s="263" t="s">
        <v>415</v>
      </c>
      <c r="AY255" s="263" t="s">
        <v>415</v>
      </c>
      <c r="AZ255" s="263" t="s">
        <v>415</v>
      </c>
      <c r="BA255" s="263" t="s">
        <v>415</v>
      </c>
      <c r="BB255" s="263" t="s">
        <v>415</v>
      </c>
      <c r="BC255" s="263" t="s">
        <v>415</v>
      </c>
      <c r="BD255" s="263" t="s">
        <v>415</v>
      </c>
      <c r="BE255" s="263" t="s">
        <v>415</v>
      </c>
      <c r="BF255" s="264" t="s">
        <v>415</v>
      </c>
    </row>
    <row r="256" spans="2:58" hidden="1">
      <c r="B256" s="5" t="s">
        <v>375</v>
      </c>
      <c r="C256" s="5" t="str">
        <f t="shared" ca="1" si="257"/>
        <v>Veiklos pajamos 4 (privataus ir NVO sektoriaus)</v>
      </c>
      <c r="D256" t="str">
        <f t="shared" si="258"/>
        <v>False</v>
      </c>
      <c r="E256" s="256" t="str">
        <f t="shared" si="239"/>
        <v>-</v>
      </c>
      <c r="F256" s="256" t="str">
        <f t="shared" si="240"/>
        <v>-</v>
      </c>
      <c r="G256" s="256" t="str">
        <f t="shared" si="241"/>
        <v>-</v>
      </c>
      <c r="H256" s="256" t="str">
        <f t="shared" si="242"/>
        <v>-</v>
      </c>
      <c r="I256" s="256" t="str">
        <f t="shared" si="243"/>
        <v>-</v>
      </c>
      <c r="J256" s="256" t="str">
        <f t="shared" si="244"/>
        <v>-</v>
      </c>
      <c r="K256" s="256" t="str">
        <f t="shared" si="245"/>
        <v>-</v>
      </c>
      <c r="L256" s="256" t="str">
        <f t="shared" si="246"/>
        <v>-</v>
      </c>
      <c r="M256" s="256" t="str">
        <f t="shared" si="247"/>
        <v>-</v>
      </c>
      <c r="N256" s="256" t="str">
        <f t="shared" si="248"/>
        <v>-</v>
      </c>
      <c r="O256" s="256" t="str">
        <f t="shared" si="249"/>
        <v>-</v>
      </c>
      <c r="P256" s="256" t="str">
        <f t="shared" si="250"/>
        <v>-</v>
      </c>
      <c r="Q256" s="256" t="str">
        <f t="shared" si="251"/>
        <v>-</v>
      </c>
      <c r="R256" s="256" t="str">
        <f t="shared" si="252"/>
        <v>-</v>
      </c>
      <c r="S256" s="256" t="str">
        <f t="shared" si="253"/>
        <v>-</v>
      </c>
      <c r="T256" s="256" t="str">
        <f t="shared" si="254"/>
        <v>-</v>
      </c>
      <c r="U256" s="256" t="str">
        <f t="shared" si="255"/>
        <v>-</v>
      </c>
      <c r="V256" s="256" t="str">
        <f t="shared" si="256"/>
        <v>-</v>
      </c>
      <c r="W256" s="255"/>
      <c r="X256" s="255"/>
      <c r="Y256" s="255"/>
      <c r="Z256" s="255"/>
      <c r="AA256" s="255"/>
      <c r="AB256" s="255"/>
      <c r="AC256" s="255"/>
      <c r="AD256" s="255"/>
      <c r="AE256" s="255"/>
      <c r="AF256" s="262" t="s">
        <v>415</v>
      </c>
      <c r="AG256" s="263" t="s">
        <v>415</v>
      </c>
      <c r="AH256" s="263" t="s">
        <v>415</v>
      </c>
      <c r="AI256" s="263" t="s">
        <v>415</v>
      </c>
      <c r="AJ256" s="263" t="s">
        <v>415</v>
      </c>
      <c r="AK256" s="263" t="s">
        <v>415</v>
      </c>
      <c r="AL256" s="263" t="s">
        <v>415</v>
      </c>
      <c r="AM256" s="263" t="s">
        <v>415</v>
      </c>
      <c r="AN256" s="263" t="s">
        <v>415</v>
      </c>
      <c r="AO256" s="263" t="s">
        <v>415</v>
      </c>
      <c r="AP256" s="263" t="s">
        <v>415</v>
      </c>
      <c r="AQ256" s="263" t="s">
        <v>415</v>
      </c>
      <c r="AR256" s="263" t="s">
        <v>415</v>
      </c>
      <c r="AS256" s="263" t="s">
        <v>415</v>
      </c>
      <c r="AT256" s="263" t="s">
        <v>415</v>
      </c>
      <c r="AU256" s="263" t="s">
        <v>415</v>
      </c>
      <c r="AV256" s="263" t="s">
        <v>415</v>
      </c>
      <c r="AW256" s="263" t="s">
        <v>415</v>
      </c>
      <c r="AX256" s="263" t="s">
        <v>415</v>
      </c>
      <c r="AY256" s="263" t="s">
        <v>415</v>
      </c>
      <c r="AZ256" s="263" t="s">
        <v>415</v>
      </c>
      <c r="BA256" s="263" t="s">
        <v>415</v>
      </c>
      <c r="BB256" s="263" t="s">
        <v>415</v>
      </c>
      <c r="BC256" s="263" t="s">
        <v>415</v>
      </c>
      <c r="BD256" s="263" t="s">
        <v>415</v>
      </c>
      <c r="BE256" s="263" t="s">
        <v>415</v>
      </c>
      <c r="BF256" s="264" t="s">
        <v>415</v>
      </c>
    </row>
    <row r="257" spans="2:58" hidden="1">
      <c r="B257" s="5" t="s">
        <v>376</v>
      </c>
      <c r="C257" s="5" t="str">
        <f t="shared" ca="1" si="257"/>
        <v>Veiklos pajamos 5 (privataus ir NVO sektoriaus)</v>
      </c>
      <c r="D257" t="str">
        <f t="shared" si="258"/>
        <v>False</v>
      </c>
      <c r="E257" s="256" t="str">
        <f t="shared" si="239"/>
        <v>-</v>
      </c>
      <c r="F257" s="256" t="str">
        <f t="shared" si="240"/>
        <v>-</v>
      </c>
      <c r="G257" s="256" t="str">
        <f t="shared" si="241"/>
        <v>-</v>
      </c>
      <c r="H257" s="256" t="str">
        <f t="shared" si="242"/>
        <v>-</v>
      </c>
      <c r="I257" s="256" t="str">
        <f t="shared" si="243"/>
        <v>-</v>
      </c>
      <c r="J257" s="256" t="str">
        <f t="shared" si="244"/>
        <v>-</v>
      </c>
      <c r="K257" s="256" t="str">
        <f t="shared" si="245"/>
        <v>-</v>
      </c>
      <c r="L257" s="256" t="str">
        <f t="shared" si="246"/>
        <v>-</v>
      </c>
      <c r="M257" s="256" t="str">
        <f t="shared" si="247"/>
        <v>-</v>
      </c>
      <c r="N257" s="256" t="str">
        <f t="shared" si="248"/>
        <v>-</v>
      </c>
      <c r="O257" s="256" t="str">
        <f t="shared" si="249"/>
        <v>-</v>
      </c>
      <c r="P257" s="256" t="str">
        <f t="shared" si="250"/>
        <v>-</v>
      </c>
      <c r="Q257" s="256" t="str">
        <f t="shared" si="251"/>
        <v>-</v>
      </c>
      <c r="R257" s="256" t="str">
        <f t="shared" si="252"/>
        <v>-</v>
      </c>
      <c r="S257" s="256" t="str">
        <f t="shared" si="253"/>
        <v>-</v>
      </c>
      <c r="T257" s="256" t="str">
        <f t="shared" si="254"/>
        <v>-</v>
      </c>
      <c r="U257" s="256" t="str">
        <f t="shared" si="255"/>
        <v>-</v>
      </c>
      <c r="V257" s="256" t="str">
        <f t="shared" si="256"/>
        <v>-</v>
      </c>
      <c r="W257" s="255"/>
      <c r="X257" s="255"/>
      <c r="Y257" s="255"/>
      <c r="Z257" s="255"/>
      <c r="AA257" s="255"/>
      <c r="AB257" s="255"/>
      <c r="AC257" s="255"/>
      <c r="AD257" s="255"/>
      <c r="AE257" s="255"/>
      <c r="AF257" s="262" t="s">
        <v>415</v>
      </c>
      <c r="AG257" s="263" t="s">
        <v>415</v>
      </c>
      <c r="AH257" s="263" t="s">
        <v>415</v>
      </c>
      <c r="AI257" s="263" t="s">
        <v>415</v>
      </c>
      <c r="AJ257" s="263" t="s">
        <v>415</v>
      </c>
      <c r="AK257" s="263" t="s">
        <v>415</v>
      </c>
      <c r="AL257" s="263" t="s">
        <v>415</v>
      </c>
      <c r="AM257" s="263" t="s">
        <v>415</v>
      </c>
      <c r="AN257" s="263" t="s">
        <v>415</v>
      </c>
      <c r="AO257" s="263" t="s">
        <v>415</v>
      </c>
      <c r="AP257" s="263" t="s">
        <v>415</v>
      </c>
      <c r="AQ257" s="263" t="s">
        <v>415</v>
      </c>
      <c r="AR257" s="263" t="s">
        <v>415</v>
      </c>
      <c r="AS257" s="263" t="s">
        <v>415</v>
      </c>
      <c r="AT257" s="263" t="s">
        <v>415</v>
      </c>
      <c r="AU257" s="263" t="s">
        <v>415</v>
      </c>
      <c r="AV257" s="263" t="s">
        <v>415</v>
      </c>
      <c r="AW257" s="263" t="s">
        <v>415</v>
      </c>
      <c r="AX257" s="263" t="s">
        <v>415</v>
      </c>
      <c r="AY257" s="263" t="s">
        <v>415</v>
      </c>
      <c r="AZ257" s="263" t="s">
        <v>415</v>
      </c>
      <c r="BA257" s="263" t="s">
        <v>415</v>
      </c>
      <c r="BB257" s="263" t="s">
        <v>415</v>
      </c>
      <c r="BC257" s="263" t="s">
        <v>415</v>
      </c>
      <c r="BD257" s="263" t="s">
        <v>415</v>
      </c>
      <c r="BE257" s="263" t="s">
        <v>415</v>
      </c>
      <c r="BF257" s="264" t="s">
        <v>415</v>
      </c>
    </row>
    <row r="258" spans="2:58" hidden="1">
      <c r="B258" s="5" t="s">
        <v>149</v>
      </c>
      <c r="C258" s="5" t="str">
        <f t="shared" ca="1" si="257"/>
        <v>MOKESTINĖS PAJAMOS</v>
      </c>
      <c r="D258" t="str">
        <f t="shared" si="258"/>
        <v>False</v>
      </c>
      <c r="E258" s="256" t="str">
        <f t="shared" si="239"/>
        <v>-</v>
      </c>
      <c r="F258" s="256" t="str">
        <f t="shared" si="240"/>
        <v>-</v>
      </c>
      <c r="G258" s="256" t="str">
        <f t="shared" si="241"/>
        <v>-</v>
      </c>
      <c r="H258" s="256" t="str">
        <f t="shared" si="242"/>
        <v>-</v>
      </c>
      <c r="I258" s="256" t="str">
        <f t="shared" si="243"/>
        <v>-</v>
      </c>
      <c r="J258" s="256" t="str">
        <f t="shared" si="244"/>
        <v>-</v>
      </c>
      <c r="K258" s="256" t="str">
        <f t="shared" si="245"/>
        <v>-</v>
      </c>
      <c r="L258" s="256" t="str">
        <f t="shared" si="246"/>
        <v>-</v>
      </c>
      <c r="M258" s="256" t="str">
        <f t="shared" si="247"/>
        <v>-</v>
      </c>
      <c r="N258" s="256" t="str">
        <f t="shared" si="248"/>
        <v>-</v>
      </c>
      <c r="O258" s="256" t="str">
        <f t="shared" si="249"/>
        <v>-</v>
      </c>
      <c r="P258" s="256" t="str">
        <f t="shared" si="250"/>
        <v>-</v>
      </c>
      <c r="Q258" s="256" t="str">
        <f t="shared" si="251"/>
        <v>-</v>
      </c>
      <c r="R258" s="256" t="str">
        <f t="shared" si="252"/>
        <v>-</v>
      </c>
      <c r="S258" s="256" t="str">
        <f t="shared" si="253"/>
        <v>-</v>
      </c>
      <c r="T258" s="256" t="str">
        <f t="shared" si="254"/>
        <v>-</v>
      </c>
      <c r="U258" s="256" t="str">
        <f t="shared" si="255"/>
        <v>-</v>
      </c>
      <c r="V258" s="256" t="str">
        <f t="shared" si="256"/>
        <v>-</v>
      </c>
      <c r="W258" s="255"/>
      <c r="X258" s="255"/>
      <c r="Y258" s="255"/>
      <c r="Z258" s="255"/>
      <c r="AA258" s="255"/>
      <c r="AB258" s="255"/>
      <c r="AC258" s="255"/>
      <c r="AD258" s="255"/>
      <c r="AE258" s="255"/>
      <c r="AF258" s="262" t="s">
        <v>415</v>
      </c>
      <c r="AG258" s="263" t="s">
        <v>415</v>
      </c>
      <c r="AH258" s="263" t="s">
        <v>415</v>
      </c>
      <c r="AI258" s="263" t="s">
        <v>415</v>
      </c>
      <c r="AJ258" s="263" t="s">
        <v>415</v>
      </c>
      <c r="AK258" s="263" t="s">
        <v>415</v>
      </c>
      <c r="AL258" s="263" t="s">
        <v>415</v>
      </c>
      <c r="AM258" s="263" t="s">
        <v>415</v>
      </c>
      <c r="AN258" s="263" t="s">
        <v>415</v>
      </c>
      <c r="AO258" s="263" t="s">
        <v>415</v>
      </c>
      <c r="AP258" s="263" t="s">
        <v>415</v>
      </c>
      <c r="AQ258" s="263" t="s">
        <v>415</v>
      </c>
      <c r="AR258" s="263" t="s">
        <v>415</v>
      </c>
      <c r="AS258" s="263" t="s">
        <v>415</v>
      </c>
      <c r="AT258" s="263" t="s">
        <v>415</v>
      </c>
      <c r="AU258" s="263" t="s">
        <v>415</v>
      </c>
      <c r="AV258" s="263" t="s">
        <v>415</v>
      </c>
      <c r="AW258" s="263" t="s">
        <v>415</v>
      </c>
      <c r="AX258" s="263" t="s">
        <v>415</v>
      </c>
      <c r="AY258" s="263" t="s">
        <v>415</v>
      </c>
      <c r="AZ258" s="263" t="s">
        <v>415</v>
      </c>
      <c r="BA258" s="263" t="s">
        <v>415</v>
      </c>
      <c r="BB258" s="263" t="s">
        <v>415</v>
      </c>
      <c r="BC258" s="263" t="s">
        <v>415</v>
      </c>
      <c r="BD258" s="263" t="s">
        <v>415</v>
      </c>
      <c r="BE258" s="263" t="s">
        <v>415</v>
      </c>
      <c r="BF258" s="264" t="s">
        <v>415</v>
      </c>
    </row>
    <row r="259" spans="2:58">
      <c r="B259" s="5" t="s">
        <v>27</v>
      </c>
      <c r="C259" s="5" t="str">
        <f t="shared" ca="1" si="257"/>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259" t="str">
        <f t="shared" si="258"/>
        <v>True</v>
      </c>
      <c r="E259" s="256">
        <f t="shared" si="239"/>
        <v>0</v>
      </c>
      <c r="F259" s="256">
        <f t="shared" si="240"/>
        <v>0</v>
      </c>
      <c r="G259" s="256">
        <f t="shared" si="241"/>
        <v>0</v>
      </c>
      <c r="H259" s="256">
        <f t="shared" si="242"/>
        <v>0</v>
      </c>
      <c r="I259" s="256">
        <f t="shared" si="243"/>
        <v>0</v>
      </c>
      <c r="J259" s="256">
        <f t="shared" si="244"/>
        <v>0</v>
      </c>
      <c r="K259" s="256" t="str">
        <f t="shared" si="245"/>
        <v>-</v>
      </c>
      <c r="L259" s="256" t="str">
        <f t="shared" si="246"/>
        <v>-</v>
      </c>
      <c r="M259" s="256">
        <f t="shared" si="247"/>
        <v>0</v>
      </c>
      <c r="N259" s="256">
        <f t="shared" si="248"/>
        <v>0</v>
      </c>
      <c r="O259" s="256">
        <f t="shared" si="249"/>
        <v>0</v>
      </c>
      <c r="P259" s="256">
        <f t="shared" si="250"/>
        <v>0</v>
      </c>
      <c r="Q259" s="256">
        <f t="shared" si="251"/>
        <v>0</v>
      </c>
      <c r="R259" s="256">
        <f t="shared" si="252"/>
        <v>0</v>
      </c>
      <c r="S259" s="256" t="str">
        <f t="shared" si="253"/>
        <v>-</v>
      </c>
      <c r="T259" s="256" t="str">
        <f t="shared" si="254"/>
        <v>-</v>
      </c>
      <c r="U259" s="256">
        <f t="shared" si="255"/>
        <v>0</v>
      </c>
      <c r="V259" s="256">
        <f t="shared" si="256"/>
        <v>0</v>
      </c>
      <c r="W259" s="255"/>
      <c r="X259" s="255"/>
      <c r="Y259" s="255"/>
      <c r="Z259" s="255"/>
      <c r="AA259" s="255"/>
      <c r="AB259" s="255"/>
      <c r="AC259" s="255"/>
      <c r="AD259" s="255"/>
      <c r="AE259" s="255"/>
      <c r="AF259" s="262">
        <v>4.1827566161784082</v>
      </c>
      <c r="AG259" s="263">
        <v>4.1827566161784082</v>
      </c>
      <c r="AH259" s="263">
        <v>4.1827566161784082</v>
      </c>
      <c r="AI259" s="263">
        <v>352604083.95265895</v>
      </c>
      <c r="AJ259" s="263">
        <v>352604083.95265895</v>
      </c>
      <c r="AK259" s="263">
        <v>352604083.95265895</v>
      </c>
      <c r="AL259" s="263">
        <v>2.2816209649217631</v>
      </c>
      <c r="AM259" s="263">
        <v>2.2816209649217631</v>
      </c>
      <c r="AN259" s="263">
        <v>2.2816209649217631</v>
      </c>
      <c r="AO259" s="263" t="s">
        <v>414</v>
      </c>
      <c r="AP259" s="263" t="s">
        <v>414</v>
      </c>
      <c r="AQ259" s="263" t="s">
        <v>414</v>
      </c>
      <c r="AR259" s="263">
        <v>9.1639999999999997</v>
      </c>
      <c r="AS259" s="263">
        <v>9.1639999999999997</v>
      </c>
      <c r="AT259" s="263">
        <v>9.1639999999999997</v>
      </c>
      <c r="AU259" s="263">
        <v>-47476496.006645046</v>
      </c>
      <c r="AV259" s="263">
        <v>-47476496.006645046</v>
      </c>
      <c r="AW259" s="263">
        <v>-47476496.006645046</v>
      </c>
      <c r="AX259" s="263">
        <v>-117087992.09531094</v>
      </c>
      <c r="AY259" s="263">
        <v>-117087992.09531094</v>
      </c>
      <c r="AZ259" s="263">
        <v>-117087992.09531094</v>
      </c>
      <c r="BA259" s="263" t="s">
        <v>414</v>
      </c>
      <c r="BB259" s="263" t="s">
        <v>414</v>
      </c>
      <c r="BC259" s="263" t="s">
        <v>414</v>
      </c>
      <c r="BD259" s="263">
        <v>3.4471879118721363E-2</v>
      </c>
      <c r="BE259" s="263">
        <v>3.4471879118721363E-2</v>
      </c>
      <c r="BF259" s="264">
        <v>3.4471879118721363E-2</v>
      </c>
    </row>
    <row r="260" spans="2:58">
      <c r="B260" s="5" t="s">
        <v>377</v>
      </c>
      <c r="C260" s="5" t="str">
        <f t="shared" ca="1" si="257"/>
        <v>Ekonominės diplomatijos plėtros sukurta pridėtinė vertė</v>
      </c>
      <c r="D260" t="str">
        <f t="shared" si="258"/>
        <v>True</v>
      </c>
      <c r="E260" s="256">
        <f t="shared" si="239"/>
        <v>-7.0235518669266462E-3</v>
      </c>
      <c r="F260" s="256">
        <f t="shared" si="240"/>
        <v>7.0235518669266462E-3</v>
      </c>
      <c r="G260" s="256">
        <f t="shared" si="241"/>
        <v>-9.2303030307524601E-3</v>
      </c>
      <c r="H260" s="256">
        <f t="shared" si="242"/>
        <v>9.2303030307526283E-3</v>
      </c>
      <c r="I260" s="256">
        <f t="shared" si="243"/>
        <v>-6.5061929058541773E-3</v>
      </c>
      <c r="J260" s="256">
        <f t="shared" si="244"/>
        <v>6.482008472613902E-3</v>
      </c>
      <c r="K260" s="256" t="str">
        <f t="shared" si="245"/>
        <v>-</v>
      </c>
      <c r="L260" s="256" t="str">
        <f t="shared" si="246"/>
        <v>-</v>
      </c>
      <c r="M260" s="256">
        <f t="shared" si="247"/>
        <v>0</v>
      </c>
      <c r="N260" s="256">
        <f t="shared" si="248"/>
        <v>0</v>
      </c>
      <c r="O260" s="256">
        <f t="shared" si="249"/>
        <v>0</v>
      </c>
      <c r="P260" s="256">
        <f t="shared" si="250"/>
        <v>0</v>
      </c>
      <c r="Q260" s="256">
        <f t="shared" si="251"/>
        <v>0</v>
      </c>
      <c r="R260" s="256">
        <f t="shared" si="252"/>
        <v>0</v>
      </c>
      <c r="S260" s="256" t="str">
        <f t="shared" si="253"/>
        <v>-</v>
      </c>
      <c r="T260" s="256" t="str">
        <f t="shared" si="254"/>
        <v>-</v>
      </c>
      <c r="U260" s="256">
        <f t="shared" si="255"/>
        <v>0</v>
      </c>
      <c r="V260" s="256">
        <f t="shared" si="256"/>
        <v>0</v>
      </c>
      <c r="W260" s="255"/>
      <c r="X260" s="255"/>
      <c r="Y260" s="255"/>
      <c r="Z260" s="255"/>
      <c r="AA260" s="255"/>
      <c r="AB260" s="255"/>
      <c r="AC260" s="255"/>
      <c r="AD260" s="255"/>
      <c r="AE260" s="255"/>
      <c r="AF260" s="262">
        <v>4.1533788081379486</v>
      </c>
      <c r="AG260" s="263">
        <v>4.1827566161784082</v>
      </c>
      <c r="AH260" s="263">
        <v>4.2121344242188679</v>
      </c>
      <c r="AI260" s="263">
        <v>349349441.40789503</v>
      </c>
      <c r="AJ260" s="263">
        <v>352604083.95265895</v>
      </c>
      <c r="AK260" s="263">
        <v>355858726.49742293</v>
      </c>
      <c r="AL260" s="263">
        <v>2.266776298785941</v>
      </c>
      <c r="AM260" s="263">
        <v>2.2816209649217631</v>
      </c>
      <c r="AN260" s="263">
        <v>2.2964104513476795</v>
      </c>
      <c r="AO260" s="263" t="s">
        <v>414</v>
      </c>
      <c r="AP260" s="263" t="s">
        <v>414</v>
      </c>
      <c r="AQ260" s="263" t="s">
        <v>414</v>
      </c>
      <c r="AR260" s="263">
        <v>9.1639999999999997</v>
      </c>
      <c r="AS260" s="263">
        <v>9.1639999999999997</v>
      </c>
      <c r="AT260" s="263">
        <v>9.1639999999999997</v>
      </c>
      <c r="AU260" s="263">
        <v>-47476496.006645046</v>
      </c>
      <c r="AV260" s="263">
        <v>-47476496.006645046</v>
      </c>
      <c r="AW260" s="263">
        <v>-47476496.006645046</v>
      </c>
      <c r="AX260" s="263">
        <v>-117087992.09531094</v>
      </c>
      <c r="AY260" s="263">
        <v>-117087992.09531094</v>
      </c>
      <c r="AZ260" s="263">
        <v>-117087992.09531094</v>
      </c>
      <c r="BA260" s="263" t="s">
        <v>414</v>
      </c>
      <c r="BB260" s="263" t="s">
        <v>414</v>
      </c>
      <c r="BC260" s="263" t="s">
        <v>414</v>
      </c>
      <c r="BD260" s="263">
        <v>3.4471879118721363E-2</v>
      </c>
      <c r="BE260" s="263">
        <v>3.4471879118721363E-2</v>
      </c>
      <c r="BF260" s="264">
        <v>3.4471879118721363E-2</v>
      </c>
    </row>
    <row r="261" spans="2:58">
      <c r="B261" s="5" t="s">
        <v>378</v>
      </c>
      <c r="C261" s="5" t="str">
        <f t="shared" ca="1" si="257"/>
        <v>Naujų atstovybių sukurta pridėtinė vertė</v>
      </c>
      <c r="D261" t="str">
        <f t="shared" si="258"/>
        <v>True</v>
      </c>
      <c r="E261" s="256">
        <f t="shared" si="239"/>
        <v>-2.9764481330734833E-3</v>
      </c>
      <c r="F261" s="256">
        <f t="shared" si="240"/>
        <v>2.9764481330732707E-3</v>
      </c>
      <c r="G261" s="256">
        <f t="shared" si="241"/>
        <v>-3.9116274420859442E-3</v>
      </c>
      <c r="H261" s="256">
        <f t="shared" si="242"/>
        <v>3.9116274420859442E-3</v>
      </c>
      <c r="I261" s="256">
        <f t="shared" si="243"/>
        <v>-3.282028669268233E-3</v>
      </c>
      <c r="J261" s="256">
        <f t="shared" si="244"/>
        <v>3.2781095785774476E-3</v>
      </c>
      <c r="K261" s="256" t="str">
        <f t="shared" si="245"/>
        <v>-</v>
      </c>
      <c r="L261" s="256" t="str">
        <f t="shared" si="246"/>
        <v>-</v>
      </c>
      <c r="M261" s="256">
        <f t="shared" si="247"/>
        <v>0</v>
      </c>
      <c r="N261" s="256">
        <f t="shared" si="248"/>
        <v>0</v>
      </c>
      <c r="O261" s="256">
        <f t="shared" si="249"/>
        <v>0</v>
      </c>
      <c r="P261" s="256">
        <f t="shared" si="250"/>
        <v>0</v>
      </c>
      <c r="Q261" s="256">
        <f t="shared" si="251"/>
        <v>0</v>
      </c>
      <c r="R261" s="256">
        <f t="shared" si="252"/>
        <v>0</v>
      </c>
      <c r="S261" s="256" t="str">
        <f t="shared" si="253"/>
        <v>-</v>
      </c>
      <c r="T261" s="256" t="str">
        <f t="shared" si="254"/>
        <v>-</v>
      </c>
      <c r="U261" s="256">
        <f t="shared" si="255"/>
        <v>0</v>
      </c>
      <c r="V261" s="256">
        <f t="shared" si="256"/>
        <v>0</v>
      </c>
      <c r="W261" s="255"/>
      <c r="X261" s="255"/>
      <c r="Y261" s="255"/>
      <c r="Z261" s="255"/>
      <c r="AA261" s="255"/>
      <c r="AB261" s="255"/>
      <c r="AC261" s="255"/>
      <c r="AD261" s="255"/>
      <c r="AE261" s="255"/>
      <c r="AF261" s="262">
        <v>4.1703068580570832</v>
      </c>
      <c r="AG261" s="263">
        <v>4.1827566161784082</v>
      </c>
      <c r="AH261" s="263">
        <v>4.1952063742997323</v>
      </c>
      <c r="AI261" s="263">
        <v>351224828.14167815</v>
      </c>
      <c r="AJ261" s="263">
        <v>352604083.95265895</v>
      </c>
      <c r="AK261" s="263">
        <v>353983339.76363975</v>
      </c>
      <c r="AL261" s="263">
        <v>2.2741326195024865</v>
      </c>
      <c r="AM261" s="263">
        <v>2.2816209649217631</v>
      </c>
      <c r="AN261" s="263">
        <v>2.2891003684615563</v>
      </c>
      <c r="AO261" s="263" t="s">
        <v>414</v>
      </c>
      <c r="AP261" s="263" t="s">
        <v>414</v>
      </c>
      <c r="AQ261" s="263" t="s">
        <v>414</v>
      </c>
      <c r="AR261" s="263">
        <v>9.1639999999999997</v>
      </c>
      <c r="AS261" s="263">
        <v>9.1639999999999997</v>
      </c>
      <c r="AT261" s="263">
        <v>9.1639999999999997</v>
      </c>
      <c r="AU261" s="263">
        <v>-47476496.006645046</v>
      </c>
      <c r="AV261" s="263">
        <v>-47476496.006645046</v>
      </c>
      <c r="AW261" s="263">
        <v>-47476496.006645046</v>
      </c>
      <c r="AX261" s="263">
        <v>-117087992.09531094</v>
      </c>
      <c r="AY261" s="263">
        <v>-117087992.09531094</v>
      </c>
      <c r="AZ261" s="263">
        <v>-117087992.09531094</v>
      </c>
      <c r="BA261" s="263" t="s">
        <v>414</v>
      </c>
      <c r="BB261" s="263" t="s">
        <v>414</v>
      </c>
      <c r="BC261" s="263" t="s">
        <v>414</v>
      </c>
      <c r="BD261" s="263">
        <v>3.4471879118721363E-2</v>
      </c>
      <c r="BE261" s="263">
        <v>3.4471879118721363E-2</v>
      </c>
      <c r="BF261" s="264">
        <v>3.4471879118721363E-2</v>
      </c>
    </row>
    <row r="262" spans="2:58" hidden="1">
      <c r="B262" s="5" t="s">
        <v>379</v>
      </c>
      <c r="C262" s="5" t="str">
        <f t="shared" ca="1" si="257"/>
        <v/>
      </c>
      <c r="D262" t="str">
        <f t="shared" si="258"/>
        <v>False</v>
      </c>
      <c r="E262" s="256" t="str">
        <f t="shared" si="239"/>
        <v>-</v>
      </c>
      <c r="F262" s="256" t="str">
        <f t="shared" si="240"/>
        <v>-</v>
      </c>
      <c r="G262" s="256" t="str">
        <f t="shared" si="241"/>
        <v>-</v>
      </c>
      <c r="H262" s="256" t="str">
        <f t="shared" si="242"/>
        <v>-</v>
      </c>
      <c r="I262" s="256" t="str">
        <f t="shared" si="243"/>
        <v>-</v>
      </c>
      <c r="J262" s="256" t="str">
        <f t="shared" si="244"/>
        <v>-</v>
      </c>
      <c r="K262" s="256" t="str">
        <f t="shared" si="245"/>
        <v>-</v>
      </c>
      <c r="L262" s="256" t="str">
        <f t="shared" si="246"/>
        <v>-</v>
      </c>
      <c r="M262" s="256" t="str">
        <f t="shared" si="247"/>
        <v>-</v>
      </c>
      <c r="N262" s="256" t="str">
        <f t="shared" si="248"/>
        <v>-</v>
      </c>
      <c r="O262" s="256" t="str">
        <f t="shared" si="249"/>
        <v>-</v>
      </c>
      <c r="P262" s="256" t="str">
        <f t="shared" si="250"/>
        <v>-</v>
      </c>
      <c r="Q262" s="256" t="str">
        <f t="shared" si="251"/>
        <v>-</v>
      </c>
      <c r="R262" s="256" t="str">
        <f t="shared" si="252"/>
        <v>-</v>
      </c>
      <c r="S262" s="256" t="str">
        <f t="shared" si="253"/>
        <v>-</v>
      </c>
      <c r="T262" s="256" t="str">
        <f t="shared" si="254"/>
        <v>-</v>
      </c>
      <c r="U262" s="256" t="str">
        <f t="shared" si="255"/>
        <v>-</v>
      </c>
      <c r="V262" s="256" t="str">
        <f t="shared" si="256"/>
        <v>-</v>
      </c>
      <c r="W262" s="255"/>
      <c r="X262" s="255"/>
      <c r="Y262" s="255"/>
      <c r="Z262" s="255"/>
      <c r="AA262" s="255"/>
      <c r="AB262" s="255"/>
      <c r="AC262" s="255"/>
      <c r="AD262" s="255"/>
      <c r="AE262" s="255"/>
      <c r="AF262" s="262" t="s">
        <v>415</v>
      </c>
      <c r="AG262" s="263" t="s">
        <v>415</v>
      </c>
      <c r="AH262" s="263" t="s">
        <v>415</v>
      </c>
      <c r="AI262" s="263" t="s">
        <v>415</v>
      </c>
      <c r="AJ262" s="263" t="s">
        <v>415</v>
      </c>
      <c r="AK262" s="263" t="s">
        <v>415</v>
      </c>
      <c r="AL262" s="263" t="s">
        <v>415</v>
      </c>
      <c r="AM262" s="263" t="s">
        <v>415</v>
      </c>
      <c r="AN262" s="263" t="s">
        <v>415</v>
      </c>
      <c r="AO262" s="263" t="s">
        <v>415</v>
      </c>
      <c r="AP262" s="263" t="s">
        <v>415</v>
      </c>
      <c r="AQ262" s="263" t="s">
        <v>415</v>
      </c>
      <c r="AR262" s="263" t="s">
        <v>415</v>
      </c>
      <c r="AS262" s="263" t="s">
        <v>415</v>
      </c>
      <c r="AT262" s="263" t="s">
        <v>415</v>
      </c>
      <c r="AU262" s="263" t="s">
        <v>415</v>
      </c>
      <c r="AV262" s="263" t="s">
        <v>415</v>
      </c>
      <c r="AW262" s="263" t="s">
        <v>415</v>
      </c>
      <c r="AX262" s="263" t="s">
        <v>415</v>
      </c>
      <c r="AY262" s="263" t="s">
        <v>415</v>
      </c>
      <c r="AZ262" s="263" t="s">
        <v>415</v>
      </c>
      <c r="BA262" s="263" t="s">
        <v>415</v>
      </c>
      <c r="BB262" s="263" t="s">
        <v>415</v>
      </c>
      <c r="BC262" s="263" t="s">
        <v>415</v>
      </c>
      <c r="BD262" s="263" t="s">
        <v>415</v>
      </c>
      <c r="BE262" s="263" t="s">
        <v>415</v>
      </c>
      <c r="BF262" s="264" t="s">
        <v>415</v>
      </c>
    </row>
    <row r="263" spans="2:58" hidden="1">
      <c r="B263" s="5" t="s">
        <v>380</v>
      </c>
      <c r="C263" s="5" t="str">
        <f t="shared" ca="1" si="257"/>
        <v/>
      </c>
      <c r="D263" t="str">
        <f t="shared" si="258"/>
        <v>False</v>
      </c>
      <c r="E263" s="256" t="str">
        <f t="shared" si="239"/>
        <v>-</v>
      </c>
      <c r="F263" s="256" t="str">
        <f t="shared" si="240"/>
        <v>-</v>
      </c>
      <c r="G263" s="256" t="str">
        <f t="shared" si="241"/>
        <v>-</v>
      </c>
      <c r="H263" s="256" t="str">
        <f t="shared" si="242"/>
        <v>-</v>
      </c>
      <c r="I263" s="256" t="str">
        <f t="shared" si="243"/>
        <v>-</v>
      </c>
      <c r="J263" s="256" t="str">
        <f t="shared" si="244"/>
        <v>-</v>
      </c>
      <c r="K263" s="256" t="str">
        <f t="shared" si="245"/>
        <v>-</v>
      </c>
      <c r="L263" s="256" t="str">
        <f t="shared" si="246"/>
        <v>-</v>
      </c>
      <c r="M263" s="256" t="str">
        <f t="shared" si="247"/>
        <v>-</v>
      </c>
      <c r="N263" s="256" t="str">
        <f t="shared" si="248"/>
        <v>-</v>
      </c>
      <c r="O263" s="256" t="str">
        <f t="shared" si="249"/>
        <v>-</v>
      </c>
      <c r="P263" s="256" t="str">
        <f t="shared" si="250"/>
        <v>-</v>
      </c>
      <c r="Q263" s="256" t="str">
        <f t="shared" si="251"/>
        <v>-</v>
      </c>
      <c r="R263" s="256" t="str">
        <f t="shared" si="252"/>
        <v>-</v>
      </c>
      <c r="S263" s="256" t="str">
        <f t="shared" si="253"/>
        <v>-</v>
      </c>
      <c r="T263" s="256" t="str">
        <f t="shared" si="254"/>
        <v>-</v>
      </c>
      <c r="U263" s="256" t="str">
        <f t="shared" si="255"/>
        <v>-</v>
      </c>
      <c r="V263" s="256" t="str">
        <f t="shared" si="256"/>
        <v>-</v>
      </c>
      <c r="W263" s="255"/>
      <c r="X263" s="255"/>
      <c r="Y263" s="255"/>
      <c r="Z263" s="255"/>
      <c r="AA263" s="255"/>
      <c r="AB263" s="255"/>
      <c r="AC263" s="255"/>
      <c r="AD263" s="255"/>
      <c r="AE263" s="255"/>
      <c r="AF263" s="262" t="s">
        <v>415</v>
      </c>
      <c r="AG263" s="263" t="s">
        <v>415</v>
      </c>
      <c r="AH263" s="263" t="s">
        <v>415</v>
      </c>
      <c r="AI263" s="263" t="s">
        <v>415</v>
      </c>
      <c r="AJ263" s="263" t="s">
        <v>415</v>
      </c>
      <c r="AK263" s="263" t="s">
        <v>415</v>
      </c>
      <c r="AL263" s="263" t="s">
        <v>415</v>
      </c>
      <c r="AM263" s="263" t="s">
        <v>415</v>
      </c>
      <c r="AN263" s="263" t="s">
        <v>415</v>
      </c>
      <c r="AO263" s="263" t="s">
        <v>415</v>
      </c>
      <c r="AP263" s="263" t="s">
        <v>415</v>
      </c>
      <c r="AQ263" s="263" t="s">
        <v>415</v>
      </c>
      <c r="AR263" s="263" t="s">
        <v>415</v>
      </c>
      <c r="AS263" s="263" t="s">
        <v>415</v>
      </c>
      <c r="AT263" s="263" t="s">
        <v>415</v>
      </c>
      <c r="AU263" s="263" t="s">
        <v>415</v>
      </c>
      <c r="AV263" s="263" t="s">
        <v>415</v>
      </c>
      <c r="AW263" s="263" t="s">
        <v>415</v>
      </c>
      <c r="AX263" s="263" t="s">
        <v>415</v>
      </c>
      <c r="AY263" s="263" t="s">
        <v>415</v>
      </c>
      <c r="AZ263" s="263" t="s">
        <v>415</v>
      </c>
      <c r="BA263" s="263" t="s">
        <v>415</v>
      </c>
      <c r="BB263" s="263" t="s">
        <v>415</v>
      </c>
      <c r="BC263" s="263" t="s">
        <v>415</v>
      </c>
      <c r="BD263" s="263" t="s">
        <v>415</v>
      </c>
      <c r="BE263" s="263" t="s">
        <v>415</v>
      </c>
      <c r="BF263" s="264" t="s">
        <v>415</v>
      </c>
    </row>
    <row r="264" spans="2:58" hidden="1">
      <c r="B264" s="5" t="s">
        <v>381</v>
      </c>
      <c r="C264" s="5" t="str">
        <f t="shared" ca="1" si="257"/>
        <v/>
      </c>
      <c r="D264" t="str">
        <f t="shared" si="258"/>
        <v>False</v>
      </c>
      <c r="E264" s="256" t="str">
        <f t="shared" si="239"/>
        <v>-</v>
      </c>
      <c r="F264" s="256" t="str">
        <f t="shared" si="240"/>
        <v>-</v>
      </c>
      <c r="G264" s="256" t="str">
        <f t="shared" si="241"/>
        <v>-</v>
      </c>
      <c r="H264" s="256" t="str">
        <f t="shared" si="242"/>
        <v>-</v>
      </c>
      <c r="I264" s="256" t="str">
        <f t="shared" si="243"/>
        <v>-</v>
      </c>
      <c r="J264" s="256" t="str">
        <f t="shared" si="244"/>
        <v>-</v>
      </c>
      <c r="K264" s="256" t="str">
        <f t="shared" si="245"/>
        <v>-</v>
      </c>
      <c r="L264" s="256" t="str">
        <f t="shared" si="246"/>
        <v>-</v>
      </c>
      <c r="M264" s="256" t="str">
        <f t="shared" si="247"/>
        <v>-</v>
      </c>
      <c r="N264" s="256" t="str">
        <f t="shared" si="248"/>
        <v>-</v>
      </c>
      <c r="O264" s="256" t="str">
        <f t="shared" si="249"/>
        <v>-</v>
      </c>
      <c r="P264" s="256" t="str">
        <f t="shared" si="250"/>
        <v>-</v>
      </c>
      <c r="Q264" s="256" t="str">
        <f t="shared" si="251"/>
        <v>-</v>
      </c>
      <c r="R264" s="256" t="str">
        <f t="shared" si="252"/>
        <v>-</v>
      </c>
      <c r="S264" s="256" t="str">
        <f t="shared" si="253"/>
        <v>-</v>
      </c>
      <c r="T264" s="256" t="str">
        <f t="shared" si="254"/>
        <v>-</v>
      </c>
      <c r="U264" s="256" t="str">
        <f t="shared" si="255"/>
        <v>-</v>
      </c>
      <c r="V264" s="256" t="str">
        <f t="shared" si="256"/>
        <v>-</v>
      </c>
      <c r="W264" s="255"/>
      <c r="X264" s="255"/>
      <c r="Y264" s="255"/>
      <c r="Z264" s="255"/>
      <c r="AA264" s="255"/>
      <c r="AB264" s="255"/>
      <c r="AC264" s="255"/>
      <c r="AD264" s="255"/>
      <c r="AE264" s="255"/>
      <c r="AF264" s="262" t="s">
        <v>415</v>
      </c>
      <c r="AG264" s="263" t="s">
        <v>415</v>
      </c>
      <c r="AH264" s="263" t="s">
        <v>415</v>
      </c>
      <c r="AI264" s="263" t="s">
        <v>415</v>
      </c>
      <c r="AJ264" s="263" t="s">
        <v>415</v>
      </c>
      <c r="AK264" s="263" t="s">
        <v>415</v>
      </c>
      <c r="AL264" s="263" t="s">
        <v>415</v>
      </c>
      <c r="AM264" s="263" t="s">
        <v>415</v>
      </c>
      <c r="AN264" s="263" t="s">
        <v>415</v>
      </c>
      <c r="AO264" s="263" t="s">
        <v>415</v>
      </c>
      <c r="AP264" s="263" t="s">
        <v>415</v>
      </c>
      <c r="AQ264" s="263" t="s">
        <v>415</v>
      </c>
      <c r="AR264" s="263" t="s">
        <v>415</v>
      </c>
      <c r="AS264" s="263" t="s">
        <v>415</v>
      </c>
      <c r="AT264" s="263" t="s">
        <v>415</v>
      </c>
      <c r="AU264" s="263" t="s">
        <v>415</v>
      </c>
      <c r="AV264" s="263" t="s">
        <v>415</v>
      </c>
      <c r="AW264" s="263" t="s">
        <v>415</v>
      </c>
      <c r="AX264" s="263" t="s">
        <v>415</v>
      </c>
      <c r="AY264" s="263" t="s">
        <v>415</v>
      </c>
      <c r="AZ264" s="263" t="s">
        <v>415</v>
      </c>
      <c r="BA264" s="263" t="s">
        <v>415</v>
      </c>
      <c r="BB264" s="263" t="s">
        <v>415</v>
      </c>
      <c r="BC264" s="263" t="s">
        <v>415</v>
      </c>
      <c r="BD264" s="263" t="s">
        <v>415</v>
      </c>
      <c r="BE264" s="263" t="s">
        <v>415</v>
      </c>
      <c r="BF264" s="264" t="s">
        <v>415</v>
      </c>
    </row>
    <row r="265" spans="2:58" hidden="1">
      <c r="B265" s="5" t="s">
        <v>382</v>
      </c>
      <c r="C265" s="5" t="str">
        <f t="shared" ca="1" si="257"/>
        <v/>
      </c>
      <c r="D265" t="str">
        <f t="shared" si="258"/>
        <v>False</v>
      </c>
      <c r="E265" s="256" t="str">
        <f t="shared" si="239"/>
        <v>-</v>
      </c>
      <c r="F265" s="256" t="str">
        <f t="shared" si="240"/>
        <v>-</v>
      </c>
      <c r="G265" s="256" t="str">
        <f t="shared" si="241"/>
        <v>-</v>
      </c>
      <c r="H265" s="256" t="str">
        <f t="shared" si="242"/>
        <v>-</v>
      </c>
      <c r="I265" s="256" t="str">
        <f t="shared" si="243"/>
        <v>-</v>
      </c>
      <c r="J265" s="256" t="str">
        <f t="shared" si="244"/>
        <v>-</v>
      </c>
      <c r="K265" s="256" t="str">
        <f t="shared" si="245"/>
        <v>-</v>
      </c>
      <c r="L265" s="256" t="str">
        <f t="shared" si="246"/>
        <v>-</v>
      </c>
      <c r="M265" s="256" t="str">
        <f t="shared" si="247"/>
        <v>-</v>
      </c>
      <c r="N265" s="256" t="str">
        <f t="shared" si="248"/>
        <v>-</v>
      </c>
      <c r="O265" s="256" t="str">
        <f t="shared" si="249"/>
        <v>-</v>
      </c>
      <c r="P265" s="256" t="str">
        <f t="shared" si="250"/>
        <v>-</v>
      </c>
      <c r="Q265" s="256" t="str">
        <f t="shared" si="251"/>
        <v>-</v>
      </c>
      <c r="R265" s="256" t="str">
        <f t="shared" si="252"/>
        <v>-</v>
      </c>
      <c r="S265" s="256" t="str">
        <f t="shared" si="253"/>
        <v>-</v>
      </c>
      <c r="T265" s="256" t="str">
        <f t="shared" si="254"/>
        <v>-</v>
      </c>
      <c r="U265" s="256" t="str">
        <f t="shared" si="255"/>
        <v>-</v>
      </c>
      <c r="V265" s="256" t="str">
        <f t="shared" si="256"/>
        <v>-</v>
      </c>
      <c r="W265" s="255"/>
      <c r="X265" s="255"/>
      <c r="Y265" s="255"/>
      <c r="Z265" s="255"/>
      <c r="AA265" s="255"/>
      <c r="AB265" s="255"/>
      <c r="AC265" s="255"/>
      <c r="AD265" s="255"/>
      <c r="AE265" s="255"/>
      <c r="AF265" s="262" t="s">
        <v>415</v>
      </c>
      <c r="AG265" s="263" t="s">
        <v>415</v>
      </c>
      <c r="AH265" s="263" t="s">
        <v>415</v>
      </c>
      <c r="AI265" s="263" t="s">
        <v>415</v>
      </c>
      <c r="AJ265" s="263" t="s">
        <v>415</v>
      </c>
      <c r="AK265" s="263" t="s">
        <v>415</v>
      </c>
      <c r="AL265" s="263" t="s">
        <v>415</v>
      </c>
      <c r="AM265" s="263" t="s">
        <v>415</v>
      </c>
      <c r="AN265" s="263" t="s">
        <v>415</v>
      </c>
      <c r="AO265" s="263" t="s">
        <v>415</v>
      </c>
      <c r="AP265" s="263" t="s">
        <v>415</v>
      </c>
      <c r="AQ265" s="263" t="s">
        <v>415</v>
      </c>
      <c r="AR265" s="263" t="s">
        <v>415</v>
      </c>
      <c r="AS265" s="263" t="s">
        <v>415</v>
      </c>
      <c r="AT265" s="263" t="s">
        <v>415</v>
      </c>
      <c r="AU265" s="263" t="s">
        <v>415</v>
      </c>
      <c r="AV265" s="263" t="s">
        <v>415</v>
      </c>
      <c r="AW265" s="263" t="s">
        <v>415</v>
      </c>
      <c r="AX265" s="263" t="s">
        <v>415</v>
      </c>
      <c r="AY265" s="263" t="s">
        <v>415</v>
      </c>
      <c r="AZ265" s="263" t="s">
        <v>415</v>
      </c>
      <c r="BA265" s="263" t="s">
        <v>415</v>
      </c>
      <c r="BB265" s="263" t="s">
        <v>415</v>
      </c>
      <c r="BC265" s="263" t="s">
        <v>415</v>
      </c>
      <c r="BD265" s="263" t="s">
        <v>415</v>
      </c>
      <c r="BE265" s="263" t="s">
        <v>415</v>
      </c>
      <c r="BF265" s="264" t="s">
        <v>415</v>
      </c>
    </row>
    <row r="266" spans="2:58" hidden="1">
      <c r="B266" s="5" t="s">
        <v>383</v>
      </c>
      <c r="C266" s="5" t="str">
        <f t="shared" ca="1" si="257"/>
        <v/>
      </c>
      <c r="D266" t="str">
        <f t="shared" si="258"/>
        <v>False</v>
      </c>
      <c r="E266" s="256" t="str">
        <f t="shared" si="239"/>
        <v>-</v>
      </c>
      <c r="F266" s="256" t="str">
        <f t="shared" si="240"/>
        <v>-</v>
      </c>
      <c r="G266" s="256" t="str">
        <f t="shared" si="241"/>
        <v>-</v>
      </c>
      <c r="H266" s="256" t="str">
        <f t="shared" si="242"/>
        <v>-</v>
      </c>
      <c r="I266" s="256" t="str">
        <f t="shared" si="243"/>
        <v>-</v>
      </c>
      <c r="J266" s="256" t="str">
        <f t="shared" si="244"/>
        <v>-</v>
      </c>
      <c r="K266" s="256" t="str">
        <f t="shared" si="245"/>
        <v>-</v>
      </c>
      <c r="L266" s="256" t="str">
        <f t="shared" si="246"/>
        <v>-</v>
      </c>
      <c r="M266" s="256" t="str">
        <f t="shared" si="247"/>
        <v>-</v>
      </c>
      <c r="N266" s="256" t="str">
        <f t="shared" si="248"/>
        <v>-</v>
      </c>
      <c r="O266" s="256" t="str">
        <f t="shared" si="249"/>
        <v>-</v>
      </c>
      <c r="P266" s="256" t="str">
        <f t="shared" si="250"/>
        <v>-</v>
      </c>
      <c r="Q266" s="256" t="str">
        <f t="shared" si="251"/>
        <v>-</v>
      </c>
      <c r="R266" s="256" t="str">
        <f t="shared" si="252"/>
        <v>-</v>
      </c>
      <c r="S266" s="256" t="str">
        <f t="shared" si="253"/>
        <v>-</v>
      </c>
      <c r="T266" s="256" t="str">
        <f t="shared" si="254"/>
        <v>-</v>
      </c>
      <c r="U266" s="256" t="str">
        <f t="shared" si="255"/>
        <v>-</v>
      </c>
      <c r="V266" s="256" t="str">
        <f t="shared" si="256"/>
        <v>-</v>
      </c>
      <c r="W266" s="255"/>
      <c r="X266" s="255"/>
      <c r="Y266" s="255"/>
      <c r="Z266" s="255"/>
      <c r="AA266" s="255"/>
      <c r="AB266" s="255"/>
      <c r="AC266" s="255"/>
      <c r="AD266" s="255"/>
      <c r="AE266" s="255"/>
      <c r="AF266" s="262" t="s">
        <v>415</v>
      </c>
      <c r="AG266" s="263" t="s">
        <v>415</v>
      </c>
      <c r="AH266" s="263" t="s">
        <v>415</v>
      </c>
      <c r="AI266" s="263" t="s">
        <v>415</v>
      </c>
      <c r="AJ266" s="263" t="s">
        <v>415</v>
      </c>
      <c r="AK266" s="263" t="s">
        <v>415</v>
      </c>
      <c r="AL266" s="263" t="s">
        <v>415</v>
      </c>
      <c r="AM266" s="263" t="s">
        <v>415</v>
      </c>
      <c r="AN266" s="263" t="s">
        <v>415</v>
      </c>
      <c r="AO266" s="263" t="s">
        <v>415</v>
      </c>
      <c r="AP266" s="263" t="s">
        <v>415</v>
      </c>
      <c r="AQ266" s="263" t="s">
        <v>415</v>
      </c>
      <c r="AR266" s="263" t="s">
        <v>415</v>
      </c>
      <c r="AS266" s="263" t="s">
        <v>415</v>
      </c>
      <c r="AT266" s="263" t="s">
        <v>415</v>
      </c>
      <c r="AU266" s="263" t="s">
        <v>415</v>
      </c>
      <c r="AV266" s="263" t="s">
        <v>415</v>
      </c>
      <c r="AW266" s="263" t="s">
        <v>415</v>
      </c>
      <c r="AX266" s="263" t="s">
        <v>415</v>
      </c>
      <c r="AY266" s="263" t="s">
        <v>415</v>
      </c>
      <c r="AZ266" s="263" t="s">
        <v>415</v>
      </c>
      <c r="BA266" s="263" t="s">
        <v>415</v>
      </c>
      <c r="BB266" s="263" t="s">
        <v>415</v>
      </c>
      <c r="BC266" s="263" t="s">
        <v>415</v>
      </c>
      <c r="BD266" s="263" t="s">
        <v>415</v>
      </c>
      <c r="BE266" s="263" t="s">
        <v>415</v>
      </c>
      <c r="BF266" s="264" t="s">
        <v>415</v>
      </c>
    </row>
    <row r="267" spans="2:58" hidden="1">
      <c r="B267" s="5" t="s">
        <v>384</v>
      </c>
      <c r="C267" s="5" t="str">
        <f t="shared" ca="1" si="257"/>
        <v/>
      </c>
      <c r="D267" t="str">
        <f t="shared" si="258"/>
        <v>False</v>
      </c>
      <c r="E267" s="256" t="str">
        <f t="shared" si="239"/>
        <v>-</v>
      </c>
      <c r="F267" s="256" t="str">
        <f t="shared" si="240"/>
        <v>-</v>
      </c>
      <c r="G267" s="256" t="str">
        <f t="shared" si="241"/>
        <v>-</v>
      </c>
      <c r="H267" s="256" t="str">
        <f t="shared" si="242"/>
        <v>-</v>
      </c>
      <c r="I267" s="256" t="str">
        <f t="shared" si="243"/>
        <v>-</v>
      </c>
      <c r="J267" s="256" t="str">
        <f t="shared" si="244"/>
        <v>-</v>
      </c>
      <c r="K267" s="256" t="str">
        <f t="shared" si="245"/>
        <v>-</v>
      </c>
      <c r="L267" s="256" t="str">
        <f t="shared" si="246"/>
        <v>-</v>
      </c>
      <c r="M267" s="256" t="str">
        <f t="shared" si="247"/>
        <v>-</v>
      </c>
      <c r="N267" s="256" t="str">
        <f t="shared" si="248"/>
        <v>-</v>
      </c>
      <c r="O267" s="256" t="str">
        <f t="shared" si="249"/>
        <v>-</v>
      </c>
      <c r="P267" s="256" t="str">
        <f t="shared" si="250"/>
        <v>-</v>
      </c>
      <c r="Q267" s="256" t="str">
        <f t="shared" si="251"/>
        <v>-</v>
      </c>
      <c r="R267" s="256" t="str">
        <f t="shared" si="252"/>
        <v>-</v>
      </c>
      <c r="S267" s="256" t="str">
        <f t="shared" si="253"/>
        <v>-</v>
      </c>
      <c r="T267" s="256" t="str">
        <f t="shared" si="254"/>
        <v>-</v>
      </c>
      <c r="U267" s="256" t="str">
        <f t="shared" si="255"/>
        <v>-</v>
      </c>
      <c r="V267" s="256" t="str">
        <f t="shared" si="256"/>
        <v>-</v>
      </c>
      <c r="W267" s="255"/>
      <c r="X267" s="255"/>
      <c r="Y267" s="255"/>
      <c r="Z267" s="255"/>
      <c r="AA267" s="255"/>
      <c r="AB267" s="255"/>
      <c r="AC267" s="255"/>
      <c r="AD267" s="255"/>
      <c r="AE267" s="255"/>
      <c r="AF267" s="262" t="s">
        <v>415</v>
      </c>
      <c r="AG267" s="263" t="s">
        <v>415</v>
      </c>
      <c r="AH267" s="263" t="s">
        <v>415</v>
      </c>
      <c r="AI267" s="263" t="s">
        <v>415</v>
      </c>
      <c r="AJ267" s="263" t="s">
        <v>415</v>
      </c>
      <c r="AK267" s="263" t="s">
        <v>415</v>
      </c>
      <c r="AL267" s="263" t="s">
        <v>415</v>
      </c>
      <c r="AM267" s="263" t="s">
        <v>415</v>
      </c>
      <c r="AN267" s="263" t="s">
        <v>415</v>
      </c>
      <c r="AO267" s="263" t="s">
        <v>415</v>
      </c>
      <c r="AP267" s="263" t="s">
        <v>415</v>
      </c>
      <c r="AQ267" s="263" t="s">
        <v>415</v>
      </c>
      <c r="AR267" s="263" t="s">
        <v>415</v>
      </c>
      <c r="AS267" s="263" t="s">
        <v>415</v>
      </c>
      <c r="AT267" s="263" t="s">
        <v>415</v>
      </c>
      <c r="AU267" s="263" t="s">
        <v>415</v>
      </c>
      <c r="AV267" s="263" t="s">
        <v>415</v>
      </c>
      <c r="AW267" s="263" t="s">
        <v>415</v>
      </c>
      <c r="AX267" s="263" t="s">
        <v>415</v>
      </c>
      <c r="AY267" s="263" t="s">
        <v>415</v>
      </c>
      <c r="AZ267" s="263" t="s">
        <v>415</v>
      </c>
      <c r="BA267" s="263" t="s">
        <v>415</v>
      </c>
      <c r="BB267" s="263" t="s">
        <v>415</v>
      </c>
      <c r="BC267" s="263" t="s">
        <v>415</v>
      </c>
      <c r="BD267" s="263" t="s">
        <v>415</v>
      </c>
      <c r="BE267" s="263" t="s">
        <v>415</v>
      </c>
      <c r="BF267" s="264" t="s">
        <v>415</v>
      </c>
    </row>
    <row r="268" spans="2:58" hidden="1">
      <c r="B268" s="5" t="s">
        <v>385</v>
      </c>
      <c r="C268" s="5" t="str">
        <f t="shared" ca="1" si="257"/>
        <v/>
      </c>
      <c r="D268" t="str">
        <f t="shared" si="258"/>
        <v>False</v>
      </c>
      <c r="E268" s="256" t="str">
        <f t="shared" si="239"/>
        <v>-</v>
      </c>
      <c r="F268" s="256" t="str">
        <f t="shared" si="240"/>
        <v>-</v>
      </c>
      <c r="G268" s="256" t="str">
        <f t="shared" si="241"/>
        <v>-</v>
      </c>
      <c r="H268" s="256" t="str">
        <f t="shared" si="242"/>
        <v>-</v>
      </c>
      <c r="I268" s="256" t="str">
        <f t="shared" si="243"/>
        <v>-</v>
      </c>
      <c r="J268" s="256" t="str">
        <f t="shared" si="244"/>
        <v>-</v>
      </c>
      <c r="K268" s="256" t="str">
        <f t="shared" si="245"/>
        <v>-</v>
      </c>
      <c r="L268" s="256" t="str">
        <f t="shared" si="246"/>
        <v>-</v>
      </c>
      <c r="M268" s="256" t="str">
        <f t="shared" si="247"/>
        <v>-</v>
      </c>
      <c r="N268" s="256" t="str">
        <f t="shared" si="248"/>
        <v>-</v>
      </c>
      <c r="O268" s="256" t="str">
        <f t="shared" si="249"/>
        <v>-</v>
      </c>
      <c r="P268" s="256" t="str">
        <f t="shared" si="250"/>
        <v>-</v>
      </c>
      <c r="Q268" s="256" t="str">
        <f t="shared" si="251"/>
        <v>-</v>
      </c>
      <c r="R268" s="256" t="str">
        <f t="shared" si="252"/>
        <v>-</v>
      </c>
      <c r="S268" s="256" t="str">
        <f t="shared" si="253"/>
        <v>-</v>
      </c>
      <c r="T268" s="256" t="str">
        <f t="shared" si="254"/>
        <v>-</v>
      </c>
      <c r="U268" s="256" t="str">
        <f t="shared" si="255"/>
        <v>-</v>
      </c>
      <c r="V268" s="256" t="str">
        <f t="shared" si="256"/>
        <v>-</v>
      </c>
      <c r="W268" s="255"/>
      <c r="X268" s="255"/>
      <c r="Y268" s="255"/>
      <c r="Z268" s="255"/>
      <c r="AA268" s="255"/>
      <c r="AB268" s="255"/>
      <c r="AC268" s="255"/>
      <c r="AD268" s="255"/>
      <c r="AE268" s="255"/>
      <c r="AF268" s="262" t="s">
        <v>415</v>
      </c>
      <c r="AG268" s="263" t="s">
        <v>415</v>
      </c>
      <c r="AH268" s="263" t="s">
        <v>415</v>
      </c>
      <c r="AI268" s="263" t="s">
        <v>415</v>
      </c>
      <c r="AJ268" s="263" t="s">
        <v>415</v>
      </c>
      <c r="AK268" s="263" t="s">
        <v>415</v>
      </c>
      <c r="AL268" s="263" t="s">
        <v>415</v>
      </c>
      <c r="AM268" s="263" t="s">
        <v>415</v>
      </c>
      <c r="AN268" s="263" t="s">
        <v>415</v>
      </c>
      <c r="AO268" s="263" t="s">
        <v>415</v>
      </c>
      <c r="AP268" s="263" t="s">
        <v>415</v>
      </c>
      <c r="AQ268" s="263" t="s">
        <v>415</v>
      </c>
      <c r="AR268" s="263" t="s">
        <v>415</v>
      </c>
      <c r="AS268" s="263" t="s">
        <v>415</v>
      </c>
      <c r="AT268" s="263" t="s">
        <v>415</v>
      </c>
      <c r="AU268" s="263" t="s">
        <v>415</v>
      </c>
      <c r="AV268" s="263" t="s">
        <v>415</v>
      </c>
      <c r="AW268" s="263" t="s">
        <v>415</v>
      </c>
      <c r="AX268" s="263" t="s">
        <v>415</v>
      </c>
      <c r="AY268" s="263" t="s">
        <v>415</v>
      </c>
      <c r="AZ268" s="263" t="s">
        <v>415</v>
      </c>
      <c r="BA268" s="263" t="s">
        <v>415</v>
      </c>
      <c r="BB268" s="263" t="s">
        <v>415</v>
      </c>
      <c r="BC268" s="263" t="s">
        <v>415</v>
      </c>
      <c r="BD268" s="263" t="s">
        <v>415</v>
      </c>
      <c r="BE268" s="263" t="s">
        <v>415</v>
      </c>
      <c r="BF268" s="264" t="s">
        <v>415</v>
      </c>
    </row>
    <row r="269" spans="2:58" ht="15" hidden="1" thickBot="1">
      <c r="B269" s="5" t="s">
        <v>386</v>
      </c>
      <c r="C269" s="5" t="str">
        <f t="shared" ca="1" si="257"/>
        <v/>
      </c>
      <c r="D269" t="str">
        <f t="shared" si="258"/>
        <v>False</v>
      </c>
      <c r="E269" s="256" t="str">
        <f t="shared" si="239"/>
        <v>-</v>
      </c>
      <c r="F269" s="256" t="str">
        <f t="shared" si="240"/>
        <v>-</v>
      </c>
      <c r="G269" s="256" t="str">
        <f t="shared" si="241"/>
        <v>-</v>
      </c>
      <c r="H269" s="256" t="str">
        <f t="shared" si="242"/>
        <v>-</v>
      </c>
      <c r="I269" s="256" t="str">
        <f t="shared" si="243"/>
        <v>-</v>
      </c>
      <c r="J269" s="256" t="str">
        <f t="shared" si="244"/>
        <v>-</v>
      </c>
      <c r="K269" s="256" t="str">
        <f t="shared" si="245"/>
        <v>-</v>
      </c>
      <c r="L269" s="256" t="str">
        <f t="shared" si="246"/>
        <v>-</v>
      </c>
      <c r="M269" s="256" t="str">
        <f t="shared" si="247"/>
        <v>-</v>
      </c>
      <c r="N269" s="256" t="str">
        <f t="shared" si="248"/>
        <v>-</v>
      </c>
      <c r="O269" s="256" t="str">
        <f t="shared" si="249"/>
        <v>-</v>
      </c>
      <c r="P269" s="256" t="str">
        <f t="shared" si="250"/>
        <v>-</v>
      </c>
      <c r="Q269" s="256" t="str">
        <f t="shared" si="251"/>
        <v>-</v>
      </c>
      <c r="R269" s="256" t="str">
        <f t="shared" si="252"/>
        <v>-</v>
      </c>
      <c r="S269" s="256" t="str">
        <f t="shared" si="253"/>
        <v>-</v>
      </c>
      <c r="T269" s="256" t="str">
        <f t="shared" si="254"/>
        <v>-</v>
      </c>
      <c r="U269" s="256" t="str">
        <f t="shared" si="255"/>
        <v>-</v>
      </c>
      <c r="V269" s="256" t="str">
        <f t="shared" si="256"/>
        <v>-</v>
      </c>
      <c r="W269" s="255"/>
      <c r="X269" s="255"/>
      <c r="Y269" s="255"/>
      <c r="Z269" s="255"/>
      <c r="AA269" s="255"/>
      <c r="AB269" s="255"/>
      <c r="AC269" s="255"/>
      <c r="AD269" s="255"/>
      <c r="AE269" s="255"/>
      <c r="AF269" s="265" t="s">
        <v>415</v>
      </c>
      <c r="AG269" s="266" t="s">
        <v>415</v>
      </c>
      <c r="AH269" s="266" t="s">
        <v>415</v>
      </c>
      <c r="AI269" s="266" t="s">
        <v>415</v>
      </c>
      <c r="AJ269" s="266" t="s">
        <v>415</v>
      </c>
      <c r="AK269" s="266" t="s">
        <v>415</v>
      </c>
      <c r="AL269" s="266" t="s">
        <v>415</v>
      </c>
      <c r="AM269" s="266" t="s">
        <v>415</v>
      </c>
      <c r="AN269" s="266" t="s">
        <v>415</v>
      </c>
      <c r="AO269" s="266" t="s">
        <v>415</v>
      </c>
      <c r="AP269" s="266" t="s">
        <v>415</v>
      </c>
      <c r="AQ269" s="266" t="s">
        <v>415</v>
      </c>
      <c r="AR269" s="266" t="s">
        <v>415</v>
      </c>
      <c r="AS269" s="266" t="s">
        <v>415</v>
      </c>
      <c r="AT269" s="266" t="s">
        <v>415</v>
      </c>
      <c r="AU269" s="266" t="s">
        <v>415</v>
      </c>
      <c r="AV269" s="266" t="s">
        <v>415</v>
      </c>
      <c r="AW269" s="266" t="s">
        <v>415</v>
      </c>
      <c r="AX269" s="266" t="s">
        <v>415</v>
      </c>
      <c r="AY269" s="266" t="s">
        <v>415</v>
      </c>
      <c r="AZ269" s="266" t="s">
        <v>415</v>
      </c>
      <c r="BA269" s="266" t="s">
        <v>415</v>
      </c>
      <c r="BB269" s="266" t="s">
        <v>415</v>
      </c>
      <c r="BC269" s="266" t="s">
        <v>415</v>
      </c>
      <c r="BD269" s="266" t="s">
        <v>415</v>
      </c>
      <c r="BE269" s="266" t="s">
        <v>415</v>
      </c>
      <c r="BF269" s="267" t="s">
        <v>415</v>
      </c>
    </row>
    <row r="271" spans="2:58"/>
    <row r="272" spans="2:58" ht="15" thickBot="1">
      <c r="B272" s="226"/>
      <c r="C272" s="31" t="s">
        <v>407</v>
      </c>
      <c r="E272" s="226"/>
      <c r="F272" s="863" t="s">
        <v>387</v>
      </c>
      <c r="G272" s="863"/>
      <c r="H272" s="863"/>
      <c r="I272" s="863"/>
      <c r="J272" s="863"/>
      <c r="K272" s="863"/>
      <c r="L272" s="261"/>
    </row>
    <row r="273" spans="2:14" ht="26.4">
      <c r="B273" s="227"/>
      <c r="C273" s="277" t="s">
        <v>388</v>
      </c>
      <c r="D273" s="117"/>
      <c r="E273" s="279" t="s">
        <v>389</v>
      </c>
      <c r="F273" s="276" t="s">
        <v>240</v>
      </c>
      <c r="G273" s="275" t="s">
        <v>285</v>
      </c>
      <c r="H273" s="275" t="s">
        <v>286</v>
      </c>
      <c r="I273" s="275" t="s">
        <v>261</v>
      </c>
      <c r="J273" s="275" t="s">
        <v>398</v>
      </c>
      <c r="K273" s="275" t="s">
        <v>390</v>
      </c>
      <c r="L273" s="275" t="s">
        <v>391</v>
      </c>
      <c r="M273" s="275" t="s">
        <v>392</v>
      </c>
      <c r="N273" s="275" t="s">
        <v>393</v>
      </c>
    </row>
    <row r="274" spans="2:14">
      <c r="C274" s="274" t="s">
        <v>421</v>
      </c>
      <c r="E274" s="259" t="str">
        <f>IF(COUNTIFS(F274:K274,"Taip"),"Taip","Ne")</f>
        <v>Ne</v>
      </c>
      <c r="F274" s="196"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4" t="s">
        <v>283</v>
      </c>
      <c r="E275" s="259" t="str">
        <f t="shared" ref="E275:E338" si="259">IF(COUNTIFS(F275:K275,"Taip"),"Taip","Ne")</f>
        <v>Ne</v>
      </c>
      <c r="F275" s="196" t="str">
        <f t="shared" ref="F275:F338" si="260">IFERROR(IF(OR(ABS(E166)&gt;0.01,ABS(F166)&gt;0.01),"Taip",""),"")</f>
        <v/>
      </c>
      <c r="G275" s="5" t="str">
        <f t="shared" ref="G275:G338" si="261">IFERROR(IF(OR(ABS(G166)&gt;0.01,ABS(H166)&gt;0.01),"Taip",""),"")</f>
        <v/>
      </c>
      <c r="H275" s="5" t="str">
        <f t="shared" ref="H275:H338" si="262">IFERROR(IF(OR(ABS(I166)&gt;0.01,ABS(J166)&gt;0.01),"Taip",""),"")</f>
        <v/>
      </c>
      <c r="I275" s="5" t="str">
        <f t="shared" ref="I275:I338" si="263">IFERROR(IF(OR(ABS(K166)&gt;0.01,ABS(L166)&gt;0.01),"Taip",""),"")</f>
        <v/>
      </c>
      <c r="J275" s="5" t="str">
        <f t="shared" ref="J275:J338" si="264">IFERROR(IF(OR(ABS(M166)&gt;0.01,ABS(N166)&gt;0.01),"Taip",""),"")</f>
        <v/>
      </c>
      <c r="K275" s="5" t="str">
        <f t="shared" ref="K275:K338" si="265">IFERROR(IF(OR(ABS(O166)&gt;0.01,ABS(P166)&gt;0.01),"Taip",""),"")</f>
        <v/>
      </c>
      <c r="L275" s="5" t="str">
        <f t="shared" ref="L275:L338" si="266">IFERROR(IF(OR(ABS(Q166)&gt;0.01,ABS(R166)&gt;0.01),"Taip",""),"")</f>
        <v/>
      </c>
      <c r="M275" s="5" t="str">
        <f t="shared" ref="M275:M338" si="267">IFERROR(IF(OR(ABS(S166)&gt;0.01,ABS(T166)&gt;0.01),"Taip",""),"")</f>
        <v/>
      </c>
      <c r="N275" s="5" t="str">
        <f t="shared" ref="N275:N338" si="268">IFERROR(IF(OR(ABS(U166)&gt;0.01,ABS(V166)&gt;0.01),"Taip",""),"")</f>
        <v/>
      </c>
    </row>
    <row r="276" spans="2:14">
      <c r="C276" s="274" t="s">
        <v>284</v>
      </c>
      <c r="E276" s="259" t="str">
        <f t="shared" si="259"/>
        <v>Ne</v>
      </c>
      <c r="F276" s="196" t="str">
        <f t="shared" si="260"/>
        <v/>
      </c>
      <c r="G276" s="5" t="str">
        <f t="shared" si="261"/>
        <v/>
      </c>
      <c r="H276" s="5" t="str">
        <f t="shared" si="262"/>
        <v/>
      </c>
      <c r="I276" s="5" t="str">
        <f t="shared" si="263"/>
        <v/>
      </c>
      <c r="J276" s="5" t="str">
        <f t="shared" si="264"/>
        <v/>
      </c>
      <c r="K276" s="5" t="str">
        <f t="shared" si="265"/>
        <v/>
      </c>
      <c r="L276" s="5" t="str">
        <f t="shared" si="266"/>
        <v/>
      </c>
      <c r="M276" s="5" t="str">
        <f t="shared" si="267"/>
        <v/>
      </c>
      <c r="N276" s="5" t="str">
        <f t="shared" si="268"/>
        <v/>
      </c>
    </row>
    <row r="277" spans="2:14" hidden="1">
      <c r="B277" s="5" t="s">
        <v>287</v>
      </c>
      <c r="C277" s="5" t="str">
        <f t="shared" ref="C277:C340" ca="1" si="269">VLOOKUP(B277,$B$12:$C$129,2,FALSE)</f>
        <v xml:space="preserve">Veikla (nurodykite pavadinimą; suplanuotas investicijas pagrįskite prielaidų lape)
Analitinė studija dėl diplomatinio atstovavimo tinklo plėtros </v>
      </c>
      <c r="D277" t="str">
        <f>VLOOKUP(B277,$B$168:$D$269,3,FALSE)</f>
        <v>False</v>
      </c>
      <c r="E277" s="259" t="str">
        <f t="shared" si="259"/>
        <v>Ne</v>
      </c>
      <c r="F277" s="196" t="str">
        <f t="shared" si="260"/>
        <v/>
      </c>
      <c r="G277" s="5" t="str">
        <f t="shared" si="261"/>
        <v/>
      </c>
      <c r="H277" s="5" t="str">
        <f t="shared" si="262"/>
        <v/>
      </c>
      <c r="I277" s="5" t="str">
        <f t="shared" si="263"/>
        <v/>
      </c>
      <c r="J277" s="5" t="str">
        <f t="shared" si="264"/>
        <v/>
      </c>
      <c r="K277" s="5" t="str">
        <f t="shared" si="265"/>
        <v/>
      </c>
      <c r="L277" s="5" t="str">
        <f t="shared" si="266"/>
        <v/>
      </c>
      <c r="M277" s="5" t="str">
        <f t="shared" si="267"/>
        <v/>
      </c>
      <c r="N277" s="5" t="str">
        <f t="shared" si="268"/>
        <v/>
      </c>
    </row>
    <row r="278" spans="2:14" hidden="1">
      <c r="B278" s="5" t="s">
        <v>288</v>
      </c>
      <c r="C278" s="5" t="str">
        <f t="shared" ca="1" si="269"/>
        <v>Veikla</v>
      </c>
      <c r="D278" t="str">
        <f t="shared" ref="D278:D341" si="270">VLOOKUP(B278,$B$168:$D$269,3,FALSE)</f>
        <v>False</v>
      </c>
      <c r="E278" s="259" t="str">
        <f t="shared" si="259"/>
        <v>Ne</v>
      </c>
      <c r="F278" s="196" t="str">
        <f t="shared" si="260"/>
        <v/>
      </c>
      <c r="G278" s="5" t="str">
        <f t="shared" si="261"/>
        <v/>
      </c>
      <c r="H278" s="5" t="str">
        <f t="shared" si="262"/>
        <v/>
      </c>
      <c r="I278" s="5" t="str">
        <f t="shared" si="263"/>
        <v/>
      </c>
      <c r="J278" s="5" t="str">
        <f t="shared" si="264"/>
        <v/>
      </c>
      <c r="K278" s="5" t="str">
        <f t="shared" si="265"/>
        <v/>
      </c>
      <c r="L278" s="5" t="str">
        <f t="shared" si="266"/>
        <v/>
      </c>
      <c r="M278" s="5" t="str">
        <f t="shared" si="267"/>
        <v/>
      </c>
      <c r="N278" s="5" t="str">
        <f t="shared" si="268"/>
        <v/>
      </c>
    </row>
    <row r="279" spans="2:14" hidden="1">
      <c r="B279" s="5" t="s">
        <v>289</v>
      </c>
      <c r="C279" s="5" t="str">
        <f t="shared" ca="1" si="269"/>
        <v>Veikla</v>
      </c>
      <c r="D279" t="str">
        <f t="shared" si="270"/>
        <v>False</v>
      </c>
      <c r="E279" s="259" t="str">
        <f t="shared" si="259"/>
        <v>Ne</v>
      </c>
      <c r="F279" s="196" t="str">
        <f t="shared" si="260"/>
        <v/>
      </c>
      <c r="G279" s="5" t="str">
        <f t="shared" si="261"/>
        <v/>
      </c>
      <c r="H279" s="5" t="str">
        <f t="shared" si="262"/>
        <v/>
      </c>
      <c r="I279" s="5" t="str">
        <f t="shared" si="263"/>
        <v/>
      </c>
      <c r="J279" s="5" t="str">
        <f t="shared" si="264"/>
        <v/>
      </c>
      <c r="K279" s="5" t="str">
        <f t="shared" si="265"/>
        <v/>
      </c>
      <c r="L279" s="5" t="str">
        <f t="shared" si="266"/>
        <v/>
      </c>
      <c r="M279" s="5" t="str">
        <f t="shared" si="267"/>
        <v/>
      </c>
      <c r="N279" s="5" t="str">
        <f t="shared" si="268"/>
        <v/>
      </c>
    </row>
    <row r="280" spans="2:14" hidden="1">
      <c r="B280" s="5" t="s">
        <v>290</v>
      </c>
      <c r="C280" s="5" t="str">
        <f t="shared" ca="1" si="269"/>
        <v>Veikla</v>
      </c>
      <c r="D280" t="str">
        <f t="shared" si="270"/>
        <v>False</v>
      </c>
      <c r="E280" s="259" t="str">
        <f t="shared" si="259"/>
        <v>Ne</v>
      </c>
      <c r="F280" s="196" t="str">
        <f t="shared" si="260"/>
        <v/>
      </c>
      <c r="G280" s="5" t="str">
        <f t="shared" si="261"/>
        <v/>
      </c>
      <c r="H280" s="5" t="str">
        <f t="shared" si="262"/>
        <v/>
      </c>
      <c r="I280" s="5" t="str">
        <f t="shared" si="263"/>
        <v/>
      </c>
      <c r="J280" s="5" t="str">
        <f t="shared" si="264"/>
        <v/>
      </c>
      <c r="K280" s="5" t="str">
        <f t="shared" si="265"/>
        <v/>
      </c>
      <c r="L280" s="5" t="str">
        <f t="shared" si="266"/>
        <v/>
      </c>
      <c r="M280" s="5" t="str">
        <f t="shared" si="267"/>
        <v/>
      </c>
      <c r="N280" s="5" t="str">
        <f t="shared" si="268"/>
        <v/>
      </c>
    </row>
    <row r="281" spans="2:14" hidden="1">
      <c r="B281" s="5" t="s">
        <v>291</v>
      </c>
      <c r="C281" s="5" t="str">
        <f t="shared" ca="1" si="269"/>
        <v>Veikla</v>
      </c>
      <c r="D281" t="str">
        <f t="shared" si="270"/>
        <v>False</v>
      </c>
      <c r="E281" s="259" t="str">
        <f t="shared" si="259"/>
        <v>Ne</v>
      </c>
      <c r="F281" s="196" t="str">
        <f t="shared" si="260"/>
        <v/>
      </c>
      <c r="G281" s="5" t="str">
        <f t="shared" si="261"/>
        <v/>
      </c>
      <c r="H281" s="5" t="str">
        <f t="shared" si="262"/>
        <v/>
      </c>
      <c r="I281" s="5" t="str">
        <f t="shared" si="263"/>
        <v/>
      </c>
      <c r="J281" s="5" t="str">
        <f t="shared" si="264"/>
        <v/>
      </c>
      <c r="K281" s="5" t="str">
        <f t="shared" si="265"/>
        <v/>
      </c>
      <c r="L281" s="5" t="str">
        <f t="shared" si="266"/>
        <v/>
      </c>
      <c r="M281" s="5" t="str">
        <f t="shared" si="267"/>
        <v/>
      </c>
      <c r="N281" s="5" t="str">
        <f t="shared" si="268"/>
        <v/>
      </c>
    </row>
    <row r="282" spans="2:14" hidden="1">
      <c r="B282" s="5" t="s">
        <v>292</v>
      </c>
      <c r="C282" s="5" t="str">
        <f t="shared" ca="1" si="269"/>
        <v>Veikla</v>
      </c>
      <c r="D282" t="str">
        <f t="shared" si="270"/>
        <v>False</v>
      </c>
      <c r="E282" s="259" t="str">
        <f t="shared" si="259"/>
        <v>Ne</v>
      </c>
      <c r="F282" s="196" t="str">
        <f t="shared" si="260"/>
        <v/>
      </c>
      <c r="G282" s="5" t="str">
        <f t="shared" si="261"/>
        <v/>
      </c>
      <c r="H282" s="5" t="str">
        <f t="shared" si="262"/>
        <v/>
      </c>
      <c r="I282" s="5" t="str">
        <f t="shared" si="263"/>
        <v/>
      </c>
      <c r="J282" s="5" t="str">
        <f t="shared" si="264"/>
        <v/>
      </c>
      <c r="K282" s="5" t="str">
        <f t="shared" si="265"/>
        <v/>
      </c>
      <c r="L282" s="5" t="str">
        <f t="shared" si="266"/>
        <v/>
      </c>
      <c r="M282" s="5" t="str">
        <f t="shared" si="267"/>
        <v/>
      </c>
      <c r="N282" s="5" t="str">
        <f t="shared" si="268"/>
        <v/>
      </c>
    </row>
    <row r="283" spans="2:14" hidden="1">
      <c r="B283" s="5" t="s">
        <v>293</v>
      </c>
      <c r="C283" s="5" t="str">
        <f t="shared" ca="1" si="269"/>
        <v>Veikla</v>
      </c>
      <c r="D283" t="str">
        <f t="shared" si="270"/>
        <v>False</v>
      </c>
      <c r="E283" s="259" t="str">
        <f t="shared" si="259"/>
        <v>Ne</v>
      </c>
      <c r="F283" s="196" t="str">
        <f t="shared" si="260"/>
        <v/>
      </c>
      <c r="G283" s="5" t="str">
        <f t="shared" si="261"/>
        <v/>
      </c>
      <c r="H283" s="5" t="str">
        <f t="shared" si="262"/>
        <v/>
      </c>
      <c r="I283" s="5" t="str">
        <f t="shared" si="263"/>
        <v/>
      </c>
      <c r="J283" s="5" t="str">
        <f t="shared" si="264"/>
        <v/>
      </c>
      <c r="K283" s="5" t="str">
        <f t="shared" si="265"/>
        <v/>
      </c>
      <c r="L283" s="5" t="str">
        <f t="shared" si="266"/>
        <v/>
      </c>
      <c r="M283" s="5" t="str">
        <f t="shared" si="267"/>
        <v/>
      </c>
      <c r="N283" s="5" t="str">
        <f t="shared" si="268"/>
        <v/>
      </c>
    </row>
    <row r="284" spans="2:14" hidden="1">
      <c r="B284" s="5" t="s">
        <v>294</v>
      </c>
      <c r="C284" s="5" t="str">
        <f t="shared" ca="1" si="269"/>
        <v>Veikla</v>
      </c>
      <c r="D284" t="str">
        <f t="shared" si="270"/>
        <v>False</v>
      </c>
      <c r="E284" s="259" t="str">
        <f t="shared" si="259"/>
        <v>Ne</v>
      </c>
      <c r="F284" s="196" t="str">
        <f t="shared" si="260"/>
        <v/>
      </c>
      <c r="G284" s="5" t="str">
        <f t="shared" si="261"/>
        <v/>
      </c>
      <c r="H284" s="5" t="str">
        <f t="shared" si="262"/>
        <v/>
      </c>
      <c r="I284" s="5" t="str">
        <f t="shared" si="263"/>
        <v/>
      </c>
      <c r="J284" s="5" t="str">
        <f t="shared" si="264"/>
        <v/>
      </c>
      <c r="K284" s="5" t="str">
        <f t="shared" si="265"/>
        <v/>
      </c>
      <c r="L284" s="5" t="str">
        <f t="shared" si="266"/>
        <v/>
      </c>
      <c r="M284" s="5" t="str">
        <f t="shared" si="267"/>
        <v/>
      </c>
      <c r="N284" s="5" t="str">
        <f t="shared" si="268"/>
        <v/>
      </c>
    </row>
    <row r="285" spans="2:14" hidden="1">
      <c r="B285" s="5" t="s">
        <v>295</v>
      </c>
      <c r="C285" s="5" t="str">
        <f t="shared" ca="1" si="269"/>
        <v>Reinvesticijos (po priemonės įgyvendinimo)</v>
      </c>
      <c r="D285" t="str">
        <f t="shared" si="270"/>
        <v>False</v>
      </c>
      <c r="E285" s="259" t="str">
        <f t="shared" si="259"/>
        <v>Ne</v>
      </c>
      <c r="F285" s="196" t="str">
        <f t="shared" si="260"/>
        <v/>
      </c>
      <c r="G285" s="5" t="str">
        <f t="shared" si="261"/>
        <v/>
      </c>
      <c r="H285" s="5" t="str">
        <f t="shared" si="262"/>
        <v/>
      </c>
      <c r="I285" s="5" t="str">
        <f t="shared" si="263"/>
        <v/>
      </c>
      <c r="J285" s="5" t="str">
        <f t="shared" si="264"/>
        <v/>
      </c>
      <c r="K285" s="5" t="str">
        <f t="shared" si="265"/>
        <v/>
      </c>
      <c r="L285" s="5" t="str">
        <f t="shared" si="266"/>
        <v/>
      </c>
      <c r="M285" s="5" t="str">
        <f t="shared" si="267"/>
        <v/>
      </c>
      <c r="N285" s="5" t="str">
        <f t="shared" si="268"/>
        <v/>
      </c>
    </row>
    <row r="286" spans="2:14" hidden="1">
      <c r="B286" s="5" t="s">
        <v>296</v>
      </c>
      <c r="C286" s="5" t="str">
        <f t="shared" ca="1" si="269"/>
        <v>Likutinė vertė</v>
      </c>
      <c r="D286" t="str">
        <f t="shared" si="270"/>
        <v>False</v>
      </c>
      <c r="E286" s="259" t="str">
        <f t="shared" si="259"/>
        <v>Ne</v>
      </c>
      <c r="F286" s="196" t="str">
        <f t="shared" si="260"/>
        <v/>
      </c>
      <c r="G286" s="5" t="str">
        <f t="shared" si="261"/>
        <v/>
      </c>
      <c r="H286" s="5" t="str">
        <f t="shared" si="262"/>
        <v/>
      </c>
      <c r="I286" s="5" t="str">
        <f t="shared" si="263"/>
        <v/>
      </c>
      <c r="J286" s="5" t="str">
        <f t="shared" si="264"/>
        <v/>
      </c>
      <c r="K286" s="5" t="str">
        <f t="shared" si="265"/>
        <v/>
      </c>
      <c r="L286" s="5" t="str">
        <f t="shared" si="266"/>
        <v/>
      </c>
      <c r="M286" s="5" t="str">
        <f t="shared" si="267"/>
        <v/>
      </c>
      <c r="N286" s="5" t="str">
        <f t="shared" si="268"/>
        <v/>
      </c>
    </row>
    <row r="287" spans="2:14" hidden="1">
      <c r="B287" s="5" t="s">
        <v>297</v>
      </c>
      <c r="C287" s="5" t="str">
        <f t="shared" ca="1" si="269"/>
        <v>Veikla</v>
      </c>
      <c r="D287" t="str">
        <f t="shared" si="270"/>
        <v>False</v>
      </c>
      <c r="E287" s="259" t="str">
        <f t="shared" si="259"/>
        <v>Ne</v>
      </c>
      <c r="F287" s="196" t="str">
        <f t="shared" si="260"/>
        <v/>
      </c>
      <c r="G287" s="5" t="str">
        <f t="shared" si="261"/>
        <v/>
      </c>
      <c r="H287" s="5" t="str">
        <f t="shared" si="262"/>
        <v/>
      </c>
      <c r="I287" s="5" t="str">
        <f t="shared" si="263"/>
        <v/>
      </c>
      <c r="J287" s="5" t="str">
        <f t="shared" si="264"/>
        <v/>
      </c>
      <c r="K287" s="5" t="str">
        <f t="shared" si="265"/>
        <v/>
      </c>
      <c r="L287" s="5" t="str">
        <f t="shared" si="266"/>
        <v/>
      </c>
      <c r="M287" s="5" t="str">
        <f t="shared" si="267"/>
        <v/>
      </c>
      <c r="N287" s="5" t="str">
        <f t="shared" si="268"/>
        <v/>
      </c>
    </row>
    <row r="288" spans="2:14" hidden="1">
      <c r="B288" s="5" t="s">
        <v>298</v>
      </c>
      <c r="C288" s="5" t="str">
        <f t="shared" ca="1" si="269"/>
        <v>Veikla</v>
      </c>
      <c r="D288" t="str">
        <f t="shared" si="270"/>
        <v>False</v>
      </c>
      <c r="E288" s="259" t="str">
        <f t="shared" si="259"/>
        <v>Ne</v>
      </c>
      <c r="F288" s="196" t="str">
        <f t="shared" si="260"/>
        <v/>
      </c>
      <c r="G288" s="5" t="str">
        <f t="shared" si="261"/>
        <v/>
      </c>
      <c r="H288" s="5" t="str">
        <f t="shared" si="262"/>
        <v/>
      </c>
      <c r="I288" s="5" t="str">
        <f t="shared" si="263"/>
        <v/>
      </c>
      <c r="J288" s="5" t="str">
        <f t="shared" si="264"/>
        <v/>
      </c>
      <c r="K288" s="5" t="str">
        <f t="shared" si="265"/>
        <v/>
      </c>
      <c r="L288" s="5" t="str">
        <f t="shared" si="266"/>
        <v/>
      </c>
      <c r="M288" s="5" t="str">
        <f t="shared" si="267"/>
        <v/>
      </c>
      <c r="N288" s="5" t="str">
        <f t="shared" si="268"/>
        <v/>
      </c>
    </row>
    <row r="289" spans="2:14" hidden="1">
      <c r="B289" s="5" t="s">
        <v>299</v>
      </c>
      <c r="C289" s="5" t="str">
        <f t="shared" ca="1" si="269"/>
        <v>Veikla</v>
      </c>
      <c r="D289" t="str">
        <f t="shared" si="270"/>
        <v>False</v>
      </c>
      <c r="E289" s="259" t="str">
        <f t="shared" si="259"/>
        <v>Ne</v>
      </c>
      <c r="F289" s="196" t="str">
        <f t="shared" si="260"/>
        <v/>
      </c>
      <c r="G289" s="5" t="str">
        <f t="shared" si="261"/>
        <v/>
      </c>
      <c r="H289" s="5" t="str">
        <f t="shared" si="262"/>
        <v/>
      </c>
      <c r="I289" s="5" t="str">
        <f t="shared" si="263"/>
        <v/>
      </c>
      <c r="J289" s="5" t="str">
        <f t="shared" si="264"/>
        <v/>
      </c>
      <c r="K289" s="5" t="str">
        <f t="shared" si="265"/>
        <v/>
      </c>
      <c r="L289" s="5" t="str">
        <f t="shared" si="266"/>
        <v/>
      </c>
      <c r="M289" s="5" t="str">
        <f t="shared" si="267"/>
        <v/>
      </c>
      <c r="N289" s="5" t="str">
        <f t="shared" si="268"/>
        <v/>
      </c>
    </row>
    <row r="290" spans="2:14" hidden="1">
      <c r="B290" s="5" t="s">
        <v>300</v>
      </c>
      <c r="C290" s="5" t="str">
        <f t="shared" ca="1" si="269"/>
        <v>Veikla</v>
      </c>
      <c r="D290" t="str">
        <f t="shared" si="270"/>
        <v>False</v>
      </c>
      <c r="E290" s="259" t="str">
        <f t="shared" si="259"/>
        <v>Ne</v>
      </c>
      <c r="F290" s="196" t="str">
        <f t="shared" si="260"/>
        <v/>
      </c>
      <c r="G290" s="5" t="str">
        <f t="shared" si="261"/>
        <v/>
      </c>
      <c r="H290" s="5" t="str">
        <f t="shared" si="262"/>
        <v/>
      </c>
      <c r="I290" s="5" t="str">
        <f t="shared" si="263"/>
        <v/>
      </c>
      <c r="J290" s="5" t="str">
        <f t="shared" si="264"/>
        <v/>
      </c>
      <c r="K290" s="5" t="str">
        <f t="shared" si="265"/>
        <v/>
      </c>
      <c r="L290" s="5" t="str">
        <f t="shared" si="266"/>
        <v/>
      </c>
      <c r="M290" s="5" t="str">
        <f t="shared" si="267"/>
        <v/>
      </c>
      <c r="N290" s="5" t="str">
        <f t="shared" si="268"/>
        <v/>
      </c>
    </row>
    <row r="291" spans="2:14" hidden="1">
      <c r="B291" s="5" t="s">
        <v>301</v>
      </c>
      <c r="C291" s="5" t="str">
        <f t="shared" ca="1" si="269"/>
        <v>Veikla</v>
      </c>
      <c r="D291" t="str">
        <f t="shared" si="270"/>
        <v>False</v>
      </c>
      <c r="E291" s="259" t="str">
        <f t="shared" si="259"/>
        <v>Ne</v>
      </c>
      <c r="F291" s="196" t="str">
        <f t="shared" si="260"/>
        <v/>
      </c>
      <c r="G291" s="5" t="str">
        <f t="shared" si="261"/>
        <v/>
      </c>
      <c r="H291" s="5" t="str">
        <f t="shared" si="262"/>
        <v/>
      </c>
      <c r="I291" s="5" t="str">
        <f t="shared" si="263"/>
        <v/>
      </c>
      <c r="J291" s="5" t="str">
        <f t="shared" si="264"/>
        <v/>
      </c>
      <c r="K291" s="5" t="str">
        <f t="shared" si="265"/>
        <v/>
      </c>
      <c r="L291" s="5" t="str">
        <f t="shared" si="266"/>
        <v/>
      </c>
      <c r="M291" s="5" t="str">
        <f t="shared" si="267"/>
        <v/>
      </c>
      <c r="N291" s="5" t="str">
        <f t="shared" si="268"/>
        <v/>
      </c>
    </row>
    <row r="292" spans="2:14" hidden="1">
      <c r="B292" s="5" t="s">
        <v>302</v>
      </c>
      <c r="C292" s="5" t="str">
        <f t="shared" ca="1" si="269"/>
        <v>Veikla</v>
      </c>
      <c r="D292" t="str">
        <f t="shared" si="270"/>
        <v>False</v>
      </c>
      <c r="E292" s="259" t="str">
        <f t="shared" si="259"/>
        <v>Ne</v>
      </c>
      <c r="F292" s="196" t="str">
        <f t="shared" si="260"/>
        <v/>
      </c>
      <c r="G292" s="5" t="str">
        <f t="shared" si="261"/>
        <v/>
      </c>
      <c r="H292" s="5" t="str">
        <f t="shared" si="262"/>
        <v/>
      </c>
      <c r="I292" s="5" t="str">
        <f t="shared" si="263"/>
        <v/>
      </c>
      <c r="J292" s="5" t="str">
        <f t="shared" si="264"/>
        <v/>
      </c>
      <c r="K292" s="5" t="str">
        <f t="shared" si="265"/>
        <v/>
      </c>
      <c r="L292" s="5" t="str">
        <f t="shared" si="266"/>
        <v/>
      </c>
      <c r="M292" s="5" t="str">
        <f t="shared" si="267"/>
        <v/>
      </c>
      <c r="N292" s="5" t="str">
        <f t="shared" si="268"/>
        <v/>
      </c>
    </row>
    <row r="293" spans="2:14" hidden="1">
      <c r="B293" s="5" t="s">
        <v>303</v>
      </c>
      <c r="C293" s="5" t="str">
        <f t="shared" ca="1" si="269"/>
        <v>Veikla</v>
      </c>
      <c r="D293" t="str">
        <f t="shared" si="270"/>
        <v>False</v>
      </c>
      <c r="E293" s="259" t="str">
        <f t="shared" si="259"/>
        <v>Ne</v>
      </c>
      <c r="F293" s="196" t="str">
        <f t="shared" si="260"/>
        <v/>
      </c>
      <c r="G293" s="5" t="str">
        <f t="shared" si="261"/>
        <v/>
      </c>
      <c r="H293" s="5" t="str">
        <f t="shared" si="262"/>
        <v/>
      </c>
      <c r="I293" s="5" t="str">
        <f t="shared" si="263"/>
        <v/>
      </c>
      <c r="J293" s="5" t="str">
        <f t="shared" si="264"/>
        <v/>
      </c>
      <c r="K293" s="5" t="str">
        <f t="shared" si="265"/>
        <v/>
      </c>
      <c r="L293" s="5" t="str">
        <f t="shared" si="266"/>
        <v/>
      </c>
      <c r="M293" s="5" t="str">
        <f t="shared" si="267"/>
        <v/>
      </c>
      <c r="N293" s="5" t="str">
        <f t="shared" si="268"/>
        <v/>
      </c>
    </row>
    <row r="294" spans="2:14" hidden="1">
      <c r="B294" s="5" t="s">
        <v>304</v>
      </c>
      <c r="C294" s="5" t="str">
        <f t="shared" ca="1" si="269"/>
        <v>Veikla</v>
      </c>
      <c r="D294" t="str">
        <f t="shared" si="270"/>
        <v>False</v>
      </c>
      <c r="E294" s="259" t="str">
        <f t="shared" si="259"/>
        <v>Ne</v>
      </c>
      <c r="F294" s="196" t="str">
        <f t="shared" si="260"/>
        <v/>
      </c>
      <c r="G294" s="5" t="str">
        <f t="shared" si="261"/>
        <v/>
      </c>
      <c r="H294" s="5" t="str">
        <f t="shared" si="262"/>
        <v/>
      </c>
      <c r="I294" s="5" t="str">
        <f t="shared" si="263"/>
        <v/>
      </c>
      <c r="J294" s="5" t="str">
        <f t="shared" si="264"/>
        <v/>
      </c>
      <c r="K294" s="5" t="str">
        <f t="shared" si="265"/>
        <v/>
      </c>
      <c r="L294" s="5" t="str">
        <f t="shared" si="266"/>
        <v/>
      </c>
      <c r="M294" s="5" t="str">
        <f t="shared" si="267"/>
        <v/>
      </c>
      <c r="N294" s="5" t="str">
        <f t="shared" si="268"/>
        <v/>
      </c>
    </row>
    <row r="295" spans="2:14" hidden="1">
      <c r="B295" s="5" t="s">
        <v>305</v>
      </c>
      <c r="C295" s="5" t="str">
        <f t="shared" ca="1" si="269"/>
        <v>Reinvesticijos (po priemonės įgyvendinimo)</v>
      </c>
      <c r="D295" t="str">
        <f t="shared" si="270"/>
        <v>False</v>
      </c>
      <c r="E295" s="259" t="str">
        <f t="shared" si="259"/>
        <v>Ne</v>
      </c>
      <c r="F295" s="196" t="str">
        <f t="shared" si="260"/>
        <v/>
      </c>
      <c r="G295" s="5" t="str">
        <f t="shared" si="261"/>
        <v/>
      </c>
      <c r="H295" s="5" t="str">
        <f t="shared" si="262"/>
        <v/>
      </c>
      <c r="I295" s="5" t="str">
        <f t="shared" si="263"/>
        <v/>
      </c>
      <c r="J295" s="5" t="str">
        <f t="shared" si="264"/>
        <v/>
      </c>
      <c r="K295" s="5" t="str">
        <f t="shared" si="265"/>
        <v/>
      </c>
      <c r="L295" s="5" t="str">
        <f t="shared" si="266"/>
        <v/>
      </c>
      <c r="M295" s="5" t="str">
        <f t="shared" si="267"/>
        <v/>
      </c>
      <c r="N295" s="5" t="str">
        <f t="shared" si="268"/>
        <v/>
      </c>
    </row>
    <row r="296" spans="2:14" hidden="1">
      <c r="B296" s="5" t="s">
        <v>306</v>
      </c>
      <c r="C296" s="5" t="str">
        <f t="shared" ca="1" si="269"/>
        <v>Likutinė vertė</v>
      </c>
      <c r="D296" t="str">
        <f t="shared" si="270"/>
        <v>False</v>
      </c>
      <c r="E296" s="259" t="str">
        <f t="shared" si="259"/>
        <v>Ne</v>
      </c>
      <c r="F296" s="196" t="str">
        <f t="shared" si="260"/>
        <v/>
      </c>
      <c r="G296" s="5" t="str">
        <f t="shared" si="261"/>
        <v/>
      </c>
      <c r="H296" s="5" t="str">
        <f t="shared" si="262"/>
        <v/>
      </c>
      <c r="I296" s="5" t="str">
        <f t="shared" si="263"/>
        <v/>
      </c>
      <c r="J296" s="5" t="str">
        <f t="shared" si="264"/>
        <v/>
      </c>
      <c r="K296" s="5" t="str">
        <f t="shared" si="265"/>
        <v/>
      </c>
      <c r="L296" s="5" t="str">
        <f t="shared" si="266"/>
        <v/>
      </c>
      <c r="M296" s="5" t="str">
        <f t="shared" si="267"/>
        <v/>
      </c>
      <c r="N296" s="5" t="str">
        <f t="shared" si="268"/>
        <v/>
      </c>
    </row>
    <row r="297" spans="2:14" hidden="1">
      <c r="B297" s="5" t="s">
        <v>307</v>
      </c>
      <c r="C297" s="5" t="str">
        <f t="shared" ca="1" si="269"/>
        <v>Veikla</v>
      </c>
      <c r="D297" t="str">
        <f t="shared" si="270"/>
        <v>False</v>
      </c>
      <c r="E297" s="259" t="str">
        <f t="shared" si="259"/>
        <v>Ne</v>
      </c>
      <c r="F297" s="196" t="str">
        <f t="shared" si="260"/>
        <v/>
      </c>
      <c r="G297" s="5" t="str">
        <f t="shared" si="261"/>
        <v/>
      </c>
      <c r="H297" s="5" t="str">
        <f t="shared" si="262"/>
        <v/>
      </c>
      <c r="I297" s="5" t="str">
        <f t="shared" si="263"/>
        <v/>
      </c>
      <c r="J297" s="5" t="str">
        <f t="shared" si="264"/>
        <v/>
      </c>
      <c r="K297" s="5" t="str">
        <f t="shared" si="265"/>
        <v/>
      </c>
      <c r="L297" s="5" t="str">
        <f t="shared" si="266"/>
        <v/>
      </c>
      <c r="M297" s="5" t="str">
        <f t="shared" si="267"/>
        <v/>
      </c>
      <c r="N297" s="5" t="str">
        <f t="shared" si="268"/>
        <v/>
      </c>
    </row>
    <row r="298" spans="2:14" hidden="1">
      <c r="B298" s="5" t="s">
        <v>308</v>
      </c>
      <c r="C298" s="5" t="str">
        <f t="shared" ca="1" si="269"/>
        <v>Veikla</v>
      </c>
      <c r="D298" t="str">
        <f t="shared" si="270"/>
        <v>False</v>
      </c>
      <c r="E298" s="259" t="str">
        <f t="shared" si="259"/>
        <v>Ne</v>
      </c>
      <c r="F298" s="196" t="str">
        <f t="shared" si="260"/>
        <v/>
      </c>
      <c r="G298" s="5" t="str">
        <f t="shared" si="261"/>
        <v/>
      </c>
      <c r="H298" s="5" t="str">
        <f t="shared" si="262"/>
        <v/>
      </c>
      <c r="I298" s="5" t="str">
        <f t="shared" si="263"/>
        <v/>
      </c>
      <c r="J298" s="5" t="str">
        <f t="shared" si="264"/>
        <v/>
      </c>
      <c r="K298" s="5" t="str">
        <f t="shared" si="265"/>
        <v/>
      </c>
      <c r="L298" s="5" t="str">
        <f t="shared" si="266"/>
        <v/>
      </c>
      <c r="M298" s="5" t="str">
        <f t="shared" si="267"/>
        <v/>
      </c>
      <c r="N298" s="5" t="str">
        <f t="shared" si="268"/>
        <v/>
      </c>
    </row>
    <row r="299" spans="2:14" hidden="1">
      <c r="B299" s="5" t="s">
        <v>309</v>
      </c>
      <c r="C299" s="5" t="str">
        <f t="shared" ca="1" si="269"/>
        <v>Veikla</v>
      </c>
      <c r="D299" t="str">
        <f t="shared" si="270"/>
        <v>False</v>
      </c>
      <c r="E299" s="259" t="str">
        <f t="shared" si="259"/>
        <v>Ne</v>
      </c>
      <c r="F299" s="196" t="str">
        <f t="shared" si="260"/>
        <v/>
      </c>
      <c r="G299" s="5" t="str">
        <f t="shared" si="261"/>
        <v/>
      </c>
      <c r="H299" s="5" t="str">
        <f t="shared" si="262"/>
        <v/>
      </c>
      <c r="I299" s="5" t="str">
        <f t="shared" si="263"/>
        <v/>
      </c>
      <c r="J299" s="5" t="str">
        <f t="shared" si="264"/>
        <v/>
      </c>
      <c r="K299" s="5" t="str">
        <f t="shared" si="265"/>
        <v/>
      </c>
      <c r="L299" s="5" t="str">
        <f t="shared" si="266"/>
        <v/>
      </c>
      <c r="M299" s="5" t="str">
        <f t="shared" si="267"/>
        <v/>
      </c>
      <c r="N299" s="5" t="str">
        <f t="shared" si="268"/>
        <v/>
      </c>
    </row>
    <row r="300" spans="2:14" hidden="1">
      <c r="B300" s="5" t="s">
        <v>310</v>
      </c>
      <c r="C300" s="5" t="str">
        <f t="shared" ca="1" si="269"/>
        <v>Veikla</v>
      </c>
      <c r="D300" t="str">
        <f t="shared" si="270"/>
        <v>False</v>
      </c>
      <c r="E300" s="259" t="str">
        <f t="shared" si="259"/>
        <v>Ne</v>
      </c>
      <c r="F300" s="196" t="str">
        <f t="shared" si="260"/>
        <v/>
      </c>
      <c r="G300" s="5" t="str">
        <f t="shared" si="261"/>
        <v/>
      </c>
      <c r="H300" s="5" t="str">
        <f t="shared" si="262"/>
        <v/>
      </c>
      <c r="I300" s="5" t="str">
        <f t="shared" si="263"/>
        <v/>
      </c>
      <c r="J300" s="5" t="str">
        <f t="shared" si="264"/>
        <v/>
      </c>
      <c r="K300" s="5" t="str">
        <f t="shared" si="265"/>
        <v/>
      </c>
      <c r="L300" s="5" t="str">
        <f t="shared" si="266"/>
        <v/>
      </c>
      <c r="M300" s="5" t="str">
        <f t="shared" si="267"/>
        <v/>
      </c>
      <c r="N300" s="5" t="str">
        <f t="shared" si="268"/>
        <v/>
      </c>
    </row>
    <row r="301" spans="2:14" hidden="1">
      <c r="B301" s="5" t="s">
        <v>311</v>
      </c>
      <c r="C301" s="5" t="str">
        <f t="shared" ca="1" si="269"/>
        <v>Veikla</v>
      </c>
      <c r="D301" t="str">
        <f t="shared" si="270"/>
        <v>False</v>
      </c>
      <c r="E301" s="259" t="str">
        <f t="shared" si="259"/>
        <v>Ne</v>
      </c>
      <c r="F301" s="196" t="str">
        <f t="shared" si="260"/>
        <v/>
      </c>
      <c r="G301" s="5" t="str">
        <f t="shared" si="261"/>
        <v/>
      </c>
      <c r="H301" s="5" t="str">
        <f t="shared" si="262"/>
        <v/>
      </c>
      <c r="I301" s="5" t="str">
        <f t="shared" si="263"/>
        <v/>
      </c>
      <c r="J301" s="5" t="str">
        <f t="shared" si="264"/>
        <v/>
      </c>
      <c r="K301" s="5" t="str">
        <f t="shared" si="265"/>
        <v/>
      </c>
      <c r="L301" s="5" t="str">
        <f t="shared" si="266"/>
        <v/>
      </c>
      <c r="M301" s="5" t="str">
        <f t="shared" si="267"/>
        <v/>
      </c>
      <c r="N301" s="5" t="str">
        <f t="shared" si="268"/>
        <v/>
      </c>
    </row>
    <row r="302" spans="2:14" hidden="1">
      <c r="B302" s="5" t="s">
        <v>312</v>
      </c>
      <c r="C302" s="5" t="str">
        <f t="shared" ca="1" si="269"/>
        <v>Veikla</v>
      </c>
      <c r="D302" t="str">
        <f t="shared" si="270"/>
        <v>False</v>
      </c>
      <c r="E302" s="259" t="str">
        <f t="shared" si="259"/>
        <v>Ne</v>
      </c>
      <c r="F302" s="196" t="str">
        <f t="shared" si="260"/>
        <v/>
      </c>
      <c r="G302" s="5" t="str">
        <f t="shared" si="261"/>
        <v/>
      </c>
      <c r="H302" s="5" t="str">
        <f t="shared" si="262"/>
        <v/>
      </c>
      <c r="I302" s="5" t="str">
        <f t="shared" si="263"/>
        <v/>
      </c>
      <c r="J302" s="5" t="str">
        <f t="shared" si="264"/>
        <v/>
      </c>
      <c r="K302" s="5" t="str">
        <f t="shared" si="265"/>
        <v/>
      </c>
      <c r="L302" s="5" t="str">
        <f t="shared" si="266"/>
        <v/>
      </c>
      <c r="M302" s="5" t="str">
        <f t="shared" si="267"/>
        <v/>
      </c>
      <c r="N302" s="5" t="str">
        <f t="shared" si="268"/>
        <v/>
      </c>
    </row>
    <row r="303" spans="2:14" hidden="1">
      <c r="B303" s="5" t="s">
        <v>313</v>
      </c>
      <c r="C303" s="5" t="str">
        <f t="shared" ca="1" si="269"/>
        <v>Veikla</v>
      </c>
      <c r="D303" t="str">
        <f t="shared" si="270"/>
        <v>False</v>
      </c>
      <c r="E303" s="259" t="str">
        <f t="shared" si="259"/>
        <v>Ne</v>
      </c>
      <c r="F303" s="196" t="str">
        <f t="shared" si="260"/>
        <v/>
      </c>
      <c r="G303" s="5" t="str">
        <f t="shared" si="261"/>
        <v/>
      </c>
      <c r="H303" s="5" t="str">
        <f t="shared" si="262"/>
        <v/>
      </c>
      <c r="I303" s="5" t="str">
        <f t="shared" si="263"/>
        <v/>
      </c>
      <c r="J303" s="5" t="str">
        <f t="shared" si="264"/>
        <v/>
      </c>
      <c r="K303" s="5" t="str">
        <f t="shared" si="265"/>
        <v/>
      </c>
      <c r="L303" s="5" t="str">
        <f t="shared" si="266"/>
        <v/>
      </c>
      <c r="M303" s="5" t="str">
        <f t="shared" si="267"/>
        <v/>
      </c>
      <c r="N303" s="5" t="str">
        <f t="shared" si="268"/>
        <v/>
      </c>
    </row>
    <row r="304" spans="2:14" hidden="1">
      <c r="B304" s="5" t="s">
        <v>314</v>
      </c>
      <c r="C304" s="5" t="str">
        <f t="shared" ca="1" si="269"/>
        <v>Veikla</v>
      </c>
      <c r="D304" t="str">
        <f t="shared" si="270"/>
        <v>False</v>
      </c>
      <c r="E304" s="259" t="str">
        <f t="shared" si="259"/>
        <v>Ne</v>
      </c>
      <c r="F304" s="196" t="str">
        <f t="shared" si="260"/>
        <v/>
      </c>
      <c r="G304" s="5" t="str">
        <f t="shared" si="261"/>
        <v/>
      </c>
      <c r="H304" s="5" t="str">
        <f t="shared" si="262"/>
        <v/>
      </c>
      <c r="I304" s="5" t="str">
        <f t="shared" si="263"/>
        <v/>
      </c>
      <c r="J304" s="5" t="str">
        <f t="shared" si="264"/>
        <v/>
      </c>
      <c r="K304" s="5" t="str">
        <f t="shared" si="265"/>
        <v/>
      </c>
      <c r="L304" s="5" t="str">
        <f t="shared" si="266"/>
        <v/>
      </c>
      <c r="M304" s="5" t="str">
        <f t="shared" si="267"/>
        <v/>
      </c>
      <c r="N304" s="5" t="str">
        <f t="shared" si="268"/>
        <v/>
      </c>
    </row>
    <row r="305" spans="2:14" hidden="1">
      <c r="B305" s="5" t="s">
        <v>315</v>
      </c>
      <c r="C305" s="5" t="str">
        <f t="shared" ca="1" si="269"/>
        <v>Reinvesticijos (po priemonės įgyvendinimo)</v>
      </c>
      <c r="D305" t="str">
        <f t="shared" si="270"/>
        <v>False</v>
      </c>
      <c r="E305" s="259" t="str">
        <f t="shared" si="259"/>
        <v>Ne</v>
      </c>
      <c r="F305" s="196" t="str">
        <f t="shared" si="260"/>
        <v/>
      </c>
      <c r="G305" s="5" t="str">
        <f t="shared" si="261"/>
        <v/>
      </c>
      <c r="H305" s="5" t="str">
        <f t="shared" si="262"/>
        <v/>
      </c>
      <c r="I305" s="5" t="str">
        <f t="shared" si="263"/>
        <v/>
      </c>
      <c r="J305" s="5" t="str">
        <f t="shared" si="264"/>
        <v/>
      </c>
      <c r="K305" s="5" t="str">
        <f t="shared" si="265"/>
        <v/>
      </c>
      <c r="L305" s="5" t="str">
        <f t="shared" si="266"/>
        <v/>
      </c>
      <c r="M305" s="5" t="str">
        <f t="shared" si="267"/>
        <v/>
      </c>
      <c r="N305" s="5" t="str">
        <f t="shared" si="268"/>
        <v/>
      </c>
    </row>
    <row r="306" spans="2:14" hidden="1">
      <c r="B306" s="5" t="s">
        <v>316</v>
      </c>
      <c r="C306" s="5" t="str">
        <f t="shared" ca="1" si="269"/>
        <v>Likutinė vertė</v>
      </c>
      <c r="D306" t="str">
        <f t="shared" si="270"/>
        <v>False</v>
      </c>
      <c r="E306" s="259" t="str">
        <f t="shared" si="259"/>
        <v>Ne</v>
      </c>
      <c r="F306" s="196" t="str">
        <f t="shared" si="260"/>
        <v/>
      </c>
      <c r="G306" s="5" t="str">
        <f t="shared" si="261"/>
        <v/>
      </c>
      <c r="H306" s="5" t="str">
        <f t="shared" si="262"/>
        <v/>
      </c>
      <c r="I306" s="5" t="str">
        <f t="shared" si="263"/>
        <v/>
      </c>
      <c r="J306" s="5" t="str">
        <f t="shared" si="264"/>
        <v/>
      </c>
      <c r="K306" s="5" t="str">
        <f t="shared" si="265"/>
        <v/>
      </c>
      <c r="L306" s="5" t="str">
        <f t="shared" si="266"/>
        <v/>
      </c>
      <c r="M306" s="5" t="str">
        <f t="shared" si="267"/>
        <v/>
      </c>
      <c r="N306" s="5" t="str">
        <f t="shared" si="268"/>
        <v/>
      </c>
    </row>
    <row r="307" spans="2:14">
      <c r="B307" s="5" t="s">
        <v>317</v>
      </c>
      <c r="C307" s="5" t="str">
        <f t="shared" ca="1" si="269"/>
        <v>Ambasados Singapūre įsteigimas</v>
      </c>
      <c r="D307" t="str">
        <f t="shared" si="270"/>
        <v>True</v>
      </c>
      <c r="E307" s="259" t="str">
        <f t="shared" si="259"/>
        <v>Ne</v>
      </c>
      <c r="F307" s="196" t="str">
        <f t="shared" si="260"/>
        <v/>
      </c>
      <c r="G307" s="5" t="str">
        <f t="shared" si="261"/>
        <v/>
      </c>
      <c r="H307" s="5" t="str">
        <f t="shared" si="262"/>
        <v/>
      </c>
      <c r="I307" s="5" t="str">
        <f t="shared" si="263"/>
        <v/>
      </c>
      <c r="J307" s="5" t="str">
        <f t="shared" si="264"/>
        <v/>
      </c>
      <c r="K307" s="5" t="str">
        <f t="shared" si="265"/>
        <v/>
      </c>
      <c r="L307" s="5" t="str">
        <f t="shared" si="266"/>
        <v/>
      </c>
      <c r="M307" s="5" t="str">
        <f t="shared" si="267"/>
        <v/>
      </c>
      <c r="N307" s="5" t="str">
        <f t="shared" si="268"/>
        <v/>
      </c>
    </row>
    <row r="308" spans="2:14">
      <c r="B308" s="5" t="s">
        <v>318</v>
      </c>
      <c r="C308" s="5" t="str">
        <f t="shared" ca="1" si="269"/>
        <v>Ambasadų kitose užsienio valstybėse įsteigimas (politinės/ekonominės svarbos scenarijus)</v>
      </c>
      <c r="D308" t="str">
        <f t="shared" si="270"/>
        <v>True</v>
      </c>
      <c r="E308" s="259" t="str">
        <f t="shared" si="259"/>
        <v>Ne</v>
      </c>
      <c r="F308" s="196" t="str">
        <f t="shared" si="260"/>
        <v/>
      </c>
      <c r="G308" s="5" t="str">
        <f t="shared" si="261"/>
        <v/>
      </c>
      <c r="H308" s="5" t="str">
        <f t="shared" si="262"/>
        <v/>
      </c>
      <c r="I308" s="5" t="str">
        <f t="shared" si="263"/>
        <v/>
      </c>
      <c r="J308" s="5" t="str">
        <f t="shared" si="264"/>
        <v/>
      </c>
      <c r="K308" s="5" t="str">
        <f t="shared" si="265"/>
        <v/>
      </c>
      <c r="L308" s="5" t="str">
        <f t="shared" si="266"/>
        <v/>
      </c>
      <c r="M308" s="5" t="str">
        <f t="shared" si="267"/>
        <v/>
      </c>
      <c r="N308" s="5" t="str">
        <f t="shared" si="268"/>
        <v/>
      </c>
    </row>
    <row r="309" spans="2:14">
      <c r="B309" s="5" t="s">
        <v>319</v>
      </c>
      <c r="C309" s="5" t="str">
        <f t="shared" ca="1" si="269"/>
        <v>Valstybės veiklos tarptautinėse organizacijose pozicijų derinimo, stebėsenos sistemos sukūrimas</v>
      </c>
      <c r="D309" t="str">
        <f t="shared" si="270"/>
        <v>True</v>
      </c>
      <c r="E309" s="259" t="str">
        <f t="shared" si="259"/>
        <v>Ne</v>
      </c>
      <c r="F309" s="196" t="str">
        <f t="shared" si="260"/>
        <v/>
      </c>
      <c r="G309" s="5" t="str">
        <f t="shared" si="261"/>
        <v/>
      </c>
      <c r="H309" s="5" t="str">
        <f t="shared" si="262"/>
        <v/>
      </c>
      <c r="I309" s="5" t="str">
        <f t="shared" si="263"/>
        <v/>
      </c>
      <c r="J309" s="5" t="str">
        <f t="shared" si="264"/>
        <v/>
      </c>
      <c r="K309" s="5" t="str">
        <f t="shared" si="265"/>
        <v/>
      </c>
      <c r="L309" s="5" t="str">
        <f t="shared" si="266"/>
        <v/>
      </c>
      <c r="M309" s="5" t="str">
        <f t="shared" si="267"/>
        <v/>
      </c>
      <c r="N309" s="5" t="str">
        <f t="shared" si="268"/>
        <v/>
      </c>
    </row>
    <row r="310" spans="2:14" hidden="1">
      <c r="B310" s="5" t="s">
        <v>320</v>
      </c>
      <c r="C310" s="5" t="str">
        <f t="shared" ca="1" si="269"/>
        <v/>
      </c>
      <c r="D310" t="str">
        <f t="shared" si="270"/>
        <v>False</v>
      </c>
      <c r="E310" s="259" t="str">
        <f t="shared" si="259"/>
        <v>Ne</v>
      </c>
      <c r="F310" s="196" t="str">
        <f t="shared" si="260"/>
        <v/>
      </c>
      <c r="G310" s="5" t="str">
        <f t="shared" si="261"/>
        <v/>
      </c>
      <c r="H310" s="5" t="str">
        <f t="shared" si="262"/>
        <v/>
      </c>
      <c r="I310" s="5" t="str">
        <f t="shared" si="263"/>
        <v/>
      </c>
      <c r="J310" s="5" t="str">
        <f t="shared" si="264"/>
        <v/>
      </c>
      <c r="K310" s="5" t="str">
        <f t="shared" si="265"/>
        <v/>
      </c>
      <c r="L310" s="5" t="str">
        <f t="shared" si="266"/>
        <v/>
      </c>
      <c r="M310" s="5" t="str">
        <f t="shared" si="267"/>
        <v/>
      </c>
      <c r="N310" s="5" t="str">
        <f t="shared" si="268"/>
        <v/>
      </c>
    </row>
    <row r="311" spans="2:14" hidden="1">
      <c r="B311" s="5" t="s">
        <v>321</v>
      </c>
      <c r="C311" s="5" t="str">
        <f t="shared" ca="1" si="269"/>
        <v/>
      </c>
      <c r="D311" t="str">
        <f t="shared" si="270"/>
        <v>False</v>
      </c>
      <c r="E311" s="259" t="str">
        <f t="shared" si="259"/>
        <v>Ne</v>
      </c>
      <c r="F311" s="196" t="str">
        <f t="shared" si="260"/>
        <v/>
      </c>
      <c r="G311" s="5" t="str">
        <f t="shared" si="261"/>
        <v/>
      </c>
      <c r="H311" s="5" t="str">
        <f t="shared" si="262"/>
        <v/>
      </c>
      <c r="I311" s="5" t="str">
        <f t="shared" si="263"/>
        <v/>
      </c>
      <c r="J311" s="5" t="str">
        <f t="shared" si="264"/>
        <v/>
      </c>
      <c r="K311" s="5" t="str">
        <f t="shared" si="265"/>
        <v/>
      </c>
      <c r="L311" s="5" t="str">
        <f t="shared" si="266"/>
        <v/>
      </c>
      <c r="M311" s="5" t="str">
        <f t="shared" si="267"/>
        <v/>
      </c>
      <c r="N311" s="5" t="str">
        <f t="shared" si="268"/>
        <v/>
      </c>
    </row>
    <row r="312" spans="2:14" hidden="1">
      <c r="B312" s="5" t="s">
        <v>322</v>
      </c>
      <c r="C312" s="5" t="str">
        <f t="shared" ca="1" si="269"/>
        <v/>
      </c>
      <c r="D312" t="str">
        <f t="shared" si="270"/>
        <v>False</v>
      </c>
      <c r="E312" s="259" t="str">
        <f t="shared" si="259"/>
        <v>Ne</v>
      </c>
      <c r="F312" s="196" t="str">
        <f t="shared" si="260"/>
        <v/>
      </c>
      <c r="G312" s="5" t="str">
        <f t="shared" si="261"/>
        <v/>
      </c>
      <c r="H312" s="5" t="str">
        <f t="shared" si="262"/>
        <v/>
      </c>
      <c r="I312" s="5" t="str">
        <f t="shared" si="263"/>
        <v/>
      </c>
      <c r="J312" s="5" t="str">
        <f t="shared" si="264"/>
        <v/>
      </c>
      <c r="K312" s="5" t="str">
        <f t="shared" si="265"/>
        <v/>
      </c>
      <c r="L312" s="5" t="str">
        <f t="shared" si="266"/>
        <v/>
      </c>
      <c r="M312" s="5" t="str">
        <f t="shared" si="267"/>
        <v/>
      </c>
      <c r="N312" s="5" t="str">
        <f t="shared" si="268"/>
        <v/>
      </c>
    </row>
    <row r="313" spans="2:14" hidden="1">
      <c r="B313" s="5" t="s">
        <v>323</v>
      </c>
      <c r="C313" s="5" t="str">
        <f t="shared" ca="1" si="269"/>
        <v/>
      </c>
      <c r="D313" t="str">
        <f t="shared" si="270"/>
        <v>False</v>
      </c>
      <c r="E313" s="259" t="str">
        <f t="shared" si="259"/>
        <v>Ne</v>
      </c>
      <c r="F313" s="196" t="str">
        <f t="shared" si="260"/>
        <v/>
      </c>
      <c r="G313" s="5" t="str">
        <f t="shared" si="261"/>
        <v/>
      </c>
      <c r="H313" s="5" t="str">
        <f t="shared" si="262"/>
        <v/>
      </c>
      <c r="I313" s="5" t="str">
        <f t="shared" si="263"/>
        <v/>
      </c>
      <c r="J313" s="5" t="str">
        <f t="shared" si="264"/>
        <v/>
      </c>
      <c r="K313" s="5" t="str">
        <f t="shared" si="265"/>
        <v/>
      </c>
      <c r="L313" s="5" t="str">
        <f t="shared" si="266"/>
        <v/>
      </c>
      <c r="M313" s="5" t="str">
        <f t="shared" si="267"/>
        <v/>
      </c>
      <c r="N313" s="5" t="str">
        <f t="shared" si="268"/>
        <v/>
      </c>
    </row>
    <row r="314" spans="2:14" hidden="1">
      <c r="B314" s="5" t="s">
        <v>324</v>
      </c>
      <c r="C314" s="5" t="str">
        <f t="shared" ca="1" si="269"/>
        <v>Veikla</v>
      </c>
      <c r="D314" t="str">
        <f t="shared" si="270"/>
        <v>False</v>
      </c>
      <c r="E314" s="259" t="str">
        <f t="shared" si="259"/>
        <v>Ne</v>
      </c>
      <c r="F314" s="196" t="str">
        <f t="shared" si="260"/>
        <v/>
      </c>
      <c r="G314" s="5" t="str">
        <f t="shared" si="261"/>
        <v/>
      </c>
      <c r="H314" s="5" t="str">
        <f t="shared" si="262"/>
        <v/>
      </c>
      <c r="I314" s="5" t="str">
        <f t="shared" si="263"/>
        <v/>
      </c>
      <c r="J314" s="5" t="str">
        <f t="shared" si="264"/>
        <v/>
      </c>
      <c r="K314" s="5" t="str">
        <f t="shared" si="265"/>
        <v/>
      </c>
      <c r="L314" s="5" t="str">
        <f t="shared" si="266"/>
        <v/>
      </c>
      <c r="M314" s="5" t="str">
        <f t="shared" si="267"/>
        <v/>
      </c>
      <c r="N314" s="5" t="str">
        <f t="shared" si="268"/>
        <v/>
      </c>
    </row>
    <row r="315" spans="2:14">
      <c r="B315" s="5" t="s">
        <v>325</v>
      </c>
      <c r="C315" s="5" t="str">
        <f t="shared" ca="1" si="269"/>
        <v>Reinvesticijos (po priemonės įgyvendinimo)</v>
      </c>
      <c r="D315" t="str">
        <f t="shared" si="270"/>
        <v>True</v>
      </c>
      <c r="E315" s="259" t="str">
        <f t="shared" si="259"/>
        <v>Ne</v>
      </c>
      <c r="F315" s="196" t="str">
        <f t="shared" si="260"/>
        <v/>
      </c>
      <c r="G315" s="5" t="str">
        <f t="shared" si="261"/>
        <v/>
      </c>
      <c r="H315" s="5" t="str">
        <f t="shared" si="262"/>
        <v/>
      </c>
      <c r="I315" s="5" t="str">
        <f t="shared" si="263"/>
        <v/>
      </c>
      <c r="J315" s="5" t="str">
        <f t="shared" si="264"/>
        <v/>
      </c>
      <c r="K315" s="5" t="str">
        <f t="shared" si="265"/>
        <v/>
      </c>
      <c r="L315" s="5" t="str">
        <f t="shared" si="266"/>
        <v/>
      </c>
      <c r="M315" s="5" t="str">
        <f t="shared" si="267"/>
        <v/>
      </c>
      <c r="N315" s="5" t="str">
        <f t="shared" si="268"/>
        <v/>
      </c>
    </row>
    <row r="316" spans="2:14" hidden="1">
      <c r="B316" s="5" t="s">
        <v>326</v>
      </c>
      <c r="C316" s="5" t="str">
        <f t="shared" ca="1" si="269"/>
        <v>Likutinė vertė</v>
      </c>
      <c r="D316" t="str">
        <f t="shared" si="270"/>
        <v>False</v>
      </c>
      <c r="E316" s="259" t="str">
        <f t="shared" si="259"/>
        <v>Ne</v>
      </c>
      <c r="F316" s="196" t="str">
        <f t="shared" si="260"/>
        <v/>
      </c>
      <c r="G316" s="5" t="str">
        <f t="shared" si="261"/>
        <v/>
      </c>
      <c r="H316" s="5" t="str">
        <f t="shared" si="262"/>
        <v/>
      </c>
      <c r="I316" s="5" t="str">
        <f t="shared" si="263"/>
        <v/>
      </c>
      <c r="J316" s="5" t="str">
        <f t="shared" si="264"/>
        <v/>
      </c>
      <c r="K316" s="5" t="str">
        <f t="shared" si="265"/>
        <v/>
      </c>
      <c r="L316" s="5" t="str">
        <f t="shared" si="266"/>
        <v/>
      </c>
      <c r="M316" s="5" t="str">
        <f t="shared" si="267"/>
        <v/>
      </c>
      <c r="N316" s="5" t="str">
        <f t="shared" si="268"/>
        <v/>
      </c>
    </row>
    <row r="317" spans="2:14">
      <c r="B317" s="5" t="s">
        <v>327</v>
      </c>
      <c r="C317" s="5" t="str">
        <f t="shared" ca="1" si="269"/>
        <v>Indijos–Ramiojo vandenynų regiono politikos studijų programos/-ų parengimas Lietuvos universitetuose</v>
      </c>
      <c r="D317" t="str">
        <f t="shared" si="270"/>
        <v>True</v>
      </c>
      <c r="E317" s="259" t="str">
        <f t="shared" si="259"/>
        <v>Ne</v>
      </c>
      <c r="F317" s="196" t="str">
        <f t="shared" si="260"/>
        <v/>
      </c>
      <c r="G317" s="5" t="str">
        <f t="shared" si="261"/>
        <v/>
      </c>
      <c r="H317" s="5" t="str">
        <f t="shared" si="262"/>
        <v/>
      </c>
      <c r="I317" s="5" t="str">
        <f t="shared" si="263"/>
        <v/>
      </c>
      <c r="J317" s="5" t="str">
        <f t="shared" si="264"/>
        <v/>
      </c>
      <c r="K317" s="5" t="str">
        <f t="shared" si="265"/>
        <v/>
      </c>
      <c r="L317" s="5" t="str">
        <f t="shared" si="266"/>
        <v/>
      </c>
      <c r="M317" s="5" t="str">
        <f t="shared" si="267"/>
        <v/>
      </c>
      <c r="N317" s="5" t="str">
        <f t="shared" si="268"/>
        <v/>
      </c>
    </row>
    <row r="318" spans="2:14" hidden="1">
      <c r="B318" s="5" t="s">
        <v>328</v>
      </c>
      <c r="C318" s="5" t="str">
        <f t="shared" ca="1" si="269"/>
        <v>Veikla</v>
      </c>
      <c r="D318" t="str">
        <f t="shared" si="270"/>
        <v>False</v>
      </c>
      <c r="E318" s="259" t="str">
        <f t="shared" si="259"/>
        <v>Ne</v>
      </c>
      <c r="F318" s="196" t="str">
        <f t="shared" si="260"/>
        <v/>
      </c>
      <c r="G318" s="5" t="str">
        <f t="shared" si="261"/>
        <v/>
      </c>
      <c r="H318" s="5" t="str">
        <f t="shared" si="262"/>
        <v/>
      </c>
      <c r="I318" s="5" t="str">
        <f t="shared" si="263"/>
        <v/>
      </c>
      <c r="J318" s="5" t="str">
        <f t="shared" si="264"/>
        <v/>
      </c>
      <c r="K318" s="5" t="str">
        <f t="shared" si="265"/>
        <v/>
      </c>
      <c r="L318" s="5" t="str">
        <f t="shared" si="266"/>
        <v/>
      </c>
      <c r="M318" s="5" t="str">
        <f t="shared" si="267"/>
        <v/>
      </c>
      <c r="N318" s="5" t="str">
        <f t="shared" si="268"/>
        <v/>
      </c>
    </row>
    <row r="319" spans="2:14" hidden="1">
      <c r="B319" s="5" t="s">
        <v>329</v>
      </c>
      <c r="C319" s="5" t="str">
        <f t="shared" ca="1" si="269"/>
        <v>Veikla</v>
      </c>
      <c r="D319" t="str">
        <f t="shared" si="270"/>
        <v>False</v>
      </c>
      <c r="E319" s="259" t="str">
        <f t="shared" si="259"/>
        <v>Ne</v>
      </c>
      <c r="F319" s="196" t="str">
        <f t="shared" si="260"/>
        <v/>
      </c>
      <c r="G319" s="5" t="str">
        <f t="shared" si="261"/>
        <v/>
      </c>
      <c r="H319" s="5" t="str">
        <f t="shared" si="262"/>
        <v/>
      </c>
      <c r="I319" s="5" t="str">
        <f t="shared" si="263"/>
        <v/>
      </c>
      <c r="J319" s="5" t="str">
        <f t="shared" si="264"/>
        <v/>
      </c>
      <c r="K319" s="5" t="str">
        <f t="shared" si="265"/>
        <v/>
      </c>
      <c r="L319" s="5" t="str">
        <f t="shared" si="266"/>
        <v/>
      </c>
      <c r="M319" s="5" t="str">
        <f t="shared" si="267"/>
        <v/>
      </c>
      <c r="N319" s="5" t="str">
        <f t="shared" si="268"/>
        <v/>
      </c>
    </row>
    <row r="320" spans="2:14" hidden="1">
      <c r="B320" s="5" t="s">
        <v>330</v>
      </c>
      <c r="C320" s="5" t="str">
        <f t="shared" ca="1" si="269"/>
        <v>Veikla</v>
      </c>
      <c r="D320" t="str">
        <f t="shared" si="270"/>
        <v>False</v>
      </c>
      <c r="E320" s="259" t="str">
        <f t="shared" si="259"/>
        <v>Ne</v>
      </c>
      <c r="F320" s="196" t="str">
        <f t="shared" si="260"/>
        <v/>
      </c>
      <c r="G320" s="5" t="str">
        <f t="shared" si="261"/>
        <v/>
      </c>
      <c r="H320" s="5" t="str">
        <f t="shared" si="262"/>
        <v/>
      </c>
      <c r="I320" s="5" t="str">
        <f t="shared" si="263"/>
        <v/>
      </c>
      <c r="J320" s="5" t="str">
        <f t="shared" si="264"/>
        <v/>
      </c>
      <c r="K320" s="5" t="str">
        <f t="shared" si="265"/>
        <v/>
      </c>
      <c r="L320" s="5" t="str">
        <f t="shared" si="266"/>
        <v/>
      </c>
      <c r="M320" s="5" t="str">
        <f t="shared" si="267"/>
        <v/>
      </c>
      <c r="N320" s="5" t="str">
        <f t="shared" si="268"/>
        <v/>
      </c>
    </row>
    <row r="321" spans="2:14" hidden="1">
      <c r="B321" s="5" t="s">
        <v>331</v>
      </c>
      <c r="C321" s="5" t="str">
        <f t="shared" ca="1" si="269"/>
        <v>Veikla</v>
      </c>
      <c r="D321" t="str">
        <f t="shared" si="270"/>
        <v>False</v>
      </c>
      <c r="E321" s="259" t="str">
        <f t="shared" si="259"/>
        <v>Ne</v>
      </c>
      <c r="F321" s="196" t="str">
        <f t="shared" si="260"/>
        <v/>
      </c>
      <c r="G321" s="5" t="str">
        <f t="shared" si="261"/>
        <v/>
      </c>
      <c r="H321" s="5" t="str">
        <f t="shared" si="262"/>
        <v/>
      </c>
      <c r="I321" s="5" t="str">
        <f t="shared" si="263"/>
        <v/>
      </c>
      <c r="J321" s="5" t="str">
        <f t="shared" si="264"/>
        <v/>
      </c>
      <c r="K321" s="5" t="str">
        <f t="shared" si="265"/>
        <v/>
      </c>
      <c r="L321" s="5" t="str">
        <f t="shared" si="266"/>
        <v/>
      </c>
      <c r="M321" s="5" t="str">
        <f t="shared" si="267"/>
        <v/>
      </c>
      <c r="N321" s="5" t="str">
        <f t="shared" si="268"/>
        <v/>
      </c>
    </row>
    <row r="322" spans="2:14" hidden="1">
      <c r="B322" s="5" t="s">
        <v>332</v>
      </c>
      <c r="C322" s="5" t="str">
        <f t="shared" ca="1" si="269"/>
        <v>Veikla</v>
      </c>
      <c r="D322" t="str">
        <f t="shared" si="270"/>
        <v>False</v>
      </c>
      <c r="E322" s="259" t="str">
        <f t="shared" si="259"/>
        <v>Ne</v>
      </c>
      <c r="F322" s="196" t="str">
        <f t="shared" si="260"/>
        <v/>
      </c>
      <c r="G322" s="5" t="str">
        <f t="shared" si="261"/>
        <v/>
      </c>
      <c r="H322" s="5" t="str">
        <f t="shared" si="262"/>
        <v/>
      </c>
      <c r="I322" s="5" t="str">
        <f t="shared" si="263"/>
        <v/>
      </c>
      <c r="J322" s="5" t="str">
        <f t="shared" si="264"/>
        <v/>
      </c>
      <c r="K322" s="5" t="str">
        <f t="shared" si="265"/>
        <v/>
      </c>
      <c r="L322" s="5" t="str">
        <f t="shared" si="266"/>
        <v/>
      </c>
      <c r="M322" s="5" t="str">
        <f t="shared" si="267"/>
        <v/>
      </c>
      <c r="N322" s="5" t="str">
        <f t="shared" si="268"/>
        <v/>
      </c>
    </row>
    <row r="323" spans="2:14" hidden="1">
      <c r="B323" s="5" t="s">
        <v>333</v>
      </c>
      <c r="C323" s="5" t="str">
        <f t="shared" ca="1" si="269"/>
        <v>Veikla</v>
      </c>
      <c r="D323" t="str">
        <f t="shared" si="270"/>
        <v>False</v>
      </c>
      <c r="E323" s="259" t="str">
        <f t="shared" si="259"/>
        <v>Ne</v>
      </c>
      <c r="F323" s="196" t="str">
        <f t="shared" si="260"/>
        <v/>
      </c>
      <c r="G323" s="5" t="str">
        <f t="shared" si="261"/>
        <v/>
      </c>
      <c r="H323" s="5" t="str">
        <f t="shared" si="262"/>
        <v/>
      </c>
      <c r="I323" s="5" t="str">
        <f t="shared" si="263"/>
        <v/>
      </c>
      <c r="J323" s="5" t="str">
        <f t="shared" si="264"/>
        <v/>
      </c>
      <c r="K323" s="5" t="str">
        <f t="shared" si="265"/>
        <v/>
      </c>
      <c r="L323" s="5" t="str">
        <f t="shared" si="266"/>
        <v/>
      </c>
      <c r="M323" s="5" t="str">
        <f t="shared" si="267"/>
        <v/>
      </c>
      <c r="N323" s="5" t="str">
        <f t="shared" si="268"/>
        <v/>
      </c>
    </row>
    <row r="324" spans="2:14" hidden="1">
      <c r="B324" s="5" t="s">
        <v>334</v>
      </c>
      <c r="C324" s="5" t="str">
        <f t="shared" ca="1" si="269"/>
        <v>Veikla</v>
      </c>
      <c r="D324" t="str">
        <f t="shared" si="270"/>
        <v>False</v>
      </c>
      <c r="E324" s="259" t="str">
        <f t="shared" si="259"/>
        <v>Ne</v>
      </c>
      <c r="F324" s="196" t="str">
        <f t="shared" si="260"/>
        <v/>
      </c>
      <c r="G324" s="5" t="str">
        <f t="shared" si="261"/>
        <v/>
      </c>
      <c r="H324" s="5" t="str">
        <f t="shared" si="262"/>
        <v/>
      </c>
      <c r="I324" s="5" t="str">
        <f t="shared" si="263"/>
        <v/>
      </c>
      <c r="J324" s="5" t="str">
        <f t="shared" si="264"/>
        <v/>
      </c>
      <c r="K324" s="5" t="str">
        <f t="shared" si="265"/>
        <v/>
      </c>
      <c r="L324" s="5" t="str">
        <f t="shared" si="266"/>
        <v/>
      </c>
      <c r="M324" s="5" t="str">
        <f t="shared" si="267"/>
        <v/>
      </c>
      <c r="N324" s="5" t="str">
        <f t="shared" si="268"/>
        <v/>
      </c>
    </row>
    <row r="325" spans="2:14" hidden="1">
      <c r="B325" s="5" t="s">
        <v>335</v>
      </c>
      <c r="C325" s="5" t="str">
        <f t="shared" ca="1" si="269"/>
        <v>Reinvesticijos (po priemonės įgyvendinimo)</v>
      </c>
      <c r="D325" t="str">
        <f t="shared" si="270"/>
        <v>False</v>
      </c>
      <c r="E325" s="259" t="str">
        <f t="shared" si="259"/>
        <v>Ne</v>
      </c>
      <c r="F325" s="196" t="str">
        <f t="shared" si="260"/>
        <v/>
      </c>
      <c r="G325" s="5" t="str">
        <f t="shared" si="261"/>
        <v/>
      </c>
      <c r="H325" s="5" t="str">
        <f t="shared" si="262"/>
        <v/>
      </c>
      <c r="I325" s="5" t="str">
        <f t="shared" si="263"/>
        <v/>
      </c>
      <c r="J325" s="5" t="str">
        <f t="shared" si="264"/>
        <v/>
      </c>
      <c r="K325" s="5" t="str">
        <f t="shared" si="265"/>
        <v/>
      </c>
      <c r="L325" s="5" t="str">
        <f t="shared" si="266"/>
        <v/>
      </c>
      <c r="M325" s="5" t="str">
        <f t="shared" si="267"/>
        <v/>
      </c>
      <c r="N325" s="5" t="str">
        <f t="shared" si="268"/>
        <v/>
      </c>
    </row>
    <row r="326" spans="2:14" hidden="1">
      <c r="B326" s="5" t="s">
        <v>336</v>
      </c>
      <c r="C326" s="5" t="str">
        <f t="shared" ca="1" si="269"/>
        <v>Likutinė vertė</v>
      </c>
      <c r="D326" t="str">
        <f t="shared" si="270"/>
        <v>False</v>
      </c>
      <c r="E326" s="259" t="str">
        <f t="shared" si="259"/>
        <v>Ne</v>
      </c>
      <c r="F326" s="196" t="str">
        <f t="shared" si="260"/>
        <v/>
      </c>
      <c r="G326" s="5" t="str">
        <f t="shared" si="261"/>
        <v/>
      </c>
      <c r="H326" s="5" t="str">
        <f t="shared" si="262"/>
        <v/>
      </c>
      <c r="I326" s="5" t="str">
        <f t="shared" si="263"/>
        <v/>
      </c>
      <c r="J326" s="5" t="str">
        <f t="shared" si="264"/>
        <v/>
      </c>
      <c r="K326" s="5" t="str">
        <f t="shared" si="265"/>
        <v/>
      </c>
      <c r="L326" s="5" t="str">
        <f t="shared" si="266"/>
        <v/>
      </c>
      <c r="M326" s="5" t="str">
        <f t="shared" si="267"/>
        <v/>
      </c>
      <c r="N326" s="5" t="str">
        <f t="shared" si="268"/>
        <v/>
      </c>
    </row>
    <row r="327" spans="2:14">
      <c r="B327" s="5" t="s">
        <v>337</v>
      </c>
      <c r="C327" s="5" t="str">
        <f t="shared" ca="1" si="269"/>
        <v>Ekonominės diplomatijos funkcijų stiprinimas</v>
      </c>
      <c r="D327" t="str">
        <f t="shared" si="270"/>
        <v>True</v>
      </c>
      <c r="E327" s="259" t="str">
        <f t="shared" si="259"/>
        <v>Ne</v>
      </c>
      <c r="F327" s="196" t="str">
        <f t="shared" si="260"/>
        <v/>
      </c>
      <c r="G327" s="5" t="str">
        <f t="shared" si="261"/>
        <v/>
      </c>
      <c r="H327" s="5" t="str">
        <f t="shared" si="262"/>
        <v/>
      </c>
      <c r="I327" s="5" t="str">
        <f t="shared" si="263"/>
        <v/>
      </c>
      <c r="J327" s="5" t="str">
        <f t="shared" si="264"/>
        <v/>
      </c>
      <c r="K327" s="5" t="str">
        <f t="shared" si="265"/>
        <v/>
      </c>
      <c r="L327" s="5" t="str">
        <f t="shared" si="266"/>
        <v/>
      </c>
      <c r="M327" s="5" t="str">
        <f t="shared" si="267"/>
        <v/>
      </c>
      <c r="N327" s="5" t="str">
        <f t="shared" si="268"/>
        <v/>
      </c>
    </row>
    <row r="328" spans="2:14">
      <c r="B328" s="5" t="s">
        <v>338</v>
      </c>
      <c r="C328" s="5" t="str">
        <f t="shared" ca="1" si="269"/>
        <v>Darbo su diaspora funkcijų stiprinimas</v>
      </c>
      <c r="D328" t="str">
        <f t="shared" si="270"/>
        <v>True</v>
      </c>
      <c r="E328" s="259" t="str">
        <f t="shared" si="259"/>
        <v>Ne</v>
      </c>
      <c r="F328" s="196" t="str">
        <f t="shared" si="260"/>
        <v/>
      </c>
      <c r="G328" s="5" t="str">
        <f t="shared" si="261"/>
        <v/>
      </c>
      <c r="H328" s="5" t="str">
        <f t="shared" si="262"/>
        <v/>
      </c>
      <c r="I328" s="5" t="str">
        <f t="shared" si="263"/>
        <v/>
      </c>
      <c r="J328" s="5" t="str">
        <f t="shared" si="264"/>
        <v/>
      </c>
      <c r="K328" s="5" t="str">
        <f t="shared" si="265"/>
        <v/>
      </c>
      <c r="L328" s="5" t="str">
        <f t="shared" si="266"/>
        <v/>
      </c>
      <c r="M328" s="5" t="str">
        <f t="shared" si="267"/>
        <v/>
      </c>
      <c r="N328" s="5" t="str">
        <f t="shared" si="268"/>
        <v/>
      </c>
    </row>
    <row r="329" spans="2:14">
      <c r="B329" s="5" t="s">
        <v>339</v>
      </c>
      <c r="C329" s="5" t="str">
        <f t="shared" ca="1" si="269"/>
        <v xml:space="preserve">Kursai diplomatams, dirbantiems su fondas Indijos–Ramiojo vandenynų regionu </v>
      </c>
      <c r="D329" t="str">
        <f t="shared" si="270"/>
        <v>True</v>
      </c>
      <c r="E329" s="259" t="str">
        <f t="shared" si="259"/>
        <v>Ne</v>
      </c>
      <c r="F329" s="196" t="str">
        <f t="shared" si="260"/>
        <v/>
      </c>
      <c r="G329" s="5" t="str">
        <f t="shared" si="261"/>
        <v/>
      </c>
      <c r="H329" s="5" t="str">
        <f t="shared" si="262"/>
        <v/>
      </c>
      <c r="I329" s="5" t="str">
        <f t="shared" si="263"/>
        <v/>
      </c>
      <c r="J329" s="5" t="str">
        <f t="shared" si="264"/>
        <v/>
      </c>
      <c r="K329" s="5" t="str">
        <f t="shared" si="265"/>
        <v/>
      </c>
      <c r="L329" s="5" t="str">
        <f t="shared" si="266"/>
        <v/>
      </c>
      <c r="M329" s="5" t="str">
        <f t="shared" si="267"/>
        <v/>
      </c>
      <c r="N329" s="5" t="str">
        <f t="shared" si="268"/>
        <v/>
      </c>
    </row>
    <row r="330" spans="2:14">
      <c r="B330" s="5" t="s">
        <v>340</v>
      </c>
      <c r="C330" s="5" t="str">
        <f t="shared" ca="1" si="269"/>
        <v>Stipendijų fondas Indijos–Ramiojo vandenynų regiono studijų studentams</v>
      </c>
      <c r="D330" t="str">
        <f t="shared" si="270"/>
        <v>True</v>
      </c>
      <c r="E330" s="259" t="str">
        <f t="shared" si="259"/>
        <v>Ne</v>
      </c>
      <c r="F330" s="196" t="str">
        <f t="shared" si="260"/>
        <v/>
      </c>
      <c r="G330" s="5" t="str">
        <f t="shared" si="261"/>
        <v/>
      </c>
      <c r="H330" s="5" t="str">
        <f t="shared" si="262"/>
        <v/>
      </c>
      <c r="I330" s="5" t="str">
        <f t="shared" si="263"/>
        <v/>
      </c>
      <c r="J330" s="5" t="str">
        <f t="shared" si="264"/>
        <v/>
      </c>
      <c r="K330" s="5" t="str">
        <f t="shared" si="265"/>
        <v/>
      </c>
      <c r="L330" s="5" t="str">
        <f t="shared" si="266"/>
        <v/>
      </c>
      <c r="M330" s="5" t="str">
        <f t="shared" si="267"/>
        <v/>
      </c>
      <c r="N330" s="5" t="str">
        <f t="shared" si="268"/>
        <v/>
      </c>
    </row>
    <row r="331" spans="2:14" hidden="1">
      <c r="B331" s="5" t="s">
        <v>341</v>
      </c>
      <c r="C331" s="5" t="str">
        <f t="shared" ca="1" si="269"/>
        <v/>
      </c>
      <c r="D331" t="str">
        <f t="shared" si="270"/>
        <v>False</v>
      </c>
      <c r="E331" s="259" t="str">
        <f t="shared" si="259"/>
        <v>Ne</v>
      </c>
      <c r="F331" s="196" t="str">
        <f t="shared" si="260"/>
        <v/>
      </c>
      <c r="G331" s="5" t="str">
        <f t="shared" si="261"/>
        <v/>
      </c>
      <c r="H331" s="5" t="str">
        <f t="shared" si="262"/>
        <v/>
      </c>
      <c r="I331" s="5" t="str">
        <f t="shared" si="263"/>
        <v/>
      </c>
      <c r="J331" s="5" t="str">
        <f t="shared" si="264"/>
        <v/>
      </c>
      <c r="K331" s="5" t="str">
        <f t="shared" si="265"/>
        <v/>
      </c>
      <c r="L331" s="5" t="str">
        <f t="shared" si="266"/>
        <v/>
      </c>
      <c r="M331" s="5" t="str">
        <f t="shared" si="267"/>
        <v/>
      </c>
      <c r="N331" s="5" t="str">
        <f t="shared" si="268"/>
        <v/>
      </c>
    </row>
    <row r="332" spans="2:14" hidden="1">
      <c r="B332" s="5" t="s">
        <v>342</v>
      </c>
      <c r="C332" s="5" t="str">
        <f t="shared" ca="1" si="269"/>
        <v/>
      </c>
      <c r="D332" t="str">
        <f t="shared" si="270"/>
        <v>False</v>
      </c>
      <c r="E332" s="259" t="str">
        <f t="shared" si="259"/>
        <v>Ne</v>
      </c>
      <c r="F332" s="196" t="str">
        <f t="shared" si="260"/>
        <v/>
      </c>
      <c r="G332" s="5" t="str">
        <f t="shared" si="261"/>
        <v/>
      </c>
      <c r="H332" s="5" t="str">
        <f t="shared" si="262"/>
        <v/>
      </c>
      <c r="I332" s="5" t="str">
        <f t="shared" si="263"/>
        <v/>
      </c>
      <c r="J332" s="5" t="str">
        <f t="shared" si="264"/>
        <v/>
      </c>
      <c r="K332" s="5" t="str">
        <f t="shared" si="265"/>
        <v/>
      </c>
      <c r="L332" s="5" t="str">
        <f t="shared" si="266"/>
        <v/>
      </c>
      <c r="M332" s="5" t="str">
        <f t="shared" si="267"/>
        <v/>
      </c>
      <c r="N332" s="5" t="str">
        <f t="shared" si="268"/>
        <v/>
      </c>
    </row>
    <row r="333" spans="2:14" hidden="1">
      <c r="B333" s="5" t="s">
        <v>343</v>
      </c>
      <c r="C333" s="5" t="str">
        <f t="shared" ca="1" si="269"/>
        <v/>
      </c>
      <c r="D333" t="str">
        <f t="shared" si="270"/>
        <v>False</v>
      </c>
      <c r="E333" s="259" t="str">
        <f t="shared" si="259"/>
        <v>Ne</v>
      </c>
      <c r="F333" s="196" t="str">
        <f t="shared" si="260"/>
        <v/>
      </c>
      <c r="G333" s="5" t="str">
        <f t="shared" si="261"/>
        <v/>
      </c>
      <c r="H333" s="5" t="str">
        <f t="shared" si="262"/>
        <v/>
      </c>
      <c r="I333" s="5" t="str">
        <f t="shared" si="263"/>
        <v/>
      </c>
      <c r="J333" s="5" t="str">
        <f t="shared" si="264"/>
        <v/>
      </c>
      <c r="K333" s="5" t="str">
        <f t="shared" si="265"/>
        <v/>
      </c>
      <c r="L333" s="5" t="str">
        <f t="shared" si="266"/>
        <v/>
      </c>
      <c r="M333" s="5" t="str">
        <f t="shared" si="267"/>
        <v/>
      </c>
      <c r="N333" s="5" t="str">
        <f t="shared" si="268"/>
        <v/>
      </c>
    </row>
    <row r="334" spans="2:14" hidden="1">
      <c r="B334" s="5" t="s">
        <v>344</v>
      </c>
      <c r="C334" s="5" t="str">
        <f t="shared" ca="1" si="269"/>
        <v/>
      </c>
      <c r="D334" t="str">
        <f t="shared" si="270"/>
        <v>False</v>
      </c>
      <c r="E334" s="259" t="str">
        <f t="shared" si="259"/>
        <v>Ne</v>
      </c>
      <c r="F334" s="196" t="str">
        <f t="shared" si="260"/>
        <v/>
      </c>
      <c r="G334" s="5" t="str">
        <f t="shared" si="261"/>
        <v/>
      </c>
      <c r="H334" s="5" t="str">
        <f t="shared" si="262"/>
        <v/>
      </c>
      <c r="I334" s="5" t="str">
        <f t="shared" si="263"/>
        <v/>
      </c>
      <c r="J334" s="5" t="str">
        <f t="shared" si="264"/>
        <v/>
      </c>
      <c r="K334" s="5" t="str">
        <f t="shared" si="265"/>
        <v/>
      </c>
      <c r="L334" s="5" t="str">
        <f t="shared" si="266"/>
        <v/>
      </c>
      <c r="M334" s="5" t="str">
        <f t="shared" si="267"/>
        <v/>
      </c>
      <c r="N334" s="5" t="str">
        <f t="shared" si="268"/>
        <v/>
      </c>
    </row>
    <row r="335" spans="2:14" hidden="1">
      <c r="B335" s="5" t="s">
        <v>345</v>
      </c>
      <c r="C335" s="5" t="str">
        <f t="shared" ca="1" si="269"/>
        <v>Reinvesticijos (po priemonės įgyvendinimo)</v>
      </c>
      <c r="D335" t="str">
        <f t="shared" si="270"/>
        <v>False</v>
      </c>
      <c r="E335" s="259" t="str">
        <f t="shared" si="259"/>
        <v>Ne</v>
      </c>
      <c r="F335" s="196" t="str">
        <f t="shared" si="260"/>
        <v/>
      </c>
      <c r="G335" s="5" t="str">
        <f t="shared" si="261"/>
        <v/>
      </c>
      <c r="H335" s="5" t="str">
        <f t="shared" si="262"/>
        <v/>
      </c>
      <c r="I335" s="5" t="str">
        <f t="shared" si="263"/>
        <v/>
      </c>
      <c r="J335" s="5" t="str">
        <f t="shared" si="264"/>
        <v/>
      </c>
      <c r="K335" s="5" t="str">
        <f t="shared" si="265"/>
        <v/>
      </c>
      <c r="L335" s="5" t="str">
        <f t="shared" si="266"/>
        <v/>
      </c>
      <c r="M335" s="5" t="str">
        <f t="shared" si="267"/>
        <v/>
      </c>
      <c r="N335" s="5" t="str">
        <f t="shared" si="268"/>
        <v/>
      </c>
    </row>
    <row r="336" spans="2:14" hidden="1">
      <c r="B336" s="5" t="s">
        <v>346</v>
      </c>
      <c r="C336" s="5" t="str">
        <f t="shared" ca="1" si="269"/>
        <v>Likutinė vertė</v>
      </c>
      <c r="D336" t="str">
        <f t="shared" si="270"/>
        <v>False</v>
      </c>
      <c r="E336" s="259" t="str">
        <f t="shared" si="259"/>
        <v>Ne</v>
      </c>
      <c r="F336" s="196" t="str">
        <f t="shared" si="260"/>
        <v/>
      </c>
      <c r="G336" s="5" t="str">
        <f t="shared" si="261"/>
        <v/>
      </c>
      <c r="H336" s="5" t="str">
        <f t="shared" si="262"/>
        <v/>
      </c>
      <c r="I336" s="5" t="str">
        <f t="shared" si="263"/>
        <v/>
      </c>
      <c r="J336" s="5" t="str">
        <f t="shared" si="264"/>
        <v/>
      </c>
      <c r="K336" s="5" t="str">
        <f t="shared" si="265"/>
        <v/>
      </c>
      <c r="L336" s="5" t="str">
        <f t="shared" si="266"/>
        <v/>
      </c>
      <c r="M336" s="5" t="str">
        <f t="shared" si="267"/>
        <v/>
      </c>
      <c r="N336" s="5" t="str">
        <f t="shared" si="268"/>
        <v/>
      </c>
    </row>
    <row r="337" spans="2:14" hidden="1">
      <c r="B337" s="5" t="s">
        <v>347</v>
      </c>
      <c r="C337" s="5" t="str">
        <f t="shared" ca="1" si="269"/>
        <v>Veikla</v>
      </c>
      <c r="D337" t="str">
        <f t="shared" si="270"/>
        <v>False</v>
      </c>
      <c r="E337" s="259" t="str">
        <f t="shared" si="259"/>
        <v>Ne</v>
      </c>
      <c r="F337" s="196" t="str">
        <f t="shared" si="260"/>
        <v/>
      </c>
      <c r="G337" s="5" t="str">
        <f t="shared" si="261"/>
        <v/>
      </c>
      <c r="H337" s="5" t="str">
        <f t="shared" si="262"/>
        <v/>
      </c>
      <c r="I337" s="5" t="str">
        <f t="shared" si="263"/>
        <v/>
      </c>
      <c r="J337" s="5" t="str">
        <f t="shared" si="264"/>
        <v/>
      </c>
      <c r="K337" s="5" t="str">
        <f t="shared" si="265"/>
        <v/>
      </c>
      <c r="L337" s="5" t="str">
        <f t="shared" si="266"/>
        <v/>
      </c>
      <c r="M337" s="5" t="str">
        <f t="shared" si="267"/>
        <v/>
      </c>
      <c r="N337" s="5" t="str">
        <f t="shared" si="268"/>
        <v/>
      </c>
    </row>
    <row r="338" spans="2:14" hidden="1">
      <c r="B338" s="5" t="s">
        <v>348</v>
      </c>
      <c r="C338" s="5" t="str">
        <f t="shared" ca="1" si="269"/>
        <v>Veikla</v>
      </c>
      <c r="D338" t="str">
        <f t="shared" si="270"/>
        <v>False</v>
      </c>
      <c r="E338" s="259" t="str">
        <f t="shared" si="259"/>
        <v>Ne</v>
      </c>
      <c r="F338" s="196" t="str">
        <f t="shared" si="260"/>
        <v/>
      </c>
      <c r="G338" s="5" t="str">
        <f t="shared" si="261"/>
        <v/>
      </c>
      <c r="H338" s="5" t="str">
        <f t="shared" si="262"/>
        <v/>
      </c>
      <c r="I338" s="5" t="str">
        <f t="shared" si="263"/>
        <v/>
      </c>
      <c r="J338" s="5" t="str">
        <f t="shared" si="264"/>
        <v/>
      </c>
      <c r="K338" s="5" t="str">
        <f t="shared" si="265"/>
        <v/>
      </c>
      <c r="L338" s="5" t="str">
        <f t="shared" si="266"/>
        <v/>
      </c>
      <c r="M338" s="5" t="str">
        <f t="shared" si="267"/>
        <v/>
      </c>
      <c r="N338" s="5" t="str">
        <f t="shared" si="268"/>
        <v/>
      </c>
    </row>
    <row r="339" spans="2:14" hidden="1">
      <c r="B339" s="5" t="s">
        <v>349</v>
      </c>
      <c r="C339" s="5" t="str">
        <f t="shared" ca="1" si="269"/>
        <v>Veikla</v>
      </c>
      <c r="D339" t="str">
        <f t="shared" si="270"/>
        <v>False</v>
      </c>
      <c r="E339" s="259" t="str">
        <f t="shared" ref="E339:E378" si="271">IF(COUNTIFS(F339:K339,"Taip"),"Taip","Ne")</f>
        <v>Ne</v>
      </c>
      <c r="F339" s="196" t="str">
        <f t="shared" ref="F339:F378" si="272">IFERROR(IF(OR(ABS(E230)&gt;0.01,ABS(F230)&gt;0.01),"Taip",""),"")</f>
        <v/>
      </c>
      <c r="G339" s="5" t="str">
        <f t="shared" ref="G339:G378" si="273">IFERROR(IF(OR(ABS(G230)&gt;0.01,ABS(H230)&gt;0.01),"Taip",""),"")</f>
        <v/>
      </c>
      <c r="H339" s="5" t="str">
        <f t="shared" ref="H339:H378" si="274">IFERROR(IF(OR(ABS(I230)&gt;0.01,ABS(J230)&gt;0.01),"Taip",""),"")</f>
        <v/>
      </c>
      <c r="I339" s="5" t="str">
        <f t="shared" ref="I339:I378" si="275">IFERROR(IF(OR(ABS(K230)&gt;0.01,ABS(L230)&gt;0.01),"Taip",""),"")</f>
        <v/>
      </c>
      <c r="J339" s="5" t="str">
        <f t="shared" ref="J339:J378" si="276">IFERROR(IF(OR(ABS(M230)&gt;0.01,ABS(N230)&gt;0.01),"Taip",""),"")</f>
        <v/>
      </c>
      <c r="K339" s="5" t="str">
        <f t="shared" ref="K339:K378" si="277">IFERROR(IF(OR(ABS(O230)&gt;0.01,ABS(P230)&gt;0.01),"Taip",""),"")</f>
        <v/>
      </c>
      <c r="L339" s="5" t="str">
        <f t="shared" ref="L339:L378" si="278">IFERROR(IF(OR(ABS(Q230)&gt;0.01,ABS(R230)&gt;0.01),"Taip",""),"")</f>
        <v/>
      </c>
      <c r="M339" s="5" t="str">
        <f t="shared" ref="M339:M378" si="279">IFERROR(IF(OR(ABS(S230)&gt;0.01,ABS(T230)&gt;0.01),"Taip",""),"")</f>
        <v/>
      </c>
      <c r="N339" s="5" t="str">
        <f t="shared" ref="N339:N378" si="280">IFERROR(IF(OR(ABS(U230)&gt;0.01,ABS(V230)&gt;0.01),"Taip",""),"")</f>
        <v/>
      </c>
    </row>
    <row r="340" spans="2:14" hidden="1">
      <c r="B340" s="5" t="s">
        <v>350</v>
      </c>
      <c r="C340" s="5" t="str">
        <f t="shared" ca="1" si="269"/>
        <v>Veikla</v>
      </c>
      <c r="D340" t="str">
        <f t="shared" si="270"/>
        <v>False</v>
      </c>
      <c r="E340" s="259" t="str">
        <f t="shared" si="271"/>
        <v>Ne</v>
      </c>
      <c r="F340" s="196" t="str">
        <f t="shared" si="272"/>
        <v/>
      </c>
      <c r="G340" s="5" t="str">
        <f t="shared" si="273"/>
        <v/>
      </c>
      <c r="H340" s="5" t="str">
        <f t="shared" si="274"/>
        <v/>
      </c>
      <c r="I340" s="5" t="str">
        <f t="shared" si="275"/>
        <v/>
      </c>
      <c r="J340" s="5" t="str">
        <f t="shared" si="276"/>
        <v/>
      </c>
      <c r="K340" s="5" t="str">
        <f t="shared" si="277"/>
        <v/>
      </c>
      <c r="L340" s="5" t="str">
        <f t="shared" si="278"/>
        <v/>
      </c>
      <c r="M340" s="5" t="str">
        <f t="shared" si="279"/>
        <v/>
      </c>
      <c r="N340" s="5" t="str">
        <f t="shared" si="280"/>
        <v/>
      </c>
    </row>
    <row r="341" spans="2:14" hidden="1">
      <c r="B341" s="5" t="s">
        <v>351</v>
      </c>
      <c r="C341" s="5" t="str">
        <f t="shared" ref="C341:C378" ca="1" si="281">VLOOKUP(B341,$B$12:$C$129,2,FALSE)</f>
        <v>Veikla</v>
      </c>
      <c r="D341" t="str">
        <f t="shared" si="270"/>
        <v>False</v>
      </c>
      <c r="E341" s="259" t="str">
        <f t="shared" si="271"/>
        <v>Ne</v>
      </c>
      <c r="F341" s="196" t="str">
        <f t="shared" si="272"/>
        <v/>
      </c>
      <c r="G341" s="5" t="str">
        <f t="shared" si="273"/>
        <v/>
      </c>
      <c r="H341" s="5" t="str">
        <f t="shared" si="274"/>
        <v/>
      </c>
      <c r="I341" s="5" t="str">
        <f t="shared" si="275"/>
        <v/>
      </c>
      <c r="J341" s="5" t="str">
        <f t="shared" si="276"/>
        <v/>
      </c>
      <c r="K341" s="5" t="str">
        <f t="shared" si="277"/>
        <v/>
      </c>
      <c r="L341" s="5" t="str">
        <f t="shared" si="278"/>
        <v/>
      </c>
      <c r="M341" s="5" t="str">
        <f t="shared" si="279"/>
        <v/>
      </c>
      <c r="N341" s="5" t="str">
        <f t="shared" si="280"/>
        <v/>
      </c>
    </row>
    <row r="342" spans="2:14" hidden="1">
      <c r="B342" s="5" t="s">
        <v>352</v>
      </c>
      <c r="C342" s="5" t="str">
        <f t="shared" ca="1" si="281"/>
        <v>Veikla</v>
      </c>
      <c r="D342" t="str">
        <f t="shared" ref="D342:D378" si="282">VLOOKUP(B342,$B$168:$D$269,3,FALSE)</f>
        <v>False</v>
      </c>
      <c r="E342" s="259" t="str">
        <f t="shared" si="271"/>
        <v>Ne</v>
      </c>
      <c r="F342" s="196" t="str">
        <f t="shared" si="272"/>
        <v/>
      </c>
      <c r="G342" s="5" t="str">
        <f t="shared" si="273"/>
        <v/>
      </c>
      <c r="H342" s="5" t="str">
        <f t="shared" si="274"/>
        <v/>
      </c>
      <c r="I342" s="5" t="str">
        <f t="shared" si="275"/>
        <v/>
      </c>
      <c r="J342" s="5" t="str">
        <f t="shared" si="276"/>
        <v/>
      </c>
      <c r="K342" s="5" t="str">
        <f t="shared" si="277"/>
        <v/>
      </c>
      <c r="L342" s="5" t="str">
        <f t="shared" si="278"/>
        <v/>
      </c>
      <c r="M342" s="5" t="str">
        <f t="shared" si="279"/>
        <v/>
      </c>
      <c r="N342" s="5" t="str">
        <f t="shared" si="280"/>
        <v/>
      </c>
    </row>
    <row r="343" spans="2:14" hidden="1">
      <c r="B343" s="5" t="s">
        <v>353</v>
      </c>
      <c r="C343" s="5" t="str">
        <f t="shared" ca="1" si="281"/>
        <v>Veikla</v>
      </c>
      <c r="D343" t="str">
        <f t="shared" si="282"/>
        <v>False</v>
      </c>
      <c r="E343" s="259" t="str">
        <f t="shared" si="271"/>
        <v>Ne</v>
      </c>
      <c r="F343" s="196" t="str">
        <f t="shared" si="272"/>
        <v/>
      </c>
      <c r="G343" s="5" t="str">
        <f t="shared" si="273"/>
        <v/>
      </c>
      <c r="H343" s="5" t="str">
        <f t="shared" si="274"/>
        <v/>
      </c>
      <c r="I343" s="5" t="str">
        <f t="shared" si="275"/>
        <v/>
      </c>
      <c r="J343" s="5" t="str">
        <f t="shared" si="276"/>
        <v/>
      </c>
      <c r="K343" s="5" t="str">
        <f t="shared" si="277"/>
        <v/>
      </c>
      <c r="L343" s="5" t="str">
        <f t="shared" si="278"/>
        <v/>
      </c>
      <c r="M343" s="5" t="str">
        <f t="shared" si="279"/>
        <v/>
      </c>
      <c r="N343" s="5" t="str">
        <f t="shared" si="280"/>
        <v/>
      </c>
    </row>
    <row r="344" spans="2:14" hidden="1">
      <c r="B344" s="5" t="s">
        <v>354</v>
      </c>
      <c r="C344" s="5" t="str">
        <f t="shared" ca="1" si="281"/>
        <v>Veikla</v>
      </c>
      <c r="D344" t="str">
        <f t="shared" si="282"/>
        <v>False</v>
      </c>
      <c r="E344" s="259" t="str">
        <f t="shared" si="271"/>
        <v>Ne</v>
      </c>
      <c r="F344" s="196" t="str">
        <f t="shared" si="272"/>
        <v/>
      </c>
      <c r="G344" s="5" t="str">
        <f t="shared" si="273"/>
        <v/>
      </c>
      <c r="H344" s="5" t="str">
        <f t="shared" si="274"/>
        <v/>
      </c>
      <c r="I344" s="5" t="str">
        <f t="shared" si="275"/>
        <v/>
      </c>
      <c r="J344" s="5" t="str">
        <f t="shared" si="276"/>
        <v/>
      </c>
      <c r="K344" s="5" t="str">
        <f t="shared" si="277"/>
        <v/>
      </c>
      <c r="L344" s="5" t="str">
        <f t="shared" si="278"/>
        <v/>
      </c>
      <c r="M344" s="5" t="str">
        <f t="shared" si="279"/>
        <v/>
      </c>
      <c r="N344" s="5" t="str">
        <f t="shared" si="280"/>
        <v/>
      </c>
    </row>
    <row r="345" spans="2:14" hidden="1">
      <c r="B345" s="5" t="s">
        <v>355</v>
      </c>
      <c r="C345" s="5" t="str">
        <f t="shared" ca="1" si="281"/>
        <v>Reinvesticijos (po priemonės įgyvendinimo)</v>
      </c>
      <c r="D345" t="str">
        <f t="shared" si="282"/>
        <v>False</v>
      </c>
      <c r="E345" s="259" t="str">
        <f t="shared" si="271"/>
        <v>Ne</v>
      </c>
      <c r="F345" s="196" t="str">
        <f t="shared" si="272"/>
        <v/>
      </c>
      <c r="G345" s="5" t="str">
        <f t="shared" si="273"/>
        <v/>
      </c>
      <c r="H345" s="5" t="str">
        <f t="shared" si="274"/>
        <v/>
      </c>
      <c r="I345" s="5" t="str">
        <f t="shared" si="275"/>
        <v/>
      </c>
      <c r="J345" s="5" t="str">
        <f t="shared" si="276"/>
        <v/>
      </c>
      <c r="K345" s="5" t="str">
        <f t="shared" si="277"/>
        <v/>
      </c>
      <c r="L345" s="5" t="str">
        <f t="shared" si="278"/>
        <v/>
      </c>
      <c r="M345" s="5" t="str">
        <f t="shared" si="279"/>
        <v/>
      </c>
      <c r="N345" s="5" t="str">
        <f t="shared" si="280"/>
        <v/>
      </c>
    </row>
    <row r="346" spans="2:14" hidden="1">
      <c r="B346" s="5" t="s">
        <v>356</v>
      </c>
      <c r="C346" s="5" t="str">
        <f t="shared" ca="1" si="281"/>
        <v>Likutinė vertė</v>
      </c>
      <c r="D346" t="str">
        <f t="shared" si="282"/>
        <v>False</v>
      </c>
      <c r="E346" s="259" t="str">
        <f t="shared" si="271"/>
        <v>Ne</v>
      </c>
      <c r="F346" s="196" t="str">
        <f t="shared" si="272"/>
        <v/>
      </c>
      <c r="G346" s="5" t="str">
        <f t="shared" si="273"/>
        <v/>
      </c>
      <c r="H346" s="5" t="str">
        <f t="shared" si="274"/>
        <v/>
      </c>
      <c r="I346" s="5" t="str">
        <f t="shared" si="275"/>
        <v/>
      </c>
      <c r="J346" s="5" t="str">
        <f t="shared" si="276"/>
        <v/>
      </c>
      <c r="K346" s="5" t="str">
        <f t="shared" si="277"/>
        <v/>
      </c>
      <c r="L346" s="5" t="str">
        <f t="shared" si="278"/>
        <v/>
      </c>
      <c r="M346" s="5" t="str">
        <f t="shared" si="279"/>
        <v/>
      </c>
      <c r="N346" s="5" t="str">
        <f t="shared" si="280"/>
        <v/>
      </c>
    </row>
    <row r="347" spans="2:14">
      <c r="B347" s="5" t="s">
        <v>357</v>
      </c>
      <c r="C347" s="5" t="str">
        <f t="shared" ca="1" si="281"/>
        <v>Ekonominės diplomatijos funkcijų stiprinimas</v>
      </c>
      <c r="D347" t="str">
        <f t="shared" si="282"/>
        <v>True</v>
      </c>
      <c r="E347" s="259" t="str">
        <f t="shared" si="271"/>
        <v>Ne</v>
      </c>
      <c r="F347" s="196" t="str">
        <f t="shared" si="272"/>
        <v/>
      </c>
      <c r="G347" s="5" t="str">
        <f t="shared" si="273"/>
        <v/>
      </c>
      <c r="H347" s="5" t="str">
        <f t="shared" si="274"/>
        <v/>
      </c>
      <c r="I347" s="5" t="str">
        <f t="shared" si="275"/>
        <v/>
      </c>
      <c r="J347" s="5" t="str">
        <f t="shared" si="276"/>
        <v/>
      </c>
      <c r="K347" s="5" t="str">
        <f t="shared" si="277"/>
        <v/>
      </c>
      <c r="L347" s="5" t="str">
        <f t="shared" si="278"/>
        <v/>
      </c>
      <c r="M347" s="5" t="str">
        <f t="shared" si="279"/>
        <v/>
      </c>
      <c r="N347" s="5" t="str">
        <f t="shared" si="280"/>
        <v/>
      </c>
    </row>
    <row r="348" spans="2:14">
      <c r="B348" s="5" t="s">
        <v>358</v>
      </c>
      <c r="C348" s="5" t="str">
        <f t="shared" ca="1" si="281"/>
        <v>Darbo su diaspora funkcijų stiprinimas</v>
      </c>
      <c r="D348" t="str">
        <f t="shared" si="282"/>
        <v>True</v>
      </c>
      <c r="E348" s="259" t="str">
        <f t="shared" si="271"/>
        <v>Ne</v>
      </c>
      <c r="F348" s="196" t="str">
        <f t="shared" si="272"/>
        <v/>
      </c>
      <c r="G348" s="5" t="str">
        <f t="shared" si="273"/>
        <v/>
      </c>
      <c r="H348" s="5" t="str">
        <f t="shared" si="274"/>
        <v/>
      </c>
      <c r="I348" s="5" t="str">
        <f t="shared" si="275"/>
        <v/>
      </c>
      <c r="J348" s="5" t="str">
        <f t="shared" si="276"/>
        <v/>
      </c>
      <c r="K348" s="5" t="str">
        <f t="shared" si="277"/>
        <v/>
      </c>
      <c r="L348" s="5" t="str">
        <f t="shared" si="278"/>
        <v/>
      </c>
      <c r="M348" s="5" t="str">
        <f t="shared" si="279"/>
        <v/>
      </c>
      <c r="N348" s="5" t="str">
        <f t="shared" si="280"/>
        <v/>
      </c>
    </row>
    <row r="349" spans="2:14">
      <c r="B349" s="5" t="s">
        <v>359</v>
      </c>
      <c r="C349" s="5" t="str">
        <f t="shared" ca="1" si="281"/>
        <v xml:space="preserve">Kursai diplomatams, dirbantiems su Azijos regionu </v>
      </c>
      <c r="D349" t="str">
        <f t="shared" si="282"/>
        <v>True</v>
      </c>
      <c r="E349" s="259" t="str">
        <f t="shared" si="271"/>
        <v>Ne</v>
      </c>
      <c r="F349" s="196" t="str">
        <f t="shared" si="272"/>
        <v/>
      </c>
      <c r="G349" s="5" t="str">
        <f t="shared" si="273"/>
        <v/>
      </c>
      <c r="H349" s="5" t="str">
        <f t="shared" si="274"/>
        <v/>
      </c>
      <c r="I349" s="5" t="str">
        <f t="shared" si="275"/>
        <v/>
      </c>
      <c r="J349" s="5" t="str">
        <f t="shared" si="276"/>
        <v/>
      </c>
      <c r="K349" s="5" t="str">
        <f t="shared" si="277"/>
        <v/>
      </c>
      <c r="L349" s="5" t="str">
        <f t="shared" si="278"/>
        <v/>
      </c>
      <c r="M349" s="5" t="str">
        <f t="shared" si="279"/>
        <v/>
      </c>
      <c r="N349" s="5" t="str">
        <f t="shared" si="280"/>
        <v/>
      </c>
    </row>
    <row r="350" spans="2:14">
      <c r="B350" s="5" t="s">
        <v>360</v>
      </c>
      <c r="C350" s="5" t="str">
        <f t="shared" ca="1" si="281"/>
        <v>Stipendijų fondas Azijos regiono studijų studentams</v>
      </c>
      <c r="D350" t="str">
        <f t="shared" si="282"/>
        <v>True</v>
      </c>
      <c r="E350" s="259" t="str">
        <f t="shared" si="271"/>
        <v>Ne</v>
      </c>
      <c r="F350" s="196" t="str">
        <f t="shared" si="272"/>
        <v/>
      </c>
      <c r="G350" s="5" t="str">
        <f t="shared" si="273"/>
        <v/>
      </c>
      <c r="H350" s="5" t="str">
        <f t="shared" si="274"/>
        <v/>
      </c>
      <c r="I350" s="5" t="str">
        <f t="shared" si="275"/>
        <v/>
      </c>
      <c r="J350" s="5" t="str">
        <f t="shared" si="276"/>
        <v/>
      </c>
      <c r="K350" s="5" t="str">
        <f t="shared" si="277"/>
        <v/>
      </c>
      <c r="L350" s="5" t="str">
        <f t="shared" si="278"/>
        <v/>
      </c>
      <c r="M350" s="5" t="str">
        <f t="shared" si="279"/>
        <v/>
      </c>
      <c r="N350" s="5" t="str">
        <f t="shared" si="280"/>
        <v/>
      </c>
    </row>
    <row r="351" spans="2:14">
      <c r="B351" s="5" t="s">
        <v>361</v>
      </c>
      <c r="C351" s="5" t="str">
        <f t="shared" ca="1" si="281"/>
        <v xml:space="preserve">Ambasados Singapūre išlaikymo išlaidos </v>
      </c>
      <c r="D351" t="str">
        <f t="shared" si="282"/>
        <v>True</v>
      </c>
      <c r="E351" s="259" t="str">
        <f t="shared" si="271"/>
        <v>Ne</v>
      </c>
      <c r="F351" s="196" t="str">
        <f t="shared" si="272"/>
        <v/>
      </c>
      <c r="G351" s="5" t="str">
        <f t="shared" si="273"/>
        <v/>
      </c>
      <c r="H351" s="5" t="str">
        <f t="shared" si="274"/>
        <v/>
      </c>
      <c r="I351" s="5" t="str">
        <f t="shared" si="275"/>
        <v/>
      </c>
      <c r="J351" s="5" t="str">
        <f t="shared" si="276"/>
        <v/>
      </c>
      <c r="K351" s="5" t="str">
        <f t="shared" si="277"/>
        <v/>
      </c>
      <c r="L351" s="5" t="str">
        <f t="shared" si="278"/>
        <v/>
      </c>
      <c r="M351" s="5" t="str">
        <f t="shared" si="279"/>
        <v/>
      </c>
      <c r="N351" s="5" t="str">
        <f t="shared" si="280"/>
        <v/>
      </c>
    </row>
    <row r="352" spans="2:14">
      <c r="B352" s="5" t="s">
        <v>362</v>
      </c>
      <c r="C352" s="5" t="str">
        <f t="shared" ca="1" si="281"/>
        <v>Kitų, naujai įsteigtų, ambasadų užsienio valstybėse išlaikymo išlaidos</v>
      </c>
      <c r="D352" t="str">
        <f t="shared" si="282"/>
        <v>True</v>
      </c>
      <c r="E352" s="259" t="str">
        <f t="shared" si="271"/>
        <v>Ne</v>
      </c>
      <c r="F352" s="196" t="str">
        <f t="shared" si="272"/>
        <v/>
      </c>
      <c r="G352" s="5" t="str">
        <f t="shared" si="273"/>
        <v/>
      </c>
      <c r="H352" s="5" t="str">
        <f t="shared" si="274"/>
        <v/>
      </c>
      <c r="I352" s="5" t="str">
        <f t="shared" si="275"/>
        <v/>
      </c>
      <c r="J352" s="5" t="str">
        <f t="shared" si="276"/>
        <v/>
      </c>
      <c r="K352" s="5" t="str">
        <f t="shared" si="277"/>
        <v/>
      </c>
      <c r="L352" s="5" t="str">
        <f t="shared" si="278"/>
        <v/>
      </c>
      <c r="M352" s="5" t="str">
        <f t="shared" si="279"/>
        <v/>
      </c>
      <c r="N352" s="5" t="str">
        <f t="shared" si="280"/>
        <v/>
      </c>
    </row>
    <row r="353" spans="2:14" hidden="1">
      <c r="B353" s="5" t="s">
        <v>363</v>
      </c>
      <c r="C353" s="5" t="str">
        <f t="shared" ca="1" si="281"/>
        <v/>
      </c>
      <c r="D353" t="str">
        <f t="shared" si="282"/>
        <v>False</v>
      </c>
      <c r="E353" s="259" t="str">
        <f t="shared" si="271"/>
        <v>Ne</v>
      </c>
      <c r="F353" s="196" t="str">
        <f t="shared" si="272"/>
        <v/>
      </c>
      <c r="G353" s="5" t="str">
        <f t="shared" si="273"/>
        <v/>
      </c>
      <c r="H353" s="5" t="str">
        <f t="shared" si="274"/>
        <v/>
      </c>
      <c r="I353" s="5" t="str">
        <f t="shared" si="275"/>
        <v/>
      </c>
      <c r="J353" s="5" t="str">
        <f t="shared" si="276"/>
        <v/>
      </c>
      <c r="K353" s="5" t="str">
        <f t="shared" si="277"/>
        <v/>
      </c>
      <c r="L353" s="5" t="str">
        <f t="shared" si="278"/>
        <v/>
      </c>
      <c r="M353" s="5" t="str">
        <f t="shared" si="279"/>
        <v/>
      </c>
      <c r="N353" s="5" t="str">
        <f t="shared" si="280"/>
        <v/>
      </c>
    </row>
    <row r="354" spans="2:14" hidden="1">
      <c r="B354" s="5" t="s">
        <v>364</v>
      </c>
      <c r="C354" s="5" t="str">
        <f t="shared" ca="1" si="281"/>
        <v/>
      </c>
      <c r="D354" t="str">
        <f t="shared" si="282"/>
        <v>False</v>
      </c>
      <c r="E354" s="259" t="str">
        <f t="shared" si="271"/>
        <v>Ne</v>
      </c>
      <c r="F354" s="196" t="str">
        <f t="shared" si="272"/>
        <v/>
      </c>
      <c r="G354" s="5" t="str">
        <f t="shared" si="273"/>
        <v/>
      </c>
      <c r="H354" s="5" t="str">
        <f t="shared" si="274"/>
        <v/>
      </c>
      <c r="I354" s="5" t="str">
        <f t="shared" si="275"/>
        <v/>
      </c>
      <c r="J354" s="5" t="str">
        <f t="shared" si="276"/>
        <v/>
      </c>
      <c r="K354" s="5" t="str">
        <f t="shared" si="277"/>
        <v/>
      </c>
      <c r="L354" s="5" t="str">
        <f t="shared" si="278"/>
        <v/>
      </c>
      <c r="M354" s="5" t="str">
        <f t="shared" si="279"/>
        <v/>
      </c>
      <c r="N354" s="5" t="str">
        <f t="shared" si="280"/>
        <v/>
      </c>
    </row>
    <row r="355" spans="2:14" hidden="1">
      <c r="B355" s="5" t="s">
        <v>365</v>
      </c>
      <c r="C355" s="5" t="str">
        <f t="shared" ca="1" si="281"/>
        <v/>
      </c>
      <c r="D355" t="str">
        <f t="shared" si="282"/>
        <v>False</v>
      </c>
      <c r="E355" s="259" t="str">
        <f t="shared" si="271"/>
        <v>Ne</v>
      </c>
      <c r="F355" s="196" t="str">
        <f t="shared" si="272"/>
        <v/>
      </c>
      <c r="G355" s="5" t="str">
        <f t="shared" si="273"/>
        <v/>
      </c>
      <c r="H355" s="5" t="str">
        <f t="shared" si="274"/>
        <v/>
      </c>
      <c r="I355" s="5" t="str">
        <f t="shared" si="275"/>
        <v/>
      </c>
      <c r="J355" s="5" t="str">
        <f t="shared" si="276"/>
        <v/>
      </c>
      <c r="K355" s="5" t="str">
        <f t="shared" si="277"/>
        <v/>
      </c>
      <c r="L355" s="5" t="str">
        <f t="shared" si="278"/>
        <v/>
      </c>
      <c r="M355" s="5" t="str">
        <f t="shared" si="279"/>
        <v/>
      </c>
      <c r="N355" s="5" t="str">
        <f t="shared" si="280"/>
        <v/>
      </c>
    </row>
    <row r="356" spans="2:14" hidden="1">
      <c r="B356" s="5" t="s">
        <v>366</v>
      </c>
      <c r="C356" s="5" t="str">
        <f t="shared" ca="1" si="281"/>
        <v/>
      </c>
      <c r="D356" t="str">
        <f t="shared" si="282"/>
        <v>False</v>
      </c>
      <c r="E356" s="259" t="str">
        <f t="shared" si="271"/>
        <v>Ne</v>
      </c>
      <c r="F356" s="196" t="str">
        <f t="shared" si="272"/>
        <v/>
      </c>
      <c r="G356" s="5" t="str">
        <f t="shared" si="273"/>
        <v/>
      </c>
      <c r="H356" s="5" t="str">
        <f t="shared" si="274"/>
        <v/>
      </c>
      <c r="I356" s="5" t="str">
        <f t="shared" si="275"/>
        <v/>
      </c>
      <c r="J356" s="5" t="str">
        <f t="shared" si="276"/>
        <v/>
      </c>
      <c r="K356" s="5" t="str">
        <f t="shared" si="277"/>
        <v/>
      </c>
      <c r="L356" s="5" t="str">
        <f t="shared" si="278"/>
        <v/>
      </c>
      <c r="M356" s="5" t="str">
        <f t="shared" si="279"/>
        <v/>
      </c>
      <c r="N356" s="5" t="str">
        <f t="shared" si="280"/>
        <v/>
      </c>
    </row>
    <row r="357" spans="2:14">
      <c r="B357" s="5" t="s">
        <v>367</v>
      </c>
      <c r="C357" s="5" t="str">
        <f t="shared" ca="1" si="281"/>
        <v>Konsulinės paslaugos (Singapūras)</v>
      </c>
      <c r="D357" t="str">
        <f t="shared" si="282"/>
        <v>True</v>
      </c>
      <c r="E357" s="259" t="str">
        <f t="shared" si="271"/>
        <v>Ne</v>
      </c>
      <c r="F357" s="196" t="str">
        <f t="shared" si="272"/>
        <v/>
      </c>
      <c r="G357" s="5" t="str">
        <f t="shared" si="273"/>
        <v/>
      </c>
      <c r="H357" s="5" t="str">
        <f t="shared" si="274"/>
        <v/>
      </c>
      <c r="I357" s="5" t="str">
        <f t="shared" si="275"/>
        <v/>
      </c>
      <c r="J357" s="5" t="str">
        <f t="shared" si="276"/>
        <v/>
      </c>
      <c r="K357" s="5" t="str">
        <f t="shared" si="277"/>
        <v/>
      </c>
      <c r="L357" s="5" t="str">
        <f t="shared" si="278"/>
        <v/>
      </c>
      <c r="M357" s="5" t="str">
        <f t="shared" si="279"/>
        <v/>
      </c>
      <c r="N357" s="5" t="str">
        <f t="shared" si="280"/>
        <v/>
      </c>
    </row>
    <row r="358" spans="2:14">
      <c r="B358" s="5" t="s">
        <v>368</v>
      </c>
      <c r="C358" s="5" t="str">
        <f t="shared" ca="1" si="281"/>
        <v>Konsulines paslaugos (kitų, naujai įsteigtų atstovybių)</v>
      </c>
      <c r="D358" t="str">
        <f t="shared" si="282"/>
        <v>True</v>
      </c>
      <c r="E358" s="259" t="str">
        <f t="shared" si="271"/>
        <v>Ne</v>
      </c>
      <c r="F358" s="196" t="str">
        <f t="shared" si="272"/>
        <v/>
      </c>
      <c r="G358" s="5" t="str">
        <f t="shared" si="273"/>
        <v/>
      </c>
      <c r="H358" s="5" t="str">
        <f t="shared" si="274"/>
        <v/>
      </c>
      <c r="I358" s="5" t="str">
        <f t="shared" si="275"/>
        <v/>
      </c>
      <c r="J358" s="5" t="str">
        <f t="shared" si="276"/>
        <v/>
      </c>
      <c r="K358" s="5" t="str">
        <f t="shared" si="277"/>
        <v/>
      </c>
      <c r="L358" s="5" t="str">
        <f t="shared" si="278"/>
        <v/>
      </c>
      <c r="M358" s="5" t="str">
        <f t="shared" si="279"/>
        <v/>
      </c>
      <c r="N358" s="5" t="str">
        <f t="shared" si="280"/>
        <v/>
      </c>
    </row>
    <row r="359" spans="2:14" hidden="1">
      <c r="B359" s="5" t="s">
        <v>369</v>
      </c>
      <c r="C359" s="5" t="str">
        <f t="shared" ca="1" si="281"/>
        <v/>
      </c>
      <c r="D359" t="str">
        <f t="shared" si="282"/>
        <v>False</v>
      </c>
      <c r="E359" s="259" t="str">
        <f t="shared" si="271"/>
        <v>Ne</v>
      </c>
      <c r="F359" s="196" t="str">
        <f t="shared" si="272"/>
        <v/>
      </c>
      <c r="G359" s="5" t="str">
        <f t="shared" si="273"/>
        <v/>
      </c>
      <c r="H359" s="5" t="str">
        <f t="shared" si="274"/>
        <v/>
      </c>
      <c r="I359" s="5" t="str">
        <f t="shared" si="275"/>
        <v/>
      </c>
      <c r="J359" s="5" t="str">
        <f t="shared" si="276"/>
        <v/>
      </c>
      <c r="K359" s="5" t="str">
        <f t="shared" si="277"/>
        <v/>
      </c>
      <c r="L359" s="5" t="str">
        <f t="shared" si="278"/>
        <v/>
      </c>
      <c r="M359" s="5" t="str">
        <f t="shared" si="279"/>
        <v/>
      </c>
      <c r="N359" s="5" t="str">
        <f t="shared" si="280"/>
        <v/>
      </c>
    </row>
    <row r="360" spans="2:14" hidden="1">
      <c r="B360" s="5" t="s">
        <v>370</v>
      </c>
      <c r="C360" s="5" t="str">
        <f t="shared" ca="1" si="281"/>
        <v>Veiklos pajamos 4 (viešojo sektoriaus)</v>
      </c>
      <c r="D360" t="str">
        <f t="shared" si="282"/>
        <v>False</v>
      </c>
      <c r="E360" s="259" t="str">
        <f t="shared" si="271"/>
        <v>Ne</v>
      </c>
      <c r="F360" s="196" t="str">
        <f t="shared" si="272"/>
        <v/>
      </c>
      <c r="G360" s="5" t="str">
        <f t="shared" si="273"/>
        <v/>
      </c>
      <c r="H360" s="5" t="str">
        <f t="shared" si="274"/>
        <v/>
      </c>
      <c r="I360" s="5" t="str">
        <f t="shared" si="275"/>
        <v/>
      </c>
      <c r="J360" s="5" t="str">
        <f t="shared" si="276"/>
        <v/>
      </c>
      <c r="K360" s="5" t="str">
        <f t="shared" si="277"/>
        <v/>
      </c>
      <c r="L360" s="5" t="str">
        <f t="shared" si="278"/>
        <v/>
      </c>
      <c r="M360" s="5" t="str">
        <f t="shared" si="279"/>
        <v/>
      </c>
      <c r="N360" s="5" t="str">
        <f t="shared" si="280"/>
        <v/>
      </c>
    </row>
    <row r="361" spans="2:14" hidden="1">
      <c r="B361" s="5" t="s">
        <v>371</v>
      </c>
      <c r="C361" s="5" t="str">
        <f t="shared" ca="1" si="281"/>
        <v>Veiklos pajamos 5 (viešojo sektoriaus)</v>
      </c>
      <c r="D361" t="str">
        <f t="shared" si="282"/>
        <v>False</v>
      </c>
      <c r="E361" s="259" t="str">
        <f t="shared" si="271"/>
        <v>Ne</v>
      </c>
      <c r="F361" s="196" t="str">
        <f t="shared" si="272"/>
        <v/>
      </c>
      <c r="G361" s="5" t="str">
        <f t="shared" si="273"/>
        <v/>
      </c>
      <c r="H361" s="5" t="str">
        <f t="shared" si="274"/>
        <v/>
      </c>
      <c r="I361" s="5" t="str">
        <f t="shared" si="275"/>
        <v/>
      </c>
      <c r="J361" s="5" t="str">
        <f t="shared" si="276"/>
        <v/>
      </c>
      <c r="K361" s="5" t="str">
        <f t="shared" si="277"/>
        <v/>
      </c>
      <c r="L361" s="5" t="str">
        <f t="shared" si="278"/>
        <v/>
      </c>
      <c r="M361" s="5" t="str">
        <f t="shared" si="279"/>
        <v/>
      </c>
      <c r="N361" s="5" t="str">
        <f t="shared" si="280"/>
        <v/>
      </c>
    </row>
    <row r="362" spans="2:14" hidden="1">
      <c r="B362" s="5" t="s">
        <v>372</v>
      </c>
      <c r="C362" s="5" t="str">
        <f t="shared" ca="1" si="281"/>
        <v>Veiklos pajamos 1 (privataus ir NVO sektoriaus)</v>
      </c>
      <c r="D362" t="str">
        <f t="shared" si="282"/>
        <v>False</v>
      </c>
      <c r="E362" s="259" t="str">
        <f t="shared" si="271"/>
        <v>Ne</v>
      </c>
      <c r="F362" s="196" t="str">
        <f t="shared" si="272"/>
        <v/>
      </c>
      <c r="G362" s="5" t="str">
        <f t="shared" si="273"/>
        <v/>
      </c>
      <c r="H362" s="5" t="str">
        <f t="shared" si="274"/>
        <v/>
      </c>
      <c r="I362" s="5" t="str">
        <f t="shared" si="275"/>
        <v/>
      </c>
      <c r="J362" s="5" t="str">
        <f t="shared" si="276"/>
        <v/>
      </c>
      <c r="K362" s="5" t="str">
        <f t="shared" si="277"/>
        <v/>
      </c>
      <c r="L362" s="5" t="str">
        <f t="shared" si="278"/>
        <v/>
      </c>
      <c r="M362" s="5" t="str">
        <f t="shared" si="279"/>
        <v/>
      </c>
      <c r="N362" s="5" t="str">
        <f t="shared" si="280"/>
        <v/>
      </c>
    </row>
    <row r="363" spans="2:14" hidden="1">
      <c r="B363" s="5" t="s">
        <v>373</v>
      </c>
      <c r="C363" s="5" t="str">
        <f t="shared" ca="1" si="281"/>
        <v>Veiklos pajamos 2 (privataus ir NVO sektoriaus)</v>
      </c>
      <c r="D363" t="str">
        <f t="shared" si="282"/>
        <v>False</v>
      </c>
      <c r="E363" s="259" t="str">
        <f t="shared" si="271"/>
        <v>Ne</v>
      </c>
      <c r="F363" s="196" t="str">
        <f t="shared" si="272"/>
        <v/>
      </c>
      <c r="G363" s="5" t="str">
        <f t="shared" si="273"/>
        <v/>
      </c>
      <c r="H363" s="5" t="str">
        <f t="shared" si="274"/>
        <v/>
      </c>
      <c r="I363" s="5" t="str">
        <f t="shared" si="275"/>
        <v/>
      </c>
      <c r="J363" s="5" t="str">
        <f t="shared" si="276"/>
        <v/>
      </c>
      <c r="K363" s="5" t="str">
        <f t="shared" si="277"/>
        <v/>
      </c>
      <c r="L363" s="5" t="str">
        <f t="shared" si="278"/>
        <v/>
      </c>
      <c r="M363" s="5" t="str">
        <f t="shared" si="279"/>
        <v/>
      </c>
      <c r="N363" s="5" t="str">
        <f t="shared" si="280"/>
        <v/>
      </c>
    </row>
    <row r="364" spans="2:14" hidden="1">
      <c r="B364" s="5" t="s">
        <v>374</v>
      </c>
      <c r="C364" s="5" t="str">
        <f t="shared" ca="1" si="281"/>
        <v>Veiklos pajamos 3 (privataus ir NVO sektoriaus)</v>
      </c>
      <c r="D364" t="str">
        <f t="shared" si="282"/>
        <v>False</v>
      </c>
      <c r="E364" s="259" t="str">
        <f t="shared" si="271"/>
        <v>Ne</v>
      </c>
      <c r="F364" s="196" t="str">
        <f t="shared" si="272"/>
        <v/>
      </c>
      <c r="G364" s="5" t="str">
        <f t="shared" si="273"/>
        <v/>
      </c>
      <c r="H364" s="5" t="str">
        <f t="shared" si="274"/>
        <v/>
      </c>
      <c r="I364" s="5" t="str">
        <f t="shared" si="275"/>
        <v/>
      </c>
      <c r="J364" s="5" t="str">
        <f t="shared" si="276"/>
        <v/>
      </c>
      <c r="K364" s="5" t="str">
        <f t="shared" si="277"/>
        <v/>
      </c>
      <c r="L364" s="5" t="str">
        <f t="shared" si="278"/>
        <v/>
      </c>
      <c r="M364" s="5" t="str">
        <f t="shared" si="279"/>
        <v/>
      </c>
      <c r="N364" s="5" t="str">
        <f t="shared" si="280"/>
        <v/>
      </c>
    </row>
    <row r="365" spans="2:14" hidden="1">
      <c r="B365" s="5" t="s">
        <v>375</v>
      </c>
      <c r="C365" s="5" t="str">
        <f t="shared" ca="1" si="281"/>
        <v>Veiklos pajamos 4 (privataus ir NVO sektoriaus)</v>
      </c>
      <c r="D365" t="str">
        <f t="shared" si="282"/>
        <v>False</v>
      </c>
      <c r="E365" s="259" t="str">
        <f t="shared" si="271"/>
        <v>Ne</v>
      </c>
      <c r="F365" s="196" t="str">
        <f t="shared" si="272"/>
        <v/>
      </c>
      <c r="G365" s="5" t="str">
        <f t="shared" si="273"/>
        <v/>
      </c>
      <c r="H365" s="5" t="str">
        <f t="shared" si="274"/>
        <v/>
      </c>
      <c r="I365" s="5" t="str">
        <f t="shared" si="275"/>
        <v/>
      </c>
      <c r="J365" s="5" t="str">
        <f t="shared" si="276"/>
        <v/>
      </c>
      <c r="K365" s="5" t="str">
        <f t="shared" si="277"/>
        <v/>
      </c>
      <c r="L365" s="5" t="str">
        <f t="shared" si="278"/>
        <v/>
      </c>
      <c r="M365" s="5" t="str">
        <f t="shared" si="279"/>
        <v/>
      </c>
      <c r="N365" s="5" t="str">
        <f t="shared" si="280"/>
        <v/>
      </c>
    </row>
    <row r="366" spans="2:14" hidden="1">
      <c r="B366" s="5" t="s">
        <v>376</v>
      </c>
      <c r="C366" s="5" t="str">
        <f t="shared" ca="1" si="281"/>
        <v>Veiklos pajamos 5 (privataus ir NVO sektoriaus)</v>
      </c>
      <c r="D366" t="str">
        <f t="shared" si="282"/>
        <v>False</v>
      </c>
      <c r="E366" s="259" t="str">
        <f t="shared" si="271"/>
        <v>Ne</v>
      </c>
      <c r="F366" s="196" t="str">
        <f t="shared" si="272"/>
        <v/>
      </c>
      <c r="G366" s="5" t="str">
        <f t="shared" si="273"/>
        <v/>
      </c>
      <c r="H366" s="5" t="str">
        <f t="shared" si="274"/>
        <v/>
      </c>
      <c r="I366" s="5" t="str">
        <f t="shared" si="275"/>
        <v/>
      </c>
      <c r="J366" s="5" t="str">
        <f t="shared" si="276"/>
        <v/>
      </c>
      <c r="K366" s="5" t="str">
        <f t="shared" si="277"/>
        <v/>
      </c>
      <c r="L366" s="5" t="str">
        <f t="shared" si="278"/>
        <v/>
      </c>
      <c r="M366" s="5" t="str">
        <f t="shared" si="279"/>
        <v/>
      </c>
      <c r="N366" s="5" t="str">
        <f t="shared" si="280"/>
        <v/>
      </c>
    </row>
    <row r="367" spans="2:14" hidden="1">
      <c r="B367" s="5" t="s">
        <v>149</v>
      </c>
      <c r="C367" s="5" t="str">
        <f t="shared" ca="1" si="281"/>
        <v>MOKESTINĖS PAJAMOS</v>
      </c>
      <c r="D367" t="str">
        <f t="shared" si="282"/>
        <v>False</v>
      </c>
      <c r="E367" s="259" t="str">
        <f t="shared" si="271"/>
        <v>Ne</v>
      </c>
      <c r="F367" s="196" t="str">
        <f t="shared" si="272"/>
        <v/>
      </c>
      <c r="G367" s="5" t="str">
        <f t="shared" si="273"/>
        <v/>
      </c>
      <c r="H367" s="5" t="str">
        <f t="shared" si="274"/>
        <v/>
      </c>
      <c r="I367" s="5" t="str">
        <f t="shared" si="275"/>
        <v/>
      </c>
      <c r="J367" s="5" t="str">
        <f t="shared" si="276"/>
        <v/>
      </c>
      <c r="K367" s="5" t="str">
        <f t="shared" si="277"/>
        <v/>
      </c>
      <c r="L367" s="5" t="str">
        <f t="shared" si="278"/>
        <v/>
      </c>
      <c r="M367" s="5" t="str">
        <f t="shared" si="279"/>
        <v/>
      </c>
      <c r="N367" s="5" t="str">
        <f t="shared" si="280"/>
        <v/>
      </c>
    </row>
    <row r="368" spans="2:14">
      <c r="B368" s="5" t="s">
        <v>27</v>
      </c>
      <c r="C368" s="5" t="str">
        <f t="shared" ca="1" si="281"/>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368" t="str">
        <f t="shared" si="282"/>
        <v>True</v>
      </c>
      <c r="E368" s="259" t="str">
        <f t="shared" si="271"/>
        <v>Ne</v>
      </c>
      <c r="F368" s="196" t="str">
        <f t="shared" si="272"/>
        <v/>
      </c>
      <c r="G368" s="5" t="str">
        <f t="shared" si="273"/>
        <v/>
      </c>
      <c r="H368" s="5" t="str">
        <f t="shared" si="274"/>
        <v/>
      </c>
      <c r="I368" s="5" t="str">
        <f t="shared" si="275"/>
        <v/>
      </c>
      <c r="J368" s="5" t="str">
        <f t="shared" si="276"/>
        <v/>
      </c>
      <c r="K368" s="5" t="str">
        <f t="shared" si="277"/>
        <v/>
      </c>
      <c r="L368" s="5" t="str">
        <f t="shared" si="278"/>
        <v/>
      </c>
      <c r="M368" s="5" t="str">
        <f t="shared" si="279"/>
        <v/>
      </c>
      <c r="N368" s="5" t="str">
        <f t="shared" si="280"/>
        <v/>
      </c>
    </row>
    <row r="369" spans="2:14">
      <c r="B369" s="5" t="s">
        <v>377</v>
      </c>
      <c r="C369" s="5" t="str">
        <f t="shared" ca="1" si="281"/>
        <v>Ekonominės diplomatijos plėtros sukurta pridėtinė vertė</v>
      </c>
      <c r="D369" t="str">
        <f t="shared" si="282"/>
        <v>True</v>
      </c>
      <c r="E369" s="259" t="str">
        <f t="shared" si="271"/>
        <v>Ne</v>
      </c>
      <c r="F369" s="196" t="str">
        <f t="shared" si="272"/>
        <v/>
      </c>
      <c r="G369" s="5" t="str">
        <f t="shared" si="273"/>
        <v/>
      </c>
      <c r="H369" s="5" t="str">
        <f t="shared" si="274"/>
        <v/>
      </c>
      <c r="I369" s="5" t="str">
        <f t="shared" si="275"/>
        <v/>
      </c>
      <c r="J369" s="5" t="str">
        <f t="shared" si="276"/>
        <v/>
      </c>
      <c r="K369" s="5" t="str">
        <f t="shared" si="277"/>
        <v/>
      </c>
      <c r="L369" s="5" t="str">
        <f t="shared" si="278"/>
        <v/>
      </c>
      <c r="M369" s="5" t="str">
        <f t="shared" si="279"/>
        <v/>
      </c>
      <c r="N369" s="5" t="str">
        <f t="shared" si="280"/>
        <v/>
      </c>
    </row>
    <row r="370" spans="2:14">
      <c r="B370" s="5" t="s">
        <v>378</v>
      </c>
      <c r="C370" s="5" t="str">
        <f t="shared" ca="1" si="281"/>
        <v>Naujų atstovybių sukurta pridėtinė vertė</v>
      </c>
      <c r="D370" t="str">
        <f t="shared" si="282"/>
        <v>True</v>
      </c>
      <c r="E370" s="259" t="str">
        <f t="shared" si="271"/>
        <v>Ne</v>
      </c>
      <c r="F370" s="196" t="str">
        <f t="shared" si="272"/>
        <v/>
      </c>
      <c r="G370" s="5" t="str">
        <f t="shared" si="273"/>
        <v/>
      </c>
      <c r="H370" s="5" t="str">
        <f t="shared" si="274"/>
        <v/>
      </c>
      <c r="I370" s="5" t="str">
        <f t="shared" si="275"/>
        <v/>
      </c>
      <c r="J370" s="5" t="str">
        <f t="shared" si="276"/>
        <v/>
      </c>
      <c r="K370" s="5" t="str">
        <f t="shared" si="277"/>
        <v/>
      </c>
      <c r="L370" s="5" t="str">
        <f t="shared" si="278"/>
        <v/>
      </c>
      <c r="M370" s="5" t="str">
        <f t="shared" si="279"/>
        <v/>
      </c>
      <c r="N370" s="5" t="str">
        <f t="shared" si="280"/>
        <v/>
      </c>
    </row>
    <row r="371" spans="2:14" hidden="1">
      <c r="B371" s="5" t="s">
        <v>379</v>
      </c>
      <c r="C371" s="5" t="str">
        <f t="shared" ca="1" si="281"/>
        <v/>
      </c>
      <c r="D371" t="str">
        <f t="shared" si="282"/>
        <v>False</v>
      </c>
      <c r="E371" s="259" t="str">
        <f t="shared" si="271"/>
        <v>Ne</v>
      </c>
      <c r="F371" s="196" t="str">
        <f t="shared" si="272"/>
        <v/>
      </c>
      <c r="G371" s="5" t="str">
        <f t="shared" si="273"/>
        <v/>
      </c>
      <c r="H371" s="5" t="str">
        <f t="shared" si="274"/>
        <v/>
      </c>
      <c r="I371" s="5" t="str">
        <f t="shared" si="275"/>
        <v/>
      </c>
      <c r="J371" s="5" t="str">
        <f t="shared" si="276"/>
        <v/>
      </c>
      <c r="K371" s="5" t="str">
        <f t="shared" si="277"/>
        <v/>
      </c>
      <c r="L371" s="5" t="str">
        <f t="shared" si="278"/>
        <v/>
      </c>
      <c r="M371" s="5" t="str">
        <f t="shared" si="279"/>
        <v/>
      </c>
      <c r="N371" s="5" t="str">
        <f t="shared" si="280"/>
        <v/>
      </c>
    </row>
    <row r="372" spans="2:14" hidden="1">
      <c r="B372" s="5" t="s">
        <v>380</v>
      </c>
      <c r="C372" s="5" t="str">
        <f t="shared" ca="1" si="281"/>
        <v/>
      </c>
      <c r="D372" t="str">
        <f t="shared" si="282"/>
        <v>False</v>
      </c>
      <c r="E372" s="259" t="str">
        <f t="shared" si="271"/>
        <v>Ne</v>
      </c>
      <c r="F372" s="196" t="str">
        <f t="shared" si="272"/>
        <v/>
      </c>
      <c r="G372" s="5" t="str">
        <f t="shared" si="273"/>
        <v/>
      </c>
      <c r="H372" s="5" t="str">
        <f t="shared" si="274"/>
        <v/>
      </c>
      <c r="I372" s="5" t="str">
        <f t="shared" si="275"/>
        <v/>
      </c>
      <c r="J372" s="5" t="str">
        <f t="shared" si="276"/>
        <v/>
      </c>
      <c r="K372" s="5" t="str">
        <f t="shared" si="277"/>
        <v/>
      </c>
      <c r="L372" s="5" t="str">
        <f t="shared" si="278"/>
        <v/>
      </c>
      <c r="M372" s="5" t="str">
        <f t="shared" si="279"/>
        <v/>
      </c>
      <c r="N372" s="5" t="str">
        <f t="shared" si="280"/>
        <v/>
      </c>
    </row>
    <row r="373" spans="2:14" hidden="1">
      <c r="B373" s="5" t="s">
        <v>381</v>
      </c>
      <c r="C373" s="5" t="str">
        <f t="shared" ca="1" si="281"/>
        <v/>
      </c>
      <c r="D373" t="str">
        <f t="shared" si="282"/>
        <v>False</v>
      </c>
      <c r="E373" s="259" t="str">
        <f t="shared" si="271"/>
        <v>Ne</v>
      </c>
      <c r="F373" s="196" t="str">
        <f t="shared" si="272"/>
        <v/>
      </c>
      <c r="G373" s="5" t="str">
        <f t="shared" si="273"/>
        <v/>
      </c>
      <c r="H373" s="5" t="str">
        <f t="shared" si="274"/>
        <v/>
      </c>
      <c r="I373" s="5" t="str">
        <f t="shared" si="275"/>
        <v/>
      </c>
      <c r="J373" s="5" t="str">
        <f t="shared" si="276"/>
        <v/>
      </c>
      <c r="K373" s="5" t="str">
        <f t="shared" si="277"/>
        <v/>
      </c>
      <c r="L373" s="5" t="str">
        <f t="shared" si="278"/>
        <v/>
      </c>
      <c r="M373" s="5" t="str">
        <f t="shared" si="279"/>
        <v/>
      </c>
      <c r="N373" s="5" t="str">
        <f t="shared" si="280"/>
        <v/>
      </c>
    </row>
    <row r="374" spans="2:14" hidden="1">
      <c r="B374" s="5" t="s">
        <v>382</v>
      </c>
      <c r="C374" s="5" t="str">
        <f t="shared" ca="1" si="281"/>
        <v/>
      </c>
      <c r="D374" t="str">
        <f t="shared" si="282"/>
        <v>False</v>
      </c>
      <c r="E374" s="259" t="str">
        <f t="shared" si="271"/>
        <v>Ne</v>
      </c>
      <c r="F374" s="196" t="str">
        <f t="shared" si="272"/>
        <v/>
      </c>
      <c r="G374" s="5" t="str">
        <f t="shared" si="273"/>
        <v/>
      </c>
      <c r="H374" s="5" t="str">
        <f t="shared" si="274"/>
        <v/>
      </c>
      <c r="I374" s="5" t="str">
        <f t="shared" si="275"/>
        <v/>
      </c>
      <c r="J374" s="5" t="str">
        <f t="shared" si="276"/>
        <v/>
      </c>
      <c r="K374" s="5" t="str">
        <f t="shared" si="277"/>
        <v/>
      </c>
      <c r="L374" s="5" t="str">
        <f t="shared" si="278"/>
        <v/>
      </c>
      <c r="M374" s="5" t="str">
        <f t="shared" si="279"/>
        <v/>
      </c>
      <c r="N374" s="5" t="str">
        <f t="shared" si="280"/>
        <v/>
      </c>
    </row>
    <row r="375" spans="2:14" hidden="1">
      <c r="B375" s="5" t="s">
        <v>383</v>
      </c>
      <c r="C375" s="5" t="str">
        <f t="shared" ca="1" si="281"/>
        <v/>
      </c>
      <c r="D375" t="str">
        <f t="shared" si="282"/>
        <v>False</v>
      </c>
      <c r="E375" s="259" t="str">
        <f t="shared" si="271"/>
        <v>Ne</v>
      </c>
      <c r="F375" s="196" t="str">
        <f t="shared" si="272"/>
        <v/>
      </c>
      <c r="G375" s="5" t="str">
        <f t="shared" si="273"/>
        <v/>
      </c>
      <c r="H375" s="5" t="str">
        <f t="shared" si="274"/>
        <v/>
      </c>
      <c r="I375" s="5" t="str">
        <f t="shared" si="275"/>
        <v/>
      </c>
      <c r="J375" s="5" t="str">
        <f t="shared" si="276"/>
        <v/>
      </c>
      <c r="K375" s="5" t="str">
        <f t="shared" si="277"/>
        <v/>
      </c>
      <c r="L375" s="5" t="str">
        <f t="shared" si="278"/>
        <v/>
      </c>
      <c r="M375" s="5" t="str">
        <f t="shared" si="279"/>
        <v/>
      </c>
      <c r="N375" s="5" t="str">
        <f t="shared" si="280"/>
        <v/>
      </c>
    </row>
    <row r="376" spans="2:14" hidden="1">
      <c r="B376" s="5" t="s">
        <v>384</v>
      </c>
      <c r="C376" s="5" t="str">
        <f t="shared" ca="1" si="281"/>
        <v/>
      </c>
      <c r="D376" t="str">
        <f t="shared" si="282"/>
        <v>False</v>
      </c>
      <c r="E376" s="259" t="str">
        <f t="shared" si="271"/>
        <v>Ne</v>
      </c>
      <c r="F376" s="196" t="str">
        <f t="shared" si="272"/>
        <v/>
      </c>
      <c r="G376" s="5" t="str">
        <f t="shared" si="273"/>
        <v/>
      </c>
      <c r="H376" s="5" t="str">
        <f t="shared" si="274"/>
        <v/>
      </c>
      <c r="I376" s="5" t="str">
        <f t="shared" si="275"/>
        <v/>
      </c>
      <c r="J376" s="5" t="str">
        <f t="shared" si="276"/>
        <v/>
      </c>
      <c r="K376" s="5" t="str">
        <f t="shared" si="277"/>
        <v/>
      </c>
      <c r="L376" s="5" t="str">
        <f t="shared" si="278"/>
        <v/>
      </c>
      <c r="M376" s="5" t="str">
        <f t="shared" si="279"/>
        <v/>
      </c>
      <c r="N376" s="5" t="str">
        <f t="shared" si="280"/>
        <v/>
      </c>
    </row>
    <row r="377" spans="2:14" hidden="1">
      <c r="B377" s="5" t="s">
        <v>385</v>
      </c>
      <c r="C377" s="5" t="str">
        <f t="shared" ca="1" si="281"/>
        <v/>
      </c>
      <c r="D377" t="str">
        <f t="shared" si="282"/>
        <v>False</v>
      </c>
      <c r="E377" s="259" t="str">
        <f t="shared" si="271"/>
        <v>Ne</v>
      </c>
      <c r="F377" s="196" t="str">
        <f t="shared" si="272"/>
        <v/>
      </c>
      <c r="G377" s="5" t="str">
        <f t="shared" si="273"/>
        <v/>
      </c>
      <c r="H377" s="5" t="str">
        <f t="shared" si="274"/>
        <v/>
      </c>
      <c r="I377" s="5" t="str">
        <f t="shared" si="275"/>
        <v/>
      </c>
      <c r="J377" s="5" t="str">
        <f t="shared" si="276"/>
        <v/>
      </c>
      <c r="K377" s="5" t="str">
        <f t="shared" si="277"/>
        <v/>
      </c>
      <c r="L377" s="5" t="str">
        <f t="shared" si="278"/>
        <v/>
      </c>
      <c r="M377" s="5" t="str">
        <f t="shared" si="279"/>
        <v/>
      </c>
      <c r="N377" s="5" t="str">
        <f t="shared" si="280"/>
        <v/>
      </c>
    </row>
    <row r="378" spans="2:14" hidden="1">
      <c r="B378" s="5" t="s">
        <v>386</v>
      </c>
      <c r="C378" s="5" t="str">
        <f t="shared" ca="1" si="281"/>
        <v/>
      </c>
      <c r="D378" t="str">
        <f t="shared" si="282"/>
        <v>False</v>
      </c>
      <c r="E378" s="259" t="str">
        <f t="shared" si="271"/>
        <v>Ne</v>
      </c>
      <c r="F378" s="196" t="str">
        <f t="shared" si="272"/>
        <v/>
      </c>
      <c r="G378" s="5" t="str">
        <f t="shared" si="273"/>
        <v/>
      </c>
      <c r="H378" s="5" t="str">
        <f t="shared" si="274"/>
        <v/>
      </c>
      <c r="I378" s="5" t="str">
        <f t="shared" si="275"/>
        <v/>
      </c>
      <c r="J378" s="5" t="str">
        <f t="shared" si="276"/>
        <v/>
      </c>
      <c r="K378" s="5" t="str">
        <f t="shared" si="277"/>
        <v/>
      </c>
      <c r="L378" s="5" t="str">
        <f t="shared" si="278"/>
        <v/>
      </c>
      <c r="M378" s="5" t="str">
        <f t="shared" si="279"/>
        <v/>
      </c>
      <c r="N378" s="5" t="str">
        <f t="shared" si="280"/>
        <v/>
      </c>
    </row>
    <row r="379" spans="2:14"/>
    <row r="380" spans="2:14"/>
  </sheetData>
  <sheetProtection algorithmName="SHA-512" hashValue="2951o19i63Ug55Ztc0cxSL8WYU0AsQV3sSdZkqlOuV/3EYchwau5Xid13TicOxsaKV3p3tMGw/BwrQ/vo31amA==" saltValue="8wONex1mIS/K4b6tYbpsJA=="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I113:DC115 H116:DC129 H7:DC112">
    <cfRule type="containsBlanks" dxfId="9" priority="23">
      <formula>LEN(TRIM(H7))=0</formula>
    </cfRule>
  </conditionalFormatting>
  <conditionalFormatting sqref="H113:DC115">
    <cfRule type="containsBlanks" dxfId="8" priority="3">
      <formula>LEN(TRIM(H113))=0</formula>
    </cfRule>
  </conditionalFormatting>
  <conditionalFormatting sqref="E152:F160">
    <cfRule type="containsText" dxfId="7" priority="2" operator="containsText" text="Įveskite">
      <formula>NOT(ISERROR(SEARCH("Įveskite",E152)))</formula>
    </cfRule>
  </conditionalFormatting>
  <conditionalFormatting sqref="E274:E379">
    <cfRule type="expression" dxfId="6" priority="1">
      <formula>$E274="Taip"</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E00-000000000000}"/>
    <dataValidation allowBlank="1" sqref="B12:C129 DE12:DE129" xr:uid="{00000000-0002-0000-0E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E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E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3695700</xdr:colOff>
                    <xdr:row>3</xdr:row>
                    <xdr:rowOff>152400</xdr:rowOff>
                  </from>
                  <to>
                    <xdr:col>2</xdr:col>
                    <xdr:colOff>5905500</xdr:colOff>
                    <xdr:row>3</xdr:row>
                    <xdr:rowOff>601980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1554480</xdr:colOff>
                    <xdr:row>3</xdr:row>
                    <xdr:rowOff>175260</xdr:rowOff>
                  </from>
                  <to>
                    <xdr:col>2</xdr:col>
                    <xdr:colOff>3055620</xdr:colOff>
                    <xdr:row>3</xdr:row>
                    <xdr:rowOff>609600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2">
    <tabColor theme="8" tint="0.59999389629810485"/>
    <pageSetUpPr fitToPage="1"/>
  </sheetPr>
  <dimension ref="A1:DH281"/>
  <sheetViews>
    <sheetView showGridLines="0" showRowColHeaders="0" zoomScale="90" zoomScaleNormal="90" workbookViewId="0">
      <pane xSplit="4" ySplit="4" topLeftCell="E5" activePane="bottomRight" state="frozenSplit"/>
      <selection activeCell="C20" sqref="C20"/>
      <selection pane="topRight" activeCell="C20" sqref="C20"/>
      <selection pane="bottomLeft" activeCell="C20" sqref="C20"/>
      <selection pane="bottomRight" activeCell="C20" sqref="C20"/>
    </sheetView>
  </sheetViews>
  <sheetFormatPr defaultColWidth="0" defaultRowHeight="14.4" zeroHeight="1"/>
  <cols>
    <col min="1" max="1" width="3.6640625" customWidth="1"/>
    <col min="2" max="2" width="6.6640625" customWidth="1"/>
    <col min="3" max="3" width="74.88671875" customWidth="1"/>
    <col min="4" max="4" width="9.5546875" hidden="1" customWidth="1"/>
    <col min="5" max="5" width="21.6640625" customWidth="1"/>
    <col min="6" max="6" width="23.33203125" customWidth="1"/>
    <col min="7" max="7" width="24.44140625" customWidth="1"/>
    <col min="8" max="8" width="25.44140625" customWidth="1"/>
    <col min="9" max="9" width="25.109375" customWidth="1"/>
    <col min="10" max="10" width="7" hidden="1" customWidth="1"/>
    <col min="11" max="11" width="6.6640625" customWidth="1"/>
    <col min="12" max="107" width="14.6640625" hidden="1" customWidth="1"/>
    <col min="108" max="108" width="0.109375" hidden="1" customWidth="1"/>
    <col min="109" max="111" width="9.109375" hidden="1" customWidth="1"/>
    <col min="112" max="112" width="13.6640625" hidden="1" customWidth="1"/>
  </cols>
  <sheetData>
    <row r="1" spans="1:112" ht="9" customHeight="1"/>
    <row r="2" spans="1:112" ht="14.25" customHeight="1">
      <c r="B2" s="18" t="s">
        <v>430</v>
      </c>
      <c r="C2" s="18"/>
    </row>
    <row r="3" spans="1:112" ht="17.25" customHeight="1">
      <c r="B3" s="114" t="str">
        <f ca="1">IF(Opt_alt="","",INDIRECT("'" &amp; Opt_alt &amp;"'!B3"))</f>
        <v xml:space="preserve">Politinės/ekonominės svarbos scenarijus
</v>
      </c>
      <c r="C3" s="195"/>
      <c r="D3" s="195"/>
      <c r="E3" s="196"/>
    </row>
    <row r="4" spans="1:112" ht="46.5" customHeight="1"/>
    <row r="5" spans="1:112" ht="15" hidden="1" customHeight="1" thickBot="1">
      <c r="B5" s="18" t="s">
        <v>206</v>
      </c>
      <c r="F5" s="867" t="s">
        <v>32</v>
      </c>
      <c r="G5" s="868"/>
      <c r="H5" s="149">
        <v>0</v>
      </c>
      <c r="I5" s="150">
        <v>1</v>
      </c>
      <c r="J5" s="150">
        <v>2</v>
      </c>
      <c r="K5" s="150">
        <v>3</v>
      </c>
      <c r="L5" s="150">
        <v>4</v>
      </c>
      <c r="M5" s="150">
        <v>5</v>
      </c>
      <c r="N5" s="150">
        <v>6</v>
      </c>
      <c r="O5" s="150">
        <v>7</v>
      </c>
      <c r="P5" s="150">
        <v>8</v>
      </c>
      <c r="Q5" s="150">
        <v>9</v>
      </c>
      <c r="R5" s="150">
        <v>10</v>
      </c>
      <c r="S5" s="150">
        <v>11</v>
      </c>
      <c r="T5" s="150">
        <v>12</v>
      </c>
      <c r="U5" s="150">
        <v>13</v>
      </c>
      <c r="V5" s="150">
        <v>14</v>
      </c>
      <c r="W5" s="150">
        <v>15</v>
      </c>
      <c r="X5" s="150">
        <v>16</v>
      </c>
      <c r="Y5" s="150">
        <v>17</v>
      </c>
      <c r="Z5" s="150">
        <v>18</v>
      </c>
      <c r="AA5" s="150">
        <v>19</v>
      </c>
      <c r="AB5" s="150">
        <v>20</v>
      </c>
      <c r="AC5" s="150">
        <v>21</v>
      </c>
      <c r="AD5" s="150">
        <v>22</v>
      </c>
      <c r="AE5" s="150">
        <v>23</v>
      </c>
      <c r="AF5" s="150">
        <v>24</v>
      </c>
      <c r="AG5" s="150">
        <v>25</v>
      </c>
      <c r="AH5" s="150">
        <v>26</v>
      </c>
      <c r="AI5" s="150">
        <v>27</v>
      </c>
      <c r="AJ5" s="150">
        <v>28</v>
      </c>
      <c r="AK5" s="150">
        <v>29</v>
      </c>
      <c r="AL5" s="150">
        <v>30</v>
      </c>
      <c r="AM5" s="150">
        <v>31</v>
      </c>
      <c r="AN5" s="150">
        <v>32</v>
      </c>
      <c r="AO5" s="150">
        <v>33</v>
      </c>
      <c r="AP5" s="150">
        <v>34</v>
      </c>
      <c r="AQ5" s="150">
        <v>35</v>
      </c>
      <c r="AR5" s="150">
        <v>36</v>
      </c>
      <c r="AS5" s="150">
        <v>37</v>
      </c>
      <c r="AT5" s="150">
        <v>38</v>
      </c>
      <c r="AU5" s="150">
        <v>39</v>
      </c>
      <c r="AV5" s="150">
        <v>40</v>
      </c>
      <c r="AW5" s="150">
        <v>41</v>
      </c>
      <c r="AX5" s="150">
        <v>42</v>
      </c>
      <c r="AY5" s="150">
        <v>43</v>
      </c>
      <c r="AZ5" s="150">
        <v>44</v>
      </c>
      <c r="BA5" s="150">
        <v>45</v>
      </c>
      <c r="BB5" s="150">
        <v>46</v>
      </c>
      <c r="BC5" s="150">
        <v>47</v>
      </c>
      <c r="BD5" s="150">
        <v>48</v>
      </c>
      <c r="BE5" s="150">
        <v>49</v>
      </c>
      <c r="BF5" s="150">
        <v>50</v>
      </c>
      <c r="BG5" s="150">
        <v>51</v>
      </c>
      <c r="BH5" s="150">
        <v>52</v>
      </c>
      <c r="BI5" s="150">
        <v>53</v>
      </c>
      <c r="BJ5" s="150">
        <v>54</v>
      </c>
      <c r="BK5" s="150">
        <v>55</v>
      </c>
      <c r="BL5" s="150">
        <v>56</v>
      </c>
      <c r="BM5" s="150">
        <v>57</v>
      </c>
      <c r="BN5" s="150">
        <v>58</v>
      </c>
      <c r="BO5" s="150">
        <v>59</v>
      </c>
      <c r="BP5" s="150">
        <v>60</v>
      </c>
      <c r="BQ5" s="150">
        <v>61</v>
      </c>
      <c r="BR5" s="150">
        <v>62</v>
      </c>
      <c r="BS5" s="150">
        <v>63</v>
      </c>
      <c r="BT5" s="150">
        <v>64</v>
      </c>
      <c r="BU5" s="150">
        <v>65</v>
      </c>
      <c r="BV5" s="150">
        <v>66</v>
      </c>
      <c r="BW5" s="150">
        <v>67</v>
      </c>
      <c r="BX5" s="150">
        <v>68</v>
      </c>
      <c r="BY5" s="150">
        <v>69</v>
      </c>
      <c r="BZ5" s="150">
        <v>70</v>
      </c>
      <c r="CA5" s="150">
        <v>71</v>
      </c>
      <c r="CB5" s="150">
        <v>72</v>
      </c>
      <c r="CC5" s="150">
        <v>73</v>
      </c>
      <c r="CD5" s="150">
        <v>74</v>
      </c>
      <c r="CE5" s="150">
        <v>75</v>
      </c>
      <c r="CF5" s="150">
        <v>76</v>
      </c>
      <c r="CG5" s="150">
        <v>77</v>
      </c>
      <c r="CH5" s="150">
        <v>78</v>
      </c>
      <c r="CI5" s="150">
        <v>79</v>
      </c>
      <c r="CJ5" s="150">
        <v>80</v>
      </c>
      <c r="CK5" s="150">
        <v>81</v>
      </c>
      <c r="CL5" s="150">
        <v>82</v>
      </c>
      <c r="CM5" s="150">
        <v>83</v>
      </c>
      <c r="CN5" s="150">
        <v>84</v>
      </c>
      <c r="CO5" s="150">
        <v>85</v>
      </c>
      <c r="CP5" s="150">
        <v>86</v>
      </c>
      <c r="CQ5" s="150">
        <v>87</v>
      </c>
      <c r="CR5" s="150">
        <v>88</v>
      </c>
      <c r="CS5" s="150">
        <v>89</v>
      </c>
      <c r="CT5" s="150">
        <v>90</v>
      </c>
      <c r="CU5" s="150">
        <v>91</v>
      </c>
      <c r="CV5" s="150">
        <v>92</v>
      </c>
      <c r="CW5" s="150">
        <v>93</v>
      </c>
      <c r="CX5" s="150">
        <v>94</v>
      </c>
      <c r="CY5" s="150">
        <v>95</v>
      </c>
      <c r="CZ5" s="150">
        <v>96</v>
      </c>
      <c r="DA5" s="150">
        <v>97</v>
      </c>
      <c r="DB5" s="150">
        <v>98</v>
      </c>
      <c r="DC5" s="150">
        <v>99</v>
      </c>
      <c r="DE5" t="s">
        <v>5</v>
      </c>
      <c r="DF5" t="s">
        <v>422</v>
      </c>
      <c r="DG5">
        <v>103</v>
      </c>
    </row>
    <row r="6" spans="1:112" s="25" customFormat="1" ht="34.5" hidden="1" customHeight="1" thickBot="1">
      <c r="B6" s="154" t="s">
        <v>3</v>
      </c>
      <c r="C6" s="155" t="s">
        <v>161</v>
      </c>
      <c r="D6" s="156"/>
      <c r="E6" s="157" t="s">
        <v>210</v>
      </c>
      <c r="F6" s="158" t="s">
        <v>34</v>
      </c>
      <c r="G6" s="159" t="s">
        <v>33</v>
      </c>
      <c r="H6" s="126" t="str">
        <f ca="1">IF(PVP="",TEXT(TODAY(),"yyyy"),TEXT(PVP,"yyyy"))</f>
        <v>2022</v>
      </c>
      <c r="I6" s="155">
        <f ca="1">$H$6+I5</f>
        <v>2023</v>
      </c>
      <c r="J6" s="155">
        <f t="shared" ref="J6:BU6" ca="1" si="0">$H$6+J5</f>
        <v>2024</v>
      </c>
      <c r="K6" s="155">
        <f t="shared" ca="1" si="0"/>
        <v>2025</v>
      </c>
      <c r="L6" s="155">
        <f t="shared" ca="1" si="0"/>
        <v>2026</v>
      </c>
      <c r="M6" s="155">
        <f t="shared" ca="1" si="0"/>
        <v>2027</v>
      </c>
      <c r="N6" s="155">
        <f t="shared" ca="1" si="0"/>
        <v>2028</v>
      </c>
      <c r="O6" s="155">
        <f t="shared" ca="1" si="0"/>
        <v>2029</v>
      </c>
      <c r="P6" s="155">
        <f t="shared" ca="1" si="0"/>
        <v>2030</v>
      </c>
      <c r="Q6" s="155">
        <f t="shared" ca="1" si="0"/>
        <v>2031</v>
      </c>
      <c r="R6" s="155">
        <f t="shared" ca="1" si="0"/>
        <v>2032</v>
      </c>
      <c r="S6" s="155">
        <f t="shared" ca="1" si="0"/>
        <v>2033</v>
      </c>
      <c r="T6" s="155">
        <f t="shared" ca="1" si="0"/>
        <v>2034</v>
      </c>
      <c r="U6" s="155">
        <f t="shared" ca="1" si="0"/>
        <v>2035</v>
      </c>
      <c r="V6" s="155">
        <f t="shared" ca="1" si="0"/>
        <v>2036</v>
      </c>
      <c r="W6" s="155">
        <f t="shared" ca="1" si="0"/>
        <v>2037</v>
      </c>
      <c r="X6" s="155">
        <f t="shared" ca="1" si="0"/>
        <v>2038</v>
      </c>
      <c r="Y6" s="155">
        <f t="shared" ca="1" si="0"/>
        <v>2039</v>
      </c>
      <c r="Z6" s="155">
        <f t="shared" ca="1" si="0"/>
        <v>2040</v>
      </c>
      <c r="AA6" s="155">
        <f t="shared" ca="1" si="0"/>
        <v>2041</v>
      </c>
      <c r="AB6" s="155">
        <f t="shared" ca="1" si="0"/>
        <v>2042</v>
      </c>
      <c r="AC6" s="155">
        <f t="shared" ca="1" si="0"/>
        <v>2043</v>
      </c>
      <c r="AD6" s="155">
        <f t="shared" ca="1" si="0"/>
        <v>2044</v>
      </c>
      <c r="AE6" s="155">
        <f t="shared" ca="1" si="0"/>
        <v>2045</v>
      </c>
      <c r="AF6" s="155">
        <f t="shared" ca="1" si="0"/>
        <v>2046</v>
      </c>
      <c r="AG6" s="155">
        <f t="shared" ca="1" si="0"/>
        <v>2047</v>
      </c>
      <c r="AH6" s="155">
        <f t="shared" ca="1" si="0"/>
        <v>2048</v>
      </c>
      <c r="AI6" s="155">
        <f t="shared" ca="1" si="0"/>
        <v>2049</v>
      </c>
      <c r="AJ6" s="155">
        <f t="shared" ca="1" si="0"/>
        <v>2050</v>
      </c>
      <c r="AK6" s="155">
        <f t="shared" ca="1" si="0"/>
        <v>2051</v>
      </c>
      <c r="AL6" s="155">
        <f t="shared" ca="1" si="0"/>
        <v>2052</v>
      </c>
      <c r="AM6" s="155">
        <f t="shared" ca="1" si="0"/>
        <v>2053</v>
      </c>
      <c r="AN6" s="155">
        <f t="shared" ca="1" si="0"/>
        <v>2054</v>
      </c>
      <c r="AO6" s="155">
        <f t="shared" ca="1" si="0"/>
        <v>2055</v>
      </c>
      <c r="AP6" s="155">
        <f t="shared" ca="1" si="0"/>
        <v>2056</v>
      </c>
      <c r="AQ6" s="155">
        <f t="shared" ca="1" si="0"/>
        <v>2057</v>
      </c>
      <c r="AR6" s="155">
        <f t="shared" ca="1" si="0"/>
        <v>2058</v>
      </c>
      <c r="AS6" s="155">
        <f t="shared" ca="1" si="0"/>
        <v>2059</v>
      </c>
      <c r="AT6" s="155">
        <f t="shared" ca="1" si="0"/>
        <v>2060</v>
      </c>
      <c r="AU6" s="155">
        <f t="shared" ca="1" si="0"/>
        <v>2061</v>
      </c>
      <c r="AV6" s="155">
        <f t="shared" ca="1" si="0"/>
        <v>2062</v>
      </c>
      <c r="AW6" s="155">
        <f t="shared" ca="1" si="0"/>
        <v>2063</v>
      </c>
      <c r="AX6" s="155">
        <f t="shared" ca="1" si="0"/>
        <v>2064</v>
      </c>
      <c r="AY6" s="155">
        <f t="shared" ca="1" si="0"/>
        <v>2065</v>
      </c>
      <c r="AZ6" s="155">
        <f t="shared" ca="1" si="0"/>
        <v>2066</v>
      </c>
      <c r="BA6" s="155">
        <f t="shared" ca="1" si="0"/>
        <v>2067</v>
      </c>
      <c r="BB6" s="155">
        <f t="shared" ca="1" si="0"/>
        <v>2068</v>
      </c>
      <c r="BC6" s="155">
        <f t="shared" ca="1" si="0"/>
        <v>2069</v>
      </c>
      <c r="BD6" s="155">
        <f t="shared" ca="1" si="0"/>
        <v>2070</v>
      </c>
      <c r="BE6" s="155">
        <f t="shared" ca="1" si="0"/>
        <v>2071</v>
      </c>
      <c r="BF6" s="155">
        <f t="shared" ca="1" si="0"/>
        <v>2072</v>
      </c>
      <c r="BG6" s="155">
        <f t="shared" ca="1" si="0"/>
        <v>2073</v>
      </c>
      <c r="BH6" s="155">
        <f t="shared" ca="1" si="0"/>
        <v>2074</v>
      </c>
      <c r="BI6" s="155">
        <f t="shared" ca="1" si="0"/>
        <v>2075</v>
      </c>
      <c r="BJ6" s="155">
        <f t="shared" ca="1" si="0"/>
        <v>2076</v>
      </c>
      <c r="BK6" s="155">
        <f t="shared" ca="1" si="0"/>
        <v>2077</v>
      </c>
      <c r="BL6" s="155">
        <f t="shared" ca="1" si="0"/>
        <v>2078</v>
      </c>
      <c r="BM6" s="155">
        <f t="shared" ca="1" si="0"/>
        <v>2079</v>
      </c>
      <c r="BN6" s="155">
        <f t="shared" ca="1" si="0"/>
        <v>2080</v>
      </c>
      <c r="BO6" s="155">
        <f t="shared" ca="1" si="0"/>
        <v>2081</v>
      </c>
      <c r="BP6" s="155">
        <f t="shared" ca="1" si="0"/>
        <v>2082</v>
      </c>
      <c r="BQ6" s="155">
        <f t="shared" ca="1" si="0"/>
        <v>2083</v>
      </c>
      <c r="BR6" s="155">
        <f t="shared" ca="1" si="0"/>
        <v>2084</v>
      </c>
      <c r="BS6" s="155">
        <f t="shared" ca="1" si="0"/>
        <v>2085</v>
      </c>
      <c r="BT6" s="155">
        <f t="shared" ca="1" si="0"/>
        <v>2086</v>
      </c>
      <c r="BU6" s="155">
        <f t="shared" ca="1" si="0"/>
        <v>2087</v>
      </c>
      <c r="BV6" s="155">
        <f t="shared" ref="BV6:DC6" ca="1" si="1">$H$6+BV5</f>
        <v>2088</v>
      </c>
      <c r="BW6" s="155">
        <f t="shared" ca="1" si="1"/>
        <v>2089</v>
      </c>
      <c r="BX6" s="155">
        <f t="shared" ca="1" si="1"/>
        <v>2090</v>
      </c>
      <c r="BY6" s="155">
        <f t="shared" ca="1" si="1"/>
        <v>2091</v>
      </c>
      <c r="BZ6" s="155">
        <f t="shared" ca="1" si="1"/>
        <v>2092</v>
      </c>
      <c r="CA6" s="155">
        <f t="shared" ca="1" si="1"/>
        <v>2093</v>
      </c>
      <c r="CB6" s="155">
        <f t="shared" ca="1" si="1"/>
        <v>2094</v>
      </c>
      <c r="CC6" s="155">
        <f t="shared" ca="1" si="1"/>
        <v>2095</v>
      </c>
      <c r="CD6" s="155">
        <f t="shared" ca="1" si="1"/>
        <v>2096</v>
      </c>
      <c r="CE6" s="155">
        <f t="shared" ca="1" si="1"/>
        <v>2097</v>
      </c>
      <c r="CF6" s="155">
        <f t="shared" ca="1" si="1"/>
        <v>2098</v>
      </c>
      <c r="CG6" s="155">
        <f t="shared" ca="1" si="1"/>
        <v>2099</v>
      </c>
      <c r="CH6" s="155">
        <f t="shared" ca="1" si="1"/>
        <v>2100</v>
      </c>
      <c r="CI6" s="155">
        <f t="shared" ca="1" si="1"/>
        <v>2101</v>
      </c>
      <c r="CJ6" s="155">
        <f t="shared" ca="1" si="1"/>
        <v>2102</v>
      </c>
      <c r="CK6" s="155">
        <f t="shared" ca="1" si="1"/>
        <v>2103</v>
      </c>
      <c r="CL6" s="155">
        <f t="shared" ca="1" si="1"/>
        <v>2104</v>
      </c>
      <c r="CM6" s="155">
        <f t="shared" ca="1" si="1"/>
        <v>2105</v>
      </c>
      <c r="CN6" s="155">
        <f t="shared" ca="1" si="1"/>
        <v>2106</v>
      </c>
      <c r="CO6" s="155">
        <f t="shared" ca="1" si="1"/>
        <v>2107</v>
      </c>
      <c r="CP6" s="155">
        <f t="shared" ca="1" si="1"/>
        <v>2108</v>
      </c>
      <c r="CQ6" s="155">
        <f t="shared" ca="1" si="1"/>
        <v>2109</v>
      </c>
      <c r="CR6" s="155">
        <f t="shared" ca="1" si="1"/>
        <v>2110</v>
      </c>
      <c r="CS6" s="155">
        <f t="shared" ca="1" si="1"/>
        <v>2111</v>
      </c>
      <c r="CT6" s="155">
        <f t="shared" ca="1" si="1"/>
        <v>2112</v>
      </c>
      <c r="CU6" s="155">
        <f t="shared" ca="1" si="1"/>
        <v>2113</v>
      </c>
      <c r="CV6" s="155">
        <f t="shared" ca="1" si="1"/>
        <v>2114</v>
      </c>
      <c r="CW6" s="155">
        <f t="shared" ca="1" si="1"/>
        <v>2115</v>
      </c>
      <c r="CX6" s="155">
        <f t="shared" ca="1" si="1"/>
        <v>2116</v>
      </c>
      <c r="CY6" s="155">
        <f t="shared" ca="1" si="1"/>
        <v>2117</v>
      </c>
      <c r="CZ6" s="155">
        <f t="shared" ca="1" si="1"/>
        <v>2118</v>
      </c>
      <c r="DA6" s="155">
        <f t="shared" ca="1" si="1"/>
        <v>2119</v>
      </c>
      <c r="DB6" s="155">
        <f t="shared" ca="1" si="1"/>
        <v>2120</v>
      </c>
      <c r="DC6" s="159">
        <f t="shared" ca="1" si="1"/>
        <v>2121</v>
      </c>
      <c r="DF6" s="25">
        <v>6</v>
      </c>
      <c r="DG6" s="25" t="s">
        <v>231</v>
      </c>
      <c r="DH6" s="25" t="s">
        <v>253</v>
      </c>
    </row>
    <row r="7" spans="1:112" ht="15" hidden="1" customHeight="1">
      <c r="B7" s="199" t="s">
        <v>17</v>
      </c>
      <c r="C7" s="200" t="s">
        <v>39</v>
      </c>
      <c r="D7" s="231"/>
      <c r="E7" s="232"/>
      <c r="F7" s="201">
        <f ca="1">F8+F9+F89-F100</f>
        <v>133624892.96759719</v>
      </c>
      <c r="G7" s="202">
        <f ca="1">SUMIF($H$5:$DC$5,"&lt;="&amp;PAL,$H7:$DC7)</f>
        <v>198829806.24019569</v>
      </c>
      <c r="H7" s="203">
        <f ca="1">H8+H9+H89-H100</f>
        <v>1708000</v>
      </c>
      <c r="I7" s="204">
        <f ca="1">I8+I9+I89-I100</f>
        <v>4900980.7675320003</v>
      </c>
      <c r="J7" s="204">
        <f t="shared" ref="J7:BU7" ca="1" si="2">J8+J9+J89-J100</f>
        <v>7587358.9378861329</v>
      </c>
      <c r="K7" s="204">
        <f t="shared" ca="1" si="2"/>
        <v>10781120.3630432</v>
      </c>
      <c r="L7" s="204">
        <f t="shared" ca="1" si="2"/>
        <v>10183520.3630432</v>
      </c>
      <c r="M7" s="204">
        <f t="shared" ca="1" si="2"/>
        <v>10203520.3630432</v>
      </c>
      <c r="N7" s="204">
        <f t="shared" ca="1" si="2"/>
        <v>10183020.3630432</v>
      </c>
      <c r="O7" s="204">
        <f t="shared" ca="1" si="2"/>
        <v>10183020.3630432</v>
      </c>
      <c r="P7" s="204">
        <f t="shared" ca="1" si="2"/>
        <v>10183020.3630432</v>
      </c>
      <c r="Q7" s="204">
        <f t="shared" ca="1" si="2"/>
        <v>10183020.3630432</v>
      </c>
      <c r="R7" s="204">
        <f t="shared" ca="1" si="2"/>
        <v>10303020.3630432</v>
      </c>
      <c r="S7" s="204">
        <f t="shared" ca="1" si="2"/>
        <v>10423020.3630432</v>
      </c>
      <c r="T7" s="204">
        <f t="shared" ca="1" si="2"/>
        <v>10303020.3630432</v>
      </c>
      <c r="U7" s="204">
        <f t="shared" ca="1" si="2"/>
        <v>10423020.3630432</v>
      </c>
      <c r="V7" s="204">
        <f t="shared" ca="1" si="2"/>
        <v>10183020.3630432</v>
      </c>
      <c r="W7" s="204">
        <f t="shared" ca="1" si="2"/>
        <v>10183020.3630432</v>
      </c>
      <c r="X7" s="204">
        <f t="shared" ca="1" si="2"/>
        <v>10183020.3630432</v>
      </c>
      <c r="Y7" s="204">
        <f t="shared" ca="1" si="2"/>
        <v>10183020.3630432</v>
      </c>
      <c r="Z7" s="204">
        <f t="shared" ca="1" si="2"/>
        <v>10183020.3630432</v>
      </c>
      <c r="AA7" s="204">
        <f t="shared" ca="1" si="2"/>
        <v>10183020.3630432</v>
      </c>
      <c r="AB7" s="204">
        <f t="shared" ca="1" si="2"/>
        <v>10183020.3630432</v>
      </c>
      <c r="AC7" s="204">
        <f t="shared" ca="1" si="2"/>
        <v>2329431.8160736002</v>
      </c>
      <c r="AD7" s="204">
        <f t="shared" ca="1" si="2"/>
        <v>2329431.8160736002</v>
      </c>
      <c r="AE7" s="204">
        <f t="shared" ca="1" si="2"/>
        <v>2329431.8160736002</v>
      </c>
      <c r="AF7" s="204">
        <f t="shared" ca="1" si="2"/>
        <v>2329431.8160736002</v>
      </c>
      <c r="AG7" s="204">
        <f t="shared" ca="1" si="2"/>
        <v>2329431.8160736002</v>
      </c>
      <c r="AH7" s="204">
        <f t="shared" ca="1" si="2"/>
        <v>2329431.8160736002</v>
      </c>
      <c r="AI7" s="204">
        <f t="shared" ca="1" si="2"/>
        <v>2329431.8160736002</v>
      </c>
      <c r="AJ7" s="204">
        <f t="shared" ca="1" si="2"/>
        <v>2329431.8160736002</v>
      </c>
      <c r="AK7" s="204">
        <f t="shared" ca="1" si="2"/>
        <v>2329431.8160736002</v>
      </c>
      <c r="AL7" s="204">
        <f t="shared" ca="1" si="2"/>
        <v>2329431.8160736002</v>
      </c>
      <c r="AM7" s="204">
        <f t="shared" ca="1" si="2"/>
        <v>2329431.8160736002</v>
      </c>
      <c r="AN7" s="204">
        <f t="shared" ca="1" si="2"/>
        <v>2329431.8160736002</v>
      </c>
      <c r="AO7" s="204">
        <f t="shared" ca="1" si="2"/>
        <v>2329431.8160736002</v>
      </c>
      <c r="AP7" s="204">
        <f t="shared" ca="1" si="2"/>
        <v>2329431.8160736002</v>
      </c>
      <c r="AQ7" s="204">
        <f t="shared" ca="1" si="2"/>
        <v>2329431.8160736002</v>
      </c>
      <c r="AR7" s="204">
        <f t="shared" ca="1" si="2"/>
        <v>2329431.8160736002</v>
      </c>
      <c r="AS7" s="204">
        <f t="shared" ca="1" si="2"/>
        <v>2329431.8160736002</v>
      </c>
      <c r="AT7" s="204">
        <f t="shared" ca="1" si="2"/>
        <v>2329431.8160736002</v>
      </c>
      <c r="AU7" s="204">
        <f t="shared" ca="1" si="2"/>
        <v>2329431.8160736002</v>
      </c>
      <c r="AV7" s="204">
        <f t="shared" ca="1" si="2"/>
        <v>2329431.8160736002</v>
      </c>
      <c r="AW7" s="204">
        <f t="shared" ca="1" si="2"/>
        <v>2329431.8160736002</v>
      </c>
      <c r="AX7" s="204">
        <f t="shared" ca="1" si="2"/>
        <v>2329431.8160736002</v>
      </c>
      <c r="AY7" s="204">
        <f t="shared" ca="1" si="2"/>
        <v>2329431.8160736002</v>
      </c>
      <c r="AZ7" s="204">
        <f t="shared" ca="1" si="2"/>
        <v>2329431.8160736002</v>
      </c>
      <c r="BA7" s="204">
        <f t="shared" ca="1" si="2"/>
        <v>2329431.8160736002</v>
      </c>
      <c r="BB7" s="204">
        <f t="shared" ca="1" si="2"/>
        <v>2329431.8160736002</v>
      </c>
      <c r="BC7" s="204">
        <f t="shared" ca="1" si="2"/>
        <v>2329431.8160736002</v>
      </c>
      <c r="BD7" s="204">
        <f t="shared" ca="1" si="2"/>
        <v>2329431.8160736002</v>
      </c>
      <c r="BE7" s="204">
        <f t="shared" ca="1" si="2"/>
        <v>2329431.8160736002</v>
      </c>
      <c r="BF7" s="204">
        <f t="shared" ca="1" si="2"/>
        <v>2329431.8160736002</v>
      </c>
      <c r="BG7" s="204">
        <f t="shared" ca="1" si="2"/>
        <v>2329431.8160736002</v>
      </c>
      <c r="BH7" s="204">
        <f t="shared" ca="1" si="2"/>
        <v>2329431.8160736002</v>
      </c>
      <c r="BI7" s="204">
        <f t="shared" ca="1" si="2"/>
        <v>2329431.8160736002</v>
      </c>
      <c r="BJ7" s="204">
        <f t="shared" ca="1" si="2"/>
        <v>2329431.8160736002</v>
      </c>
      <c r="BK7" s="204">
        <f t="shared" ca="1" si="2"/>
        <v>2329431.8160736002</v>
      </c>
      <c r="BL7" s="204">
        <f t="shared" ca="1" si="2"/>
        <v>2329431.8160736002</v>
      </c>
      <c r="BM7" s="204">
        <f t="shared" ca="1" si="2"/>
        <v>2329431.8160736002</v>
      </c>
      <c r="BN7" s="204">
        <f t="shared" ca="1" si="2"/>
        <v>2329431.8160736002</v>
      </c>
      <c r="BO7" s="204">
        <f t="shared" ca="1" si="2"/>
        <v>2329431.8160736002</v>
      </c>
      <c r="BP7" s="204">
        <f t="shared" ca="1" si="2"/>
        <v>2329431.8160736002</v>
      </c>
      <c r="BQ7" s="204">
        <f t="shared" ca="1" si="2"/>
        <v>2329431.8160736002</v>
      </c>
      <c r="BR7" s="204">
        <f t="shared" ca="1" si="2"/>
        <v>2329431.8160736002</v>
      </c>
      <c r="BS7" s="204">
        <f t="shared" ca="1" si="2"/>
        <v>2329431.8160736002</v>
      </c>
      <c r="BT7" s="204">
        <f t="shared" ca="1" si="2"/>
        <v>2329431.8160736002</v>
      </c>
      <c r="BU7" s="204">
        <f t="shared" ca="1" si="2"/>
        <v>2329431.8160736002</v>
      </c>
      <c r="BV7" s="204">
        <f t="shared" ref="BV7:DC7" ca="1" si="3">BV8+BV9+BV89-BV100</f>
        <v>2329431.8160736002</v>
      </c>
      <c r="BW7" s="204">
        <f t="shared" ca="1" si="3"/>
        <v>2329431.8160736002</v>
      </c>
      <c r="BX7" s="204">
        <f t="shared" ca="1" si="3"/>
        <v>2329431.8160736002</v>
      </c>
      <c r="BY7" s="204">
        <f t="shared" ca="1" si="3"/>
        <v>2329431.8160736002</v>
      </c>
      <c r="BZ7" s="204">
        <f t="shared" ca="1" si="3"/>
        <v>2329431.8160736002</v>
      </c>
      <c r="CA7" s="204">
        <f t="shared" ca="1" si="3"/>
        <v>2329431.8160736002</v>
      </c>
      <c r="CB7" s="204">
        <f t="shared" ca="1" si="3"/>
        <v>2329431.8160736002</v>
      </c>
      <c r="CC7" s="204">
        <f t="shared" ca="1" si="3"/>
        <v>2329431.8160736002</v>
      </c>
      <c r="CD7" s="204">
        <f t="shared" ca="1" si="3"/>
        <v>2329431.8160736002</v>
      </c>
      <c r="CE7" s="204">
        <f t="shared" ca="1" si="3"/>
        <v>2329431.8160736002</v>
      </c>
      <c r="CF7" s="204">
        <f t="shared" ca="1" si="3"/>
        <v>2329431.8160736002</v>
      </c>
      <c r="CG7" s="204">
        <f t="shared" ca="1" si="3"/>
        <v>2329431.8160736002</v>
      </c>
      <c r="CH7" s="204">
        <f t="shared" ca="1" si="3"/>
        <v>2329431.8160736002</v>
      </c>
      <c r="CI7" s="204">
        <f t="shared" ca="1" si="3"/>
        <v>2329431.8160736002</v>
      </c>
      <c r="CJ7" s="204">
        <f t="shared" ca="1" si="3"/>
        <v>2329431.8160736002</v>
      </c>
      <c r="CK7" s="204">
        <f t="shared" ca="1" si="3"/>
        <v>2329431.8160736002</v>
      </c>
      <c r="CL7" s="204">
        <f t="shared" ca="1" si="3"/>
        <v>2329431.8160736002</v>
      </c>
      <c r="CM7" s="204">
        <f t="shared" ca="1" si="3"/>
        <v>2329431.8160736002</v>
      </c>
      <c r="CN7" s="204">
        <f t="shared" ca="1" si="3"/>
        <v>2329431.8160736002</v>
      </c>
      <c r="CO7" s="204">
        <f t="shared" ca="1" si="3"/>
        <v>2329431.8160736002</v>
      </c>
      <c r="CP7" s="204">
        <f t="shared" ca="1" si="3"/>
        <v>2329431.8160736002</v>
      </c>
      <c r="CQ7" s="204">
        <f t="shared" ca="1" si="3"/>
        <v>2329431.8160736002</v>
      </c>
      <c r="CR7" s="204">
        <f t="shared" ca="1" si="3"/>
        <v>2329431.8160736002</v>
      </c>
      <c r="CS7" s="204">
        <f t="shared" ca="1" si="3"/>
        <v>2329431.8160736002</v>
      </c>
      <c r="CT7" s="204">
        <f t="shared" ca="1" si="3"/>
        <v>2329431.8160736002</v>
      </c>
      <c r="CU7" s="204">
        <f t="shared" ca="1" si="3"/>
        <v>2329431.8160736002</v>
      </c>
      <c r="CV7" s="204">
        <f t="shared" ca="1" si="3"/>
        <v>2329431.8160736002</v>
      </c>
      <c r="CW7" s="204">
        <f t="shared" ca="1" si="3"/>
        <v>2329431.8160736002</v>
      </c>
      <c r="CX7" s="204">
        <f t="shared" ca="1" si="3"/>
        <v>2329431.8160736002</v>
      </c>
      <c r="CY7" s="204">
        <f t="shared" ca="1" si="3"/>
        <v>2329431.8160736002</v>
      </c>
      <c r="CZ7" s="204">
        <f t="shared" ca="1" si="3"/>
        <v>2329431.8160736002</v>
      </c>
      <c r="DA7" s="204">
        <f t="shared" ca="1" si="3"/>
        <v>2329431.8160736002</v>
      </c>
      <c r="DB7" s="204">
        <f t="shared" ca="1" si="3"/>
        <v>2329431.8160736002</v>
      </c>
      <c r="DC7" s="202">
        <f t="shared" ca="1" si="3"/>
        <v>2329431.8160736002</v>
      </c>
      <c r="DF7" s="64"/>
    </row>
    <row r="8" spans="1:112" ht="15" hidden="1" customHeight="1">
      <c r="B8" s="151" t="s">
        <v>19</v>
      </c>
      <c r="C8" s="15" t="s">
        <v>158</v>
      </c>
      <c r="D8" s="130"/>
      <c r="E8" s="145"/>
      <c r="F8" s="141">
        <f ca="1">SUM(H20,H31,H42,H54,H65,H76,H87)</f>
        <v>0</v>
      </c>
      <c r="G8" s="140">
        <f ca="1">SUMIF($H$5:$DC$5,"&lt;="&amp;PAL,$H8:$DC8)</f>
        <v>720000</v>
      </c>
      <c r="H8" s="136">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120000</v>
      </c>
      <c r="S8" s="11">
        <f t="shared" ca="1" si="4"/>
        <v>240000</v>
      </c>
      <c r="T8" s="11">
        <f t="shared" ca="1" si="4"/>
        <v>120000</v>
      </c>
      <c r="U8" s="11">
        <f t="shared" ca="1" si="4"/>
        <v>240000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3">
        <f t="shared" ca="1" si="5"/>
        <v>0</v>
      </c>
    </row>
    <row r="9" spans="1:112" ht="15" hidden="1" customHeight="1">
      <c r="B9" s="152" t="s">
        <v>20</v>
      </c>
      <c r="C9" s="7" t="s">
        <v>4</v>
      </c>
      <c r="D9" s="131"/>
      <c r="E9" s="146"/>
      <c r="F9" s="142">
        <f ca="1">F10+F44+F78-F8</f>
        <v>12338333.613047894</v>
      </c>
      <c r="G9" s="140">
        <f ca="1">SUMIF($H$5:$DC$5,"&lt;="&amp;PAL,$H9:$DC9)</f>
        <v>12740940.4630432</v>
      </c>
      <c r="H9" s="137">
        <f ca="1">H10+H44+H78-H8</f>
        <v>1730000</v>
      </c>
      <c r="I9" s="8">
        <f t="shared" ref="I9:BT9" ca="1" si="6">I10+I44+I78-I8</f>
        <v>3387980.7675319999</v>
      </c>
      <c r="J9" s="8">
        <f t="shared" ca="1" si="6"/>
        <v>3377730.2703541331</v>
      </c>
      <c r="K9" s="8">
        <f t="shared" ca="1" si="6"/>
        <v>4210729.4251570664</v>
      </c>
      <c r="L9" s="8">
        <f t="shared" ca="1" si="6"/>
        <v>5000</v>
      </c>
      <c r="M9" s="8">
        <f t="shared" ca="1" si="6"/>
        <v>25000</v>
      </c>
      <c r="N9" s="8">
        <f t="shared" ca="1" si="6"/>
        <v>4500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3">
        <f t="shared" ca="1" si="7"/>
        <v>0</v>
      </c>
    </row>
    <row r="10" spans="1:112" ht="15" hidden="1" customHeight="1">
      <c r="B10" s="151" t="s">
        <v>21</v>
      </c>
      <c r="C10" s="3" t="s">
        <v>432</v>
      </c>
      <c r="D10" s="132"/>
      <c r="E10" s="147"/>
      <c r="F10" s="141">
        <f ca="1">F11+F22+F33</f>
        <v>0</v>
      </c>
      <c r="G10" s="140">
        <f ca="1">SUMIF($H$5:$DC$5,"&lt;="&amp;PAL,$H10:$DC10)</f>
        <v>0</v>
      </c>
      <c r="H10" s="136">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3">
        <f t="shared" ca="1" si="9"/>
        <v>0</v>
      </c>
    </row>
    <row r="11" spans="1:112" ht="15" hidden="1" customHeight="1">
      <c r="B11" s="151" t="s">
        <v>153</v>
      </c>
      <c r="C11" s="3" t="s">
        <v>433</v>
      </c>
      <c r="D11" s="132"/>
      <c r="E11" s="147"/>
      <c r="F11" s="141">
        <f ca="1">SUM(F12:F19)+F20</f>
        <v>0</v>
      </c>
      <c r="G11" s="140">
        <f ca="1">SUMIF($H$5:$DC$5,"&lt;="&amp;PAL,$H11:$DC11)</f>
        <v>0</v>
      </c>
      <c r="H11" s="136">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3">
        <f ca="1">SUM(DC12:DC19)+DC20</f>
        <v>0</v>
      </c>
    </row>
    <row r="12" spans="1:112" ht="28.8" hidden="1">
      <c r="A12" s="124">
        <v>0</v>
      </c>
      <c r="B12" s="205" t="str">
        <f t="shared" ref="B12:B75" ca="1" si="12">OFFSET(INDIRECT("'"&amp;Opt_alt&amp;"'!B12"),$A12,0)</f>
        <v>D.1.1.</v>
      </c>
      <c r="C12" s="129" t="str">
        <f t="shared" ref="C12:C75" ca="1" si="13">IF(OFFSET(INDIRECT("'"&amp;Opt_alt&amp;"'!C12"),$A12,0)="","",OFFSET(INDIRECT("'"&amp;Opt_alt&amp;"'!C12"),$A12,0))</f>
        <v xml:space="preserve">Veikla (nurodykite pavadinimą; suplanuotas investicijas pagrįskite prielaidų lape)
Analitinė studija dėl diplomatinio atstovavimo tinklo plėtros </v>
      </c>
      <c r="D12" s="135"/>
      <c r="E12" s="148">
        <f t="shared" ref="E12:E75" ca="1" si="14">IF(OFFSET(INDIRECT("'"&amp;Opt_alt&amp;"'!E12"),$A12,0)="","",OFFSET(INDIRECT("'"&amp;Opt_alt&amp;"'!E12"),$A12,0))</f>
        <v>0.21</v>
      </c>
      <c r="F12" s="139">
        <f ca="1">H12+NPV(FD,I12:INDEX(I12:DC12,PAL))</f>
        <v>0</v>
      </c>
      <c r="G12" s="140">
        <f ca="1">SUMIF($H$5:$DC$5,"&lt;="&amp;PAL,$H12:$DC12)</f>
        <v>0</v>
      </c>
      <c r="H12" s="138">
        <f t="shared" ref="H12:W21" ca="1" si="15">OFFSET(INDIRECT("'"&amp;Opt_alt&amp;"'!H12"),$A12,H$5)*$DF12</f>
        <v>0</v>
      </c>
      <c r="I12" s="138">
        <f t="shared" ca="1" si="15"/>
        <v>0</v>
      </c>
      <c r="J12" s="138">
        <f t="shared" ca="1" si="15"/>
        <v>0</v>
      </c>
      <c r="K12" s="138">
        <f t="shared" ca="1" si="15"/>
        <v>0</v>
      </c>
      <c r="L12" s="138">
        <f t="shared" ca="1" si="15"/>
        <v>0</v>
      </c>
      <c r="M12" s="138">
        <f t="shared" ca="1" si="15"/>
        <v>0</v>
      </c>
      <c r="N12" s="138">
        <f t="shared" ca="1" si="15"/>
        <v>0</v>
      </c>
      <c r="O12" s="138">
        <f t="shared" ca="1" si="15"/>
        <v>0</v>
      </c>
      <c r="P12" s="138">
        <f t="shared" ca="1" si="15"/>
        <v>0</v>
      </c>
      <c r="Q12" s="138">
        <f t="shared" ca="1" si="15"/>
        <v>0</v>
      </c>
      <c r="R12" s="138">
        <f t="shared" ca="1" si="15"/>
        <v>0</v>
      </c>
      <c r="S12" s="138">
        <f t="shared" ca="1" si="15"/>
        <v>0</v>
      </c>
      <c r="T12" s="138">
        <f t="shared" ca="1" si="15"/>
        <v>0</v>
      </c>
      <c r="U12" s="138">
        <f t="shared" ca="1" si="15"/>
        <v>0</v>
      </c>
      <c r="V12" s="138">
        <f t="shared" ca="1" si="15"/>
        <v>0</v>
      </c>
      <c r="W12" s="138">
        <f t="shared" ca="1" si="15"/>
        <v>0</v>
      </c>
      <c r="X12" s="138">
        <f t="shared" ref="X12:AM21" ca="1" si="16">OFFSET(INDIRECT("'"&amp;Opt_alt&amp;"'!H12"),$A12,X$5)*$DF12</f>
        <v>0</v>
      </c>
      <c r="Y12" s="138">
        <f t="shared" ca="1" si="16"/>
        <v>0</v>
      </c>
      <c r="Z12" s="138">
        <f t="shared" ca="1" si="16"/>
        <v>0</v>
      </c>
      <c r="AA12" s="138">
        <f t="shared" ca="1" si="16"/>
        <v>0</v>
      </c>
      <c r="AB12" s="138">
        <f t="shared" ca="1" si="16"/>
        <v>0</v>
      </c>
      <c r="AC12" s="138">
        <f t="shared" ca="1" si="16"/>
        <v>0</v>
      </c>
      <c r="AD12" s="138">
        <f t="shared" ca="1" si="16"/>
        <v>0</v>
      </c>
      <c r="AE12" s="138">
        <f t="shared" ca="1" si="16"/>
        <v>0</v>
      </c>
      <c r="AF12" s="138">
        <f t="shared" ca="1" si="16"/>
        <v>0</v>
      </c>
      <c r="AG12" s="138">
        <f t="shared" ca="1" si="16"/>
        <v>0</v>
      </c>
      <c r="AH12" s="138">
        <f t="shared" ca="1" si="16"/>
        <v>0</v>
      </c>
      <c r="AI12" s="138">
        <f t="shared" ca="1" si="16"/>
        <v>0</v>
      </c>
      <c r="AJ12" s="138">
        <f t="shared" ca="1" si="16"/>
        <v>0</v>
      </c>
      <c r="AK12" s="138">
        <f t="shared" ca="1" si="16"/>
        <v>0</v>
      </c>
      <c r="AL12" s="138">
        <f t="shared" ca="1" si="16"/>
        <v>0</v>
      </c>
      <c r="AM12" s="138">
        <f t="shared" ca="1" si="16"/>
        <v>0</v>
      </c>
      <c r="AN12" s="138">
        <f t="shared" ref="AN12:BC21" ca="1" si="17">OFFSET(INDIRECT("'"&amp;Opt_alt&amp;"'!H12"),$A12,AN$5)*$DF12</f>
        <v>0</v>
      </c>
      <c r="AO12" s="138">
        <f t="shared" ca="1" si="17"/>
        <v>0</v>
      </c>
      <c r="AP12" s="138">
        <f t="shared" ca="1" si="17"/>
        <v>0</v>
      </c>
      <c r="AQ12" s="138">
        <f t="shared" ca="1" si="17"/>
        <v>0</v>
      </c>
      <c r="AR12" s="138">
        <f t="shared" ca="1" si="17"/>
        <v>0</v>
      </c>
      <c r="AS12" s="138">
        <f t="shared" ca="1" si="17"/>
        <v>0</v>
      </c>
      <c r="AT12" s="138">
        <f t="shared" ca="1" si="17"/>
        <v>0</v>
      </c>
      <c r="AU12" s="138">
        <f t="shared" ca="1" si="17"/>
        <v>0</v>
      </c>
      <c r="AV12" s="138">
        <f t="shared" ca="1" si="17"/>
        <v>0</v>
      </c>
      <c r="AW12" s="138">
        <f t="shared" ca="1" si="17"/>
        <v>0</v>
      </c>
      <c r="AX12" s="138">
        <f t="shared" ca="1" si="17"/>
        <v>0</v>
      </c>
      <c r="AY12" s="138">
        <f t="shared" ca="1" si="17"/>
        <v>0</v>
      </c>
      <c r="AZ12" s="138">
        <f t="shared" ca="1" si="17"/>
        <v>0</v>
      </c>
      <c r="BA12" s="138">
        <f t="shared" ca="1" si="17"/>
        <v>0</v>
      </c>
      <c r="BB12" s="138">
        <f t="shared" ca="1" si="17"/>
        <v>0</v>
      </c>
      <c r="BC12" s="138">
        <f t="shared" ca="1" si="17"/>
        <v>0</v>
      </c>
      <c r="BD12" s="138">
        <f t="shared" ref="BD12:BS21" ca="1" si="18">OFFSET(INDIRECT("'"&amp;Opt_alt&amp;"'!H12"),$A12,BD$5)*$DF12</f>
        <v>0</v>
      </c>
      <c r="BE12" s="138">
        <f t="shared" ca="1" si="18"/>
        <v>0</v>
      </c>
      <c r="BF12" s="138">
        <f t="shared" ca="1" si="18"/>
        <v>0</v>
      </c>
      <c r="BG12" s="138">
        <f t="shared" ca="1" si="18"/>
        <v>0</v>
      </c>
      <c r="BH12" s="138">
        <f t="shared" ca="1" si="18"/>
        <v>0</v>
      </c>
      <c r="BI12" s="138">
        <f t="shared" ca="1" si="18"/>
        <v>0</v>
      </c>
      <c r="BJ12" s="138">
        <f t="shared" ca="1" si="18"/>
        <v>0</v>
      </c>
      <c r="BK12" s="138">
        <f t="shared" ca="1" si="18"/>
        <v>0</v>
      </c>
      <c r="BL12" s="138">
        <f t="shared" ca="1" si="18"/>
        <v>0</v>
      </c>
      <c r="BM12" s="138">
        <f t="shared" ca="1" si="18"/>
        <v>0</v>
      </c>
      <c r="BN12" s="138">
        <f t="shared" ca="1" si="18"/>
        <v>0</v>
      </c>
      <c r="BO12" s="138">
        <f t="shared" ca="1" si="18"/>
        <v>0</v>
      </c>
      <c r="BP12" s="138">
        <f t="shared" ca="1" si="18"/>
        <v>0</v>
      </c>
      <c r="BQ12" s="138">
        <f t="shared" ca="1" si="18"/>
        <v>0</v>
      </c>
      <c r="BR12" s="138">
        <f t="shared" ca="1" si="18"/>
        <v>0</v>
      </c>
      <c r="BS12" s="138">
        <f t="shared" ca="1" si="18"/>
        <v>0</v>
      </c>
      <c r="BT12" s="138">
        <f t="shared" ref="BT12:CI21" ca="1" si="19">OFFSET(INDIRECT("'"&amp;Opt_alt&amp;"'!H12"),$A12,BT$5)*$DF12</f>
        <v>0</v>
      </c>
      <c r="BU12" s="138">
        <f t="shared" ca="1" si="19"/>
        <v>0</v>
      </c>
      <c r="BV12" s="138">
        <f t="shared" ca="1" si="19"/>
        <v>0</v>
      </c>
      <c r="BW12" s="138">
        <f t="shared" ca="1" si="19"/>
        <v>0</v>
      </c>
      <c r="BX12" s="138">
        <f t="shared" ca="1" si="19"/>
        <v>0</v>
      </c>
      <c r="BY12" s="138">
        <f t="shared" ca="1" si="19"/>
        <v>0</v>
      </c>
      <c r="BZ12" s="138">
        <f t="shared" ca="1" si="19"/>
        <v>0</v>
      </c>
      <c r="CA12" s="138">
        <f t="shared" ca="1" si="19"/>
        <v>0</v>
      </c>
      <c r="CB12" s="138">
        <f t="shared" ca="1" si="19"/>
        <v>0</v>
      </c>
      <c r="CC12" s="138">
        <f t="shared" ca="1" si="19"/>
        <v>0</v>
      </c>
      <c r="CD12" s="138">
        <f t="shared" ca="1" si="19"/>
        <v>0</v>
      </c>
      <c r="CE12" s="138">
        <f t="shared" ca="1" si="19"/>
        <v>0</v>
      </c>
      <c r="CF12" s="138">
        <f t="shared" ca="1" si="19"/>
        <v>0</v>
      </c>
      <c r="CG12" s="138">
        <f t="shared" ca="1" si="19"/>
        <v>0</v>
      </c>
      <c r="CH12" s="138">
        <f t="shared" ca="1" si="19"/>
        <v>0</v>
      </c>
      <c r="CI12" s="138">
        <f t="shared" ca="1" si="19"/>
        <v>0</v>
      </c>
      <c r="CJ12" s="138">
        <f t="shared" ref="CJ12:CY21" ca="1" si="20">OFFSET(INDIRECT("'"&amp;Opt_alt&amp;"'!H12"),$A12,CJ$5)*$DF12</f>
        <v>0</v>
      </c>
      <c r="CK12" s="138">
        <f t="shared" ca="1" si="20"/>
        <v>0</v>
      </c>
      <c r="CL12" s="138">
        <f t="shared" ca="1" si="20"/>
        <v>0</v>
      </c>
      <c r="CM12" s="138">
        <f t="shared" ca="1" si="20"/>
        <v>0</v>
      </c>
      <c r="CN12" s="138">
        <f t="shared" ca="1" si="20"/>
        <v>0</v>
      </c>
      <c r="CO12" s="138">
        <f t="shared" ca="1" si="20"/>
        <v>0</v>
      </c>
      <c r="CP12" s="138">
        <f t="shared" ca="1" si="20"/>
        <v>0</v>
      </c>
      <c r="CQ12" s="138">
        <f t="shared" ca="1" si="20"/>
        <v>0</v>
      </c>
      <c r="CR12" s="138">
        <f t="shared" ca="1" si="20"/>
        <v>0</v>
      </c>
      <c r="CS12" s="138">
        <f t="shared" ca="1" si="20"/>
        <v>0</v>
      </c>
      <c r="CT12" s="138">
        <f t="shared" ca="1" si="20"/>
        <v>0</v>
      </c>
      <c r="CU12" s="138">
        <f t="shared" ca="1" si="20"/>
        <v>0</v>
      </c>
      <c r="CV12" s="138">
        <f t="shared" ca="1" si="20"/>
        <v>0</v>
      </c>
      <c r="CW12" s="138">
        <f t="shared" ca="1" si="20"/>
        <v>0</v>
      </c>
      <c r="CX12" s="138">
        <f t="shared" ca="1" si="20"/>
        <v>0</v>
      </c>
      <c r="CY12" s="138">
        <f t="shared" ca="1" si="20"/>
        <v>0</v>
      </c>
      <c r="CZ12" s="138">
        <f t="shared" ref="CT12:DC21" ca="1" si="21">OFFSET(INDIRECT("'"&amp;Opt_alt&amp;"'!H12"),$A12,CZ$5)*$DF12</f>
        <v>0</v>
      </c>
      <c r="DA12" s="138">
        <f t="shared" ca="1" si="21"/>
        <v>0</v>
      </c>
      <c r="DB12" s="138">
        <f t="shared" ca="1" si="21"/>
        <v>0</v>
      </c>
      <c r="DC12" s="138">
        <f t="shared" ca="1" si="21"/>
        <v>0</v>
      </c>
      <c r="DE12" s="254" t="str">
        <f ca="1">OFFSET(INDIRECT("'"&amp;Opt_alt&amp;"'!B12"),$A12,0)</f>
        <v>D.1.1.</v>
      </c>
      <c r="DF12">
        <f t="shared" ref="DF12:DF21" ca="1" si="22">VLOOKUP(DE12,scenarijai,$DF$6,FALSE)</f>
        <v>1</v>
      </c>
      <c r="DG12">
        <f t="shared" ref="DG12:DG21" ca="1" si="23">OFFSET(INDIRECT("'"&amp;Opt_alt&amp;"'!H12"),$A12,DG$5)</f>
        <v>21</v>
      </c>
      <c r="DH12">
        <v>0</v>
      </c>
    </row>
    <row r="13" spans="1:112" hidden="1">
      <c r="A13" s="124">
        <v>1</v>
      </c>
      <c r="B13" s="205" t="str">
        <f t="shared" ca="1" si="12"/>
        <v>D.1.2.</v>
      </c>
      <c r="C13" s="129" t="str">
        <f t="shared" ca="1" si="13"/>
        <v>Veikla</v>
      </c>
      <c r="D13" s="144"/>
      <c r="E13" s="148">
        <f t="shared" ca="1" si="14"/>
        <v>0.21</v>
      </c>
      <c r="F13" s="139">
        <f ca="1">H13+NPV(FD,I13:INDEX(I13:DC13,PAL))</f>
        <v>0</v>
      </c>
      <c r="G13" s="140">
        <f ca="1">SUMIF($H$5:$DC$5,"&lt;="&amp;PAL,$H13:$DC13)</f>
        <v>0</v>
      </c>
      <c r="H13" s="138">
        <f t="shared" ca="1" si="15"/>
        <v>0</v>
      </c>
      <c r="I13" s="138">
        <f t="shared" ca="1" si="15"/>
        <v>0</v>
      </c>
      <c r="J13" s="138">
        <f t="shared" ca="1" si="15"/>
        <v>0</v>
      </c>
      <c r="K13" s="138">
        <f t="shared" ca="1" si="15"/>
        <v>0</v>
      </c>
      <c r="L13" s="138">
        <f t="shared" ca="1" si="15"/>
        <v>0</v>
      </c>
      <c r="M13" s="138">
        <f t="shared" ca="1" si="15"/>
        <v>0</v>
      </c>
      <c r="N13" s="138">
        <f t="shared" ca="1" si="15"/>
        <v>0</v>
      </c>
      <c r="O13" s="138">
        <f t="shared" ca="1" si="15"/>
        <v>0</v>
      </c>
      <c r="P13" s="138">
        <f t="shared" ca="1" si="15"/>
        <v>0</v>
      </c>
      <c r="Q13" s="138">
        <f t="shared" ca="1" si="15"/>
        <v>0</v>
      </c>
      <c r="R13" s="138">
        <f t="shared" ca="1" si="15"/>
        <v>0</v>
      </c>
      <c r="S13" s="138">
        <f t="shared" ca="1" si="15"/>
        <v>0</v>
      </c>
      <c r="T13" s="138">
        <f t="shared" ca="1" si="15"/>
        <v>0</v>
      </c>
      <c r="U13" s="138">
        <f t="shared" ca="1" si="15"/>
        <v>0</v>
      </c>
      <c r="V13" s="138">
        <f t="shared" ca="1" si="15"/>
        <v>0</v>
      </c>
      <c r="W13" s="138">
        <f t="shared" ca="1" si="15"/>
        <v>0</v>
      </c>
      <c r="X13" s="138">
        <f t="shared" ca="1" si="16"/>
        <v>0</v>
      </c>
      <c r="Y13" s="138">
        <f t="shared" ca="1" si="16"/>
        <v>0</v>
      </c>
      <c r="Z13" s="138">
        <f t="shared" ca="1" si="16"/>
        <v>0</v>
      </c>
      <c r="AA13" s="138">
        <f t="shared" ca="1" si="16"/>
        <v>0</v>
      </c>
      <c r="AB13" s="138">
        <f t="shared" ca="1" si="16"/>
        <v>0</v>
      </c>
      <c r="AC13" s="138">
        <f t="shared" ca="1" si="16"/>
        <v>0</v>
      </c>
      <c r="AD13" s="138">
        <f t="shared" ca="1" si="16"/>
        <v>0</v>
      </c>
      <c r="AE13" s="138">
        <f t="shared" ca="1" si="16"/>
        <v>0</v>
      </c>
      <c r="AF13" s="138">
        <f t="shared" ca="1" si="16"/>
        <v>0</v>
      </c>
      <c r="AG13" s="138">
        <f t="shared" ca="1" si="16"/>
        <v>0</v>
      </c>
      <c r="AH13" s="138">
        <f t="shared" ca="1" si="16"/>
        <v>0</v>
      </c>
      <c r="AI13" s="138">
        <f t="shared" ca="1" si="16"/>
        <v>0</v>
      </c>
      <c r="AJ13" s="138">
        <f t="shared" ca="1" si="16"/>
        <v>0</v>
      </c>
      <c r="AK13" s="138">
        <f t="shared" ca="1" si="16"/>
        <v>0</v>
      </c>
      <c r="AL13" s="138">
        <f t="shared" ca="1" si="16"/>
        <v>0</v>
      </c>
      <c r="AM13" s="138">
        <f t="shared" ca="1" si="16"/>
        <v>0</v>
      </c>
      <c r="AN13" s="138">
        <f t="shared" ca="1" si="17"/>
        <v>0</v>
      </c>
      <c r="AO13" s="138">
        <f t="shared" ca="1" si="17"/>
        <v>0</v>
      </c>
      <c r="AP13" s="138">
        <f t="shared" ca="1" si="17"/>
        <v>0</v>
      </c>
      <c r="AQ13" s="138">
        <f t="shared" ca="1" si="17"/>
        <v>0</v>
      </c>
      <c r="AR13" s="138">
        <f t="shared" ca="1" si="17"/>
        <v>0</v>
      </c>
      <c r="AS13" s="138">
        <f t="shared" ca="1" si="17"/>
        <v>0</v>
      </c>
      <c r="AT13" s="138">
        <f t="shared" ca="1" si="17"/>
        <v>0</v>
      </c>
      <c r="AU13" s="138">
        <f t="shared" ca="1" si="17"/>
        <v>0</v>
      </c>
      <c r="AV13" s="138">
        <f t="shared" ca="1" si="17"/>
        <v>0</v>
      </c>
      <c r="AW13" s="138">
        <f t="shared" ca="1" si="17"/>
        <v>0</v>
      </c>
      <c r="AX13" s="138">
        <f t="shared" ca="1" si="17"/>
        <v>0</v>
      </c>
      <c r="AY13" s="138">
        <f t="shared" ca="1" si="17"/>
        <v>0</v>
      </c>
      <c r="AZ13" s="138">
        <f t="shared" ca="1" si="17"/>
        <v>0</v>
      </c>
      <c r="BA13" s="138">
        <f t="shared" ca="1" si="17"/>
        <v>0</v>
      </c>
      <c r="BB13" s="138">
        <f t="shared" ca="1" si="17"/>
        <v>0</v>
      </c>
      <c r="BC13" s="138">
        <f t="shared" ca="1" si="17"/>
        <v>0</v>
      </c>
      <c r="BD13" s="138">
        <f t="shared" ca="1" si="18"/>
        <v>0</v>
      </c>
      <c r="BE13" s="138">
        <f t="shared" ca="1" si="18"/>
        <v>0</v>
      </c>
      <c r="BF13" s="138">
        <f t="shared" ca="1" si="18"/>
        <v>0</v>
      </c>
      <c r="BG13" s="138">
        <f t="shared" ca="1" si="18"/>
        <v>0</v>
      </c>
      <c r="BH13" s="138">
        <f t="shared" ca="1" si="18"/>
        <v>0</v>
      </c>
      <c r="BI13" s="138">
        <f t="shared" ca="1" si="18"/>
        <v>0</v>
      </c>
      <c r="BJ13" s="138">
        <f t="shared" ca="1" si="18"/>
        <v>0</v>
      </c>
      <c r="BK13" s="138">
        <f t="shared" ca="1" si="18"/>
        <v>0</v>
      </c>
      <c r="BL13" s="138">
        <f t="shared" ca="1" si="18"/>
        <v>0</v>
      </c>
      <c r="BM13" s="138">
        <f t="shared" ca="1" si="18"/>
        <v>0</v>
      </c>
      <c r="BN13" s="138">
        <f t="shared" ca="1" si="18"/>
        <v>0</v>
      </c>
      <c r="BO13" s="138">
        <f t="shared" ca="1" si="18"/>
        <v>0</v>
      </c>
      <c r="BP13" s="138">
        <f t="shared" ca="1" si="18"/>
        <v>0</v>
      </c>
      <c r="BQ13" s="138">
        <f t="shared" ca="1" si="18"/>
        <v>0</v>
      </c>
      <c r="BR13" s="138">
        <f t="shared" ca="1" si="18"/>
        <v>0</v>
      </c>
      <c r="BS13" s="138">
        <f t="shared" ca="1" si="18"/>
        <v>0</v>
      </c>
      <c r="BT13" s="138">
        <f t="shared" ca="1" si="19"/>
        <v>0</v>
      </c>
      <c r="BU13" s="138">
        <f t="shared" ca="1" si="19"/>
        <v>0</v>
      </c>
      <c r="BV13" s="138">
        <f t="shared" ca="1" si="19"/>
        <v>0</v>
      </c>
      <c r="BW13" s="138">
        <f t="shared" ca="1" si="19"/>
        <v>0</v>
      </c>
      <c r="BX13" s="138">
        <f t="shared" ca="1" si="19"/>
        <v>0</v>
      </c>
      <c r="BY13" s="138">
        <f t="shared" ca="1" si="19"/>
        <v>0</v>
      </c>
      <c r="BZ13" s="138">
        <f t="shared" ca="1" si="19"/>
        <v>0</v>
      </c>
      <c r="CA13" s="138">
        <f t="shared" ca="1" si="19"/>
        <v>0</v>
      </c>
      <c r="CB13" s="138">
        <f t="shared" ca="1" si="19"/>
        <v>0</v>
      </c>
      <c r="CC13" s="138">
        <f t="shared" ca="1" si="19"/>
        <v>0</v>
      </c>
      <c r="CD13" s="138">
        <f t="shared" ca="1" si="19"/>
        <v>0</v>
      </c>
      <c r="CE13" s="138">
        <f t="shared" ca="1" si="19"/>
        <v>0</v>
      </c>
      <c r="CF13" s="138">
        <f t="shared" ca="1" si="19"/>
        <v>0</v>
      </c>
      <c r="CG13" s="138">
        <f t="shared" ca="1" si="19"/>
        <v>0</v>
      </c>
      <c r="CH13" s="138">
        <f t="shared" ca="1" si="19"/>
        <v>0</v>
      </c>
      <c r="CI13" s="138">
        <f t="shared" ca="1" si="19"/>
        <v>0</v>
      </c>
      <c r="CJ13" s="138">
        <f t="shared" ca="1" si="20"/>
        <v>0</v>
      </c>
      <c r="CK13" s="138">
        <f t="shared" ca="1" si="20"/>
        <v>0</v>
      </c>
      <c r="CL13" s="138">
        <f t="shared" ca="1" si="20"/>
        <v>0</v>
      </c>
      <c r="CM13" s="138">
        <f t="shared" ca="1" si="20"/>
        <v>0</v>
      </c>
      <c r="CN13" s="138">
        <f t="shared" ca="1" si="20"/>
        <v>0</v>
      </c>
      <c r="CO13" s="138">
        <f t="shared" ca="1" si="20"/>
        <v>0</v>
      </c>
      <c r="CP13" s="138">
        <f t="shared" ca="1" si="20"/>
        <v>0</v>
      </c>
      <c r="CQ13" s="138">
        <f t="shared" ca="1" si="20"/>
        <v>0</v>
      </c>
      <c r="CR13" s="138">
        <f t="shared" ca="1" si="20"/>
        <v>0</v>
      </c>
      <c r="CS13" s="138">
        <f t="shared" ca="1" si="20"/>
        <v>0</v>
      </c>
      <c r="CT13" s="138">
        <f t="shared" ca="1" si="21"/>
        <v>0</v>
      </c>
      <c r="CU13" s="138">
        <f t="shared" ca="1" si="21"/>
        <v>0</v>
      </c>
      <c r="CV13" s="138">
        <f t="shared" ca="1" si="21"/>
        <v>0</v>
      </c>
      <c r="CW13" s="138">
        <f t="shared" ca="1" si="21"/>
        <v>0</v>
      </c>
      <c r="CX13" s="138">
        <f t="shared" ca="1" si="21"/>
        <v>0</v>
      </c>
      <c r="CY13" s="138">
        <f t="shared" ca="1" si="21"/>
        <v>0</v>
      </c>
      <c r="CZ13" s="138">
        <f t="shared" ca="1" si="21"/>
        <v>0</v>
      </c>
      <c r="DA13" s="138">
        <f t="shared" ca="1" si="21"/>
        <v>0</v>
      </c>
      <c r="DB13" s="138">
        <f t="shared" ca="1" si="21"/>
        <v>0</v>
      </c>
      <c r="DC13" s="138">
        <f t="shared" ca="1" si="21"/>
        <v>0</v>
      </c>
      <c r="DE13" s="254" t="str">
        <f ca="1">OFFSET(INDIRECT("'"&amp;Opt_alt&amp;"'!B12"),$A13,0)</f>
        <v>D.1.2.</v>
      </c>
      <c r="DF13">
        <f t="shared" ca="1" si="22"/>
        <v>1</v>
      </c>
      <c r="DG13">
        <f t="shared" ca="1" si="23"/>
        <v>21</v>
      </c>
      <c r="DH13">
        <v>0</v>
      </c>
    </row>
    <row r="14" spans="1:112" hidden="1">
      <c r="A14" s="124">
        <v>2</v>
      </c>
      <c r="B14" s="205" t="str">
        <f t="shared" ca="1" si="12"/>
        <v>D.1.3.</v>
      </c>
      <c r="C14" s="129" t="str">
        <f t="shared" ca="1" si="13"/>
        <v>Veikla</v>
      </c>
      <c r="D14" s="144"/>
      <c r="E14" s="148">
        <f t="shared" ca="1" si="14"/>
        <v>0.21</v>
      </c>
      <c r="F14" s="139">
        <f ca="1">H14+NPV(FD,I14:INDEX(I14:DC14,PAL))</f>
        <v>0</v>
      </c>
      <c r="G14" s="140">
        <f ca="1">SUMIF($H$5:$DC$5,"&lt;="&amp;PAL,$H14:$DC14)</f>
        <v>0</v>
      </c>
      <c r="H14" s="138">
        <f t="shared" ca="1" si="15"/>
        <v>0</v>
      </c>
      <c r="I14" s="138">
        <f t="shared" ca="1" si="15"/>
        <v>0</v>
      </c>
      <c r="J14" s="138">
        <f t="shared" ca="1" si="15"/>
        <v>0</v>
      </c>
      <c r="K14" s="138">
        <f t="shared" ca="1" si="15"/>
        <v>0</v>
      </c>
      <c r="L14" s="138">
        <f t="shared" ca="1" si="15"/>
        <v>0</v>
      </c>
      <c r="M14" s="138">
        <f t="shared" ca="1" si="15"/>
        <v>0</v>
      </c>
      <c r="N14" s="138">
        <f t="shared" ca="1" si="15"/>
        <v>0</v>
      </c>
      <c r="O14" s="138">
        <f t="shared" ca="1" si="15"/>
        <v>0</v>
      </c>
      <c r="P14" s="138">
        <f t="shared" ca="1" si="15"/>
        <v>0</v>
      </c>
      <c r="Q14" s="138">
        <f t="shared" ca="1" si="15"/>
        <v>0</v>
      </c>
      <c r="R14" s="138">
        <f t="shared" ca="1" si="15"/>
        <v>0</v>
      </c>
      <c r="S14" s="138">
        <f t="shared" ca="1" si="15"/>
        <v>0</v>
      </c>
      <c r="T14" s="138">
        <f t="shared" ca="1" si="15"/>
        <v>0</v>
      </c>
      <c r="U14" s="138">
        <f t="shared" ca="1" si="15"/>
        <v>0</v>
      </c>
      <c r="V14" s="138">
        <f t="shared" ca="1" si="15"/>
        <v>0</v>
      </c>
      <c r="W14" s="138">
        <f t="shared" ca="1" si="15"/>
        <v>0</v>
      </c>
      <c r="X14" s="138">
        <f t="shared" ca="1" si="16"/>
        <v>0</v>
      </c>
      <c r="Y14" s="138">
        <f t="shared" ca="1" si="16"/>
        <v>0</v>
      </c>
      <c r="Z14" s="138">
        <f t="shared" ca="1" si="16"/>
        <v>0</v>
      </c>
      <c r="AA14" s="138">
        <f t="shared" ca="1" si="16"/>
        <v>0</v>
      </c>
      <c r="AB14" s="138">
        <f t="shared" ca="1" si="16"/>
        <v>0</v>
      </c>
      <c r="AC14" s="138">
        <f t="shared" ca="1" si="16"/>
        <v>0</v>
      </c>
      <c r="AD14" s="138">
        <f t="shared" ca="1" si="16"/>
        <v>0</v>
      </c>
      <c r="AE14" s="138">
        <f t="shared" ca="1" si="16"/>
        <v>0</v>
      </c>
      <c r="AF14" s="138">
        <f t="shared" ca="1" si="16"/>
        <v>0</v>
      </c>
      <c r="AG14" s="138">
        <f t="shared" ca="1" si="16"/>
        <v>0</v>
      </c>
      <c r="AH14" s="138">
        <f t="shared" ca="1" si="16"/>
        <v>0</v>
      </c>
      <c r="AI14" s="138">
        <f t="shared" ca="1" si="16"/>
        <v>0</v>
      </c>
      <c r="AJ14" s="138">
        <f t="shared" ca="1" si="16"/>
        <v>0</v>
      </c>
      <c r="AK14" s="138">
        <f t="shared" ca="1" si="16"/>
        <v>0</v>
      </c>
      <c r="AL14" s="138">
        <f t="shared" ca="1" si="16"/>
        <v>0</v>
      </c>
      <c r="AM14" s="138">
        <f t="shared" ca="1" si="16"/>
        <v>0</v>
      </c>
      <c r="AN14" s="138">
        <f t="shared" ca="1" si="17"/>
        <v>0</v>
      </c>
      <c r="AO14" s="138">
        <f t="shared" ca="1" si="17"/>
        <v>0</v>
      </c>
      <c r="AP14" s="138">
        <f t="shared" ca="1" si="17"/>
        <v>0</v>
      </c>
      <c r="AQ14" s="138">
        <f t="shared" ca="1" si="17"/>
        <v>0</v>
      </c>
      <c r="AR14" s="138">
        <f t="shared" ca="1" si="17"/>
        <v>0</v>
      </c>
      <c r="AS14" s="138">
        <f t="shared" ca="1" si="17"/>
        <v>0</v>
      </c>
      <c r="AT14" s="138">
        <f t="shared" ca="1" si="17"/>
        <v>0</v>
      </c>
      <c r="AU14" s="138">
        <f t="shared" ca="1" si="17"/>
        <v>0</v>
      </c>
      <c r="AV14" s="138">
        <f t="shared" ca="1" si="17"/>
        <v>0</v>
      </c>
      <c r="AW14" s="138">
        <f t="shared" ca="1" si="17"/>
        <v>0</v>
      </c>
      <c r="AX14" s="138">
        <f t="shared" ca="1" si="17"/>
        <v>0</v>
      </c>
      <c r="AY14" s="138">
        <f t="shared" ca="1" si="17"/>
        <v>0</v>
      </c>
      <c r="AZ14" s="138">
        <f t="shared" ca="1" si="17"/>
        <v>0</v>
      </c>
      <c r="BA14" s="138">
        <f t="shared" ca="1" si="17"/>
        <v>0</v>
      </c>
      <c r="BB14" s="138">
        <f t="shared" ca="1" si="17"/>
        <v>0</v>
      </c>
      <c r="BC14" s="138">
        <f t="shared" ca="1" si="17"/>
        <v>0</v>
      </c>
      <c r="BD14" s="138">
        <f t="shared" ca="1" si="18"/>
        <v>0</v>
      </c>
      <c r="BE14" s="138">
        <f t="shared" ca="1" si="18"/>
        <v>0</v>
      </c>
      <c r="BF14" s="138">
        <f t="shared" ca="1" si="18"/>
        <v>0</v>
      </c>
      <c r="BG14" s="138">
        <f t="shared" ca="1" si="18"/>
        <v>0</v>
      </c>
      <c r="BH14" s="138">
        <f t="shared" ca="1" si="18"/>
        <v>0</v>
      </c>
      <c r="BI14" s="138">
        <f t="shared" ca="1" si="18"/>
        <v>0</v>
      </c>
      <c r="BJ14" s="138">
        <f t="shared" ca="1" si="18"/>
        <v>0</v>
      </c>
      <c r="BK14" s="138">
        <f t="shared" ca="1" si="18"/>
        <v>0</v>
      </c>
      <c r="BL14" s="138">
        <f t="shared" ca="1" si="18"/>
        <v>0</v>
      </c>
      <c r="BM14" s="138">
        <f t="shared" ca="1" si="18"/>
        <v>0</v>
      </c>
      <c r="BN14" s="138">
        <f t="shared" ca="1" si="18"/>
        <v>0</v>
      </c>
      <c r="BO14" s="138">
        <f t="shared" ca="1" si="18"/>
        <v>0</v>
      </c>
      <c r="BP14" s="138">
        <f t="shared" ca="1" si="18"/>
        <v>0</v>
      </c>
      <c r="BQ14" s="138">
        <f t="shared" ca="1" si="18"/>
        <v>0</v>
      </c>
      <c r="BR14" s="138">
        <f t="shared" ca="1" si="18"/>
        <v>0</v>
      </c>
      <c r="BS14" s="138">
        <f t="shared" ca="1" si="18"/>
        <v>0</v>
      </c>
      <c r="BT14" s="138">
        <f t="shared" ca="1" si="19"/>
        <v>0</v>
      </c>
      <c r="BU14" s="138">
        <f t="shared" ca="1" si="19"/>
        <v>0</v>
      </c>
      <c r="BV14" s="138">
        <f t="shared" ca="1" si="19"/>
        <v>0</v>
      </c>
      <c r="BW14" s="138">
        <f t="shared" ca="1" si="19"/>
        <v>0</v>
      </c>
      <c r="BX14" s="138">
        <f t="shared" ca="1" si="19"/>
        <v>0</v>
      </c>
      <c r="BY14" s="138">
        <f t="shared" ca="1" si="19"/>
        <v>0</v>
      </c>
      <c r="BZ14" s="138">
        <f t="shared" ca="1" si="19"/>
        <v>0</v>
      </c>
      <c r="CA14" s="138">
        <f t="shared" ca="1" si="19"/>
        <v>0</v>
      </c>
      <c r="CB14" s="138">
        <f t="shared" ca="1" si="19"/>
        <v>0</v>
      </c>
      <c r="CC14" s="138">
        <f t="shared" ca="1" si="19"/>
        <v>0</v>
      </c>
      <c r="CD14" s="138">
        <f t="shared" ca="1" si="19"/>
        <v>0</v>
      </c>
      <c r="CE14" s="138">
        <f t="shared" ca="1" si="19"/>
        <v>0</v>
      </c>
      <c r="CF14" s="138">
        <f t="shared" ca="1" si="19"/>
        <v>0</v>
      </c>
      <c r="CG14" s="138">
        <f t="shared" ca="1" si="19"/>
        <v>0</v>
      </c>
      <c r="CH14" s="138">
        <f t="shared" ca="1" si="19"/>
        <v>0</v>
      </c>
      <c r="CI14" s="138">
        <f t="shared" ca="1" si="19"/>
        <v>0</v>
      </c>
      <c r="CJ14" s="138">
        <f t="shared" ca="1" si="20"/>
        <v>0</v>
      </c>
      <c r="CK14" s="138">
        <f t="shared" ca="1" si="20"/>
        <v>0</v>
      </c>
      <c r="CL14" s="138">
        <f t="shared" ca="1" si="20"/>
        <v>0</v>
      </c>
      <c r="CM14" s="138">
        <f t="shared" ca="1" si="20"/>
        <v>0</v>
      </c>
      <c r="CN14" s="138">
        <f t="shared" ca="1" si="20"/>
        <v>0</v>
      </c>
      <c r="CO14" s="138">
        <f t="shared" ca="1" si="20"/>
        <v>0</v>
      </c>
      <c r="CP14" s="138">
        <f t="shared" ca="1" si="20"/>
        <v>0</v>
      </c>
      <c r="CQ14" s="138">
        <f t="shared" ca="1" si="20"/>
        <v>0</v>
      </c>
      <c r="CR14" s="138">
        <f t="shared" ca="1" si="20"/>
        <v>0</v>
      </c>
      <c r="CS14" s="138">
        <f t="shared" ca="1" si="20"/>
        <v>0</v>
      </c>
      <c r="CT14" s="138">
        <f t="shared" ca="1" si="21"/>
        <v>0</v>
      </c>
      <c r="CU14" s="138">
        <f t="shared" ca="1" si="21"/>
        <v>0</v>
      </c>
      <c r="CV14" s="138">
        <f t="shared" ca="1" si="21"/>
        <v>0</v>
      </c>
      <c r="CW14" s="138">
        <f t="shared" ca="1" si="21"/>
        <v>0</v>
      </c>
      <c r="CX14" s="138">
        <f t="shared" ca="1" si="21"/>
        <v>0</v>
      </c>
      <c r="CY14" s="138">
        <f t="shared" ca="1" si="21"/>
        <v>0</v>
      </c>
      <c r="CZ14" s="138">
        <f t="shared" ca="1" si="21"/>
        <v>0</v>
      </c>
      <c r="DA14" s="138">
        <f t="shared" ca="1" si="21"/>
        <v>0</v>
      </c>
      <c r="DB14" s="138">
        <f t="shared" ca="1" si="21"/>
        <v>0</v>
      </c>
      <c r="DC14" s="138">
        <f t="shared" ca="1" si="21"/>
        <v>0</v>
      </c>
      <c r="DE14" s="254" t="str">
        <f t="shared" ref="DE14:DE75" ca="1" si="24">OFFSET(INDIRECT("'"&amp;Opt_alt&amp;"'!B12"),$A14,0)</f>
        <v>D.1.3.</v>
      </c>
      <c r="DF14">
        <f t="shared" ca="1" si="22"/>
        <v>1</v>
      </c>
      <c r="DG14">
        <f t="shared" ca="1" si="23"/>
        <v>21</v>
      </c>
      <c r="DH14">
        <v>0</v>
      </c>
    </row>
    <row r="15" spans="1:112" hidden="1">
      <c r="A15" s="124">
        <v>3</v>
      </c>
      <c r="B15" s="205" t="str">
        <f t="shared" ca="1" si="12"/>
        <v>D.1.4.</v>
      </c>
      <c r="C15" s="129" t="str">
        <f t="shared" ca="1" si="13"/>
        <v>Veikla</v>
      </c>
      <c r="D15" s="144"/>
      <c r="E15" s="148">
        <f t="shared" ca="1" si="14"/>
        <v>0.21</v>
      </c>
      <c r="F15" s="139">
        <f ca="1">H15+NPV(FD,I15:INDEX(I15:DC15,PAL))</f>
        <v>0</v>
      </c>
      <c r="G15" s="140">
        <f ca="1">SUMIF($H$5:$DC$5,"&lt;="&amp;PAL,$H15:$DC15)</f>
        <v>0</v>
      </c>
      <c r="H15" s="138">
        <f t="shared" ca="1" si="15"/>
        <v>0</v>
      </c>
      <c r="I15" s="138">
        <f t="shared" ca="1" si="15"/>
        <v>0</v>
      </c>
      <c r="J15" s="138">
        <f t="shared" ca="1" si="15"/>
        <v>0</v>
      </c>
      <c r="K15" s="138">
        <f t="shared" ca="1" si="15"/>
        <v>0</v>
      </c>
      <c r="L15" s="138">
        <f t="shared" ca="1" si="15"/>
        <v>0</v>
      </c>
      <c r="M15" s="138">
        <f t="shared" ca="1" si="15"/>
        <v>0</v>
      </c>
      <c r="N15" s="138">
        <f t="shared" ca="1" si="15"/>
        <v>0</v>
      </c>
      <c r="O15" s="138">
        <f t="shared" ca="1" si="15"/>
        <v>0</v>
      </c>
      <c r="P15" s="138">
        <f t="shared" ca="1" si="15"/>
        <v>0</v>
      </c>
      <c r="Q15" s="138">
        <f t="shared" ca="1" si="15"/>
        <v>0</v>
      </c>
      <c r="R15" s="138">
        <f t="shared" ca="1" si="15"/>
        <v>0</v>
      </c>
      <c r="S15" s="138">
        <f t="shared" ca="1" si="15"/>
        <v>0</v>
      </c>
      <c r="T15" s="138">
        <f t="shared" ca="1" si="15"/>
        <v>0</v>
      </c>
      <c r="U15" s="138">
        <f t="shared" ca="1" si="15"/>
        <v>0</v>
      </c>
      <c r="V15" s="138">
        <f t="shared" ca="1" si="15"/>
        <v>0</v>
      </c>
      <c r="W15" s="138">
        <f t="shared" ca="1" si="15"/>
        <v>0</v>
      </c>
      <c r="X15" s="138">
        <f t="shared" ca="1" si="16"/>
        <v>0</v>
      </c>
      <c r="Y15" s="138">
        <f t="shared" ca="1" si="16"/>
        <v>0</v>
      </c>
      <c r="Z15" s="138">
        <f t="shared" ca="1" si="16"/>
        <v>0</v>
      </c>
      <c r="AA15" s="138">
        <f t="shared" ca="1" si="16"/>
        <v>0</v>
      </c>
      <c r="AB15" s="138">
        <f t="shared" ca="1" si="16"/>
        <v>0</v>
      </c>
      <c r="AC15" s="138">
        <f t="shared" ca="1" si="16"/>
        <v>0</v>
      </c>
      <c r="AD15" s="138">
        <f t="shared" ca="1" si="16"/>
        <v>0</v>
      </c>
      <c r="AE15" s="138">
        <f t="shared" ca="1" si="16"/>
        <v>0</v>
      </c>
      <c r="AF15" s="138">
        <f t="shared" ca="1" si="16"/>
        <v>0</v>
      </c>
      <c r="AG15" s="138">
        <f t="shared" ca="1" si="16"/>
        <v>0</v>
      </c>
      <c r="AH15" s="138">
        <f t="shared" ca="1" si="16"/>
        <v>0</v>
      </c>
      <c r="AI15" s="138">
        <f t="shared" ca="1" si="16"/>
        <v>0</v>
      </c>
      <c r="AJ15" s="138">
        <f t="shared" ca="1" si="16"/>
        <v>0</v>
      </c>
      <c r="AK15" s="138">
        <f t="shared" ca="1" si="16"/>
        <v>0</v>
      </c>
      <c r="AL15" s="138">
        <f t="shared" ca="1" si="16"/>
        <v>0</v>
      </c>
      <c r="AM15" s="138">
        <f t="shared" ca="1" si="16"/>
        <v>0</v>
      </c>
      <c r="AN15" s="138">
        <f t="shared" ca="1" si="17"/>
        <v>0</v>
      </c>
      <c r="AO15" s="138">
        <f t="shared" ca="1" si="17"/>
        <v>0</v>
      </c>
      <c r="AP15" s="138">
        <f t="shared" ca="1" si="17"/>
        <v>0</v>
      </c>
      <c r="AQ15" s="138">
        <f t="shared" ca="1" si="17"/>
        <v>0</v>
      </c>
      <c r="AR15" s="138">
        <f t="shared" ca="1" si="17"/>
        <v>0</v>
      </c>
      <c r="AS15" s="138">
        <f t="shared" ca="1" si="17"/>
        <v>0</v>
      </c>
      <c r="AT15" s="138">
        <f t="shared" ca="1" si="17"/>
        <v>0</v>
      </c>
      <c r="AU15" s="138">
        <f t="shared" ca="1" si="17"/>
        <v>0</v>
      </c>
      <c r="AV15" s="138">
        <f t="shared" ca="1" si="17"/>
        <v>0</v>
      </c>
      <c r="AW15" s="138">
        <f t="shared" ca="1" si="17"/>
        <v>0</v>
      </c>
      <c r="AX15" s="138">
        <f t="shared" ca="1" si="17"/>
        <v>0</v>
      </c>
      <c r="AY15" s="138">
        <f t="shared" ca="1" si="17"/>
        <v>0</v>
      </c>
      <c r="AZ15" s="138">
        <f t="shared" ca="1" si="17"/>
        <v>0</v>
      </c>
      <c r="BA15" s="138">
        <f t="shared" ca="1" si="17"/>
        <v>0</v>
      </c>
      <c r="BB15" s="138">
        <f t="shared" ca="1" si="17"/>
        <v>0</v>
      </c>
      <c r="BC15" s="138">
        <f t="shared" ca="1" si="17"/>
        <v>0</v>
      </c>
      <c r="BD15" s="138">
        <f t="shared" ca="1" si="18"/>
        <v>0</v>
      </c>
      <c r="BE15" s="138">
        <f t="shared" ca="1" si="18"/>
        <v>0</v>
      </c>
      <c r="BF15" s="138">
        <f t="shared" ca="1" si="18"/>
        <v>0</v>
      </c>
      <c r="BG15" s="138">
        <f t="shared" ca="1" si="18"/>
        <v>0</v>
      </c>
      <c r="BH15" s="138">
        <f t="shared" ca="1" si="18"/>
        <v>0</v>
      </c>
      <c r="BI15" s="138">
        <f t="shared" ca="1" si="18"/>
        <v>0</v>
      </c>
      <c r="BJ15" s="138">
        <f t="shared" ca="1" si="18"/>
        <v>0</v>
      </c>
      <c r="BK15" s="138">
        <f t="shared" ca="1" si="18"/>
        <v>0</v>
      </c>
      <c r="BL15" s="138">
        <f t="shared" ca="1" si="18"/>
        <v>0</v>
      </c>
      <c r="BM15" s="138">
        <f t="shared" ca="1" si="18"/>
        <v>0</v>
      </c>
      <c r="BN15" s="138">
        <f t="shared" ca="1" si="18"/>
        <v>0</v>
      </c>
      <c r="BO15" s="138">
        <f t="shared" ca="1" si="18"/>
        <v>0</v>
      </c>
      <c r="BP15" s="138">
        <f t="shared" ca="1" si="18"/>
        <v>0</v>
      </c>
      <c r="BQ15" s="138">
        <f t="shared" ca="1" si="18"/>
        <v>0</v>
      </c>
      <c r="BR15" s="138">
        <f t="shared" ca="1" si="18"/>
        <v>0</v>
      </c>
      <c r="BS15" s="138">
        <f t="shared" ca="1" si="18"/>
        <v>0</v>
      </c>
      <c r="BT15" s="138">
        <f t="shared" ca="1" si="19"/>
        <v>0</v>
      </c>
      <c r="BU15" s="138">
        <f t="shared" ca="1" si="19"/>
        <v>0</v>
      </c>
      <c r="BV15" s="138">
        <f t="shared" ca="1" si="19"/>
        <v>0</v>
      </c>
      <c r="BW15" s="138">
        <f t="shared" ca="1" si="19"/>
        <v>0</v>
      </c>
      <c r="BX15" s="138">
        <f t="shared" ca="1" si="19"/>
        <v>0</v>
      </c>
      <c r="BY15" s="138">
        <f t="shared" ca="1" si="19"/>
        <v>0</v>
      </c>
      <c r="BZ15" s="138">
        <f t="shared" ca="1" si="19"/>
        <v>0</v>
      </c>
      <c r="CA15" s="138">
        <f t="shared" ca="1" si="19"/>
        <v>0</v>
      </c>
      <c r="CB15" s="138">
        <f t="shared" ca="1" si="19"/>
        <v>0</v>
      </c>
      <c r="CC15" s="138">
        <f t="shared" ca="1" si="19"/>
        <v>0</v>
      </c>
      <c r="CD15" s="138">
        <f t="shared" ca="1" si="19"/>
        <v>0</v>
      </c>
      <c r="CE15" s="138">
        <f t="shared" ca="1" si="19"/>
        <v>0</v>
      </c>
      <c r="CF15" s="138">
        <f t="shared" ca="1" si="19"/>
        <v>0</v>
      </c>
      <c r="CG15" s="138">
        <f t="shared" ca="1" si="19"/>
        <v>0</v>
      </c>
      <c r="CH15" s="138">
        <f t="shared" ca="1" si="19"/>
        <v>0</v>
      </c>
      <c r="CI15" s="138">
        <f t="shared" ca="1" si="19"/>
        <v>0</v>
      </c>
      <c r="CJ15" s="138">
        <f t="shared" ca="1" si="20"/>
        <v>0</v>
      </c>
      <c r="CK15" s="138">
        <f t="shared" ca="1" si="20"/>
        <v>0</v>
      </c>
      <c r="CL15" s="138">
        <f t="shared" ca="1" si="20"/>
        <v>0</v>
      </c>
      <c r="CM15" s="138">
        <f t="shared" ca="1" si="20"/>
        <v>0</v>
      </c>
      <c r="CN15" s="138">
        <f t="shared" ca="1" si="20"/>
        <v>0</v>
      </c>
      <c r="CO15" s="138">
        <f t="shared" ca="1" si="20"/>
        <v>0</v>
      </c>
      <c r="CP15" s="138">
        <f t="shared" ca="1" si="20"/>
        <v>0</v>
      </c>
      <c r="CQ15" s="138">
        <f t="shared" ca="1" si="20"/>
        <v>0</v>
      </c>
      <c r="CR15" s="138">
        <f t="shared" ca="1" si="20"/>
        <v>0</v>
      </c>
      <c r="CS15" s="138">
        <f t="shared" ca="1" si="20"/>
        <v>0</v>
      </c>
      <c r="CT15" s="138">
        <f t="shared" ca="1" si="21"/>
        <v>0</v>
      </c>
      <c r="CU15" s="138">
        <f t="shared" ca="1" si="21"/>
        <v>0</v>
      </c>
      <c r="CV15" s="138">
        <f t="shared" ca="1" si="21"/>
        <v>0</v>
      </c>
      <c r="CW15" s="138">
        <f t="shared" ca="1" si="21"/>
        <v>0</v>
      </c>
      <c r="CX15" s="138">
        <f t="shared" ca="1" si="21"/>
        <v>0</v>
      </c>
      <c r="CY15" s="138">
        <f t="shared" ca="1" si="21"/>
        <v>0</v>
      </c>
      <c r="CZ15" s="138">
        <f t="shared" ca="1" si="21"/>
        <v>0</v>
      </c>
      <c r="DA15" s="138">
        <f t="shared" ca="1" si="21"/>
        <v>0</v>
      </c>
      <c r="DB15" s="138">
        <f t="shared" ca="1" si="21"/>
        <v>0</v>
      </c>
      <c r="DC15" s="138">
        <f t="shared" ca="1" si="21"/>
        <v>0</v>
      </c>
      <c r="DE15" s="254" t="str">
        <f t="shared" ca="1" si="24"/>
        <v>D.1.4.</v>
      </c>
      <c r="DF15">
        <f t="shared" ca="1" si="22"/>
        <v>1</v>
      </c>
      <c r="DG15">
        <f t="shared" ca="1" si="23"/>
        <v>21</v>
      </c>
      <c r="DH15">
        <v>0</v>
      </c>
    </row>
    <row r="16" spans="1:112" hidden="1">
      <c r="A16" s="124">
        <v>4</v>
      </c>
      <c r="B16" s="205" t="str">
        <f t="shared" ca="1" si="12"/>
        <v>D.1.5.</v>
      </c>
      <c r="C16" s="129" t="str">
        <f t="shared" ca="1" si="13"/>
        <v>Veikla</v>
      </c>
      <c r="D16" s="144"/>
      <c r="E16" s="148">
        <f t="shared" ca="1" si="14"/>
        <v>0.21</v>
      </c>
      <c r="F16" s="139">
        <f ca="1">H16+NPV(FD,I16:INDEX(I16:DC16,PAL))</f>
        <v>0</v>
      </c>
      <c r="G16" s="140">
        <f ca="1">SUMIF($H$5:$DC$5,"&lt;="&amp;PAL,$H16:$DC16)</f>
        <v>0</v>
      </c>
      <c r="H16" s="138">
        <f t="shared" ca="1" si="15"/>
        <v>0</v>
      </c>
      <c r="I16" s="138">
        <f t="shared" ca="1" si="15"/>
        <v>0</v>
      </c>
      <c r="J16" s="138">
        <f t="shared" ca="1" si="15"/>
        <v>0</v>
      </c>
      <c r="K16" s="138">
        <f t="shared" ca="1" si="15"/>
        <v>0</v>
      </c>
      <c r="L16" s="138">
        <f t="shared" ca="1" si="15"/>
        <v>0</v>
      </c>
      <c r="M16" s="138">
        <f t="shared" ca="1" si="15"/>
        <v>0</v>
      </c>
      <c r="N16" s="138">
        <f t="shared" ca="1" si="15"/>
        <v>0</v>
      </c>
      <c r="O16" s="138">
        <f t="shared" ca="1" si="15"/>
        <v>0</v>
      </c>
      <c r="P16" s="138">
        <f t="shared" ca="1" si="15"/>
        <v>0</v>
      </c>
      <c r="Q16" s="138">
        <f t="shared" ca="1" si="15"/>
        <v>0</v>
      </c>
      <c r="R16" s="138">
        <f t="shared" ca="1" si="15"/>
        <v>0</v>
      </c>
      <c r="S16" s="138">
        <f t="shared" ca="1" si="15"/>
        <v>0</v>
      </c>
      <c r="T16" s="138">
        <f t="shared" ca="1" si="15"/>
        <v>0</v>
      </c>
      <c r="U16" s="138">
        <f t="shared" ca="1" si="15"/>
        <v>0</v>
      </c>
      <c r="V16" s="138">
        <f t="shared" ca="1" si="15"/>
        <v>0</v>
      </c>
      <c r="W16" s="138">
        <f t="shared" ca="1" si="15"/>
        <v>0</v>
      </c>
      <c r="X16" s="138">
        <f t="shared" ca="1" si="16"/>
        <v>0</v>
      </c>
      <c r="Y16" s="138">
        <f t="shared" ca="1" si="16"/>
        <v>0</v>
      </c>
      <c r="Z16" s="138">
        <f t="shared" ca="1" si="16"/>
        <v>0</v>
      </c>
      <c r="AA16" s="138">
        <f t="shared" ca="1" si="16"/>
        <v>0</v>
      </c>
      <c r="AB16" s="138">
        <f t="shared" ca="1" si="16"/>
        <v>0</v>
      </c>
      <c r="AC16" s="138">
        <f t="shared" ca="1" si="16"/>
        <v>0</v>
      </c>
      <c r="AD16" s="138">
        <f t="shared" ca="1" si="16"/>
        <v>0</v>
      </c>
      <c r="AE16" s="138">
        <f t="shared" ca="1" si="16"/>
        <v>0</v>
      </c>
      <c r="AF16" s="138">
        <f t="shared" ca="1" si="16"/>
        <v>0</v>
      </c>
      <c r="AG16" s="138">
        <f t="shared" ca="1" si="16"/>
        <v>0</v>
      </c>
      <c r="AH16" s="138">
        <f t="shared" ca="1" si="16"/>
        <v>0</v>
      </c>
      <c r="AI16" s="138">
        <f t="shared" ca="1" si="16"/>
        <v>0</v>
      </c>
      <c r="AJ16" s="138">
        <f t="shared" ca="1" si="16"/>
        <v>0</v>
      </c>
      <c r="AK16" s="138">
        <f t="shared" ca="1" si="16"/>
        <v>0</v>
      </c>
      <c r="AL16" s="138">
        <f t="shared" ca="1" si="16"/>
        <v>0</v>
      </c>
      <c r="AM16" s="138">
        <f t="shared" ca="1" si="16"/>
        <v>0</v>
      </c>
      <c r="AN16" s="138">
        <f t="shared" ca="1" si="17"/>
        <v>0</v>
      </c>
      <c r="AO16" s="138">
        <f t="shared" ca="1" si="17"/>
        <v>0</v>
      </c>
      <c r="AP16" s="138">
        <f t="shared" ca="1" si="17"/>
        <v>0</v>
      </c>
      <c r="AQ16" s="138">
        <f t="shared" ca="1" si="17"/>
        <v>0</v>
      </c>
      <c r="AR16" s="138">
        <f t="shared" ca="1" si="17"/>
        <v>0</v>
      </c>
      <c r="AS16" s="138">
        <f t="shared" ca="1" si="17"/>
        <v>0</v>
      </c>
      <c r="AT16" s="138">
        <f t="shared" ca="1" si="17"/>
        <v>0</v>
      </c>
      <c r="AU16" s="138">
        <f t="shared" ca="1" si="17"/>
        <v>0</v>
      </c>
      <c r="AV16" s="138">
        <f t="shared" ca="1" si="17"/>
        <v>0</v>
      </c>
      <c r="AW16" s="138">
        <f t="shared" ca="1" si="17"/>
        <v>0</v>
      </c>
      <c r="AX16" s="138">
        <f t="shared" ca="1" si="17"/>
        <v>0</v>
      </c>
      <c r="AY16" s="138">
        <f t="shared" ca="1" si="17"/>
        <v>0</v>
      </c>
      <c r="AZ16" s="138">
        <f t="shared" ca="1" si="17"/>
        <v>0</v>
      </c>
      <c r="BA16" s="138">
        <f t="shared" ca="1" si="17"/>
        <v>0</v>
      </c>
      <c r="BB16" s="138">
        <f t="shared" ca="1" si="17"/>
        <v>0</v>
      </c>
      <c r="BC16" s="138">
        <f t="shared" ca="1" si="17"/>
        <v>0</v>
      </c>
      <c r="BD16" s="138">
        <f t="shared" ca="1" si="18"/>
        <v>0</v>
      </c>
      <c r="BE16" s="138">
        <f t="shared" ca="1" si="18"/>
        <v>0</v>
      </c>
      <c r="BF16" s="138">
        <f t="shared" ca="1" si="18"/>
        <v>0</v>
      </c>
      <c r="BG16" s="138">
        <f t="shared" ca="1" si="18"/>
        <v>0</v>
      </c>
      <c r="BH16" s="138">
        <f t="shared" ca="1" si="18"/>
        <v>0</v>
      </c>
      <c r="BI16" s="138">
        <f t="shared" ca="1" si="18"/>
        <v>0</v>
      </c>
      <c r="BJ16" s="138">
        <f t="shared" ca="1" si="18"/>
        <v>0</v>
      </c>
      <c r="BK16" s="138">
        <f t="shared" ca="1" si="18"/>
        <v>0</v>
      </c>
      <c r="BL16" s="138">
        <f t="shared" ca="1" si="18"/>
        <v>0</v>
      </c>
      <c r="BM16" s="138">
        <f t="shared" ca="1" si="18"/>
        <v>0</v>
      </c>
      <c r="BN16" s="138">
        <f t="shared" ca="1" si="18"/>
        <v>0</v>
      </c>
      <c r="BO16" s="138">
        <f t="shared" ca="1" si="18"/>
        <v>0</v>
      </c>
      <c r="BP16" s="138">
        <f t="shared" ca="1" si="18"/>
        <v>0</v>
      </c>
      <c r="BQ16" s="138">
        <f t="shared" ca="1" si="18"/>
        <v>0</v>
      </c>
      <c r="BR16" s="138">
        <f t="shared" ca="1" si="18"/>
        <v>0</v>
      </c>
      <c r="BS16" s="138">
        <f t="shared" ca="1" si="18"/>
        <v>0</v>
      </c>
      <c r="BT16" s="138">
        <f t="shared" ca="1" si="19"/>
        <v>0</v>
      </c>
      <c r="BU16" s="138">
        <f t="shared" ca="1" si="19"/>
        <v>0</v>
      </c>
      <c r="BV16" s="138">
        <f t="shared" ca="1" si="19"/>
        <v>0</v>
      </c>
      <c r="BW16" s="138">
        <f t="shared" ca="1" si="19"/>
        <v>0</v>
      </c>
      <c r="BX16" s="138">
        <f t="shared" ca="1" si="19"/>
        <v>0</v>
      </c>
      <c r="BY16" s="138">
        <f t="shared" ca="1" si="19"/>
        <v>0</v>
      </c>
      <c r="BZ16" s="138">
        <f t="shared" ca="1" si="19"/>
        <v>0</v>
      </c>
      <c r="CA16" s="138">
        <f t="shared" ca="1" si="19"/>
        <v>0</v>
      </c>
      <c r="CB16" s="138">
        <f t="shared" ca="1" si="19"/>
        <v>0</v>
      </c>
      <c r="CC16" s="138">
        <f t="shared" ca="1" si="19"/>
        <v>0</v>
      </c>
      <c r="CD16" s="138">
        <f t="shared" ca="1" si="19"/>
        <v>0</v>
      </c>
      <c r="CE16" s="138">
        <f t="shared" ca="1" si="19"/>
        <v>0</v>
      </c>
      <c r="CF16" s="138">
        <f t="shared" ca="1" si="19"/>
        <v>0</v>
      </c>
      <c r="CG16" s="138">
        <f t="shared" ca="1" si="19"/>
        <v>0</v>
      </c>
      <c r="CH16" s="138">
        <f t="shared" ca="1" si="19"/>
        <v>0</v>
      </c>
      <c r="CI16" s="138">
        <f t="shared" ca="1" si="19"/>
        <v>0</v>
      </c>
      <c r="CJ16" s="138">
        <f t="shared" ca="1" si="20"/>
        <v>0</v>
      </c>
      <c r="CK16" s="138">
        <f t="shared" ca="1" si="20"/>
        <v>0</v>
      </c>
      <c r="CL16" s="138">
        <f t="shared" ca="1" si="20"/>
        <v>0</v>
      </c>
      <c r="CM16" s="138">
        <f t="shared" ca="1" si="20"/>
        <v>0</v>
      </c>
      <c r="CN16" s="138">
        <f t="shared" ca="1" si="20"/>
        <v>0</v>
      </c>
      <c r="CO16" s="138">
        <f t="shared" ca="1" si="20"/>
        <v>0</v>
      </c>
      <c r="CP16" s="138">
        <f t="shared" ca="1" si="20"/>
        <v>0</v>
      </c>
      <c r="CQ16" s="138">
        <f t="shared" ca="1" si="20"/>
        <v>0</v>
      </c>
      <c r="CR16" s="138">
        <f t="shared" ca="1" si="20"/>
        <v>0</v>
      </c>
      <c r="CS16" s="138">
        <f t="shared" ca="1" si="20"/>
        <v>0</v>
      </c>
      <c r="CT16" s="138">
        <f t="shared" ca="1" si="21"/>
        <v>0</v>
      </c>
      <c r="CU16" s="138">
        <f t="shared" ca="1" si="21"/>
        <v>0</v>
      </c>
      <c r="CV16" s="138">
        <f t="shared" ca="1" si="21"/>
        <v>0</v>
      </c>
      <c r="CW16" s="138">
        <f t="shared" ca="1" si="21"/>
        <v>0</v>
      </c>
      <c r="CX16" s="138">
        <f t="shared" ca="1" si="21"/>
        <v>0</v>
      </c>
      <c r="CY16" s="138">
        <f t="shared" ca="1" si="21"/>
        <v>0</v>
      </c>
      <c r="CZ16" s="138">
        <f t="shared" ca="1" si="21"/>
        <v>0</v>
      </c>
      <c r="DA16" s="138">
        <f t="shared" ca="1" si="21"/>
        <v>0</v>
      </c>
      <c r="DB16" s="138">
        <f t="shared" ca="1" si="21"/>
        <v>0</v>
      </c>
      <c r="DC16" s="138">
        <f t="shared" ca="1" si="21"/>
        <v>0</v>
      </c>
      <c r="DE16" s="254" t="str">
        <f t="shared" ca="1" si="24"/>
        <v>D.1.5.</v>
      </c>
      <c r="DF16">
        <f t="shared" ca="1" si="22"/>
        <v>1</v>
      </c>
      <c r="DG16">
        <f t="shared" ca="1" si="23"/>
        <v>21</v>
      </c>
      <c r="DH16">
        <v>0</v>
      </c>
    </row>
    <row r="17" spans="1:112" hidden="1">
      <c r="A17" s="124">
        <v>5</v>
      </c>
      <c r="B17" s="205" t="str">
        <f t="shared" ca="1" si="12"/>
        <v>D.1.6.</v>
      </c>
      <c r="C17" s="129" t="str">
        <f t="shared" ca="1" si="13"/>
        <v>Veikla</v>
      </c>
      <c r="D17" s="144"/>
      <c r="E17" s="148">
        <f t="shared" ca="1" si="14"/>
        <v>0.21</v>
      </c>
      <c r="F17" s="139">
        <f ca="1">H17+NPV(FD,I17:INDEX(I17:DC17,PAL))</f>
        <v>0</v>
      </c>
      <c r="G17" s="140">
        <f ca="1">SUMIF($H$5:$DC$5,"&lt;="&amp;PAL,$H17:$DC17)</f>
        <v>0</v>
      </c>
      <c r="H17" s="138">
        <f t="shared" ca="1" si="15"/>
        <v>0</v>
      </c>
      <c r="I17" s="138">
        <f t="shared" ca="1" si="15"/>
        <v>0</v>
      </c>
      <c r="J17" s="138">
        <f t="shared" ca="1" si="15"/>
        <v>0</v>
      </c>
      <c r="K17" s="138">
        <f t="shared" ca="1" si="15"/>
        <v>0</v>
      </c>
      <c r="L17" s="138">
        <f t="shared" ca="1" si="15"/>
        <v>0</v>
      </c>
      <c r="M17" s="138">
        <f t="shared" ca="1" si="15"/>
        <v>0</v>
      </c>
      <c r="N17" s="138">
        <f t="shared" ca="1" si="15"/>
        <v>0</v>
      </c>
      <c r="O17" s="138">
        <f t="shared" ca="1" si="15"/>
        <v>0</v>
      </c>
      <c r="P17" s="138">
        <f t="shared" ca="1" si="15"/>
        <v>0</v>
      </c>
      <c r="Q17" s="138">
        <f t="shared" ca="1" si="15"/>
        <v>0</v>
      </c>
      <c r="R17" s="138">
        <f t="shared" ca="1" si="15"/>
        <v>0</v>
      </c>
      <c r="S17" s="138">
        <f t="shared" ca="1" si="15"/>
        <v>0</v>
      </c>
      <c r="T17" s="138">
        <f t="shared" ca="1" si="15"/>
        <v>0</v>
      </c>
      <c r="U17" s="138">
        <f t="shared" ca="1" si="15"/>
        <v>0</v>
      </c>
      <c r="V17" s="138">
        <f t="shared" ca="1" si="15"/>
        <v>0</v>
      </c>
      <c r="W17" s="138">
        <f t="shared" ca="1" si="15"/>
        <v>0</v>
      </c>
      <c r="X17" s="138">
        <f t="shared" ca="1" si="16"/>
        <v>0</v>
      </c>
      <c r="Y17" s="138">
        <f t="shared" ca="1" si="16"/>
        <v>0</v>
      </c>
      <c r="Z17" s="138">
        <f t="shared" ca="1" si="16"/>
        <v>0</v>
      </c>
      <c r="AA17" s="138">
        <f t="shared" ca="1" si="16"/>
        <v>0</v>
      </c>
      <c r="AB17" s="138">
        <f t="shared" ca="1" si="16"/>
        <v>0</v>
      </c>
      <c r="AC17" s="138">
        <f t="shared" ca="1" si="16"/>
        <v>0</v>
      </c>
      <c r="AD17" s="138">
        <f t="shared" ca="1" si="16"/>
        <v>0</v>
      </c>
      <c r="AE17" s="138">
        <f t="shared" ca="1" si="16"/>
        <v>0</v>
      </c>
      <c r="AF17" s="138">
        <f t="shared" ca="1" si="16"/>
        <v>0</v>
      </c>
      <c r="AG17" s="138">
        <f t="shared" ca="1" si="16"/>
        <v>0</v>
      </c>
      <c r="AH17" s="138">
        <f t="shared" ca="1" si="16"/>
        <v>0</v>
      </c>
      <c r="AI17" s="138">
        <f t="shared" ca="1" si="16"/>
        <v>0</v>
      </c>
      <c r="AJ17" s="138">
        <f t="shared" ca="1" si="16"/>
        <v>0</v>
      </c>
      <c r="AK17" s="138">
        <f t="shared" ca="1" si="16"/>
        <v>0</v>
      </c>
      <c r="AL17" s="138">
        <f t="shared" ca="1" si="16"/>
        <v>0</v>
      </c>
      <c r="AM17" s="138">
        <f t="shared" ca="1" si="16"/>
        <v>0</v>
      </c>
      <c r="AN17" s="138">
        <f t="shared" ca="1" si="17"/>
        <v>0</v>
      </c>
      <c r="AO17" s="138">
        <f t="shared" ca="1" si="17"/>
        <v>0</v>
      </c>
      <c r="AP17" s="138">
        <f t="shared" ca="1" si="17"/>
        <v>0</v>
      </c>
      <c r="AQ17" s="138">
        <f t="shared" ca="1" si="17"/>
        <v>0</v>
      </c>
      <c r="AR17" s="138">
        <f t="shared" ca="1" si="17"/>
        <v>0</v>
      </c>
      <c r="AS17" s="138">
        <f t="shared" ca="1" si="17"/>
        <v>0</v>
      </c>
      <c r="AT17" s="138">
        <f t="shared" ca="1" si="17"/>
        <v>0</v>
      </c>
      <c r="AU17" s="138">
        <f t="shared" ca="1" si="17"/>
        <v>0</v>
      </c>
      <c r="AV17" s="138">
        <f t="shared" ca="1" si="17"/>
        <v>0</v>
      </c>
      <c r="AW17" s="138">
        <f t="shared" ca="1" si="17"/>
        <v>0</v>
      </c>
      <c r="AX17" s="138">
        <f t="shared" ca="1" si="17"/>
        <v>0</v>
      </c>
      <c r="AY17" s="138">
        <f t="shared" ca="1" si="17"/>
        <v>0</v>
      </c>
      <c r="AZ17" s="138">
        <f t="shared" ca="1" si="17"/>
        <v>0</v>
      </c>
      <c r="BA17" s="138">
        <f t="shared" ca="1" si="17"/>
        <v>0</v>
      </c>
      <c r="BB17" s="138">
        <f t="shared" ca="1" si="17"/>
        <v>0</v>
      </c>
      <c r="BC17" s="138">
        <f t="shared" ca="1" si="17"/>
        <v>0</v>
      </c>
      <c r="BD17" s="138">
        <f t="shared" ca="1" si="18"/>
        <v>0</v>
      </c>
      <c r="BE17" s="138">
        <f t="shared" ca="1" si="18"/>
        <v>0</v>
      </c>
      <c r="BF17" s="138">
        <f t="shared" ca="1" si="18"/>
        <v>0</v>
      </c>
      <c r="BG17" s="138">
        <f t="shared" ca="1" si="18"/>
        <v>0</v>
      </c>
      <c r="BH17" s="138">
        <f t="shared" ca="1" si="18"/>
        <v>0</v>
      </c>
      <c r="BI17" s="138">
        <f t="shared" ca="1" si="18"/>
        <v>0</v>
      </c>
      <c r="BJ17" s="138">
        <f t="shared" ca="1" si="18"/>
        <v>0</v>
      </c>
      <c r="BK17" s="138">
        <f t="shared" ca="1" si="18"/>
        <v>0</v>
      </c>
      <c r="BL17" s="138">
        <f t="shared" ca="1" si="18"/>
        <v>0</v>
      </c>
      <c r="BM17" s="138">
        <f t="shared" ca="1" si="18"/>
        <v>0</v>
      </c>
      <c r="BN17" s="138">
        <f t="shared" ca="1" si="18"/>
        <v>0</v>
      </c>
      <c r="BO17" s="138">
        <f t="shared" ca="1" si="18"/>
        <v>0</v>
      </c>
      <c r="BP17" s="138">
        <f t="shared" ca="1" si="18"/>
        <v>0</v>
      </c>
      <c r="BQ17" s="138">
        <f t="shared" ca="1" si="18"/>
        <v>0</v>
      </c>
      <c r="BR17" s="138">
        <f t="shared" ca="1" si="18"/>
        <v>0</v>
      </c>
      <c r="BS17" s="138">
        <f t="shared" ca="1" si="18"/>
        <v>0</v>
      </c>
      <c r="BT17" s="138">
        <f t="shared" ca="1" si="19"/>
        <v>0</v>
      </c>
      <c r="BU17" s="138">
        <f t="shared" ca="1" si="19"/>
        <v>0</v>
      </c>
      <c r="BV17" s="138">
        <f t="shared" ca="1" si="19"/>
        <v>0</v>
      </c>
      <c r="BW17" s="138">
        <f t="shared" ca="1" si="19"/>
        <v>0</v>
      </c>
      <c r="BX17" s="138">
        <f t="shared" ca="1" si="19"/>
        <v>0</v>
      </c>
      <c r="BY17" s="138">
        <f t="shared" ca="1" si="19"/>
        <v>0</v>
      </c>
      <c r="BZ17" s="138">
        <f t="shared" ca="1" si="19"/>
        <v>0</v>
      </c>
      <c r="CA17" s="138">
        <f t="shared" ca="1" si="19"/>
        <v>0</v>
      </c>
      <c r="CB17" s="138">
        <f t="shared" ca="1" si="19"/>
        <v>0</v>
      </c>
      <c r="CC17" s="138">
        <f t="shared" ca="1" si="19"/>
        <v>0</v>
      </c>
      <c r="CD17" s="138">
        <f t="shared" ca="1" si="19"/>
        <v>0</v>
      </c>
      <c r="CE17" s="138">
        <f t="shared" ca="1" si="19"/>
        <v>0</v>
      </c>
      <c r="CF17" s="138">
        <f t="shared" ca="1" si="19"/>
        <v>0</v>
      </c>
      <c r="CG17" s="138">
        <f t="shared" ca="1" si="19"/>
        <v>0</v>
      </c>
      <c r="CH17" s="138">
        <f t="shared" ca="1" si="19"/>
        <v>0</v>
      </c>
      <c r="CI17" s="138">
        <f t="shared" ca="1" si="19"/>
        <v>0</v>
      </c>
      <c r="CJ17" s="138">
        <f t="shared" ca="1" si="20"/>
        <v>0</v>
      </c>
      <c r="CK17" s="138">
        <f t="shared" ca="1" si="20"/>
        <v>0</v>
      </c>
      <c r="CL17" s="138">
        <f t="shared" ca="1" si="20"/>
        <v>0</v>
      </c>
      <c r="CM17" s="138">
        <f t="shared" ca="1" si="20"/>
        <v>0</v>
      </c>
      <c r="CN17" s="138">
        <f t="shared" ca="1" si="20"/>
        <v>0</v>
      </c>
      <c r="CO17" s="138">
        <f t="shared" ca="1" si="20"/>
        <v>0</v>
      </c>
      <c r="CP17" s="138">
        <f t="shared" ca="1" si="20"/>
        <v>0</v>
      </c>
      <c r="CQ17" s="138">
        <f t="shared" ca="1" si="20"/>
        <v>0</v>
      </c>
      <c r="CR17" s="138">
        <f t="shared" ca="1" si="20"/>
        <v>0</v>
      </c>
      <c r="CS17" s="138">
        <f t="shared" ca="1" si="20"/>
        <v>0</v>
      </c>
      <c r="CT17" s="138">
        <f t="shared" ca="1" si="21"/>
        <v>0</v>
      </c>
      <c r="CU17" s="138">
        <f t="shared" ca="1" si="21"/>
        <v>0</v>
      </c>
      <c r="CV17" s="138">
        <f t="shared" ca="1" si="21"/>
        <v>0</v>
      </c>
      <c r="CW17" s="138">
        <f t="shared" ca="1" si="21"/>
        <v>0</v>
      </c>
      <c r="CX17" s="138">
        <f t="shared" ca="1" si="21"/>
        <v>0</v>
      </c>
      <c r="CY17" s="138">
        <f t="shared" ca="1" si="21"/>
        <v>0</v>
      </c>
      <c r="CZ17" s="138">
        <f t="shared" ca="1" si="21"/>
        <v>0</v>
      </c>
      <c r="DA17" s="138">
        <f t="shared" ca="1" si="21"/>
        <v>0</v>
      </c>
      <c r="DB17" s="138">
        <f t="shared" ca="1" si="21"/>
        <v>0</v>
      </c>
      <c r="DC17" s="138">
        <f t="shared" ca="1" si="21"/>
        <v>0</v>
      </c>
      <c r="DE17" s="254" t="str">
        <f t="shared" ca="1" si="24"/>
        <v>D.1.6.</v>
      </c>
      <c r="DF17">
        <f t="shared" ca="1" si="22"/>
        <v>1</v>
      </c>
      <c r="DG17">
        <f t="shared" ca="1" si="23"/>
        <v>21</v>
      </c>
      <c r="DH17">
        <v>0</v>
      </c>
    </row>
    <row r="18" spans="1:112" hidden="1">
      <c r="A18" s="124">
        <v>6</v>
      </c>
      <c r="B18" s="205" t="str">
        <f t="shared" ca="1" si="12"/>
        <v>D.1.7.</v>
      </c>
      <c r="C18" s="129" t="str">
        <f t="shared" ca="1" si="13"/>
        <v>Veikla</v>
      </c>
      <c r="D18" s="144"/>
      <c r="E18" s="148">
        <f t="shared" ca="1" si="14"/>
        <v>0.21</v>
      </c>
      <c r="F18" s="139">
        <f ca="1">H18+NPV(FD,I18:INDEX(I18:DC18,PAL))</f>
        <v>0</v>
      </c>
      <c r="G18" s="140">
        <f ca="1">SUMIF($H$5:$DC$5,"&lt;="&amp;PAL,$H18:$DC18)</f>
        <v>0</v>
      </c>
      <c r="H18" s="138">
        <f t="shared" ca="1" si="15"/>
        <v>0</v>
      </c>
      <c r="I18" s="138">
        <f t="shared" ca="1" si="15"/>
        <v>0</v>
      </c>
      <c r="J18" s="138">
        <f t="shared" ca="1" si="15"/>
        <v>0</v>
      </c>
      <c r="K18" s="138">
        <f t="shared" ca="1" si="15"/>
        <v>0</v>
      </c>
      <c r="L18" s="138">
        <f t="shared" ca="1" si="15"/>
        <v>0</v>
      </c>
      <c r="M18" s="138">
        <f t="shared" ca="1" si="15"/>
        <v>0</v>
      </c>
      <c r="N18" s="138">
        <f t="shared" ca="1" si="15"/>
        <v>0</v>
      </c>
      <c r="O18" s="138">
        <f t="shared" ca="1" si="15"/>
        <v>0</v>
      </c>
      <c r="P18" s="138">
        <f t="shared" ca="1" si="15"/>
        <v>0</v>
      </c>
      <c r="Q18" s="138">
        <f t="shared" ca="1" si="15"/>
        <v>0</v>
      </c>
      <c r="R18" s="138">
        <f t="shared" ca="1" si="15"/>
        <v>0</v>
      </c>
      <c r="S18" s="138">
        <f t="shared" ca="1" si="15"/>
        <v>0</v>
      </c>
      <c r="T18" s="138">
        <f t="shared" ca="1" si="15"/>
        <v>0</v>
      </c>
      <c r="U18" s="138">
        <f t="shared" ca="1" si="15"/>
        <v>0</v>
      </c>
      <c r="V18" s="138">
        <f t="shared" ca="1" si="15"/>
        <v>0</v>
      </c>
      <c r="W18" s="138">
        <f t="shared" ca="1" si="15"/>
        <v>0</v>
      </c>
      <c r="X18" s="138">
        <f t="shared" ca="1" si="16"/>
        <v>0</v>
      </c>
      <c r="Y18" s="138">
        <f t="shared" ca="1" si="16"/>
        <v>0</v>
      </c>
      <c r="Z18" s="138">
        <f t="shared" ca="1" si="16"/>
        <v>0</v>
      </c>
      <c r="AA18" s="138">
        <f t="shared" ca="1" si="16"/>
        <v>0</v>
      </c>
      <c r="AB18" s="138">
        <f t="shared" ca="1" si="16"/>
        <v>0</v>
      </c>
      <c r="AC18" s="138">
        <f t="shared" ca="1" si="16"/>
        <v>0</v>
      </c>
      <c r="AD18" s="138">
        <f t="shared" ca="1" si="16"/>
        <v>0</v>
      </c>
      <c r="AE18" s="138">
        <f t="shared" ca="1" si="16"/>
        <v>0</v>
      </c>
      <c r="AF18" s="138">
        <f t="shared" ca="1" si="16"/>
        <v>0</v>
      </c>
      <c r="AG18" s="138">
        <f t="shared" ca="1" si="16"/>
        <v>0</v>
      </c>
      <c r="AH18" s="138">
        <f t="shared" ca="1" si="16"/>
        <v>0</v>
      </c>
      <c r="AI18" s="138">
        <f t="shared" ca="1" si="16"/>
        <v>0</v>
      </c>
      <c r="AJ18" s="138">
        <f t="shared" ca="1" si="16"/>
        <v>0</v>
      </c>
      <c r="AK18" s="138">
        <f t="shared" ca="1" si="16"/>
        <v>0</v>
      </c>
      <c r="AL18" s="138">
        <f t="shared" ca="1" si="16"/>
        <v>0</v>
      </c>
      <c r="AM18" s="138">
        <f t="shared" ca="1" si="16"/>
        <v>0</v>
      </c>
      <c r="AN18" s="138">
        <f t="shared" ca="1" si="17"/>
        <v>0</v>
      </c>
      <c r="AO18" s="138">
        <f t="shared" ca="1" si="17"/>
        <v>0</v>
      </c>
      <c r="AP18" s="138">
        <f t="shared" ca="1" si="17"/>
        <v>0</v>
      </c>
      <c r="AQ18" s="138">
        <f t="shared" ca="1" si="17"/>
        <v>0</v>
      </c>
      <c r="AR18" s="138">
        <f t="shared" ca="1" si="17"/>
        <v>0</v>
      </c>
      <c r="AS18" s="138">
        <f t="shared" ca="1" si="17"/>
        <v>0</v>
      </c>
      <c r="AT18" s="138">
        <f t="shared" ca="1" si="17"/>
        <v>0</v>
      </c>
      <c r="AU18" s="138">
        <f t="shared" ca="1" si="17"/>
        <v>0</v>
      </c>
      <c r="AV18" s="138">
        <f t="shared" ca="1" si="17"/>
        <v>0</v>
      </c>
      <c r="AW18" s="138">
        <f t="shared" ca="1" si="17"/>
        <v>0</v>
      </c>
      <c r="AX18" s="138">
        <f t="shared" ca="1" si="17"/>
        <v>0</v>
      </c>
      <c r="AY18" s="138">
        <f t="shared" ca="1" si="17"/>
        <v>0</v>
      </c>
      <c r="AZ18" s="138">
        <f t="shared" ca="1" si="17"/>
        <v>0</v>
      </c>
      <c r="BA18" s="138">
        <f t="shared" ca="1" si="17"/>
        <v>0</v>
      </c>
      <c r="BB18" s="138">
        <f t="shared" ca="1" si="17"/>
        <v>0</v>
      </c>
      <c r="BC18" s="138">
        <f t="shared" ca="1" si="17"/>
        <v>0</v>
      </c>
      <c r="BD18" s="138">
        <f t="shared" ca="1" si="18"/>
        <v>0</v>
      </c>
      <c r="BE18" s="138">
        <f t="shared" ca="1" si="18"/>
        <v>0</v>
      </c>
      <c r="BF18" s="138">
        <f t="shared" ca="1" si="18"/>
        <v>0</v>
      </c>
      <c r="BG18" s="138">
        <f t="shared" ca="1" si="18"/>
        <v>0</v>
      </c>
      <c r="BH18" s="138">
        <f t="shared" ca="1" si="18"/>
        <v>0</v>
      </c>
      <c r="BI18" s="138">
        <f t="shared" ca="1" si="18"/>
        <v>0</v>
      </c>
      <c r="BJ18" s="138">
        <f t="shared" ca="1" si="18"/>
        <v>0</v>
      </c>
      <c r="BK18" s="138">
        <f t="shared" ca="1" si="18"/>
        <v>0</v>
      </c>
      <c r="BL18" s="138">
        <f t="shared" ca="1" si="18"/>
        <v>0</v>
      </c>
      <c r="BM18" s="138">
        <f t="shared" ca="1" si="18"/>
        <v>0</v>
      </c>
      <c r="BN18" s="138">
        <f t="shared" ca="1" si="18"/>
        <v>0</v>
      </c>
      <c r="BO18" s="138">
        <f t="shared" ca="1" si="18"/>
        <v>0</v>
      </c>
      <c r="BP18" s="138">
        <f t="shared" ca="1" si="18"/>
        <v>0</v>
      </c>
      <c r="BQ18" s="138">
        <f t="shared" ca="1" si="18"/>
        <v>0</v>
      </c>
      <c r="BR18" s="138">
        <f t="shared" ca="1" si="18"/>
        <v>0</v>
      </c>
      <c r="BS18" s="138">
        <f t="shared" ca="1" si="18"/>
        <v>0</v>
      </c>
      <c r="BT18" s="138">
        <f t="shared" ca="1" si="19"/>
        <v>0</v>
      </c>
      <c r="BU18" s="138">
        <f t="shared" ca="1" si="19"/>
        <v>0</v>
      </c>
      <c r="BV18" s="138">
        <f t="shared" ca="1" si="19"/>
        <v>0</v>
      </c>
      <c r="BW18" s="138">
        <f t="shared" ca="1" si="19"/>
        <v>0</v>
      </c>
      <c r="BX18" s="138">
        <f t="shared" ca="1" si="19"/>
        <v>0</v>
      </c>
      <c r="BY18" s="138">
        <f t="shared" ca="1" si="19"/>
        <v>0</v>
      </c>
      <c r="BZ18" s="138">
        <f t="shared" ca="1" si="19"/>
        <v>0</v>
      </c>
      <c r="CA18" s="138">
        <f t="shared" ca="1" si="19"/>
        <v>0</v>
      </c>
      <c r="CB18" s="138">
        <f t="shared" ca="1" si="19"/>
        <v>0</v>
      </c>
      <c r="CC18" s="138">
        <f t="shared" ca="1" si="19"/>
        <v>0</v>
      </c>
      <c r="CD18" s="138">
        <f t="shared" ca="1" si="19"/>
        <v>0</v>
      </c>
      <c r="CE18" s="138">
        <f t="shared" ca="1" si="19"/>
        <v>0</v>
      </c>
      <c r="CF18" s="138">
        <f t="shared" ca="1" si="19"/>
        <v>0</v>
      </c>
      <c r="CG18" s="138">
        <f t="shared" ca="1" si="19"/>
        <v>0</v>
      </c>
      <c r="CH18" s="138">
        <f t="shared" ca="1" si="19"/>
        <v>0</v>
      </c>
      <c r="CI18" s="138">
        <f t="shared" ca="1" si="19"/>
        <v>0</v>
      </c>
      <c r="CJ18" s="138">
        <f t="shared" ca="1" si="20"/>
        <v>0</v>
      </c>
      <c r="CK18" s="138">
        <f t="shared" ca="1" si="20"/>
        <v>0</v>
      </c>
      <c r="CL18" s="138">
        <f t="shared" ca="1" si="20"/>
        <v>0</v>
      </c>
      <c r="CM18" s="138">
        <f t="shared" ca="1" si="20"/>
        <v>0</v>
      </c>
      <c r="CN18" s="138">
        <f t="shared" ca="1" si="20"/>
        <v>0</v>
      </c>
      <c r="CO18" s="138">
        <f t="shared" ca="1" si="20"/>
        <v>0</v>
      </c>
      <c r="CP18" s="138">
        <f t="shared" ca="1" si="20"/>
        <v>0</v>
      </c>
      <c r="CQ18" s="138">
        <f t="shared" ca="1" si="20"/>
        <v>0</v>
      </c>
      <c r="CR18" s="138">
        <f t="shared" ca="1" si="20"/>
        <v>0</v>
      </c>
      <c r="CS18" s="138">
        <f t="shared" ca="1" si="20"/>
        <v>0</v>
      </c>
      <c r="CT18" s="138">
        <f t="shared" ca="1" si="21"/>
        <v>0</v>
      </c>
      <c r="CU18" s="138">
        <f t="shared" ca="1" si="21"/>
        <v>0</v>
      </c>
      <c r="CV18" s="138">
        <f t="shared" ca="1" si="21"/>
        <v>0</v>
      </c>
      <c r="CW18" s="138">
        <f t="shared" ca="1" si="21"/>
        <v>0</v>
      </c>
      <c r="CX18" s="138">
        <f t="shared" ca="1" si="21"/>
        <v>0</v>
      </c>
      <c r="CY18" s="138">
        <f t="shared" ca="1" si="21"/>
        <v>0</v>
      </c>
      <c r="CZ18" s="138">
        <f t="shared" ca="1" si="21"/>
        <v>0</v>
      </c>
      <c r="DA18" s="138">
        <f t="shared" ca="1" si="21"/>
        <v>0</v>
      </c>
      <c r="DB18" s="138">
        <f t="shared" ca="1" si="21"/>
        <v>0</v>
      </c>
      <c r="DC18" s="138">
        <f t="shared" ca="1" si="21"/>
        <v>0</v>
      </c>
      <c r="DE18" s="254" t="str">
        <f t="shared" ca="1" si="24"/>
        <v>D.1.7.</v>
      </c>
      <c r="DF18">
        <f t="shared" ca="1" si="22"/>
        <v>1</v>
      </c>
      <c r="DG18">
        <f t="shared" ca="1" si="23"/>
        <v>21</v>
      </c>
      <c r="DH18">
        <v>0</v>
      </c>
    </row>
    <row r="19" spans="1:112" hidden="1">
      <c r="A19" s="124">
        <v>7</v>
      </c>
      <c r="B19" s="205" t="str">
        <f t="shared" ca="1" si="12"/>
        <v>D.1.8.</v>
      </c>
      <c r="C19" s="129" t="str">
        <f t="shared" ca="1" si="13"/>
        <v>Veikla</v>
      </c>
      <c r="D19" s="133"/>
      <c r="E19" s="148">
        <f t="shared" ca="1" si="14"/>
        <v>0.21</v>
      </c>
      <c r="F19" s="139">
        <f ca="1">H19+NPV(FD,I19:INDEX(I19:DC19,PAL))</f>
        <v>0</v>
      </c>
      <c r="G19" s="140">
        <f ca="1">SUMIF($H$5:$DC$5,"&lt;="&amp;PAL,$H19:$DC19)</f>
        <v>0</v>
      </c>
      <c r="H19" s="138">
        <f t="shared" ca="1" si="15"/>
        <v>0</v>
      </c>
      <c r="I19" s="138">
        <f t="shared" ca="1" si="15"/>
        <v>0</v>
      </c>
      <c r="J19" s="138">
        <f t="shared" ca="1" si="15"/>
        <v>0</v>
      </c>
      <c r="K19" s="138">
        <f t="shared" ca="1" si="15"/>
        <v>0</v>
      </c>
      <c r="L19" s="138">
        <f t="shared" ca="1" si="15"/>
        <v>0</v>
      </c>
      <c r="M19" s="138">
        <f t="shared" ca="1" si="15"/>
        <v>0</v>
      </c>
      <c r="N19" s="138">
        <f t="shared" ca="1" si="15"/>
        <v>0</v>
      </c>
      <c r="O19" s="138">
        <f t="shared" ca="1" si="15"/>
        <v>0</v>
      </c>
      <c r="P19" s="138">
        <f t="shared" ca="1" si="15"/>
        <v>0</v>
      </c>
      <c r="Q19" s="138">
        <f t="shared" ca="1" si="15"/>
        <v>0</v>
      </c>
      <c r="R19" s="138">
        <f t="shared" ca="1" si="15"/>
        <v>0</v>
      </c>
      <c r="S19" s="138">
        <f t="shared" ca="1" si="15"/>
        <v>0</v>
      </c>
      <c r="T19" s="138">
        <f t="shared" ca="1" si="15"/>
        <v>0</v>
      </c>
      <c r="U19" s="138">
        <f t="shared" ca="1" si="15"/>
        <v>0</v>
      </c>
      <c r="V19" s="138">
        <f t="shared" ca="1" si="15"/>
        <v>0</v>
      </c>
      <c r="W19" s="138">
        <f t="shared" ca="1" si="15"/>
        <v>0</v>
      </c>
      <c r="X19" s="138">
        <f t="shared" ca="1" si="16"/>
        <v>0</v>
      </c>
      <c r="Y19" s="138">
        <f t="shared" ca="1" si="16"/>
        <v>0</v>
      </c>
      <c r="Z19" s="138">
        <f t="shared" ca="1" si="16"/>
        <v>0</v>
      </c>
      <c r="AA19" s="138">
        <f t="shared" ca="1" si="16"/>
        <v>0</v>
      </c>
      <c r="AB19" s="138">
        <f t="shared" ca="1" si="16"/>
        <v>0</v>
      </c>
      <c r="AC19" s="138">
        <f t="shared" ca="1" si="16"/>
        <v>0</v>
      </c>
      <c r="AD19" s="138">
        <f t="shared" ca="1" si="16"/>
        <v>0</v>
      </c>
      <c r="AE19" s="138">
        <f t="shared" ca="1" si="16"/>
        <v>0</v>
      </c>
      <c r="AF19" s="138">
        <f t="shared" ca="1" si="16"/>
        <v>0</v>
      </c>
      <c r="AG19" s="138">
        <f t="shared" ca="1" si="16"/>
        <v>0</v>
      </c>
      <c r="AH19" s="138">
        <f t="shared" ca="1" si="16"/>
        <v>0</v>
      </c>
      <c r="AI19" s="138">
        <f t="shared" ca="1" si="16"/>
        <v>0</v>
      </c>
      <c r="AJ19" s="138">
        <f t="shared" ca="1" si="16"/>
        <v>0</v>
      </c>
      <c r="AK19" s="138">
        <f t="shared" ca="1" si="16"/>
        <v>0</v>
      </c>
      <c r="AL19" s="138">
        <f t="shared" ca="1" si="16"/>
        <v>0</v>
      </c>
      <c r="AM19" s="138">
        <f t="shared" ca="1" si="16"/>
        <v>0</v>
      </c>
      <c r="AN19" s="138">
        <f t="shared" ca="1" si="17"/>
        <v>0</v>
      </c>
      <c r="AO19" s="138">
        <f t="shared" ca="1" si="17"/>
        <v>0</v>
      </c>
      <c r="AP19" s="138">
        <f t="shared" ca="1" si="17"/>
        <v>0</v>
      </c>
      <c r="AQ19" s="138">
        <f t="shared" ca="1" si="17"/>
        <v>0</v>
      </c>
      <c r="AR19" s="138">
        <f t="shared" ca="1" si="17"/>
        <v>0</v>
      </c>
      <c r="AS19" s="138">
        <f t="shared" ca="1" si="17"/>
        <v>0</v>
      </c>
      <c r="AT19" s="138">
        <f t="shared" ca="1" si="17"/>
        <v>0</v>
      </c>
      <c r="AU19" s="138">
        <f t="shared" ca="1" si="17"/>
        <v>0</v>
      </c>
      <c r="AV19" s="138">
        <f t="shared" ca="1" si="17"/>
        <v>0</v>
      </c>
      <c r="AW19" s="138">
        <f t="shared" ca="1" si="17"/>
        <v>0</v>
      </c>
      <c r="AX19" s="138">
        <f t="shared" ca="1" si="17"/>
        <v>0</v>
      </c>
      <c r="AY19" s="138">
        <f t="shared" ca="1" si="17"/>
        <v>0</v>
      </c>
      <c r="AZ19" s="138">
        <f t="shared" ca="1" si="17"/>
        <v>0</v>
      </c>
      <c r="BA19" s="138">
        <f t="shared" ca="1" si="17"/>
        <v>0</v>
      </c>
      <c r="BB19" s="138">
        <f t="shared" ca="1" si="17"/>
        <v>0</v>
      </c>
      <c r="BC19" s="138">
        <f t="shared" ca="1" si="17"/>
        <v>0</v>
      </c>
      <c r="BD19" s="138">
        <f t="shared" ca="1" si="18"/>
        <v>0</v>
      </c>
      <c r="BE19" s="138">
        <f t="shared" ca="1" si="18"/>
        <v>0</v>
      </c>
      <c r="BF19" s="138">
        <f t="shared" ca="1" si="18"/>
        <v>0</v>
      </c>
      <c r="BG19" s="138">
        <f t="shared" ca="1" si="18"/>
        <v>0</v>
      </c>
      <c r="BH19" s="138">
        <f t="shared" ca="1" si="18"/>
        <v>0</v>
      </c>
      <c r="BI19" s="138">
        <f t="shared" ca="1" si="18"/>
        <v>0</v>
      </c>
      <c r="BJ19" s="138">
        <f t="shared" ca="1" si="18"/>
        <v>0</v>
      </c>
      <c r="BK19" s="138">
        <f t="shared" ca="1" si="18"/>
        <v>0</v>
      </c>
      <c r="BL19" s="138">
        <f t="shared" ca="1" si="18"/>
        <v>0</v>
      </c>
      <c r="BM19" s="138">
        <f t="shared" ca="1" si="18"/>
        <v>0</v>
      </c>
      <c r="BN19" s="138">
        <f t="shared" ca="1" si="18"/>
        <v>0</v>
      </c>
      <c r="BO19" s="138">
        <f t="shared" ca="1" si="18"/>
        <v>0</v>
      </c>
      <c r="BP19" s="138">
        <f t="shared" ca="1" si="18"/>
        <v>0</v>
      </c>
      <c r="BQ19" s="138">
        <f t="shared" ca="1" si="18"/>
        <v>0</v>
      </c>
      <c r="BR19" s="138">
        <f t="shared" ca="1" si="18"/>
        <v>0</v>
      </c>
      <c r="BS19" s="138">
        <f t="shared" ca="1" si="18"/>
        <v>0</v>
      </c>
      <c r="BT19" s="138">
        <f t="shared" ca="1" si="19"/>
        <v>0</v>
      </c>
      <c r="BU19" s="138">
        <f t="shared" ca="1" si="19"/>
        <v>0</v>
      </c>
      <c r="BV19" s="138">
        <f t="shared" ca="1" si="19"/>
        <v>0</v>
      </c>
      <c r="BW19" s="138">
        <f t="shared" ca="1" si="19"/>
        <v>0</v>
      </c>
      <c r="BX19" s="138">
        <f t="shared" ca="1" si="19"/>
        <v>0</v>
      </c>
      <c r="BY19" s="138">
        <f t="shared" ca="1" si="19"/>
        <v>0</v>
      </c>
      <c r="BZ19" s="138">
        <f t="shared" ca="1" si="19"/>
        <v>0</v>
      </c>
      <c r="CA19" s="138">
        <f t="shared" ca="1" si="19"/>
        <v>0</v>
      </c>
      <c r="CB19" s="138">
        <f t="shared" ca="1" si="19"/>
        <v>0</v>
      </c>
      <c r="CC19" s="138">
        <f t="shared" ca="1" si="19"/>
        <v>0</v>
      </c>
      <c r="CD19" s="138">
        <f t="shared" ca="1" si="19"/>
        <v>0</v>
      </c>
      <c r="CE19" s="138">
        <f t="shared" ca="1" si="19"/>
        <v>0</v>
      </c>
      <c r="CF19" s="138">
        <f t="shared" ca="1" si="19"/>
        <v>0</v>
      </c>
      <c r="CG19" s="138">
        <f t="shared" ca="1" si="19"/>
        <v>0</v>
      </c>
      <c r="CH19" s="138">
        <f t="shared" ca="1" si="19"/>
        <v>0</v>
      </c>
      <c r="CI19" s="138">
        <f t="shared" ca="1" si="19"/>
        <v>0</v>
      </c>
      <c r="CJ19" s="138">
        <f t="shared" ca="1" si="20"/>
        <v>0</v>
      </c>
      <c r="CK19" s="138">
        <f t="shared" ca="1" si="20"/>
        <v>0</v>
      </c>
      <c r="CL19" s="138">
        <f t="shared" ca="1" si="20"/>
        <v>0</v>
      </c>
      <c r="CM19" s="138">
        <f t="shared" ca="1" si="20"/>
        <v>0</v>
      </c>
      <c r="CN19" s="138">
        <f t="shared" ca="1" si="20"/>
        <v>0</v>
      </c>
      <c r="CO19" s="138">
        <f t="shared" ca="1" si="20"/>
        <v>0</v>
      </c>
      <c r="CP19" s="138">
        <f t="shared" ca="1" si="20"/>
        <v>0</v>
      </c>
      <c r="CQ19" s="138">
        <f t="shared" ca="1" si="20"/>
        <v>0</v>
      </c>
      <c r="CR19" s="138">
        <f t="shared" ca="1" si="20"/>
        <v>0</v>
      </c>
      <c r="CS19" s="138">
        <f t="shared" ca="1" si="20"/>
        <v>0</v>
      </c>
      <c r="CT19" s="138">
        <f t="shared" ca="1" si="21"/>
        <v>0</v>
      </c>
      <c r="CU19" s="138">
        <f t="shared" ca="1" si="21"/>
        <v>0</v>
      </c>
      <c r="CV19" s="138">
        <f t="shared" ca="1" si="21"/>
        <v>0</v>
      </c>
      <c r="CW19" s="138">
        <f t="shared" ca="1" si="21"/>
        <v>0</v>
      </c>
      <c r="CX19" s="138">
        <f t="shared" ca="1" si="21"/>
        <v>0</v>
      </c>
      <c r="CY19" s="138">
        <f t="shared" ca="1" si="21"/>
        <v>0</v>
      </c>
      <c r="CZ19" s="138">
        <f t="shared" ca="1" si="21"/>
        <v>0</v>
      </c>
      <c r="DA19" s="138">
        <f t="shared" ca="1" si="21"/>
        <v>0</v>
      </c>
      <c r="DB19" s="138">
        <f t="shared" ca="1" si="21"/>
        <v>0</v>
      </c>
      <c r="DC19" s="138">
        <f t="shared" ca="1" si="21"/>
        <v>0</v>
      </c>
      <c r="DE19" s="254" t="str">
        <f t="shared" ca="1" si="24"/>
        <v>D.1.8.</v>
      </c>
      <c r="DF19">
        <f t="shared" ca="1" si="22"/>
        <v>1</v>
      </c>
      <c r="DG19">
        <f t="shared" ca="1" si="23"/>
        <v>21</v>
      </c>
      <c r="DH19">
        <v>0</v>
      </c>
    </row>
    <row r="20" spans="1:112" hidden="1">
      <c r="A20" s="124">
        <v>8</v>
      </c>
      <c r="B20" s="205" t="str">
        <f t="shared" ca="1" si="12"/>
        <v>D.1.9.</v>
      </c>
      <c r="C20" s="129" t="str">
        <f t="shared" ca="1" si="13"/>
        <v>Reinvesticijos (po priemonės įgyvendinimo)</v>
      </c>
      <c r="D20" s="133"/>
      <c r="E20" s="148">
        <f t="shared" ca="1" si="14"/>
        <v>0.21</v>
      </c>
      <c r="F20" s="139">
        <f ca="1">H20+NPV(FD,I20:INDEX(I20:DC20,PAL))</f>
        <v>0</v>
      </c>
      <c r="G20" s="140">
        <f ca="1">SUMIF($H$5:$DC$5,"&lt;="&amp;PAL,$H20:$DC20)</f>
        <v>0</v>
      </c>
      <c r="H20" s="138">
        <f t="shared" ca="1" si="15"/>
        <v>0</v>
      </c>
      <c r="I20" s="138">
        <f t="shared" ca="1" si="15"/>
        <v>0</v>
      </c>
      <c r="J20" s="138">
        <f t="shared" ca="1" si="15"/>
        <v>0</v>
      </c>
      <c r="K20" s="138">
        <f t="shared" ca="1" si="15"/>
        <v>0</v>
      </c>
      <c r="L20" s="138">
        <f t="shared" ca="1" si="15"/>
        <v>0</v>
      </c>
      <c r="M20" s="138">
        <f t="shared" ca="1" si="15"/>
        <v>0</v>
      </c>
      <c r="N20" s="138">
        <f t="shared" ca="1" si="15"/>
        <v>0</v>
      </c>
      <c r="O20" s="138">
        <f t="shared" ca="1" si="15"/>
        <v>0</v>
      </c>
      <c r="P20" s="138">
        <f t="shared" ca="1" si="15"/>
        <v>0</v>
      </c>
      <c r="Q20" s="138">
        <f t="shared" ca="1" si="15"/>
        <v>0</v>
      </c>
      <c r="R20" s="138">
        <f t="shared" ca="1" si="15"/>
        <v>0</v>
      </c>
      <c r="S20" s="138">
        <f t="shared" ca="1" si="15"/>
        <v>0</v>
      </c>
      <c r="T20" s="138">
        <f t="shared" ca="1" si="15"/>
        <v>0</v>
      </c>
      <c r="U20" s="138">
        <f t="shared" ca="1" si="15"/>
        <v>0</v>
      </c>
      <c r="V20" s="138">
        <f t="shared" ca="1" si="15"/>
        <v>0</v>
      </c>
      <c r="W20" s="138">
        <f t="shared" ca="1" si="15"/>
        <v>0</v>
      </c>
      <c r="X20" s="138">
        <f t="shared" ca="1" si="16"/>
        <v>0</v>
      </c>
      <c r="Y20" s="138">
        <f t="shared" ca="1" si="16"/>
        <v>0</v>
      </c>
      <c r="Z20" s="138">
        <f t="shared" ca="1" si="16"/>
        <v>0</v>
      </c>
      <c r="AA20" s="138">
        <f t="shared" ca="1" si="16"/>
        <v>0</v>
      </c>
      <c r="AB20" s="138">
        <f t="shared" ca="1" si="16"/>
        <v>0</v>
      </c>
      <c r="AC20" s="138">
        <f t="shared" ca="1" si="16"/>
        <v>0</v>
      </c>
      <c r="AD20" s="138">
        <f t="shared" ca="1" si="16"/>
        <v>0</v>
      </c>
      <c r="AE20" s="138">
        <f t="shared" ca="1" si="16"/>
        <v>0</v>
      </c>
      <c r="AF20" s="138">
        <f t="shared" ca="1" si="16"/>
        <v>0</v>
      </c>
      <c r="AG20" s="138">
        <f t="shared" ca="1" si="16"/>
        <v>0</v>
      </c>
      <c r="AH20" s="138">
        <f t="shared" ca="1" si="16"/>
        <v>0</v>
      </c>
      <c r="AI20" s="138">
        <f t="shared" ca="1" si="16"/>
        <v>0</v>
      </c>
      <c r="AJ20" s="138">
        <f t="shared" ca="1" si="16"/>
        <v>0</v>
      </c>
      <c r="AK20" s="138">
        <f t="shared" ca="1" si="16"/>
        <v>0</v>
      </c>
      <c r="AL20" s="138">
        <f t="shared" ca="1" si="16"/>
        <v>0</v>
      </c>
      <c r="AM20" s="138">
        <f t="shared" ca="1" si="16"/>
        <v>0</v>
      </c>
      <c r="AN20" s="138">
        <f t="shared" ca="1" si="17"/>
        <v>0</v>
      </c>
      <c r="AO20" s="138">
        <f t="shared" ca="1" si="17"/>
        <v>0</v>
      </c>
      <c r="AP20" s="138">
        <f t="shared" ca="1" si="17"/>
        <v>0</v>
      </c>
      <c r="AQ20" s="138">
        <f t="shared" ca="1" si="17"/>
        <v>0</v>
      </c>
      <c r="AR20" s="138">
        <f t="shared" ca="1" si="17"/>
        <v>0</v>
      </c>
      <c r="AS20" s="138">
        <f t="shared" ca="1" si="17"/>
        <v>0</v>
      </c>
      <c r="AT20" s="138">
        <f t="shared" ca="1" si="17"/>
        <v>0</v>
      </c>
      <c r="AU20" s="138">
        <f t="shared" ca="1" si="17"/>
        <v>0</v>
      </c>
      <c r="AV20" s="138">
        <f t="shared" ca="1" si="17"/>
        <v>0</v>
      </c>
      <c r="AW20" s="138">
        <f t="shared" ca="1" si="17"/>
        <v>0</v>
      </c>
      <c r="AX20" s="138">
        <f t="shared" ca="1" si="17"/>
        <v>0</v>
      </c>
      <c r="AY20" s="138">
        <f t="shared" ca="1" si="17"/>
        <v>0</v>
      </c>
      <c r="AZ20" s="138">
        <f t="shared" ca="1" si="17"/>
        <v>0</v>
      </c>
      <c r="BA20" s="138">
        <f t="shared" ca="1" si="17"/>
        <v>0</v>
      </c>
      <c r="BB20" s="138">
        <f t="shared" ca="1" si="17"/>
        <v>0</v>
      </c>
      <c r="BC20" s="138">
        <f t="shared" ca="1" si="17"/>
        <v>0</v>
      </c>
      <c r="BD20" s="138">
        <f t="shared" ca="1" si="18"/>
        <v>0</v>
      </c>
      <c r="BE20" s="138">
        <f t="shared" ca="1" si="18"/>
        <v>0</v>
      </c>
      <c r="BF20" s="138">
        <f t="shared" ca="1" si="18"/>
        <v>0</v>
      </c>
      <c r="BG20" s="138">
        <f t="shared" ca="1" si="18"/>
        <v>0</v>
      </c>
      <c r="BH20" s="138">
        <f t="shared" ca="1" si="18"/>
        <v>0</v>
      </c>
      <c r="BI20" s="138">
        <f t="shared" ca="1" si="18"/>
        <v>0</v>
      </c>
      <c r="BJ20" s="138">
        <f t="shared" ca="1" si="18"/>
        <v>0</v>
      </c>
      <c r="BK20" s="138">
        <f t="shared" ca="1" si="18"/>
        <v>0</v>
      </c>
      <c r="BL20" s="138">
        <f t="shared" ca="1" si="18"/>
        <v>0</v>
      </c>
      <c r="BM20" s="138">
        <f t="shared" ca="1" si="18"/>
        <v>0</v>
      </c>
      <c r="BN20" s="138">
        <f t="shared" ca="1" si="18"/>
        <v>0</v>
      </c>
      <c r="BO20" s="138">
        <f t="shared" ca="1" si="18"/>
        <v>0</v>
      </c>
      <c r="BP20" s="138">
        <f t="shared" ca="1" si="18"/>
        <v>0</v>
      </c>
      <c r="BQ20" s="138">
        <f t="shared" ca="1" si="18"/>
        <v>0</v>
      </c>
      <c r="BR20" s="138">
        <f t="shared" ca="1" si="18"/>
        <v>0</v>
      </c>
      <c r="BS20" s="138">
        <f t="shared" ca="1" si="18"/>
        <v>0</v>
      </c>
      <c r="BT20" s="138">
        <f t="shared" ca="1" si="19"/>
        <v>0</v>
      </c>
      <c r="BU20" s="138">
        <f t="shared" ca="1" si="19"/>
        <v>0</v>
      </c>
      <c r="BV20" s="138">
        <f t="shared" ca="1" si="19"/>
        <v>0</v>
      </c>
      <c r="BW20" s="138">
        <f t="shared" ca="1" si="19"/>
        <v>0</v>
      </c>
      <c r="BX20" s="138">
        <f t="shared" ca="1" si="19"/>
        <v>0</v>
      </c>
      <c r="BY20" s="138">
        <f t="shared" ca="1" si="19"/>
        <v>0</v>
      </c>
      <c r="BZ20" s="138">
        <f t="shared" ca="1" si="19"/>
        <v>0</v>
      </c>
      <c r="CA20" s="138">
        <f t="shared" ca="1" si="19"/>
        <v>0</v>
      </c>
      <c r="CB20" s="138">
        <f t="shared" ca="1" si="19"/>
        <v>0</v>
      </c>
      <c r="CC20" s="138">
        <f t="shared" ca="1" si="19"/>
        <v>0</v>
      </c>
      <c r="CD20" s="138">
        <f t="shared" ca="1" si="19"/>
        <v>0</v>
      </c>
      <c r="CE20" s="138">
        <f t="shared" ca="1" si="19"/>
        <v>0</v>
      </c>
      <c r="CF20" s="138">
        <f t="shared" ca="1" si="19"/>
        <v>0</v>
      </c>
      <c r="CG20" s="138">
        <f t="shared" ca="1" si="19"/>
        <v>0</v>
      </c>
      <c r="CH20" s="138">
        <f t="shared" ca="1" si="19"/>
        <v>0</v>
      </c>
      <c r="CI20" s="138">
        <f t="shared" ca="1" si="19"/>
        <v>0</v>
      </c>
      <c r="CJ20" s="138">
        <f t="shared" ca="1" si="20"/>
        <v>0</v>
      </c>
      <c r="CK20" s="138">
        <f t="shared" ca="1" si="20"/>
        <v>0</v>
      </c>
      <c r="CL20" s="138">
        <f t="shared" ca="1" si="20"/>
        <v>0</v>
      </c>
      <c r="CM20" s="138">
        <f t="shared" ca="1" si="20"/>
        <v>0</v>
      </c>
      <c r="CN20" s="138">
        <f t="shared" ca="1" si="20"/>
        <v>0</v>
      </c>
      <c r="CO20" s="138">
        <f t="shared" ca="1" si="20"/>
        <v>0</v>
      </c>
      <c r="CP20" s="138">
        <f t="shared" ca="1" si="20"/>
        <v>0</v>
      </c>
      <c r="CQ20" s="138">
        <f t="shared" ca="1" si="20"/>
        <v>0</v>
      </c>
      <c r="CR20" s="138">
        <f t="shared" ca="1" si="20"/>
        <v>0</v>
      </c>
      <c r="CS20" s="138">
        <f t="shared" ca="1" si="20"/>
        <v>0</v>
      </c>
      <c r="CT20" s="138">
        <f t="shared" ca="1" si="21"/>
        <v>0</v>
      </c>
      <c r="CU20" s="138">
        <f t="shared" ca="1" si="21"/>
        <v>0</v>
      </c>
      <c r="CV20" s="138">
        <f t="shared" ca="1" si="21"/>
        <v>0</v>
      </c>
      <c r="CW20" s="138">
        <f t="shared" ca="1" si="21"/>
        <v>0</v>
      </c>
      <c r="CX20" s="138">
        <f t="shared" ca="1" si="21"/>
        <v>0</v>
      </c>
      <c r="CY20" s="138">
        <f t="shared" ca="1" si="21"/>
        <v>0</v>
      </c>
      <c r="CZ20" s="138">
        <f t="shared" ca="1" si="21"/>
        <v>0</v>
      </c>
      <c r="DA20" s="138">
        <f t="shared" ca="1" si="21"/>
        <v>0</v>
      </c>
      <c r="DB20" s="138">
        <f t="shared" ca="1" si="21"/>
        <v>0</v>
      </c>
      <c r="DC20" s="138">
        <f t="shared" ca="1" si="21"/>
        <v>0</v>
      </c>
      <c r="DE20" s="254" t="str">
        <f t="shared" ca="1" si="24"/>
        <v>D.1.9.</v>
      </c>
      <c r="DF20">
        <f t="shared" ca="1" si="22"/>
        <v>1</v>
      </c>
      <c r="DG20">
        <f t="shared" ca="1" si="23"/>
        <v>21</v>
      </c>
      <c r="DH20">
        <v>0</v>
      </c>
    </row>
    <row r="21" spans="1:112" hidden="1">
      <c r="A21" s="124">
        <v>9</v>
      </c>
      <c r="B21" s="205" t="str">
        <f t="shared" ca="1" si="12"/>
        <v>D.1.L.</v>
      </c>
      <c r="C21" s="129" t="str">
        <f t="shared" ca="1" si="13"/>
        <v>Likutinė vertė</v>
      </c>
      <c r="D21" s="133"/>
      <c r="E21" s="148">
        <f t="shared" ca="1" si="14"/>
        <v>0.21</v>
      </c>
      <c r="F21" s="139">
        <f ca="1">H21+NPV(FD,I21:INDEX(I21:DC21,PAL))</f>
        <v>0</v>
      </c>
      <c r="G21" s="140">
        <f ca="1">SUMIF($H$5:$DC$5,"&lt;="&amp;PAL,$H21:$DC21)</f>
        <v>0</v>
      </c>
      <c r="H21" s="138">
        <f t="shared" ca="1" si="15"/>
        <v>0</v>
      </c>
      <c r="I21" s="138">
        <f t="shared" ca="1" si="15"/>
        <v>0</v>
      </c>
      <c r="J21" s="138">
        <f t="shared" ca="1" si="15"/>
        <v>0</v>
      </c>
      <c r="K21" s="138">
        <f t="shared" ca="1" si="15"/>
        <v>0</v>
      </c>
      <c r="L21" s="138">
        <f t="shared" ca="1" si="15"/>
        <v>0</v>
      </c>
      <c r="M21" s="138">
        <f t="shared" ca="1" si="15"/>
        <v>0</v>
      </c>
      <c r="N21" s="138">
        <f t="shared" ca="1" si="15"/>
        <v>0</v>
      </c>
      <c r="O21" s="138">
        <f t="shared" ca="1" si="15"/>
        <v>0</v>
      </c>
      <c r="P21" s="138">
        <f t="shared" ca="1" si="15"/>
        <v>0</v>
      </c>
      <c r="Q21" s="138">
        <f t="shared" ca="1" si="15"/>
        <v>0</v>
      </c>
      <c r="R21" s="138">
        <f t="shared" ca="1" si="15"/>
        <v>0</v>
      </c>
      <c r="S21" s="138">
        <f t="shared" ca="1" si="15"/>
        <v>0</v>
      </c>
      <c r="T21" s="138">
        <f t="shared" ca="1" si="15"/>
        <v>0</v>
      </c>
      <c r="U21" s="138">
        <f t="shared" ca="1" si="15"/>
        <v>0</v>
      </c>
      <c r="V21" s="138">
        <f t="shared" ca="1" si="15"/>
        <v>0</v>
      </c>
      <c r="W21" s="138">
        <f t="shared" ca="1" si="15"/>
        <v>0</v>
      </c>
      <c r="X21" s="138">
        <f t="shared" ca="1" si="16"/>
        <v>0</v>
      </c>
      <c r="Y21" s="138">
        <f t="shared" ca="1" si="16"/>
        <v>0</v>
      </c>
      <c r="Z21" s="138">
        <f t="shared" ca="1" si="16"/>
        <v>0</v>
      </c>
      <c r="AA21" s="138">
        <f t="shared" ca="1" si="16"/>
        <v>0</v>
      </c>
      <c r="AB21" s="138">
        <f t="shared" ca="1" si="16"/>
        <v>0</v>
      </c>
      <c r="AC21" s="138">
        <f t="shared" ca="1" si="16"/>
        <v>0</v>
      </c>
      <c r="AD21" s="138">
        <f t="shared" ca="1" si="16"/>
        <v>0</v>
      </c>
      <c r="AE21" s="138">
        <f t="shared" ca="1" si="16"/>
        <v>0</v>
      </c>
      <c r="AF21" s="138">
        <f t="shared" ca="1" si="16"/>
        <v>0</v>
      </c>
      <c r="AG21" s="138">
        <f t="shared" ca="1" si="16"/>
        <v>0</v>
      </c>
      <c r="AH21" s="138">
        <f t="shared" ca="1" si="16"/>
        <v>0</v>
      </c>
      <c r="AI21" s="138">
        <f t="shared" ca="1" si="16"/>
        <v>0</v>
      </c>
      <c r="AJ21" s="138">
        <f t="shared" ca="1" si="16"/>
        <v>0</v>
      </c>
      <c r="AK21" s="138">
        <f t="shared" ca="1" si="16"/>
        <v>0</v>
      </c>
      <c r="AL21" s="138">
        <f t="shared" ca="1" si="16"/>
        <v>0</v>
      </c>
      <c r="AM21" s="138">
        <f t="shared" ca="1" si="16"/>
        <v>0</v>
      </c>
      <c r="AN21" s="138">
        <f t="shared" ca="1" si="17"/>
        <v>0</v>
      </c>
      <c r="AO21" s="138">
        <f t="shared" ca="1" si="17"/>
        <v>0</v>
      </c>
      <c r="AP21" s="138">
        <f t="shared" ca="1" si="17"/>
        <v>0</v>
      </c>
      <c r="AQ21" s="138">
        <f t="shared" ca="1" si="17"/>
        <v>0</v>
      </c>
      <c r="AR21" s="138">
        <f t="shared" ca="1" si="17"/>
        <v>0</v>
      </c>
      <c r="AS21" s="138">
        <f t="shared" ca="1" si="17"/>
        <v>0</v>
      </c>
      <c r="AT21" s="138">
        <f t="shared" ca="1" si="17"/>
        <v>0</v>
      </c>
      <c r="AU21" s="138">
        <f t="shared" ca="1" si="17"/>
        <v>0</v>
      </c>
      <c r="AV21" s="138">
        <f t="shared" ca="1" si="17"/>
        <v>0</v>
      </c>
      <c r="AW21" s="138">
        <f t="shared" ca="1" si="17"/>
        <v>0</v>
      </c>
      <c r="AX21" s="138">
        <f t="shared" ca="1" si="17"/>
        <v>0</v>
      </c>
      <c r="AY21" s="138">
        <f t="shared" ca="1" si="17"/>
        <v>0</v>
      </c>
      <c r="AZ21" s="138">
        <f t="shared" ca="1" si="17"/>
        <v>0</v>
      </c>
      <c r="BA21" s="138">
        <f t="shared" ca="1" si="17"/>
        <v>0</v>
      </c>
      <c r="BB21" s="138">
        <f t="shared" ca="1" si="17"/>
        <v>0</v>
      </c>
      <c r="BC21" s="138">
        <f t="shared" ca="1" si="17"/>
        <v>0</v>
      </c>
      <c r="BD21" s="138">
        <f t="shared" ca="1" si="18"/>
        <v>0</v>
      </c>
      <c r="BE21" s="138">
        <f t="shared" ca="1" si="18"/>
        <v>0</v>
      </c>
      <c r="BF21" s="138">
        <f t="shared" ca="1" si="18"/>
        <v>0</v>
      </c>
      <c r="BG21" s="138">
        <f t="shared" ca="1" si="18"/>
        <v>0</v>
      </c>
      <c r="BH21" s="138">
        <f t="shared" ca="1" si="18"/>
        <v>0</v>
      </c>
      <c r="BI21" s="138">
        <f t="shared" ca="1" si="18"/>
        <v>0</v>
      </c>
      <c r="BJ21" s="138">
        <f t="shared" ca="1" si="18"/>
        <v>0</v>
      </c>
      <c r="BK21" s="138">
        <f t="shared" ca="1" si="18"/>
        <v>0</v>
      </c>
      <c r="BL21" s="138">
        <f t="shared" ca="1" si="18"/>
        <v>0</v>
      </c>
      <c r="BM21" s="138">
        <f t="shared" ca="1" si="18"/>
        <v>0</v>
      </c>
      <c r="BN21" s="138">
        <f t="shared" ca="1" si="18"/>
        <v>0</v>
      </c>
      <c r="BO21" s="138">
        <f t="shared" ca="1" si="18"/>
        <v>0</v>
      </c>
      <c r="BP21" s="138">
        <f t="shared" ca="1" si="18"/>
        <v>0</v>
      </c>
      <c r="BQ21" s="138">
        <f t="shared" ca="1" si="18"/>
        <v>0</v>
      </c>
      <c r="BR21" s="138">
        <f t="shared" ca="1" si="18"/>
        <v>0</v>
      </c>
      <c r="BS21" s="138">
        <f t="shared" ca="1" si="18"/>
        <v>0</v>
      </c>
      <c r="BT21" s="138">
        <f t="shared" ca="1" si="19"/>
        <v>0</v>
      </c>
      <c r="BU21" s="138">
        <f t="shared" ca="1" si="19"/>
        <v>0</v>
      </c>
      <c r="BV21" s="138">
        <f t="shared" ca="1" si="19"/>
        <v>0</v>
      </c>
      <c r="BW21" s="138">
        <f t="shared" ca="1" si="19"/>
        <v>0</v>
      </c>
      <c r="BX21" s="138">
        <f t="shared" ca="1" si="19"/>
        <v>0</v>
      </c>
      <c r="BY21" s="138">
        <f t="shared" ca="1" si="19"/>
        <v>0</v>
      </c>
      <c r="BZ21" s="138">
        <f t="shared" ca="1" si="19"/>
        <v>0</v>
      </c>
      <c r="CA21" s="138">
        <f t="shared" ca="1" si="19"/>
        <v>0</v>
      </c>
      <c r="CB21" s="138">
        <f t="shared" ca="1" si="19"/>
        <v>0</v>
      </c>
      <c r="CC21" s="138">
        <f t="shared" ca="1" si="19"/>
        <v>0</v>
      </c>
      <c r="CD21" s="138">
        <f t="shared" ca="1" si="19"/>
        <v>0</v>
      </c>
      <c r="CE21" s="138">
        <f t="shared" ca="1" si="19"/>
        <v>0</v>
      </c>
      <c r="CF21" s="138">
        <f t="shared" ca="1" si="19"/>
        <v>0</v>
      </c>
      <c r="CG21" s="138">
        <f t="shared" ca="1" si="19"/>
        <v>0</v>
      </c>
      <c r="CH21" s="138">
        <f t="shared" ca="1" si="19"/>
        <v>0</v>
      </c>
      <c r="CI21" s="138">
        <f t="shared" ca="1" si="19"/>
        <v>0</v>
      </c>
      <c r="CJ21" s="138">
        <f t="shared" ca="1" si="20"/>
        <v>0</v>
      </c>
      <c r="CK21" s="138">
        <f t="shared" ca="1" si="20"/>
        <v>0</v>
      </c>
      <c r="CL21" s="138">
        <f t="shared" ca="1" si="20"/>
        <v>0</v>
      </c>
      <c r="CM21" s="138">
        <f t="shared" ca="1" si="20"/>
        <v>0</v>
      </c>
      <c r="CN21" s="138">
        <f t="shared" ca="1" si="20"/>
        <v>0</v>
      </c>
      <c r="CO21" s="138">
        <f t="shared" ca="1" si="20"/>
        <v>0</v>
      </c>
      <c r="CP21" s="138">
        <f t="shared" ca="1" si="20"/>
        <v>0</v>
      </c>
      <c r="CQ21" s="138">
        <f t="shared" ca="1" si="20"/>
        <v>0</v>
      </c>
      <c r="CR21" s="138">
        <f t="shared" ca="1" si="20"/>
        <v>0</v>
      </c>
      <c r="CS21" s="138">
        <f t="shared" ca="1" si="20"/>
        <v>0</v>
      </c>
      <c r="CT21" s="138">
        <f t="shared" ca="1" si="21"/>
        <v>0</v>
      </c>
      <c r="CU21" s="138">
        <f t="shared" ca="1" si="21"/>
        <v>0</v>
      </c>
      <c r="CV21" s="138">
        <f t="shared" ca="1" si="21"/>
        <v>0</v>
      </c>
      <c r="CW21" s="138">
        <f t="shared" ca="1" si="21"/>
        <v>0</v>
      </c>
      <c r="CX21" s="138">
        <f t="shared" ca="1" si="21"/>
        <v>0</v>
      </c>
      <c r="CY21" s="138">
        <f t="shared" ca="1" si="21"/>
        <v>0</v>
      </c>
      <c r="CZ21" s="138">
        <f t="shared" ca="1" si="21"/>
        <v>0</v>
      </c>
      <c r="DA21" s="138">
        <f t="shared" ca="1" si="21"/>
        <v>0</v>
      </c>
      <c r="DB21" s="138">
        <f t="shared" ca="1" si="21"/>
        <v>0</v>
      </c>
      <c r="DC21" s="138">
        <f t="shared" ca="1" si="21"/>
        <v>0</v>
      </c>
      <c r="DE21" s="254" t="str">
        <f t="shared" ca="1" si="24"/>
        <v>D.1.L.</v>
      </c>
      <c r="DF21">
        <f t="shared" ca="1" si="22"/>
        <v>1</v>
      </c>
      <c r="DG21">
        <f t="shared" ca="1" si="23"/>
        <v>21</v>
      </c>
      <c r="DH21">
        <f ca="1">DG21/(100+DG21)</f>
        <v>0.17355371900826447</v>
      </c>
    </row>
    <row r="22" spans="1:112" hidden="1">
      <c r="A22" s="124">
        <v>10</v>
      </c>
      <c r="B22" s="205" t="str">
        <f t="shared" ca="1" si="12"/>
        <v>D.2.</v>
      </c>
      <c r="C22" s="197" t="str">
        <f t="shared" ca="1" si="13"/>
        <v>Mokestinės</v>
      </c>
      <c r="D22" s="132"/>
      <c r="E22" s="233" t="str">
        <f t="shared" ca="1" si="14"/>
        <v/>
      </c>
      <c r="F22" s="141">
        <f ca="1">SUM(F23:F30)+F31</f>
        <v>0</v>
      </c>
      <c r="G22" s="140">
        <f ca="1">SUMIF($H$5:$DC$5,"&lt;="&amp;PAL,$H22:$DC22)</f>
        <v>0</v>
      </c>
      <c r="H22" s="234">
        <f ca="1">SUM(H23:H31)</f>
        <v>0</v>
      </c>
      <c r="I22" s="234">
        <f t="shared" ref="I22:BT22" ca="1" si="25">SUM(I23:I31)</f>
        <v>0</v>
      </c>
      <c r="J22" s="234">
        <f t="shared" ca="1" si="25"/>
        <v>0</v>
      </c>
      <c r="K22" s="234">
        <f t="shared" ca="1" si="25"/>
        <v>0</v>
      </c>
      <c r="L22" s="234">
        <f t="shared" ca="1" si="25"/>
        <v>0</v>
      </c>
      <c r="M22" s="234">
        <f t="shared" ca="1" si="25"/>
        <v>0</v>
      </c>
      <c r="N22" s="234">
        <f t="shared" ca="1" si="25"/>
        <v>0</v>
      </c>
      <c r="O22" s="234">
        <f t="shared" ca="1" si="25"/>
        <v>0</v>
      </c>
      <c r="P22" s="234">
        <f t="shared" ca="1" si="25"/>
        <v>0</v>
      </c>
      <c r="Q22" s="234">
        <f t="shared" ca="1" si="25"/>
        <v>0</v>
      </c>
      <c r="R22" s="234">
        <f t="shared" ca="1" si="25"/>
        <v>0</v>
      </c>
      <c r="S22" s="234">
        <f t="shared" ca="1" si="25"/>
        <v>0</v>
      </c>
      <c r="T22" s="234">
        <f t="shared" ca="1" si="25"/>
        <v>0</v>
      </c>
      <c r="U22" s="234">
        <f t="shared" ca="1" si="25"/>
        <v>0</v>
      </c>
      <c r="V22" s="234">
        <f t="shared" ca="1" si="25"/>
        <v>0</v>
      </c>
      <c r="W22" s="234">
        <f t="shared" ca="1" si="25"/>
        <v>0</v>
      </c>
      <c r="X22" s="234">
        <f t="shared" ca="1" si="25"/>
        <v>0</v>
      </c>
      <c r="Y22" s="234">
        <f t="shared" ca="1" si="25"/>
        <v>0</v>
      </c>
      <c r="Z22" s="234">
        <f t="shared" ca="1" si="25"/>
        <v>0</v>
      </c>
      <c r="AA22" s="234">
        <f t="shared" ca="1" si="25"/>
        <v>0</v>
      </c>
      <c r="AB22" s="234">
        <f t="shared" ca="1" si="25"/>
        <v>0</v>
      </c>
      <c r="AC22" s="234">
        <f t="shared" ca="1" si="25"/>
        <v>0</v>
      </c>
      <c r="AD22" s="234">
        <f t="shared" ca="1" si="25"/>
        <v>0</v>
      </c>
      <c r="AE22" s="234">
        <f t="shared" ca="1" si="25"/>
        <v>0</v>
      </c>
      <c r="AF22" s="234">
        <f t="shared" ca="1" si="25"/>
        <v>0</v>
      </c>
      <c r="AG22" s="234">
        <f t="shared" ca="1" si="25"/>
        <v>0</v>
      </c>
      <c r="AH22" s="234">
        <f t="shared" ca="1" si="25"/>
        <v>0</v>
      </c>
      <c r="AI22" s="234">
        <f t="shared" ca="1" si="25"/>
        <v>0</v>
      </c>
      <c r="AJ22" s="234">
        <f t="shared" ca="1" si="25"/>
        <v>0</v>
      </c>
      <c r="AK22" s="234">
        <f t="shared" ca="1" si="25"/>
        <v>0</v>
      </c>
      <c r="AL22" s="234">
        <f t="shared" ca="1" si="25"/>
        <v>0</v>
      </c>
      <c r="AM22" s="234">
        <f t="shared" ca="1" si="25"/>
        <v>0</v>
      </c>
      <c r="AN22" s="234">
        <f t="shared" ca="1" si="25"/>
        <v>0</v>
      </c>
      <c r="AO22" s="234">
        <f t="shared" ca="1" si="25"/>
        <v>0</v>
      </c>
      <c r="AP22" s="234">
        <f t="shared" ca="1" si="25"/>
        <v>0</v>
      </c>
      <c r="AQ22" s="234">
        <f t="shared" ca="1" si="25"/>
        <v>0</v>
      </c>
      <c r="AR22" s="234">
        <f t="shared" ca="1" si="25"/>
        <v>0</v>
      </c>
      <c r="AS22" s="234">
        <f t="shared" ca="1" si="25"/>
        <v>0</v>
      </c>
      <c r="AT22" s="234">
        <f t="shared" ca="1" si="25"/>
        <v>0</v>
      </c>
      <c r="AU22" s="234">
        <f t="shared" ca="1" si="25"/>
        <v>0</v>
      </c>
      <c r="AV22" s="234">
        <f t="shared" ca="1" si="25"/>
        <v>0</v>
      </c>
      <c r="AW22" s="234">
        <f t="shared" ca="1" si="25"/>
        <v>0</v>
      </c>
      <c r="AX22" s="234">
        <f t="shared" ca="1" si="25"/>
        <v>0</v>
      </c>
      <c r="AY22" s="234">
        <f t="shared" ca="1" si="25"/>
        <v>0</v>
      </c>
      <c r="AZ22" s="234">
        <f t="shared" ca="1" si="25"/>
        <v>0</v>
      </c>
      <c r="BA22" s="234">
        <f t="shared" ca="1" si="25"/>
        <v>0</v>
      </c>
      <c r="BB22" s="234">
        <f t="shared" ca="1" si="25"/>
        <v>0</v>
      </c>
      <c r="BC22" s="234">
        <f t="shared" ca="1" si="25"/>
        <v>0</v>
      </c>
      <c r="BD22" s="234">
        <f t="shared" ca="1" si="25"/>
        <v>0</v>
      </c>
      <c r="BE22" s="234">
        <f t="shared" ca="1" si="25"/>
        <v>0</v>
      </c>
      <c r="BF22" s="234">
        <f t="shared" ca="1" si="25"/>
        <v>0</v>
      </c>
      <c r="BG22" s="234">
        <f t="shared" ca="1" si="25"/>
        <v>0</v>
      </c>
      <c r="BH22" s="234">
        <f t="shared" ca="1" si="25"/>
        <v>0</v>
      </c>
      <c r="BI22" s="234">
        <f t="shared" ca="1" si="25"/>
        <v>0</v>
      </c>
      <c r="BJ22" s="234">
        <f t="shared" ca="1" si="25"/>
        <v>0</v>
      </c>
      <c r="BK22" s="234">
        <f t="shared" ca="1" si="25"/>
        <v>0</v>
      </c>
      <c r="BL22" s="234">
        <f t="shared" ca="1" si="25"/>
        <v>0</v>
      </c>
      <c r="BM22" s="234">
        <f t="shared" ca="1" si="25"/>
        <v>0</v>
      </c>
      <c r="BN22" s="234">
        <f t="shared" ca="1" si="25"/>
        <v>0</v>
      </c>
      <c r="BO22" s="234">
        <f t="shared" ca="1" si="25"/>
        <v>0</v>
      </c>
      <c r="BP22" s="234">
        <f t="shared" ca="1" si="25"/>
        <v>0</v>
      </c>
      <c r="BQ22" s="234">
        <f t="shared" ca="1" si="25"/>
        <v>0</v>
      </c>
      <c r="BR22" s="234">
        <f t="shared" ca="1" si="25"/>
        <v>0</v>
      </c>
      <c r="BS22" s="234">
        <f t="shared" ca="1" si="25"/>
        <v>0</v>
      </c>
      <c r="BT22" s="234">
        <f t="shared" ca="1" si="25"/>
        <v>0</v>
      </c>
      <c r="BU22" s="234">
        <f t="shared" ref="BU22:DC22" ca="1" si="26">SUM(BU23:BU31)</f>
        <v>0</v>
      </c>
      <c r="BV22" s="234">
        <f t="shared" ca="1" si="26"/>
        <v>0</v>
      </c>
      <c r="BW22" s="234">
        <f t="shared" ca="1" si="26"/>
        <v>0</v>
      </c>
      <c r="BX22" s="234">
        <f t="shared" ca="1" si="26"/>
        <v>0</v>
      </c>
      <c r="BY22" s="234">
        <f t="shared" ca="1" si="26"/>
        <v>0</v>
      </c>
      <c r="BZ22" s="234">
        <f t="shared" ca="1" si="26"/>
        <v>0</v>
      </c>
      <c r="CA22" s="234">
        <f t="shared" ca="1" si="26"/>
        <v>0</v>
      </c>
      <c r="CB22" s="234">
        <f t="shared" ca="1" si="26"/>
        <v>0</v>
      </c>
      <c r="CC22" s="234">
        <f t="shared" ca="1" si="26"/>
        <v>0</v>
      </c>
      <c r="CD22" s="234">
        <f t="shared" ca="1" si="26"/>
        <v>0</v>
      </c>
      <c r="CE22" s="234">
        <f t="shared" ca="1" si="26"/>
        <v>0</v>
      </c>
      <c r="CF22" s="234">
        <f t="shared" ca="1" si="26"/>
        <v>0</v>
      </c>
      <c r="CG22" s="234">
        <f t="shared" ca="1" si="26"/>
        <v>0</v>
      </c>
      <c r="CH22" s="234">
        <f t="shared" ca="1" si="26"/>
        <v>0</v>
      </c>
      <c r="CI22" s="234">
        <f t="shared" ca="1" si="26"/>
        <v>0</v>
      </c>
      <c r="CJ22" s="234">
        <f t="shared" ca="1" si="26"/>
        <v>0</v>
      </c>
      <c r="CK22" s="234">
        <f t="shared" ca="1" si="26"/>
        <v>0</v>
      </c>
      <c r="CL22" s="234">
        <f t="shared" ca="1" si="26"/>
        <v>0</v>
      </c>
      <c r="CM22" s="234">
        <f t="shared" ca="1" si="26"/>
        <v>0</v>
      </c>
      <c r="CN22" s="234">
        <f t="shared" ca="1" si="26"/>
        <v>0</v>
      </c>
      <c r="CO22" s="234">
        <f t="shared" ca="1" si="26"/>
        <v>0</v>
      </c>
      <c r="CP22" s="234">
        <f t="shared" ca="1" si="26"/>
        <v>0</v>
      </c>
      <c r="CQ22" s="234">
        <f t="shared" ca="1" si="26"/>
        <v>0</v>
      </c>
      <c r="CR22" s="234">
        <f t="shared" ca="1" si="26"/>
        <v>0</v>
      </c>
      <c r="CS22" s="234">
        <f t="shared" ca="1" si="26"/>
        <v>0</v>
      </c>
      <c r="CT22" s="234">
        <f t="shared" ca="1" si="26"/>
        <v>0</v>
      </c>
      <c r="CU22" s="234">
        <f t="shared" ca="1" si="26"/>
        <v>0</v>
      </c>
      <c r="CV22" s="234">
        <f t="shared" ca="1" si="26"/>
        <v>0</v>
      </c>
      <c r="CW22" s="234">
        <f t="shared" ca="1" si="26"/>
        <v>0</v>
      </c>
      <c r="CX22" s="234">
        <f t="shared" ca="1" si="26"/>
        <v>0</v>
      </c>
      <c r="CY22" s="234">
        <f t="shared" ca="1" si="26"/>
        <v>0</v>
      </c>
      <c r="CZ22" s="234">
        <f t="shared" ca="1" si="26"/>
        <v>0</v>
      </c>
      <c r="DA22" s="234">
        <f t="shared" ca="1" si="26"/>
        <v>0</v>
      </c>
      <c r="DB22" s="234">
        <f t="shared" ca="1" si="26"/>
        <v>0</v>
      </c>
      <c r="DC22" s="234">
        <f t="shared" ca="1" si="26"/>
        <v>0</v>
      </c>
      <c r="DE22" s="254"/>
    </row>
    <row r="23" spans="1:112" hidden="1">
      <c r="A23" s="124">
        <v>11</v>
      </c>
      <c r="B23" s="205" t="str">
        <f t="shared" ca="1" si="12"/>
        <v>D.2.1.</v>
      </c>
      <c r="C23" s="129" t="str">
        <f t="shared" ca="1" si="13"/>
        <v>Veikla</v>
      </c>
      <c r="D23" s="144"/>
      <c r="E23" s="148">
        <f t="shared" ca="1" si="14"/>
        <v>0.21</v>
      </c>
      <c r="F23" s="139">
        <f ca="1">H23+NPV(FD,I23:INDEX(I23:DC23,PAL))</f>
        <v>0</v>
      </c>
      <c r="G23" s="140">
        <f ca="1">SUMIF($H$5:$DC$5,"&lt;="&amp;PAL,$H23:$DC23)</f>
        <v>0</v>
      </c>
      <c r="H23" s="138">
        <f t="shared" ref="H23:W32" ca="1" si="27">OFFSET(INDIRECT("'"&amp;Opt_alt&amp;"'!H12"),$A23,H$5)*$DF23</f>
        <v>0</v>
      </c>
      <c r="I23" s="138">
        <f t="shared" ca="1" si="27"/>
        <v>0</v>
      </c>
      <c r="J23" s="138">
        <f t="shared" ca="1" si="27"/>
        <v>0</v>
      </c>
      <c r="K23" s="138">
        <f t="shared" ca="1" si="27"/>
        <v>0</v>
      </c>
      <c r="L23" s="138">
        <f t="shared" ca="1" si="27"/>
        <v>0</v>
      </c>
      <c r="M23" s="138">
        <f t="shared" ca="1" si="27"/>
        <v>0</v>
      </c>
      <c r="N23" s="138">
        <f t="shared" ca="1" si="27"/>
        <v>0</v>
      </c>
      <c r="O23" s="138">
        <f t="shared" ca="1" si="27"/>
        <v>0</v>
      </c>
      <c r="P23" s="138">
        <f t="shared" ca="1" si="27"/>
        <v>0</v>
      </c>
      <c r="Q23" s="138">
        <f t="shared" ca="1" si="27"/>
        <v>0</v>
      </c>
      <c r="R23" s="138">
        <f t="shared" ca="1" si="27"/>
        <v>0</v>
      </c>
      <c r="S23" s="138">
        <f t="shared" ca="1" si="27"/>
        <v>0</v>
      </c>
      <c r="T23" s="138">
        <f t="shared" ca="1" si="27"/>
        <v>0</v>
      </c>
      <c r="U23" s="138">
        <f t="shared" ca="1" si="27"/>
        <v>0</v>
      </c>
      <c r="V23" s="138">
        <f t="shared" ca="1" si="27"/>
        <v>0</v>
      </c>
      <c r="W23" s="138">
        <f t="shared" ca="1" si="27"/>
        <v>0</v>
      </c>
      <c r="X23" s="138">
        <f t="shared" ref="X23:AM32" ca="1" si="28">OFFSET(INDIRECT("'"&amp;Opt_alt&amp;"'!H12"),$A23,X$5)*$DF23</f>
        <v>0</v>
      </c>
      <c r="Y23" s="138">
        <f t="shared" ca="1" si="28"/>
        <v>0</v>
      </c>
      <c r="Z23" s="138">
        <f t="shared" ca="1" si="28"/>
        <v>0</v>
      </c>
      <c r="AA23" s="138">
        <f t="shared" ca="1" si="28"/>
        <v>0</v>
      </c>
      <c r="AB23" s="138">
        <f t="shared" ca="1" si="28"/>
        <v>0</v>
      </c>
      <c r="AC23" s="138">
        <f t="shared" ca="1" si="28"/>
        <v>0</v>
      </c>
      <c r="AD23" s="138">
        <f t="shared" ca="1" si="28"/>
        <v>0</v>
      </c>
      <c r="AE23" s="138">
        <f t="shared" ca="1" si="28"/>
        <v>0</v>
      </c>
      <c r="AF23" s="138">
        <f t="shared" ca="1" si="28"/>
        <v>0</v>
      </c>
      <c r="AG23" s="138">
        <f t="shared" ca="1" si="28"/>
        <v>0</v>
      </c>
      <c r="AH23" s="138">
        <f t="shared" ca="1" si="28"/>
        <v>0</v>
      </c>
      <c r="AI23" s="138">
        <f t="shared" ca="1" si="28"/>
        <v>0</v>
      </c>
      <c r="AJ23" s="138">
        <f t="shared" ca="1" si="28"/>
        <v>0</v>
      </c>
      <c r="AK23" s="138">
        <f t="shared" ca="1" si="28"/>
        <v>0</v>
      </c>
      <c r="AL23" s="138">
        <f t="shared" ca="1" si="28"/>
        <v>0</v>
      </c>
      <c r="AM23" s="138">
        <f t="shared" ca="1" si="28"/>
        <v>0</v>
      </c>
      <c r="AN23" s="138">
        <f t="shared" ref="AN23:BC32" ca="1" si="29">OFFSET(INDIRECT("'"&amp;Opt_alt&amp;"'!H12"),$A23,AN$5)*$DF23</f>
        <v>0</v>
      </c>
      <c r="AO23" s="138">
        <f t="shared" ca="1" si="29"/>
        <v>0</v>
      </c>
      <c r="AP23" s="138">
        <f t="shared" ca="1" si="29"/>
        <v>0</v>
      </c>
      <c r="AQ23" s="138">
        <f t="shared" ca="1" si="29"/>
        <v>0</v>
      </c>
      <c r="AR23" s="138">
        <f t="shared" ca="1" si="29"/>
        <v>0</v>
      </c>
      <c r="AS23" s="138">
        <f t="shared" ca="1" si="29"/>
        <v>0</v>
      </c>
      <c r="AT23" s="138">
        <f t="shared" ca="1" si="29"/>
        <v>0</v>
      </c>
      <c r="AU23" s="138">
        <f t="shared" ca="1" si="29"/>
        <v>0</v>
      </c>
      <c r="AV23" s="138">
        <f t="shared" ca="1" si="29"/>
        <v>0</v>
      </c>
      <c r="AW23" s="138">
        <f t="shared" ca="1" si="29"/>
        <v>0</v>
      </c>
      <c r="AX23" s="138">
        <f t="shared" ca="1" si="29"/>
        <v>0</v>
      </c>
      <c r="AY23" s="138">
        <f t="shared" ca="1" si="29"/>
        <v>0</v>
      </c>
      <c r="AZ23" s="138">
        <f t="shared" ca="1" si="29"/>
        <v>0</v>
      </c>
      <c r="BA23" s="138">
        <f t="shared" ca="1" si="29"/>
        <v>0</v>
      </c>
      <c r="BB23" s="138">
        <f t="shared" ca="1" si="29"/>
        <v>0</v>
      </c>
      <c r="BC23" s="138">
        <f t="shared" ca="1" si="29"/>
        <v>0</v>
      </c>
      <c r="BD23" s="138">
        <f t="shared" ref="BD23:BS32" ca="1" si="30">OFFSET(INDIRECT("'"&amp;Opt_alt&amp;"'!H12"),$A23,BD$5)*$DF23</f>
        <v>0</v>
      </c>
      <c r="BE23" s="138">
        <f t="shared" ca="1" si="30"/>
        <v>0</v>
      </c>
      <c r="BF23" s="138">
        <f t="shared" ca="1" si="30"/>
        <v>0</v>
      </c>
      <c r="BG23" s="138">
        <f t="shared" ca="1" si="30"/>
        <v>0</v>
      </c>
      <c r="BH23" s="138">
        <f t="shared" ca="1" si="30"/>
        <v>0</v>
      </c>
      <c r="BI23" s="138">
        <f t="shared" ca="1" si="30"/>
        <v>0</v>
      </c>
      <c r="BJ23" s="138">
        <f t="shared" ca="1" si="30"/>
        <v>0</v>
      </c>
      <c r="BK23" s="138">
        <f t="shared" ca="1" si="30"/>
        <v>0</v>
      </c>
      <c r="BL23" s="138">
        <f t="shared" ca="1" si="30"/>
        <v>0</v>
      </c>
      <c r="BM23" s="138">
        <f t="shared" ca="1" si="30"/>
        <v>0</v>
      </c>
      <c r="BN23" s="138">
        <f t="shared" ca="1" si="30"/>
        <v>0</v>
      </c>
      <c r="BO23" s="138">
        <f t="shared" ca="1" si="30"/>
        <v>0</v>
      </c>
      <c r="BP23" s="138">
        <f t="shared" ca="1" si="30"/>
        <v>0</v>
      </c>
      <c r="BQ23" s="138">
        <f t="shared" ca="1" si="30"/>
        <v>0</v>
      </c>
      <c r="BR23" s="138">
        <f t="shared" ca="1" si="30"/>
        <v>0</v>
      </c>
      <c r="BS23" s="138">
        <f t="shared" ca="1" si="30"/>
        <v>0</v>
      </c>
      <c r="BT23" s="138">
        <f t="shared" ref="BT23:CI32" ca="1" si="31">OFFSET(INDIRECT("'"&amp;Opt_alt&amp;"'!H12"),$A23,BT$5)*$DF23</f>
        <v>0</v>
      </c>
      <c r="BU23" s="138">
        <f t="shared" ca="1" si="31"/>
        <v>0</v>
      </c>
      <c r="BV23" s="138">
        <f t="shared" ca="1" si="31"/>
        <v>0</v>
      </c>
      <c r="BW23" s="138">
        <f t="shared" ca="1" si="31"/>
        <v>0</v>
      </c>
      <c r="BX23" s="138">
        <f t="shared" ca="1" si="31"/>
        <v>0</v>
      </c>
      <c r="BY23" s="138">
        <f t="shared" ca="1" si="31"/>
        <v>0</v>
      </c>
      <c r="BZ23" s="138">
        <f t="shared" ca="1" si="31"/>
        <v>0</v>
      </c>
      <c r="CA23" s="138">
        <f t="shared" ca="1" si="31"/>
        <v>0</v>
      </c>
      <c r="CB23" s="138">
        <f t="shared" ca="1" si="31"/>
        <v>0</v>
      </c>
      <c r="CC23" s="138">
        <f t="shared" ca="1" si="31"/>
        <v>0</v>
      </c>
      <c r="CD23" s="138">
        <f t="shared" ca="1" si="31"/>
        <v>0</v>
      </c>
      <c r="CE23" s="138">
        <f t="shared" ca="1" si="31"/>
        <v>0</v>
      </c>
      <c r="CF23" s="138">
        <f t="shared" ca="1" si="31"/>
        <v>0</v>
      </c>
      <c r="CG23" s="138">
        <f t="shared" ca="1" si="31"/>
        <v>0</v>
      </c>
      <c r="CH23" s="138">
        <f t="shared" ca="1" si="31"/>
        <v>0</v>
      </c>
      <c r="CI23" s="138">
        <f t="shared" ca="1" si="31"/>
        <v>0</v>
      </c>
      <c r="CJ23" s="138">
        <f t="shared" ref="CJ23:CY32" ca="1" si="32">OFFSET(INDIRECT("'"&amp;Opt_alt&amp;"'!H12"),$A23,CJ$5)*$DF23</f>
        <v>0</v>
      </c>
      <c r="CK23" s="138">
        <f t="shared" ca="1" si="32"/>
        <v>0</v>
      </c>
      <c r="CL23" s="138">
        <f t="shared" ca="1" si="32"/>
        <v>0</v>
      </c>
      <c r="CM23" s="138">
        <f t="shared" ca="1" si="32"/>
        <v>0</v>
      </c>
      <c r="CN23" s="138">
        <f t="shared" ca="1" si="32"/>
        <v>0</v>
      </c>
      <c r="CO23" s="138">
        <f t="shared" ca="1" si="32"/>
        <v>0</v>
      </c>
      <c r="CP23" s="138">
        <f t="shared" ca="1" si="32"/>
        <v>0</v>
      </c>
      <c r="CQ23" s="138">
        <f t="shared" ca="1" si="32"/>
        <v>0</v>
      </c>
      <c r="CR23" s="138">
        <f t="shared" ca="1" si="32"/>
        <v>0</v>
      </c>
      <c r="CS23" s="138">
        <f t="shared" ca="1" si="32"/>
        <v>0</v>
      </c>
      <c r="CT23" s="138">
        <f t="shared" ca="1" si="32"/>
        <v>0</v>
      </c>
      <c r="CU23" s="138">
        <f t="shared" ca="1" si="32"/>
        <v>0</v>
      </c>
      <c r="CV23" s="138">
        <f t="shared" ca="1" si="32"/>
        <v>0</v>
      </c>
      <c r="CW23" s="138">
        <f t="shared" ca="1" si="32"/>
        <v>0</v>
      </c>
      <c r="CX23" s="138">
        <f t="shared" ca="1" si="32"/>
        <v>0</v>
      </c>
      <c r="CY23" s="138">
        <f t="shared" ca="1" si="32"/>
        <v>0</v>
      </c>
      <c r="CZ23" s="138">
        <f t="shared" ref="CT23:DC32" ca="1" si="33">OFFSET(INDIRECT("'"&amp;Opt_alt&amp;"'!H12"),$A23,CZ$5)*$DF23</f>
        <v>0</v>
      </c>
      <c r="DA23" s="138">
        <f t="shared" ca="1" si="33"/>
        <v>0</v>
      </c>
      <c r="DB23" s="138">
        <f t="shared" ca="1" si="33"/>
        <v>0</v>
      </c>
      <c r="DC23" s="138">
        <f t="shared" ca="1" si="33"/>
        <v>0</v>
      </c>
      <c r="DE23" s="254" t="str">
        <f t="shared" ca="1" si="24"/>
        <v>D.2.1.</v>
      </c>
      <c r="DF23">
        <f t="shared" ref="DF23:DF32" ca="1" si="34">VLOOKUP(DE23,scenarijai,$DF$6,FALSE)</f>
        <v>1</v>
      </c>
      <c r="DG23">
        <f t="shared" ref="DG23:DG32" ca="1" si="35">OFFSET(INDIRECT("'"&amp;Opt_alt&amp;"'!H12"),$A23,DG$5)</f>
        <v>21</v>
      </c>
      <c r="DH23">
        <v>0</v>
      </c>
    </row>
    <row r="24" spans="1:112" hidden="1">
      <c r="A24" s="124">
        <v>12</v>
      </c>
      <c r="B24" s="205" t="str">
        <f t="shared" ca="1" si="12"/>
        <v>D.2.2.</v>
      </c>
      <c r="C24" s="129" t="str">
        <f t="shared" ca="1" si="13"/>
        <v>Veikla</v>
      </c>
      <c r="D24" s="144"/>
      <c r="E24" s="148">
        <f t="shared" ca="1" si="14"/>
        <v>0.21</v>
      </c>
      <c r="F24" s="139">
        <f ca="1">H24+NPV(FD,I24:INDEX(I24:DC24,PAL))</f>
        <v>0</v>
      </c>
      <c r="G24" s="140">
        <f ca="1">SUMIF($H$5:$DC$5,"&lt;="&amp;PAL,$H24:$DC24)</f>
        <v>0</v>
      </c>
      <c r="H24" s="138">
        <f t="shared" ca="1" si="27"/>
        <v>0</v>
      </c>
      <c r="I24" s="138">
        <f t="shared" ca="1" si="27"/>
        <v>0</v>
      </c>
      <c r="J24" s="138">
        <f t="shared" ca="1" si="27"/>
        <v>0</v>
      </c>
      <c r="K24" s="138">
        <f t="shared" ca="1" si="27"/>
        <v>0</v>
      </c>
      <c r="L24" s="138">
        <f t="shared" ca="1" si="27"/>
        <v>0</v>
      </c>
      <c r="M24" s="138">
        <f t="shared" ca="1" si="27"/>
        <v>0</v>
      </c>
      <c r="N24" s="138">
        <f t="shared" ca="1" si="27"/>
        <v>0</v>
      </c>
      <c r="O24" s="138">
        <f t="shared" ca="1" si="27"/>
        <v>0</v>
      </c>
      <c r="P24" s="138">
        <f t="shared" ca="1" si="27"/>
        <v>0</v>
      </c>
      <c r="Q24" s="138">
        <f t="shared" ca="1" si="27"/>
        <v>0</v>
      </c>
      <c r="R24" s="138">
        <f t="shared" ca="1" si="27"/>
        <v>0</v>
      </c>
      <c r="S24" s="138">
        <f t="shared" ca="1" si="27"/>
        <v>0</v>
      </c>
      <c r="T24" s="138">
        <f t="shared" ca="1" si="27"/>
        <v>0</v>
      </c>
      <c r="U24" s="138">
        <f t="shared" ca="1" si="27"/>
        <v>0</v>
      </c>
      <c r="V24" s="138">
        <f t="shared" ca="1" si="27"/>
        <v>0</v>
      </c>
      <c r="W24" s="138">
        <f t="shared" ca="1" si="27"/>
        <v>0</v>
      </c>
      <c r="X24" s="138">
        <f t="shared" ca="1" si="28"/>
        <v>0</v>
      </c>
      <c r="Y24" s="138">
        <f t="shared" ca="1" si="28"/>
        <v>0</v>
      </c>
      <c r="Z24" s="138">
        <f t="shared" ca="1" si="28"/>
        <v>0</v>
      </c>
      <c r="AA24" s="138">
        <f t="shared" ca="1" si="28"/>
        <v>0</v>
      </c>
      <c r="AB24" s="138">
        <f t="shared" ca="1" si="28"/>
        <v>0</v>
      </c>
      <c r="AC24" s="138">
        <f t="shared" ca="1" si="28"/>
        <v>0</v>
      </c>
      <c r="AD24" s="138">
        <f t="shared" ca="1" si="28"/>
        <v>0</v>
      </c>
      <c r="AE24" s="138">
        <f t="shared" ca="1" si="28"/>
        <v>0</v>
      </c>
      <c r="AF24" s="138">
        <f t="shared" ca="1" si="28"/>
        <v>0</v>
      </c>
      <c r="AG24" s="138">
        <f t="shared" ca="1" si="28"/>
        <v>0</v>
      </c>
      <c r="AH24" s="138">
        <f t="shared" ca="1" si="28"/>
        <v>0</v>
      </c>
      <c r="AI24" s="138">
        <f t="shared" ca="1" si="28"/>
        <v>0</v>
      </c>
      <c r="AJ24" s="138">
        <f t="shared" ca="1" si="28"/>
        <v>0</v>
      </c>
      <c r="AK24" s="138">
        <f t="shared" ca="1" si="28"/>
        <v>0</v>
      </c>
      <c r="AL24" s="138">
        <f t="shared" ca="1" si="28"/>
        <v>0</v>
      </c>
      <c r="AM24" s="138">
        <f t="shared" ca="1" si="28"/>
        <v>0</v>
      </c>
      <c r="AN24" s="138">
        <f t="shared" ca="1" si="29"/>
        <v>0</v>
      </c>
      <c r="AO24" s="138">
        <f t="shared" ca="1" si="29"/>
        <v>0</v>
      </c>
      <c r="AP24" s="138">
        <f t="shared" ca="1" si="29"/>
        <v>0</v>
      </c>
      <c r="AQ24" s="138">
        <f t="shared" ca="1" si="29"/>
        <v>0</v>
      </c>
      <c r="AR24" s="138">
        <f t="shared" ca="1" si="29"/>
        <v>0</v>
      </c>
      <c r="AS24" s="138">
        <f t="shared" ca="1" si="29"/>
        <v>0</v>
      </c>
      <c r="AT24" s="138">
        <f t="shared" ca="1" si="29"/>
        <v>0</v>
      </c>
      <c r="AU24" s="138">
        <f t="shared" ca="1" si="29"/>
        <v>0</v>
      </c>
      <c r="AV24" s="138">
        <f t="shared" ca="1" si="29"/>
        <v>0</v>
      </c>
      <c r="AW24" s="138">
        <f t="shared" ca="1" si="29"/>
        <v>0</v>
      </c>
      <c r="AX24" s="138">
        <f t="shared" ca="1" si="29"/>
        <v>0</v>
      </c>
      <c r="AY24" s="138">
        <f t="shared" ca="1" si="29"/>
        <v>0</v>
      </c>
      <c r="AZ24" s="138">
        <f t="shared" ca="1" si="29"/>
        <v>0</v>
      </c>
      <c r="BA24" s="138">
        <f t="shared" ca="1" si="29"/>
        <v>0</v>
      </c>
      <c r="BB24" s="138">
        <f t="shared" ca="1" si="29"/>
        <v>0</v>
      </c>
      <c r="BC24" s="138">
        <f t="shared" ca="1" si="29"/>
        <v>0</v>
      </c>
      <c r="BD24" s="138">
        <f t="shared" ca="1" si="30"/>
        <v>0</v>
      </c>
      <c r="BE24" s="138">
        <f t="shared" ca="1" si="30"/>
        <v>0</v>
      </c>
      <c r="BF24" s="138">
        <f t="shared" ca="1" si="30"/>
        <v>0</v>
      </c>
      <c r="BG24" s="138">
        <f t="shared" ca="1" si="30"/>
        <v>0</v>
      </c>
      <c r="BH24" s="138">
        <f t="shared" ca="1" si="30"/>
        <v>0</v>
      </c>
      <c r="BI24" s="138">
        <f t="shared" ca="1" si="30"/>
        <v>0</v>
      </c>
      <c r="BJ24" s="138">
        <f t="shared" ca="1" si="30"/>
        <v>0</v>
      </c>
      <c r="BK24" s="138">
        <f t="shared" ca="1" si="30"/>
        <v>0</v>
      </c>
      <c r="BL24" s="138">
        <f t="shared" ca="1" si="30"/>
        <v>0</v>
      </c>
      <c r="BM24" s="138">
        <f t="shared" ca="1" si="30"/>
        <v>0</v>
      </c>
      <c r="BN24" s="138">
        <f t="shared" ca="1" si="30"/>
        <v>0</v>
      </c>
      <c r="BO24" s="138">
        <f t="shared" ca="1" si="30"/>
        <v>0</v>
      </c>
      <c r="BP24" s="138">
        <f t="shared" ca="1" si="30"/>
        <v>0</v>
      </c>
      <c r="BQ24" s="138">
        <f t="shared" ca="1" si="30"/>
        <v>0</v>
      </c>
      <c r="BR24" s="138">
        <f t="shared" ca="1" si="30"/>
        <v>0</v>
      </c>
      <c r="BS24" s="138">
        <f t="shared" ca="1" si="30"/>
        <v>0</v>
      </c>
      <c r="BT24" s="138">
        <f t="shared" ca="1" si="31"/>
        <v>0</v>
      </c>
      <c r="BU24" s="138">
        <f t="shared" ca="1" si="31"/>
        <v>0</v>
      </c>
      <c r="BV24" s="138">
        <f t="shared" ca="1" si="31"/>
        <v>0</v>
      </c>
      <c r="BW24" s="138">
        <f t="shared" ca="1" si="31"/>
        <v>0</v>
      </c>
      <c r="BX24" s="138">
        <f t="shared" ca="1" si="31"/>
        <v>0</v>
      </c>
      <c r="BY24" s="138">
        <f t="shared" ca="1" si="31"/>
        <v>0</v>
      </c>
      <c r="BZ24" s="138">
        <f t="shared" ca="1" si="31"/>
        <v>0</v>
      </c>
      <c r="CA24" s="138">
        <f t="shared" ca="1" si="31"/>
        <v>0</v>
      </c>
      <c r="CB24" s="138">
        <f t="shared" ca="1" si="31"/>
        <v>0</v>
      </c>
      <c r="CC24" s="138">
        <f t="shared" ca="1" si="31"/>
        <v>0</v>
      </c>
      <c r="CD24" s="138">
        <f t="shared" ca="1" si="31"/>
        <v>0</v>
      </c>
      <c r="CE24" s="138">
        <f t="shared" ca="1" si="31"/>
        <v>0</v>
      </c>
      <c r="CF24" s="138">
        <f t="shared" ca="1" si="31"/>
        <v>0</v>
      </c>
      <c r="CG24" s="138">
        <f t="shared" ca="1" si="31"/>
        <v>0</v>
      </c>
      <c r="CH24" s="138">
        <f t="shared" ca="1" si="31"/>
        <v>0</v>
      </c>
      <c r="CI24" s="138">
        <f t="shared" ca="1" si="31"/>
        <v>0</v>
      </c>
      <c r="CJ24" s="138">
        <f t="shared" ca="1" si="32"/>
        <v>0</v>
      </c>
      <c r="CK24" s="138">
        <f t="shared" ca="1" si="32"/>
        <v>0</v>
      </c>
      <c r="CL24" s="138">
        <f t="shared" ca="1" si="32"/>
        <v>0</v>
      </c>
      <c r="CM24" s="138">
        <f t="shared" ca="1" si="32"/>
        <v>0</v>
      </c>
      <c r="CN24" s="138">
        <f t="shared" ca="1" si="32"/>
        <v>0</v>
      </c>
      <c r="CO24" s="138">
        <f t="shared" ca="1" si="32"/>
        <v>0</v>
      </c>
      <c r="CP24" s="138">
        <f t="shared" ca="1" si="32"/>
        <v>0</v>
      </c>
      <c r="CQ24" s="138">
        <f t="shared" ca="1" si="32"/>
        <v>0</v>
      </c>
      <c r="CR24" s="138">
        <f t="shared" ca="1" si="32"/>
        <v>0</v>
      </c>
      <c r="CS24" s="138">
        <f t="shared" ca="1" si="32"/>
        <v>0</v>
      </c>
      <c r="CT24" s="138">
        <f t="shared" ca="1" si="33"/>
        <v>0</v>
      </c>
      <c r="CU24" s="138">
        <f t="shared" ca="1" si="33"/>
        <v>0</v>
      </c>
      <c r="CV24" s="138">
        <f t="shared" ca="1" si="33"/>
        <v>0</v>
      </c>
      <c r="CW24" s="138">
        <f t="shared" ca="1" si="33"/>
        <v>0</v>
      </c>
      <c r="CX24" s="138">
        <f t="shared" ca="1" si="33"/>
        <v>0</v>
      </c>
      <c r="CY24" s="138">
        <f t="shared" ca="1" si="33"/>
        <v>0</v>
      </c>
      <c r="CZ24" s="138">
        <f t="shared" ca="1" si="33"/>
        <v>0</v>
      </c>
      <c r="DA24" s="138">
        <f t="shared" ca="1" si="33"/>
        <v>0</v>
      </c>
      <c r="DB24" s="138">
        <f t="shared" ca="1" si="33"/>
        <v>0</v>
      </c>
      <c r="DC24" s="138">
        <f t="shared" ca="1" si="33"/>
        <v>0</v>
      </c>
      <c r="DE24" s="254" t="str">
        <f t="shared" ca="1" si="24"/>
        <v>D.2.2.</v>
      </c>
      <c r="DF24">
        <f t="shared" ca="1" si="34"/>
        <v>1</v>
      </c>
      <c r="DG24">
        <f t="shared" ca="1" si="35"/>
        <v>21</v>
      </c>
      <c r="DH24">
        <v>0</v>
      </c>
    </row>
    <row r="25" spans="1:112" hidden="1">
      <c r="A25" s="124">
        <v>13</v>
      </c>
      <c r="B25" s="205" t="str">
        <f t="shared" ca="1" si="12"/>
        <v>D.2.3.</v>
      </c>
      <c r="C25" s="129" t="str">
        <f t="shared" ca="1" si="13"/>
        <v>Veikla</v>
      </c>
      <c r="D25" s="144"/>
      <c r="E25" s="148">
        <f t="shared" ca="1" si="14"/>
        <v>0.21</v>
      </c>
      <c r="F25" s="139">
        <f ca="1">H25+NPV(FD,I25:INDEX(I25:DC25,PAL))</f>
        <v>0</v>
      </c>
      <c r="G25" s="140">
        <f ca="1">SUMIF($H$5:$DC$5,"&lt;="&amp;PAL,$H25:$DC25)</f>
        <v>0</v>
      </c>
      <c r="H25" s="138">
        <f t="shared" ca="1" si="27"/>
        <v>0</v>
      </c>
      <c r="I25" s="138">
        <f t="shared" ca="1" si="27"/>
        <v>0</v>
      </c>
      <c r="J25" s="138">
        <f t="shared" ca="1" si="27"/>
        <v>0</v>
      </c>
      <c r="K25" s="138">
        <f t="shared" ca="1" si="27"/>
        <v>0</v>
      </c>
      <c r="L25" s="138">
        <f t="shared" ca="1" si="27"/>
        <v>0</v>
      </c>
      <c r="M25" s="138">
        <f t="shared" ca="1" si="27"/>
        <v>0</v>
      </c>
      <c r="N25" s="138">
        <f t="shared" ca="1" si="27"/>
        <v>0</v>
      </c>
      <c r="O25" s="138">
        <f t="shared" ca="1" si="27"/>
        <v>0</v>
      </c>
      <c r="P25" s="138">
        <f t="shared" ca="1" si="27"/>
        <v>0</v>
      </c>
      <c r="Q25" s="138">
        <f t="shared" ca="1" si="27"/>
        <v>0</v>
      </c>
      <c r="R25" s="138">
        <f t="shared" ca="1" si="27"/>
        <v>0</v>
      </c>
      <c r="S25" s="138">
        <f t="shared" ca="1" si="27"/>
        <v>0</v>
      </c>
      <c r="T25" s="138">
        <f t="shared" ca="1" si="27"/>
        <v>0</v>
      </c>
      <c r="U25" s="138">
        <f t="shared" ca="1" si="27"/>
        <v>0</v>
      </c>
      <c r="V25" s="138">
        <f t="shared" ca="1" si="27"/>
        <v>0</v>
      </c>
      <c r="W25" s="138">
        <f t="shared" ca="1" si="27"/>
        <v>0</v>
      </c>
      <c r="X25" s="138">
        <f t="shared" ca="1" si="28"/>
        <v>0</v>
      </c>
      <c r="Y25" s="138">
        <f t="shared" ca="1" si="28"/>
        <v>0</v>
      </c>
      <c r="Z25" s="138">
        <f t="shared" ca="1" si="28"/>
        <v>0</v>
      </c>
      <c r="AA25" s="138">
        <f t="shared" ca="1" si="28"/>
        <v>0</v>
      </c>
      <c r="AB25" s="138">
        <f t="shared" ca="1" si="28"/>
        <v>0</v>
      </c>
      <c r="AC25" s="138">
        <f t="shared" ca="1" si="28"/>
        <v>0</v>
      </c>
      <c r="AD25" s="138">
        <f t="shared" ca="1" si="28"/>
        <v>0</v>
      </c>
      <c r="AE25" s="138">
        <f t="shared" ca="1" si="28"/>
        <v>0</v>
      </c>
      <c r="AF25" s="138">
        <f t="shared" ca="1" si="28"/>
        <v>0</v>
      </c>
      <c r="AG25" s="138">
        <f t="shared" ca="1" si="28"/>
        <v>0</v>
      </c>
      <c r="AH25" s="138">
        <f t="shared" ca="1" si="28"/>
        <v>0</v>
      </c>
      <c r="AI25" s="138">
        <f t="shared" ca="1" si="28"/>
        <v>0</v>
      </c>
      <c r="AJ25" s="138">
        <f t="shared" ca="1" si="28"/>
        <v>0</v>
      </c>
      <c r="AK25" s="138">
        <f t="shared" ca="1" si="28"/>
        <v>0</v>
      </c>
      <c r="AL25" s="138">
        <f t="shared" ca="1" si="28"/>
        <v>0</v>
      </c>
      <c r="AM25" s="138">
        <f t="shared" ca="1" si="28"/>
        <v>0</v>
      </c>
      <c r="AN25" s="138">
        <f t="shared" ca="1" si="29"/>
        <v>0</v>
      </c>
      <c r="AO25" s="138">
        <f t="shared" ca="1" si="29"/>
        <v>0</v>
      </c>
      <c r="AP25" s="138">
        <f t="shared" ca="1" si="29"/>
        <v>0</v>
      </c>
      <c r="AQ25" s="138">
        <f t="shared" ca="1" si="29"/>
        <v>0</v>
      </c>
      <c r="AR25" s="138">
        <f t="shared" ca="1" si="29"/>
        <v>0</v>
      </c>
      <c r="AS25" s="138">
        <f t="shared" ca="1" si="29"/>
        <v>0</v>
      </c>
      <c r="AT25" s="138">
        <f t="shared" ca="1" si="29"/>
        <v>0</v>
      </c>
      <c r="AU25" s="138">
        <f t="shared" ca="1" si="29"/>
        <v>0</v>
      </c>
      <c r="AV25" s="138">
        <f t="shared" ca="1" si="29"/>
        <v>0</v>
      </c>
      <c r="AW25" s="138">
        <f t="shared" ca="1" si="29"/>
        <v>0</v>
      </c>
      <c r="AX25" s="138">
        <f t="shared" ca="1" si="29"/>
        <v>0</v>
      </c>
      <c r="AY25" s="138">
        <f t="shared" ca="1" si="29"/>
        <v>0</v>
      </c>
      <c r="AZ25" s="138">
        <f t="shared" ca="1" si="29"/>
        <v>0</v>
      </c>
      <c r="BA25" s="138">
        <f t="shared" ca="1" si="29"/>
        <v>0</v>
      </c>
      <c r="BB25" s="138">
        <f t="shared" ca="1" si="29"/>
        <v>0</v>
      </c>
      <c r="BC25" s="138">
        <f t="shared" ca="1" si="29"/>
        <v>0</v>
      </c>
      <c r="BD25" s="138">
        <f t="shared" ca="1" si="30"/>
        <v>0</v>
      </c>
      <c r="BE25" s="138">
        <f t="shared" ca="1" si="30"/>
        <v>0</v>
      </c>
      <c r="BF25" s="138">
        <f t="shared" ca="1" si="30"/>
        <v>0</v>
      </c>
      <c r="BG25" s="138">
        <f t="shared" ca="1" si="30"/>
        <v>0</v>
      </c>
      <c r="BH25" s="138">
        <f t="shared" ca="1" si="30"/>
        <v>0</v>
      </c>
      <c r="BI25" s="138">
        <f t="shared" ca="1" si="30"/>
        <v>0</v>
      </c>
      <c r="BJ25" s="138">
        <f t="shared" ca="1" si="30"/>
        <v>0</v>
      </c>
      <c r="BK25" s="138">
        <f t="shared" ca="1" si="30"/>
        <v>0</v>
      </c>
      <c r="BL25" s="138">
        <f t="shared" ca="1" si="30"/>
        <v>0</v>
      </c>
      <c r="BM25" s="138">
        <f t="shared" ca="1" si="30"/>
        <v>0</v>
      </c>
      <c r="BN25" s="138">
        <f t="shared" ca="1" si="30"/>
        <v>0</v>
      </c>
      <c r="BO25" s="138">
        <f t="shared" ca="1" si="30"/>
        <v>0</v>
      </c>
      <c r="BP25" s="138">
        <f t="shared" ca="1" si="30"/>
        <v>0</v>
      </c>
      <c r="BQ25" s="138">
        <f t="shared" ca="1" si="30"/>
        <v>0</v>
      </c>
      <c r="BR25" s="138">
        <f t="shared" ca="1" si="30"/>
        <v>0</v>
      </c>
      <c r="BS25" s="138">
        <f t="shared" ca="1" si="30"/>
        <v>0</v>
      </c>
      <c r="BT25" s="138">
        <f t="shared" ca="1" si="31"/>
        <v>0</v>
      </c>
      <c r="BU25" s="138">
        <f t="shared" ca="1" si="31"/>
        <v>0</v>
      </c>
      <c r="BV25" s="138">
        <f t="shared" ca="1" si="31"/>
        <v>0</v>
      </c>
      <c r="BW25" s="138">
        <f t="shared" ca="1" si="31"/>
        <v>0</v>
      </c>
      <c r="BX25" s="138">
        <f t="shared" ca="1" si="31"/>
        <v>0</v>
      </c>
      <c r="BY25" s="138">
        <f t="shared" ca="1" si="31"/>
        <v>0</v>
      </c>
      <c r="BZ25" s="138">
        <f t="shared" ca="1" si="31"/>
        <v>0</v>
      </c>
      <c r="CA25" s="138">
        <f t="shared" ca="1" si="31"/>
        <v>0</v>
      </c>
      <c r="CB25" s="138">
        <f t="shared" ca="1" si="31"/>
        <v>0</v>
      </c>
      <c r="CC25" s="138">
        <f t="shared" ca="1" si="31"/>
        <v>0</v>
      </c>
      <c r="CD25" s="138">
        <f t="shared" ca="1" si="31"/>
        <v>0</v>
      </c>
      <c r="CE25" s="138">
        <f t="shared" ca="1" si="31"/>
        <v>0</v>
      </c>
      <c r="CF25" s="138">
        <f t="shared" ca="1" si="31"/>
        <v>0</v>
      </c>
      <c r="CG25" s="138">
        <f t="shared" ca="1" si="31"/>
        <v>0</v>
      </c>
      <c r="CH25" s="138">
        <f t="shared" ca="1" si="31"/>
        <v>0</v>
      </c>
      <c r="CI25" s="138">
        <f t="shared" ca="1" si="31"/>
        <v>0</v>
      </c>
      <c r="CJ25" s="138">
        <f t="shared" ca="1" si="32"/>
        <v>0</v>
      </c>
      <c r="CK25" s="138">
        <f t="shared" ca="1" si="32"/>
        <v>0</v>
      </c>
      <c r="CL25" s="138">
        <f t="shared" ca="1" si="32"/>
        <v>0</v>
      </c>
      <c r="CM25" s="138">
        <f t="shared" ca="1" si="32"/>
        <v>0</v>
      </c>
      <c r="CN25" s="138">
        <f t="shared" ca="1" si="32"/>
        <v>0</v>
      </c>
      <c r="CO25" s="138">
        <f t="shared" ca="1" si="32"/>
        <v>0</v>
      </c>
      <c r="CP25" s="138">
        <f t="shared" ca="1" si="32"/>
        <v>0</v>
      </c>
      <c r="CQ25" s="138">
        <f t="shared" ca="1" si="32"/>
        <v>0</v>
      </c>
      <c r="CR25" s="138">
        <f t="shared" ca="1" si="32"/>
        <v>0</v>
      </c>
      <c r="CS25" s="138">
        <f t="shared" ca="1" si="32"/>
        <v>0</v>
      </c>
      <c r="CT25" s="138">
        <f t="shared" ca="1" si="33"/>
        <v>0</v>
      </c>
      <c r="CU25" s="138">
        <f t="shared" ca="1" si="33"/>
        <v>0</v>
      </c>
      <c r="CV25" s="138">
        <f t="shared" ca="1" si="33"/>
        <v>0</v>
      </c>
      <c r="CW25" s="138">
        <f t="shared" ca="1" si="33"/>
        <v>0</v>
      </c>
      <c r="CX25" s="138">
        <f t="shared" ca="1" si="33"/>
        <v>0</v>
      </c>
      <c r="CY25" s="138">
        <f t="shared" ca="1" si="33"/>
        <v>0</v>
      </c>
      <c r="CZ25" s="138">
        <f t="shared" ca="1" si="33"/>
        <v>0</v>
      </c>
      <c r="DA25" s="138">
        <f t="shared" ca="1" si="33"/>
        <v>0</v>
      </c>
      <c r="DB25" s="138">
        <f t="shared" ca="1" si="33"/>
        <v>0</v>
      </c>
      <c r="DC25" s="138">
        <f t="shared" ca="1" si="33"/>
        <v>0</v>
      </c>
      <c r="DE25" s="254" t="str">
        <f t="shared" ca="1" si="24"/>
        <v>D.2.3.</v>
      </c>
      <c r="DF25">
        <f t="shared" ca="1" si="34"/>
        <v>1</v>
      </c>
      <c r="DG25">
        <f t="shared" ca="1" si="35"/>
        <v>21</v>
      </c>
      <c r="DH25">
        <v>0</v>
      </c>
    </row>
    <row r="26" spans="1:112" hidden="1">
      <c r="A26" s="124">
        <v>14</v>
      </c>
      <c r="B26" s="205" t="str">
        <f t="shared" ca="1" si="12"/>
        <v>D.2.4.</v>
      </c>
      <c r="C26" s="129" t="str">
        <f t="shared" ca="1" si="13"/>
        <v>Veikla</v>
      </c>
      <c r="D26" s="144"/>
      <c r="E26" s="148">
        <f t="shared" ca="1" si="14"/>
        <v>0.21</v>
      </c>
      <c r="F26" s="139">
        <f ca="1">H26+NPV(FD,I26:INDEX(I26:DC26,PAL))</f>
        <v>0</v>
      </c>
      <c r="G26" s="140">
        <f ca="1">SUMIF($H$5:$DC$5,"&lt;="&amp;PAL,$H26:$DC26)</f>
        <v>0</v>
      </c>
      <c r="H26" s="138">
        <f t="shared" ca="1" si="27"/>
        <v>0</v>
      </c>
      <c r="I26" s="138">
        <f t="shared" ca="1" si="27"/>
        <v>0</v>
      </c>
      <c r="J26" s="138">
        <f t="shared" ca="1" si="27"/>
        <v>0</v>
      </c>
      <c r="K26" s="138">
        <f t="shared" ca="1" si="27"/>
        <v>0</v>
      </c>
      <c r="L26" s="138">
        <f t="shared" ca="1" si="27"/>
        <v>0</v>
      </c>
      <c r="M26" s="138">
        <f t="shared" ca="1" si="27"/>
        <v>0</v>
      </c>
      <c r="N26" s="138">
        <f t="shared" ca="1" si="27"/>
        <v>0</v>
      </c>
      <c r="O26" s="138">
        <f t="shared" ca="1" si="27"/>
        <v>0</v>
      </c>
      <c r="P26" s="138">
        <f t="shared" ca="1" si="27"/>
        <v>0</v>
      </c>
      <c r="Q26" s="138">
        <f t="shared" ca="1" si="27"/>
        <v>0</v>
      </c>
      <c r="R26" s="138">
        <f t="shared" ca="1" si="27"/>
        <v>0</v>
      </c>
      <c r="S26" s="138">
        <f t="shared" ca="1" si="27"/>
        <v>0</v>
      </c>
      <c r="T26" s="138">
        <f t="shared" ca="1" si="27"/>
        <v>0</v>
      </c>
      <c r="U26" s="138">
        <f t="shared" ca="1" si="27"/>
        <v>0</v>
      </c>
      <c r="V26" s="138">
        <f t="shared" ca="1" si="27"/>
        <v>0</v>
      </c>
      <c r="W26" s="138">
        <f t="shared" ca="1" si="27"/>
        <v>0</v>
      </c>
      <c r="X26" s="138">
        <f t="shared" ca="1" si="28"/>
        <v>0</v>
      </c>
      <c r="Y26" s="138">
        <f t="shared" ca="1" si="28"/>
        <v>0</v>
      </c>
      <c r="Z26" s="138">
        <f t="shared" ca="1" si="28"/>
        <v>0</v>
      </c>
      <c r="AA26" s="138">
        <f t="shared" ca="1" si="28"/>
        <v>0</v>
      </c>
      <c r="AB26" s="138">
        <f t="shared" ca="1" si="28"/>
        <v>0</v>
      </c>
      <c r="AC26" s="138">
        <f t="shared" ca="1" si="28"/>
        <v>0</v>
      </c>
      <c r="AD26" s="138">
        <f t="shared" ca="1" si="28"/>
        <v>0</v>
      </c>
      <c r="AE26" s="138">
        <f t="shared" ca="1" si="28"/>
        <v>0</v>
      </c>
      <c r="AF26" s="138">
        <f t="shared" ca="1" si="28"/>
        <v>0</v>
      </c>
      <c r="AG26" s="138">
        <f t="shared" ca="1" si="28"/>
        <v>0</v>
      </c>
      <c r="AH26" s="138">
        <f t="shared" ca="1" si="28"/>
        <v>0</v>
      </c>
      <c r="AI26" s="138">
        <f t="shared" ca="1" si="28"/>
        <v>0</v>
      </c>
      <c r="AJ26" s="138">
        <f t="shared" ca="1" si="28"/>
        <v>0</v>
      </c>
      <c r="AK26" s="138">
        <f t="shared" ca="1" si="28"/>
        <v>0</v>
      </c>
      <c r="AL26" s="138">
        <f t="shared" ca="1" si="28"/>
        <v>0</v>
      </c>
      <c r="AM26" s="138">
        <f t="shared" ca="1" si="28"/>
        <v>0</v>
      </c>
      <c r="AN26" s="138">
        <f t="shared" ca="1" si="29"/>
        <v>0</v>
      </c>
      <c r="AO26" s="138">
        <f t="shared" ca="1" si="29"/>
        <v>0</v>
      </c>
      <c r="AP26" s="138">
        <f t="shared" ca="1" si="29"/>
        <v>0</v>
      </c>
      <c r="AQ26" s="138">
        <f t="shared" ca="1" si="29"/>
        <v>0</v>
      </c>
      <c r="AR26" s="138">
        <f t="shared" ca="1" si="29"/>
        <v>0</v>
      </c>
      <c r="AS26" s="138">
        <f t="shared" ca="1" si="29"/>
        <v>0</v>
      </c>
      <c r="AT26" s="138">
        <f t="shared" ca="1" si="29"/>
        <v>0</v>
      </c>
      <c r="AU26" s="138">
        <f t="shared" ca="1" si="29"/>
        <v>0</v>
      </c>
      <c r="AV26" s="138">
        <f t="shared" ca="1" si="29"/>
        <v>0</v>
      </c>
      <c r="AW26" s="138">
        <f t="shared" ca="1" si="29"/>
        <v>0</v>
      </c>
      <c r="AX26" s="138">
        <f t="shared" ca="1" si="29"/>
        <v>0</v>
      </c>
      <c r="AY26" s="138">
        <f t="shared" ca="1" si="29"/>
        <v>0</v>
      </c>
      <c r="AZ26" s="138">
        <f t="shared" ca="1" si="29"/>
        <v>0</v>
      </c>
      <c r="BA26" s="138">
        <f t="shared" ca="1" si="29"/>
        <v>0</v>
      </c>
      <c r="BB26" s="138">
        <f t="shared" ca="1" si="29"/>
        <v>0</v>
      </c>
      <c r="BC26" s="138">
        <f t="shared" ca="1" si="29"/>
        <v>0</v>
      </c>
      <c r="BD26" s="138">
        <f t="shared" ca="1" si="30"/>
        <v>0</v>
      </c>
      <c r="BE26" s="138">
        <f t="shared" ca="1" si="30"/>
        <v>0</v>
      </c>
      <c r="BF26" s="138">
        <f t="shared" ca="1" si="30"/>
        <v>0</v>
      </c>
      <c r="BG26" s="138">
        <f t="shared" ca="1" si="30"/>
        <v>0</v>
      </c>
      <c r="BH26" s="138">
        <f t="shared" ca="1" si="30"/>
        <v>0</v>
      </c>
      <c r="BI26" s="138">
        <f t="shared" ca="1" si="30"/>
        <v>0</v>
      </c>
      <c r="BJ26" s="138">
        <f t="shared" ca="1" si="30"/>
        <v>0</v>
      </c>
      <c r="BK26" s="138">
        <f t="shared" ca="1" si="30"/>
        <v>0</v>
      </c>
      <c r="BL26" s="138">
        <f t="shared" ca="1" si="30"/>
        <v>0</v>
      </c>
      <c r="BM26" s="138">
        <f t="shared" ca="1" si="30"/>
        <v>0</v>
      </c>
      <c r="BN26" s="138">
        <f t="shared" ca="1" si="30"/>
        <v>0</v>
      </c>
      <c r="BO26" s="138">
        <f t="shared" ca="1" si="30"/>
        <v>0</v>
      </c>
      <c r="BP26" s="138">
        <f t="shared" ca="1" si="30"/>
        <v>0</v>
      </c>
      <c r="BQ26" s="138">
        <f t="shared" ca="1" si="30"/>
        <v>0</v>
      </c>
      <c r="BR26" s="138">
        <f t="shared" ca="1" si="30"/>
        <v>0</v>
      </c>
      <c r="BS26" s="138">
        <f t="shared" ca="1" si="30"/>
        <v>0</v>
      </c>
      <c r="BT26" s="138">
        <f t="shared" ca="1" si="31"/>
        <v>0</v>
      </c>
      <c r="BU26" s="138">
        <f t="shared" ca="1" si="31"/>
        <v>0</v>
      </c>
      <c r="BV26" s="138">
        <f t="shared" ca="1" si="31"/>
        <v>0</v>
      </c>
      <c r="BW26" s="138">
        <f t="shared" ca="1" si="31"/>
        <v>0</v>
      </c>
      <c r="BX26" s="138">
        <f t="shared" ca="1" si="31"/>
        <v>0</v>
      </c>
      <c r="BY26" s="138">
        <f t="shared" ca="1" si="31"/>
        <v>0</v>
      </c>
      <c r="BZ26" s="138">
        <f t="shared" ca="1" si="31"/>
        <v>0</v>
      </c>
      <c r="CA26" s="138">
        <f t="shared" ca="1" si="31"/>
        <v>0</v>
      </c>
      <c r="CB26" s="138">
        <f t="shared" ca="1" si="31"/>
        <v>0</v>
      </c>
      <c r="CC26" s="138">
        <f t="shared" ca="1" si="31"/>
        <v>0</v>
      </c>
      <c r="CD26" s="138">
        <f t="shared" ca="1" si="31"/>
        <v>0</v>
      </c>
      <c r="CE26" s="138">
        <f t="shared" ca="1" si="31"/>
        <v>0</v>
      </c>
      <c r="CF26" s="138">
        <f t="shared" ca="1" si="31"/>
        <v>0</v>
      </c>
      <c r="CG26" s="138">
        <f t="shared" ca="1" si="31"/>
        <v>0</v>
      </c>
      <c r="CH26" s="138">
        <f t="shared" ca="1" si="31"/>
        <v>0</v>
      </c>
      <c r="CI26" s="138">
        <f t="shared" ca="1" si="31"/>
        <v>0</v>
      </c>
      <c r="CJ26" s="138">
        <f t="shared" ca="1" si="32"/>
        <v>0</v>
      </c>
      <c r="CK26" s="138">
        <f t="shared" ca="1" si="32"/>
        <v>0</v>
      </c>
      <c r="CL26" s="138">
        <f t="shared" ca="1" si="32"/>
        <v>0</v>
      </c>
      <c r="CM26" s="138">
        <f t="shared" ca="1" si="32"/>
        <v>0</v>
      </c>
      <c r="CN26" s="138">
        <f t="shared" ca="1" si="32"/>
        <v>0</v>
      </c>
      <c r="CO26" s="138">
        <f t="shared" ca="1" si="32"/>
        <v>0</v>
      </c>
      <c r="CP26" s="138">
        <f t="shared" ca="1" si="32"/>
        <v>0</v>
      </c>
      <c r="CQ26" s="138">
        <f t="shared" ca="1" si="32"/>
        <v>0</v>
      </c>
      <c r="CR26" s="138">
        <f t="shared" ca="1" si="32"/>
        <v>0</v>
      </c>
      <c r="CS26" s="138">
        <f t="shared" ca="1" si="32"/>
        <v>0</v>
      </c>
      <c r="CT26" s="138">
        <f t="shared" ca="1" si="33"/>
        <v>0</v>
      </c>
      <c r="CU26" s="138">
        <f t="shared" ca="1" si="33"/>
        <v>0</v>
      </c>
      <c r="CV26" s="138">
        <f t="shared" ca="1" si="33"/>
        <v>0</v>
      </c>
      <c r="CW26" s="138">
        <f t="shared" ca="1" si="33"/>
        <v>0</v>
      </c>
      <c r="CX26" s="138">
        <f t="shared" ca="1" si="33"/>
        <v>0</v>
      </c>
      <c r="CY26" s="138">
        <f t="shared" ca="1" si="33"/>
        <v>0</v>
      </c>
      <c r="CZ26" s="138">
        <f t="shared" ca="1" si="33"/>
        <v>0</v>
      </c>
      <c r="DA26" s="138">
        <f t="shared" ca="1" si="33"/>
        <v>0</v>
      </c>
      <c r="DB26" s="138">
        <f t="shared" ca="1" si="33"/>
        <v>0</v>
      </c>
      <c r="DC26" s="138">
        <f t="shared" ca="1" si="33"/>
        <v>0</v>
      </c>
      <c r="DE26" s="254" t="str">
        <f t="shared" ca="1" si="24"/>
        <v>D.2.4.</v>
      </c>
      <c r="DF26">
        <f t="shared" ca="1" si="34"/>
        <v>1</v>
      </c>
      <c r="DG26">
        <f t="shared" ca="1" si="35"/>
        <v>21</v>
      </c>
      <c r="DH26">
        <v>0</v>
      </c>
    </row>
    <row r="27" spans="1:112" hidden="1">
      <c r="A27" s="124">
        <v>15</v>
      </c>
      <c r="B27" s="205" t="str">
        <f t="shared" ca="1" si="12"/>
        <v>D.2.5.</v>
      </c>
      <c r="C27" s="129" t="str">
        <f t="shared" ca="1" si="13"/>
        <v>Veikla</v>
      </c>
      <c r="D27" s="144"/>
      <c r="E27" s="148">
        <f t="shared" ca="1" si="14"/>
        <v>0.21</v>
      </c>
      <c r="F27" s="139">
        <f ca="1">H27+NPV(FD,I27:INDEX(I27:DC27,PAL))</f>
        <v>0</v>
      </c>
      <c r="G27" s="140">
        <f ca="1">SUMIF($H$5:$DC$5,"&lt;="&amp;PAL,$H27:$DC27)</f>
        <v>0</v>
      </c>
      <c r="H27" s="138">
        <f t="shared" ca="1" si="27"/>
        <v>0</v>
      </c>
      <c r="I27" s="138">
        <f t="shared" ca="1" si="27"/>
        <v>0</v>
      </c>
      <c r="J27" s="138">
        <f t="shared" ca="1" si="27"/>
        <v>0</v>
      </c>
      <c r="K27" s="138">
        <f t="shared" ca="1" si="27"/>
        <v>0</v>
      </c>
      <c r="L27" s="138">
        <f t="shared" ca="1" si="27"/>
        <v>0</v>
      </c>
      <c r="M27" s="138">
        <f t="shared" ca="1" si="27"/>
        <v>0</v>
      </c>
      <c r="N27" s="138">
        <f t="shared" ca="1" si="27"/>
        <v>0</v>
      </c>
      <c r="O27" s="138">
        <f t="shared" ca="1" si="27"/>
        <v>0</v>
      </c>
      <c r="P27" s="138">
        <f t="shared" ca="1" si="27"/>
        <v>0</v>
      </c>
      <c r="Q27" s="138">
        <f t="shared" ca="1" si="27"/>
        <v>0</v>
      </c>
      <c r="R27" s="138">
        <f t="shared" ca="1" si="27"/>
        <v>0</v>
      </c>
      <c r="S27" s="138">
        <f t="shared" ca="1" si="27"/>
        <v>0</v>
      </c>
      <c r="T27" s="138">
        <f t="shared" ca="1" si="27"/>
        <v>0</v>
      </c>
      <c r="U27" s="138">
        <f t="shared" ca="1" si="27"/>
        <v>0</v>
      </c>
      <c r="V27" s="138">
        <f t="shared" ca="1" si="27"/>
        <v>0</v>
      </c>
      <c r="W27" s="138">
        <f t="shared" ca="1" si="27"/>
        <v>0</v>
      </c>
      <c r="X27" s="138">
        <f t="shared" ca="1" si="28"/>
        <v>0</v>
      </c>
      <c r="Y27" s="138">
        <f t="shared" ca="1" si="28"/>
        <v>0</v>
      </c>
      <c r="Z27" s="138">
        <f t="shared" ca="1" si="28"/>
        <v>0</v>
      </c>
      <c r="AA27" s="138">
        <f t="shared" ca="1" si="28"/>
        <v>0</v>
      </c>
      <c r="AB27" s="138">
        <f t="shared" ca="1" si="28"/>
        <v>0</v>
      </c>
      <c r="AC27" s="138">
        <f t="shared" ca="1" si="28"/>
        <v>0</v>
      </c>
      <c r="AD27" s="138">
        <f t="shared" ca="1" si="28"/>
        <v>0</v>
      </c>
      <c r="AE27" s="138">
        <f t="shared" ca="1" si="28"/>
        <v>0</v>
      </c>
      <c r="AF27" s="138">
        <f t="shared" ca="1" si="28"/>
        <v>0</v>
      </c>
      <c r="AG27" s="138">
        <f t="shared" ca="1" si="28"/>
        <v>0</v>
      </c>
      <c r="AH27" s="138">
        <f t="shared" ca="1" si="28"/>
        <v>0</v>
      </c>
      <c r="AI27" s="138">
        <f t="shared" ca="1" si="28"/>
        <v>0</v>
      </c>
      <c r="AJ27" s="138">
        <f t="shared" ca="1" si="28"/>
        <v>0</v>
      </c>
      <c r="AK27" s="138">
        <f t="shared" ca="1" si="28"/>
        <v>0</v>
      </c>
      <c r="AL27" s="138">
        <f t="shared" ca="1" si="28"/>
        <v>0</v>
      </c>
      <c r="AM27" s="138">
        <f t="shared" ca="1" si="28"/>
        <v>0</v>
      </c>
      <c r="AN27" s="138">
        <f t="shared" ca="1" si="29"/>
        <v>0</v>
      </c>
      <c r="AO27" s="138">
        <f t="shared" ca="1" si="29"/>
        <v>0</v>
      </c>
      <c r="AP27" s="138">
        <f t="shared" ca="1" si="29"/>
        <v>0</v>
      </c>
      <c r="AQ27" s="138">
        <f t="shared" ca="1" si="29"/>
        <v>0</v>
      </c>
      <c r="AR27" s="138">
        <f t="shared" ca="1" si="29"/>
        <v>0</v>
      </c>
      <c r="AS27" s="138">
        <f t="shared" ca="1" si="29"/>
        <v>0</v>
      </c>
      <c r="AT27" s="138">
        <f t="shared" ca="1" si="29"/>
        <v>0</v>
      </c>
      <c r="AU27" s="138">
        <f t="shared" ca="1" si="29"/>
        <v>0</v>
      </c>
      <c r="AV27" s="138">
        <f t="shared" ca="1" si="29"/>
        <v>0</v>
      </c>
      <c r="AW27" s="138">
        <f t="shared" ca="1" si="29"/>
        <v>0</v>
      </c>
      <c r="AX27" s="138">
        <f t="shared" ca="1" si="29"/>
        <v>0</v>
      </c>
      <c r="AY27" s="138">
        <f t="shared" ca="1" si="29"/>
        <v>0</v>
      </c>
      <c r="AZ27" s="138">
        <f t="shared" ca="1" si="29"/>
        <v>0</v>
      </c>
      <c r="BA27" s="138">
        <f t="shared" ca="1" si="29"/>
        <v>0</v>
      </c>
      <c r="BB27" s="138">
        <f t="shared" ca="1" si="29"/>
        <v>0</v>
      </c>
      <c r="BC27" s="138">
        <f t="shared" ca="1" si="29"/>
        <v>0</v>
      </c>
      <c r="BD27" s="138">
        <f t="shared" ca="1" si="30"/>
        <v>0</v>
      </c>
      <c r="BE27" s="138">
        <f t="shared" ca="1" si="30"/>
        <v>0</v>
      </c>
      <c r="BF27" s="138">
        <f t="shared" ca="1" si="30"/>
        <v>0</v>
      </c>
      <c r="BG27" s="138">
        <f t="shared" ca="1" si="30"/>
        <v>0</v>
      </c>
      <c r="BH27" s="138">
        <f t="shared" ca="1" si="30"/>
        <v>0</v>
      </c>
      <c r="BI27" s="138">
        <f t="shared" ca="1" si="30"/>
        <v>0</v>
      </c>
      <c r="BJ27" s="138">
        <f t="shared" ca="1" si="30"/>
        <v>0</v>
      </c>
      <c r="BK27" s="138">
        <f t="shared" ca="1" si="30"/>
        <v>0</v>
      </c>
      <c r="BL27" s="138">
        <f t="shared" ca="1" si="30"/>
        <v>0</v>
      </c>
      <c r="BM27" s="138">
        <f t="shared" ca="1" si="30"/>
        <v>0</v>
      </c>
      <c r="BN27" s="138">
        <f t="shared" ca="1" si="30"/>
        <v>0</v>
      </c>
      <c r="BO27" s="138">
        <f t="shared" ca="1" si="30"/>
        <v>0</v>
      </c>
      <c r="BP27" s="138">
        <f t="shared" ca="1" si="30"/>
        <v>0</v>
      </c>
      <c r="BQ27" s="138">
        <f t="shared" ca="1" si="30"/>
        <v>0</v>
      </c>
      <c r="BR27" s="138">
        <f t="shared" ca="1" si="30"/>
        <v>0</v>
      </c>
      <c r="BS27" s="138">
        <f t="shared" ca="1" si="30"/>
        <v>0</v>
      </c>
      <c r="BT27" s="138">
        <f t="shared" ca="1" si="31"/>
        <v>0</v>
      </c>
      <c r="BU27" s="138">
        <f t="shared" ca="1" si="31"/>
        <v>0</v>
      </c>
      <c r="BV27" s="138">
        <f t="shared" ca="1" si="31"/>
        <v>0</v>
      </c>
      <c r="BW27" s="138">
        <f t="shared" ca="1" si="31"/>
        <v>0</v>
      </c>
      <c r="BX27" s="138">
        <f t="shared" ca="1" si="31"/>
        <v>0</v>
      </c>
      <c r="BY27" s="138">
        <f t="shared" ca="1" si="31"/>
        <v>0</v>
      </c>
      <c r="BZ27" s="138">
        <f t="shared" ca="1" si="31"/>
        <v>0</v>
      </c>
      <c r="CA27" s="138">
        <f t="shared" ca="1" si="31"/>
        <v>0</v>
      </c>
      <c r="CB27" s="138">
        <f t="shared" ca="1" si="31"/>
        <v>0</v>
      </c>
      <c r="CC27" s="138">
        <f t="shared" ca="1" si="31"/>
        <v>0</v>
      </c>
      <c r="CD27" s="138">
        <f t="shared" ca="1" si="31"/>
        <v>0</v>
      </c>
      <c r="CE27" s="138">
        <f t="shared" ca="1" si="31"/>
        <v>0</v>
      </c>
      <c r="CF27" s="138">
        <f t="shared" ca="1" si="31"/>
        <v>0</v>
      </c>
      <c r="CG27" s="138">
        <f t="shared" ca="1" si="31"/>
        <v>0</v>
      </c>
      <c r="CH27" s="138">
        <f t="shared" ca="1" si="31"/>
        <v>0</v>
      </c>
      <c r="CI27" s="138">
        <f t="shared" ca="1" si="31"/>
        <v>0</v>
      </c>
      <c r="CJ27" s="138">
        <f t="shared" ca="1" si="32"/>
        <v>0</v>
      </c>
      <c r="CK27" s="138">
        <f t="shared" ca="1" si="32"/>
        <v>0</v>
      </c>
      <c r="CL27" s="138">
        <f t="shared" ca="1" si="32"/>
        <v>0</v>
      </c>
      <c r="CM27" s="138">
        <f t="shared" ca="1" si="32"/>
        <v>0</v>
      </c>
      <c r="CN27" s="138">
        <f t="shared" ca="1" si="32"/>
        <v>0</v>
      </c>
      <c r="CO27" s="138">
        <f t="shared" ca="1" si="32"/>
        <v>0</v>
      </c>
      <c r="CP27" s="138">
        <f t="shared" ca="1" si="32"/>
        <v>0</v>
      </c>
      <c r="CQ27" s="138">
        <f t="shared" ca="1" si="32"/>
        <v>0</v>
      </c>
      <c r="CR27" s="138">
        <f t="shared" ca="1" si="32"/>
        <v>0</v>
      </c>
      <c r="CS27" s="138">
        <f t="shared" ca="1" si="32"/>
        <v>0</v>
      </c>
      <c r="CT27" s="138">
        <f t="shared" ca="1" si="33"/>
        <v>0</v>
      </c>
      <c r="CU27" s="138">
        <f t="shared" ca="1" si="33"/>
        <v>0</v>
      </c>
      <c r="CV27" s="138">
        <f t="shared" ca="1" si="33"/>
        <v>0</v>
      </c>
      <c r="CW27" s="138">
        <f t="shared" ca="1" si="33"/>
        <v>0</v>
      </c>
      <c r="CX27" s="138">
        <f t="shared" ca="1" si="33"/>
        <v>0</v>
      </c>
      <c r="CY27" s="138">
        <f t="shared" ca="1" si="33"/>
        <v>0</v>
      </c>
      <c r="CZ27" s="138">
        <f t="shared" ca="1" si="33"/>
        <v>0</v>
      </c>
      <c r="DA27" s="138">
        <f t="shared" ca="1" si="33"/>
        <v>0</v>
      </c>
      <c r="DB27" s="138">
        <f t="shared" ca="1" si="33"/>
        <v>0</v>
      </c>
      <c r="DC27" s="138">
        <f t="shared" ca="1" si="33"/>
        <v>0</v>
      </c>
      <c r="DE27" s="254" t="str">
        <f t="shared" ca="1" si="24"/>
        <v>D.2.5.</v>
      </c>
      <c r="DF27">
        <f t="shared" ca="1" si="34"/>
        <v>1</v>
      </c>
      <c r="DG27">
        <f t="shared" ca="1" si="35"/>
        <v>21</v>
      </c>
      <c r="DH27">
        <v>0</v>
      </c>
    </row>
    <row r="28" spans="1:112" hidden="1">
      <c r="A28" s="124">
        <v>16</v>
      </c>
      <c r="B28" s="205" t="str">
        <f t="shared" ca="1" si="12"/>
        <v>D.2.6.</v>
      </c>
      <c r="C28" s="129" t="str">
        <f t="shared" ca="1" si="13"/>
        <v>Veikla</v>
      </c>
      <c r="D28" s="144"/>
      <c r="E28" s="148">
        <f t="shared" ca="1" si="14"/>
        <v>0.21</v>
      </c>
      <c r="F28" s="139">
        <f ca="1">H28+NPV(FD,I28:INDEX(I28:DC28,PAL))</f>
        <v>0</v>
      </c>
      <c r="G28" s="140">
        <f ca="1">SUMIF($H$5:$DC$5,"&lt;="&amp;PAL,$H28:$DC28)</f>
        <v>0</v>
      </c>
      <c r="H28" s="138">
        <f t="shared" ca="1" si="27"/>
        <v>0</v>
      </c>
      <c r="I28" s="138">
        <f t="shared" ca="1" si="27"/>
        <v>0</v>
      </c>
      <c r="J28" s="138">
        <f t="shared" ca="1" si="27"/>
        <v>0</v>
      </c>
      <c r="K28" s="138">
        <f t="shared" ca="1" si="27"/>
        <v>0</v>
      </c>
      <c r="L28" s="138">
        <f t="shared" ca="1" si="27"/>
        <v>0</v>
      </c>
      <c r="M28" s="138">
        <f t="shared" ca="1" si="27"/>
        <v>0</v>
      </c>
      <c r="N28" s="138">
        <f t="shared" ca="1" si="27"/>
        <v>0</v>
      </c>
      <c r="O28" s="138">
        <f t="shared" ca="1" si="27"/>
        <v>0</v>
      </c>
      <c r="P28" s="138">
        <f t="shared" ca="1" si="27"/>
        <v>0</v>
      </c>
      <c r="Q28" s="138">
        <f t="shared" ca="1" si="27"/>
        <v>0</v>
      </c>
      <c r="R28" s="138">
        <f t="shared" ca="1" si="27"/>
        <v>0</v>
      </c>
      <c r="S28" s="138">
        <f t="shared" ca="1" si="27"/>
        <v>0</v>
      </c>
      <c r="T28" s="138">
        <f t="shared" ca="1" si="27"/>
        <v>0</v>
      </c>
      <c r="U28" s="138">
        <f t="shared" ca="1" si="27"/>
        <v>0</v>
      </c>
      <c r="V28" s="138">
        <f t="shared" ca="1" si="27"/>
        <v>0</v>
      </c>
      <c r="W28" s="138">
        <f t="shared" ca="1" si="27"/>
        <v>0</v>
      </c>
      <c r="X28" s="138">
        <f t="shared" ca="1" si="28"/>
        <v>0</v>
      </c>
      <c r="Y28" s="138">
        <f t="shared" ca="1" si="28"/>
        <v>0</v>
      </c>
      <c r="Z28" s="138">
        <f t="shared" ca="1" si="28"/>
        <v>0</v>
      </c>
      <c r="AA28" s="138">
        <f t="shared" ca="1" si="28"/>
        <v>0</v>
      </c>
      <c r="AB28" s="138">
        <f t="shared" ca="1" si="28"/>
        <v>0</v>
      </c>
      <c r="AC28" s="138">
        <f t="shared" ca="1" si="28"/>
        <v>0</v>
      </c>
      <c r="AD28" s="138">
        <f t="shared" ca="1" si="28"/>
        <v>0</v>
      </c>
      <c r="AE28" s="138">
        <f t="shared" ca="1" si="28"/>
        <v>0</v>
      </c>
      <c r="AF28" s="138">
        <f t="shared" ca="1" si="28"/>
        <v>0</v>
      </c>
      <c r="AG28" s="138">
        <f t="shared" ca="1" si="28"/>
        <v>0</v>
      </c>
      <c r="AH28" s="138">
        <f t="shared" ca="1" si="28"/>
        <v>0</v>
      </c>
      <c r="AI28" s="138">
        <f t="shared" ca="1" si="28"/>
        <v>0</v>
      </c>
      <c r="AJ28" s="138">
        <f t="shared" ca="1" si="28"/>
        <v>0</v>
      </c>
      <c r="AK28" s="138">
        <f t="shared" ca="1" si="28"/>
        <v>0</v>
      </c>
      <c r="AL28" s="138">
        <f t="shared" ca="1" si="28"/>
        <v>0</v>
      </c>
      <c r="AM28" s="138">
        <f t="shared" ca="1" si="28"/>
        <v>0</v>
      </c>
      <c r="AN28" s="138">
        <f t="shared" ca="1" si="29"/>
        <v>0</v>
      </c>
      <c r="AO28" s="138">
        <f t="shared" ca="1" si="29"/>
        <v>0</v>
      </c>
      <c r="AP28" s="138">
        <f t="shared" ca="1" si="29"/>
        <v>0</v>
      </c>
      <c r="AQ28" s="138">
        <f t="shared" ca="1" si="29"/>
        <v>0</v>
      </c>
      <c r="AR28" s="138">
        <f t="shared" ca="1" si="29"/>
        <v>0</v>
      </c>
      <c r="AS28" s="138">
        <f t="shared" ca="1" si="29"/>
        <v>0</v>
      </c>
      <c r="AT28" s="138">
        <f t="shared" ca="1" si="29"/>
        <v>0</v>
      </c>
      <c r="AU28" s="138">
        <f t="shared" ca="1" si="29"/>
        <v>0</v>
      </c>
      <c r="AV28" s="138">
        <f t="shared" ca="1" si="29"/>
        <v>0</v>
      </c>
      <c r="AW28" s="138">
        <f t="shared" ca="1" si="29"/>
        <v>0</v>
      </c>
      <c r="AX28" s="138">
        <f t="shared" ca="1" si="29"/>
        <v>0</v>
      </c>
      <c r="AY28" s="138">
        <f t="shared" ca="1" si="29"/>
        <v>0</v>
      </c>
      <c r="AZ28" s="138">
        <f t="shared" ca="1" si="29"/>
        <v>0</v>
      </c>
      <c r="BA28" s="138">
        <f t="shared" ca="1" si="29"/>
        <v>0</v>
      </c>
      <c r="BB28" s="138">
        <f t="shared" ca="1" si="29"/>
        <v>0</v>
      </c>
      <c r="BC28" s="138">
        <f t="shared" ca="1" si="29"/>
        <v>0</v>
      </c>
      <c r="BD28" s="138">
        <f t="shared" ca="1" si="30"/>
        <v>0</v>
      </c>
      <c r="BE28" s="138">
        <f t="shared" ca="1" si="30"/>
        <v>0</v>
      </c>
      <c r="BF28" s="138">
        <f t="shared" ca="1" si="30"/>
        <v>0</v>
      </c>
      <c r="BG28" s="138">
        <f t="shared" ca="1" si="30"/>
        <v>0</v>
      </c>
      <c r="BH28" s="138">
        <f t="shared" ca="1" si="30"/>
        <v>0</v>
      </c>
      <c r="BI28" s="138">
        <f t="shared" ca="1" si="30"/>
        <v>0</v>
      </c>
      <c r="BJ28" s="138">
        <f t="shared" ca="1" si="30"/>
        <v>0</v>
      </c>
      <c r="BK28" s="138">
        <f t="shared" ca="1" si="30"/>
        <v>0</v>
      </c>
      <c r="BL28" s="138">
        <f t="shared" ca="1" si="30"/>
        <v>0</v>
      </c>
      <c r="BM28" s="138">
        <f t="shared" ca="1" si="30"/>
        <v>0</v>
      </c>
      <c r="BN28" s="138">
        <f t="shared" ca="1" si="30"/>
        <v>0</v>
      </c>
      <c r="BO28" s="138">
        <f t="shared" ca="1" si="30"/>
        <v>0</v>
      </c>
      <c r="BP28" s="138">
        <f t="shared" ca="1" si="30"/>
        <v>0</v>
      </c>
      <c r="BQ28" s="138">
        <f t="shared" ca="1" si="30"/>
        <v>0</v>
      </c>
      <c r="BR28" s="138">
        <f t="shared" ca="1" si="30"/>
        <v>0</v>
      </c>
      <c r="BS28" s="138">
        <f t="shared" ca="1" si="30"/>
        <v>0</v>
      </c>
      <c r="BT28" s="138">
        <f t="shared" ca="1" si="31"/>
        <v>0</v>
      </c>
      <c r="BU28" s="138">
        <f t="shared" ca="1" si="31"/>
        <v>0</v>
      </c>
      <c r="BV28" s="138">
        <f t="shared" ca="1" si="31"/>
        <v>0</v>
      </c>
      <c r="BW28" s="138">
        <f t="shared" ca="1" si="31"/>
        <v>0</v>
      </c>
      <c r="BX28" s="138">
        <f t="shared" ca="1" si="31"/>
        <v>0</v>
      </c>
      <c r="BY28" s="138">
        <f t="shared" ca="1" si="31"/>
        <v>0</v>
      </c>
      <c r="BZ28" s="138">
        <f t="shared" ca="1" si="31"/>
        <v>0</v>
      </c>
      <c r="CA28" s="138">
        <f t="shared" ca="1" si="31"/>
        <v>0</v>
      </c>
      <c r="CB28" s="138">
        <f t="shared" ca="1" si="31"/>
        <v>0</v>
      </c>
      <c r="CC28" s="138">
        <f t="shared" ca="1" si="31"/>
        <v>0</v>
      </c>
      <c r="CD28" s="138">
        <f t="shared" ca="1" si="31"/>
        <v>0</v>
      </c>
      <c r="CE28" s="138">
        <f t="shared" ca="1" si="31"/>
        <v>0</v>
      </c>
      <c r="CF28" s="138">
        <f t="shared" ca="1" si="31"/>
        <v>0</v>
      </c>
      <c r="CG28" s="138">
        <f t="shared" ca="1" si="31"/>
        <v>0</v>
      </c>
      <c r="CH28" s="138">
        <f t="shared" ca="1" si="31"/>
        <v>0</v>
      </c>
      <c r="CI28" s="138">
        <f t="shared" ca="1" si="31"/>
        <v>0</v>
      </c>
      <c r="CJ28" s="138">
        <f t="shared" ca="1" si="32"/>
        <v>0</v>
      </c>
      <c r="CK28" s="138">
        <f t="shared" ca="1" si="32"/>
        <v>0</v>
      </c>
      <c r="CL28" s="138">
        <f t="shared" ca="1" si="32"/>
        <v>0</v>
      </c>
      <c r="CM28" s="138">
        <f t="shared" ca="1" si="32"/>
        <v>0</v>
      </c>
      <c r="CN28" s="138">
        <f t="shared" ca="1" si="32"/>
        <v>0</v>
      </c>
      <c r="CO28" s="138">
        <f t="shared" ca="1" si="32"/>
        <v>0</v>
      </c>
      <c r="CP28" s="138">
        <f t="shared" ca="1" si="32"/>
        <v>0</v>
      </c>
      <c r="CQ28" s="138">
        <f t="shared" ca="1" si="32"/>
        <v>0</v>
      </c>
      <c r="CR28" s="138">
        <f t="shared" ca="1" si="32"/>
        <v>0</v>
      </c>
      <c r="CS28" s="138">
        <f t="shared" ca="1" si="32"/>
        <v>0</v>
      </c>
      <c r="CT28" s="138">
        <f t="shared" ca="1" si="33"/>
        <v>0</v>
      </c>
      <c r="CU28" s="138">
        <f t="shared" ca="1" si="33"/>
        <v>0</v>
      </c>
      <c r="CV28" s="138">
        <f t="shared" ca="1" si="33"/>
        <v>0</v>
      </c>
      <c r="CW28" s="138">
        <f t="shared" ca="1" si="33"/>
        <v>0</v>
      </c>
      <c r="CX28" s="138">
        <f t="shared" ca="1" si="33"/>
        <v>0</v>
      </c>
      <c r="CY28" s="138">
        <f t="shared" ca="1" si="33"/>
        <v>0</v>
      </c>
      <c r="CZ28" s="138">
        <f t="shared" ca="1" si="33"/>
        <v>0</v>
      </c>
      <c r="DA28" s="138">
        <f t="shared" ca="1" si="33"/>
        <v>0</v>
      </c>
      <c r="DB28" s="138">
        <f t="shared" ca="1" si="33"/>
        <v>0</v>
      </c>
      <c r="DC28" s="138">
        <f t="shared" ca="1" si="33"/>
        <v>0</v>
      </c>
      <c r="DE28" s="254" t="str">
        <f t="shared" ca="1" si="24"/>
        <v>D.2.6.</v>
      </c>
      <c r="DF28">
        <f t="shared" ca="1" si="34"/>
        <v>1</v>
      </c>
      <c r="DG28">
        <f t="shared" ca="1" si="35"/>
        <v>21</v>
      </c>
      <c r="DH28">
        <v>0</v>
      </c>
    </row>
    <row r="29" spans="1:112" hidden="1">
      <c r="A29" s="124">
        <v>17</v>
      </c>
      <c r="B29" s="205" t="str">
        <f t="shared" ca="1" si="12"/>
        <v>D.2.7.</v>
      </c>
      <c r="C29" s="129" t="str">
        <f t="shared" ca="1" si="13"/>
        <v>Veikla</v>
      </c>
      <c r="D29" s="144"/>
      <c r="E29" s="148">
        <f t="shared" ca="1" si="14"/>
        <v>0.21</v>
      </c>
      <c r="F29" s="139">
        <f ca="1">H29+NPV(FD,I29:INDEX(I29:DC29,PAL))</f>
        <v>0</v>
      </c>
      <c r="G29" s="140">
        <f ca="1">SUMIF($H$5:$DC$5,"&lt;="&amp;PAL,$H29:$DC29)</f>
        <v>0</v>
      </c>
      <c r="H29" s="138">
        <f t="shared" ca="1" si="27"/>
        <v>0</v>
      </c>
      <c r="I29" s="138">
        <f t="shared" ca="1" si="27"/>
        <v>0</v>
      </c>
      <c r="J29" s="138">
        <f t="shared" ca="1" si="27"/>
        <v>0</v>
      </c>
      <c r="K29" s="138">
        <f t="shared" ca="1" si="27"/>
        <v>0</v>
      </c>
      <c r="L29" s="138">
        <f t="shared" ca="1" si="27"/>
        <v>0</v>
      </c>
      <c r="M29" s="138">
        <f t="shared" ca="1" si="27"/>
        <v>0</v>
      </c>
      <c r="N29" s="138">
        <f t="shared" ca="1" si="27"/>
        <v>0</v>
      </c>
      <c r="O29" s="138">
        <f t="shared" ca="1" si="27"/>
        <v>0</v>
      </c>
      <c r="P29" s="138">
        <f t="shared" ca="1" si="27"/>
        <v>0</v>
      </c>
      <c r="Q29" s="138">
        <f t="shared" ca="1" si="27"/>
        <v>0</v>
      </c>
      <c r="R29" s="138">
        <f t="shared" ca="1" si="27"/>
        <v>0</v>
      </c>
      <c r="S29" s="138">
        <f t="shared" ca="1" si="27"/>
        <v>0</v>
      </c>
      <c r="T29" s="138">
        <f t="shared" ca="1" si="27"/>
        <v>0</v>
      </c>
      <c r="U29" s="138">
        <f t="shared" ca="1" si="27"/>
        <v>0</v>
      </c>
      <c r="V29" s="138">
        <f t="shared" ca="1" si="27"/>
        <v>0</v>
      </c>
      <c r="W29" s="138">
        <f t="shared" ca="1" si="27"/>
        <v>0</v>
      </c>
      <c r="X29" s="138">
        <f t="shared" ca="1" si="28"/>
        <v>0</v>
      </c>
      <c r="Y29" s="138">
        <f t="shared" ca="1" si="28"/>
        <v>0</v>
      </c>
      <c r="Z29" s="138">
        <f t="shared" ca="1" si="28"/>
        <v>0</v>
      </c>
      <c r="AA29" s="138">
        <f t="shared" ca="1" si="28"/>
        <v>0</v>
      </c>
      <c r="AB29" s="138">
        <f t="shared" ca="1" si="28"/>
        <v>0</v>
      </c>
      <c r="AC29" s="138">
        <f t="shared" ca="1" si="28"/>
        <v>0</v>
      </c>
      <c r="AD29" s="138">
        <f t="shared" ca="1" si="28"/>
        <v>0</v>
      </c>
      <c r="AE29" s="138">
        <f t="shared" ca="1" si="28"/>
        <v>0</v>
      </c>
      <c r="AF29" s="138">
        <f t="shared" ca="1" si="28"/>
        <v>0</v>
      </c>
      <c r="AG29" s="138">
        <f t="shared" ca="1" si="28"/>
        <v>0</v>
      </c>
      <c r="AH29" s="138">
        <f t="shared" ca="1" si="28"/>
        <v>0</v>
      </c>
      <c r="AI29" s="138">
        <f t="shared" ca="1" si="28"/>
        <v>0</v>
      </c>
      <c r="AJ29" s="138">
        <f t="shared" ca="1" si="28"/>
        <v>0</v>
      </c>
      <c r="AK29" s="138">
        <f t="shared" ca="1" si="28"/>
        <v>0</v>
      </c>
      <c r="AL29" s="138">
        <f t="shared" ca="1" si="28"/>
        <v>0</v>
      </c>
      <c r="AM29" s="138">
        <f t="shared" ca="1" si="28"/>
        <v>0</v>
      </c>
      <c r="AN29" s="138">
        <f t="shared" ca="1" si="29"/>
        <v>0</v>
      </c>
      <c r="AO29" s="138">
        <f t="shared" ca="1" si="29"/>
        <v>0</v>
      </c>
      <c r="AP29" s="138">
        <f t="shared" ca="1" si="29"/>
        <v>0</v>
      </c>
      <c r="AQ29" s="138">
        <f t="shared" ca="1" si="29"/>
        <v>0</v>
      </c>
      <c r="AR29" s="138">
        <f t="shared" ca="1" si="29"/>
        <v>0</v>
      </c>
      <c r="AS29" s="138">
        <f t="shared" ca="1" si="29"/>
        <v>0</v>
      </c>
      <c r="AT29" s="138">
        <f t="shared" ca="1" si="29"/>
        <v>0</v>
      </c>
      <c r="AU29" s="138">
        <f t="shared" ca="1" si="29"/>
        <v>0</v>
      </c>
      <c r="AV29" s="138">
        <f t="shared" ca="1" si="29"/>
        <v>0</v>
      </c>
      <c r="AW29" s="138">
        <f t="shared" ca="1" si="29"/>
        <v>0</v>
      </c>
      <c r="AX29" s="138">
        <f t="shared" ca="1" si="29"/>
        <v>0</v>
      </c>
      <c r="AY29" s="138">
        <f t="shared" ca="1" si="29"/>
        <v>0</v>
      </c>
      <c r="AZ29" s="138">
        <f t="shared" ca="1" si="29"/>
        <v>0</v>
      </c>
      <c r="BA29" s="138">
        <f t="shared" ca="1" si="29"/>
        <v>0</v>
      </c>
      <c r="BB29" s="138">
        <f t="shared" ca="1" si="29"/>
        <v>0</v>
      </c>
      <c r="BC29" s="138">
        <f t="shared" ca="1" si="29"/>
        <v>0</v>
      </c>
      <c r="BD29" s="138">
        <f t="shared" ca="1" si="30"/>
        <v>0</v>
      </c>
      <c r="BE29" s="138">
        <f t="shared" ca="1" si="30"/>
        <v>0</v>
      </c>
      <c r="BF29" s="138">
        <f t="shared" ca="1" si="30"/>
        <v>0</v>
      </c>
      <c r="BG29" s="138">
        <f t="shared" ca="1" si="30"/>
        <v>0</v>
      </c>
      <c r="BH29" s="138">
        <f t="shared" ca="1" si="30"/>
        <v>0</v>
      </c>
      <c r="BI29" s="138">
        <f t="shared" ca="1" si="30"/>
        <v>0</v>
      </c>
      <c r="BJ29" s="138">
        <f t="shared" ca="1" si="30"/>
        <v>0</v>
      </c>
      <c r="BK29" s="138">
        <f t="shared" ca="1" si="30"/>
        <v>0</v>
      </c>
      <c r="BL29" s="138">
        <f t="shared" ca="1" si="30"/>
        <v>0</v>
      </c>
      <c r="BM29" s="138">
        <f t="shared" ca="1" si="30"/>
        <v>0</v>
      </c>
      <c r="BN29" s="138">
        <f t="shared" ca="1" si="30"/>
        <v>0</v>
      </c>
      <c r="BO29" s="138">
        <f t="shared" ca="1" si="30"/>
        <v>0</v>
      </c>
      <c r="BP29" s="138">
        <f t="shared" ca="1" si="30"/>
        <v>0</v>
      </c>
      <c r="BQ29" s="138">
        <f t="shared" ca="1" si="30"/>
        <v>0</v>
      </c>
      <c r="BR29" s="138">
        <f t="shared" ca="1" si="30"/>
        <v>0</v>
      </c>
      <c r="BS29" s="138">
        <f t="shared" ca="1" si="30"/>
        <v>0</v>
      </c>
      <c r="BT29" s="138">
        <f t="shared" ca="1" si="31"/>
        <v>0</v>
      </c>
      <c r="BU29" s="138">
        <f t="shared" ca="1" si="31"/>
        <v>0</v>
      </c>
      <c r="BV29" s="138">
        <f t="shared" ca="1" si="31"/>
        <v>0</v>
      </c>
      <c r="BW29" s="138">
        <f t="shared" ca="1" si="31"/>
        <v>0</v>
      </c>
      <c r="BX29" s="138">
        <f t="shared" ca="1" si="31"/>
        <v>0</v>
      </c>
      <c r="BY29" s="138">
        <f t="shared" ca="1" si="31"/>
        <v>0</v>
      </c>
      <c r="BZ29" s="138">
        <f t="shared" ca="1" si="31"/>
        <v>0</v>
      </c>
      <c r="CA29" s="138">
        <f t="shared" ca="1" si="31"/>
        <v>0</v>
      </c>
      <c r="CB29" s="138">
        <f t="shared" ca="1" si="31"/>
        <v>0</v>
      </c>
      <c r="CC29" s="138">
        <f t="shared" ca="1" si="31"/>
        <v>0</v>
      </c>
      <c r="CD29" s="138">
        <f t="shared" ca="1" si="31"/>
        <v>0</v>
      </c>
      <c r="CE29" s="138">
        <f t="shared" ca="1" si="31"/>
        <v>0</v>
      </c>
      <c r="CF29" s="138">
        <f t="shared" ca="1" si="31"/>
        <v>0</v>
      </c>
      <c r="CG29" s="138">
        <f t="shared" ca="1" si="31"/>
        <v>0</v>
      </c>
      <c r="CH29" s="138">
        <f t="shared" ca="1" si="31"/>
        <v>0</v>
      </c>
      <c r="CI29" s="138">
        <f t="shared" ca="1" si="31"/>
        <v>0</v>
      </c>
      <c r="CJ29" s="138">
        <f t="shared" ca="1" si="32"/>
        <v>0</v>
      </c>
      <c r="CK29" s="138">
        <f t="shared" ca="1" si="32"/>
        <v>0</v>
      </c>
      <c r="CL29" s="138">
        <f t="shared" ca="1" si="32"/>
        <v>0</v>
      </c>
      <c r="CM29" s="138">
        <f t="shared" ca="1" si="32"/>
        <v>0</v>
      </c>
      <c r="CN29" s="138">
        <f t="shared" ca="1" si="32"/>
        <v>0</v>
      </c>
      <c r="CO29" s="138">
        <f t="shared" ca="1" si="32"/>
        <v>0</v>
      </c>
      <c r="CP29" s="138">
        <f t="shared" ca="1" si="32"/>
        <v>0</v>
      </c>
      <c r="CQ29" s="138">
        <f t="shared" ca="1" si="32"/>
        <v>0</v>
      </c>
      <c r="CR29" s="138">
        <f t="shared" ca="1" si="32"/>
        <v>0</v>
      </c>
      <c r="CS29" s="138">
        <f t="shared" ca="1" si="32"/>
        <v>0</v>
      </c>
      <c r="CT29" s="138">
        <f t="shared" ca="1" si="33"/>
        <v>0</v>
      </c>
      <c r="CU29" s="138">
        <f t="shared" ca="1" si="33"/>
        <v>0</v>
      </c>
      <c r="CV29" s="138">
        <f t="shared" ca="1" si="33"/>
        <v>0</v>
      </c>
      <c r="CW29" s="138">
        <f t="shared" ca="1" si="33"/>
        <v>0</v>
      </c>
      <c r="CX29" s="138">
        <f t="shared" ca="1" si="33"/>
        <v>0</v>
      </c>
      <c r="CY29" s="138">
        <f t="shared" ca="1" si="33"/>
        <v>0</v>
      </c>
      <c r="CZ29" s="138">
        <f t="shared" ca="1" si="33"/>
        <v>0</v>
      </c>
      <c r="DA29" s="138">
        <f t="shared" ca="1" si="33"/>
        <v>0</v>
      </c>
      <c r="DB29" s="138">
        <f t="shared" ca="1" si="33"/>
        <v>0</v>
      </c>
      <c r="DC29" s="138">
        <f t="shared" ca="1" si="33"/>
        <v>0</v>
      </c>
      <c r="DE29" s="254" t="str">
        <f t="shared" ca="1" si="24"/>
        <v>D.2.7.</v>
      </c>
      <c r="DF29">
        <f t="shared" ca="1" si="34"/>
        <v>1</v>
      </c>
      <c r="DG29">
        <f t="shared" ca="1" si="35"/>
        <v>21</v>
      </c>
      <c r="DH29">
        <v>0</v>
      </c>
    </row>
    <row r="30" spans="1:112" hidden="1">
      <c r="A30" s="124">
        <v>18</v>
      </c>
      <c r="B30" s="205" t="str">
        <f t="shared" ca="1" si="12"/>
        <v>D.2.8.</v>
      </c>
      <c r="C30" s="129" t="str">
        <f t="shared" ca="1" si="13"/>
        <v>Veikla</v>
      </c>
      <c r="D30" s="133"/>
      <c r="E30" s="148">
        <f t="shared" ca="1" si="14"/>
        <v>0.21</v>
      </c>
      <c r="F30" s="139">
        <f ca="1">H30+NPV(FD,I30:INDEX(I30:DC30,PAL))</f>
        <v>0</v>
      </c>
      <c r="G30" s="140">
        <f ca="1">SUMIF($H$5:$DC$5,"&lt;="&amp;PAL,$H30:$DC30)</f>
        <v>0</v>
      </c>
      <c r="H30" s="138">
        <f t="shared" ca="1" si="27"/>
        <v>0</v>
      </c>
      <c r="I30" s="138">
        <f t="shared" ca="1" si="27"/>
        <v>0</v>
      </c>
      <c r="J30" s="138">
        <f t="shared" ca="1" si="27"/>
        <v>0</v>
      </c>
      <c r="K30" s="138">
        <f t="shared" ca="1" si="27"/>
        <v>0</v>
      </c>
      <c r="L30" s="138">
        <f t="shared" ca="1" si="27"/>
        <v>0</v>
      </c>
      <c r="M30" s="138">
        <f t="shared" ca="1" si="27"/>
        <v>0</v>
      </c>
      <c r="N30" s="138">
        <f t="shared" ca="1" si="27"/>
        <v>0</v>
      </c>
      <c r="O30" s="138">
        <f t="shared" ca="1" si="27"/>
        <v>0</v>
      </c>
      <c r="P30" s="138">
        <f t="shared" ca="1" si="27"/>
        <v>0</v>
      </c>
      <c r="Q30" s="138">
        <f t="shared" ca="1" si="27"/>
        <v>0</v>
      </c>
      <c r="R30" s="138">
        <f t="shared" ca="1" si="27"/>
        <v>0</v>
      </c>
      <c r="S30" s="138">
        <f t="shared" ca="1" si="27"/>
        <v>0</v>
      </c>
      <c r="T30" s="138">
        <f t="shared" ca="1" si="27"/>
        <v>0</v>
      </c>
      <c r="U30" s="138">
        <f t="shared" ca="1" si="27"/>
        <v>0</v>
      </c>
      <c r="V30" s="138">
        <f t="shared" ca="1" si="27"/>
        <v>0</v>
      </c>
      <c r="W30" s="138">
        <f t="shared" ca="1" si="27"/>
        <v>0</v>
      </c>
      <c r="X30" s="138">
        <f t="shared" ca="1" si="28"/>
        <v>0</v>
      </c>
      <c r="Y30" s="138">
        <f t="shared" ca="1" si="28"/>
        <v>0</v>
      </c>
      <c r="Z30" s="138">
        <f t="shared" ca="1" si="28"/>
        <v>0</v>
      </c>
      <c r="AA30" s="138">
        <f t="shared" ca="1" si="28"/>
        <v>0</v>
      </c>
      <c r="AB30" s="138">
        <f t="shared" ca="1" si="28"/>
        <v>0</v>
      </c>
      <c r="AC30" s="138">
        <f t="shared" ca="1" si="28"/>
        <v>0</v>
      </c>
      <c r="AD30" s="138">
        <f t="shared" ca="1" si="28"/>
        <v>0</v>
      </c>
      <c r="AE30" s="138">
        <f t="shared" ca="1" si="28"/>
        <v>0</v>
      </c>
      <c r="AF30" s="138">
        <f t="shared" ca="1" si="28"/>
        <v>0</v>
      </c>
      <c r="AG30" s="138">
        <f t="shared" ca="1" si="28"/>
        <v>0</v>
      </c>
      <c r="AH30" s="138">
        <f t="shared" ca="1" si="28"/>
        <v>0</v>
      </c>
      <c r="AI30" s="138">
        <f t="shared" ca="1" si="28"/>
        <v>0</v>
      </c>
      <c r="AJ30" s="138">
        <f t="shared" ca="1" si="28"/>
        <v>0</v>
      </c>
      <c r="AK30" s="138">
        <f t="shared" ca="1" si="28"/>
        <v>0</v>
      </c>
      <c r="AL30" s="138">
        <f t="shared" ca="1" si="28"/>
        <v>0</v>
      </c>
      <c r="AM30" s="138">
        <f t="shared" ca="1" si="28"/>
        <v>0</v>
      </c>
      <c r="AN30" s="138">
        <f t="shared" ca="1" si="29"/>
        <v>0</v>
      </c>
      <c r="AO30" s="138">
        <f t="shared" ca="1" si="29"/>
        <v>0</v>
      </c>
      <c r="AP30" s="138">
        <f t="shared" ca="1" si="29"/>
        <v>0</v>
      </c>
      <c r="AQ30" s="138">
        <f t="shared" ca="1" si="29"/>
        <v>0</v>
      </c>
      <c r="AR30" s="138">
        <f t="shared" ca="1" si="29"/>
        <v>0</v>
      </c>
      <c r="AS30" s="138">
        <f t="shared" ca="1" si="29"/>
        <v>0</v>
      </c>
      <c r="AT30" s="138">
        <f t="shared" ca="1" si="29"/>
        <v>0</v>
      </c>
      <c r="AU30" s="138">
        <f t="shared" ca="1" si="29"/>
        <v>0</v>
      </c>
      <c r="AV30" s="138">
        <f t="shared" ca="1" si="29"/>
        <v>0</v>
      </c>
      <c r="AW30" s="138">
        <f t="shared" ca="1" si="29"/>
        <v>0</v>
      </c>
      <c r="AX30" s="138">
        <f t="shared" ca="1" si="29"/>
        <v>0</v>
      </c>
      <c r="AY30" s="138">
        <f t="shared" ca="1" si="29"/>
        <v>0</v>
      </c>
      <c r="AZ30" s="138">
        <f t="shared" ca="1" si="29"/>
        <v>0</v>
      </c>
      <c r="BA30" s="138">
        <f t="shared" ca="1" si="29"/>
        <v>0</v>
      </c>
      <c r="BB30" s="138">
        <f t="shared" ca="1" si="29"/>
        <v>0</v>
      </c>
      <c r="BC30" s="138">
        <f t="shared" ca="1" si="29"/>
        <v>0</v>
      </c>
      <c r="BD30" s="138">
        <f t="shared" ca="1" si="30"/>
        <v>0</v>
      </c>
      <c r="BE30" s="138">
        <f t="shared" ca="1" si="30"/>
        <v>0</v>
      </c>
      <c r="BF30" s="138">
        <f t="shared" ca="1" si="30"/>
        <v>0</v>
      </c>
      <c r="BG30" s="138">
        <f t="shared" ca="1" si="30"/>
        <v>0</v>
      </c>
      <c r="BH30" s="138">
        <f t="shared" ca="1" si="30"/>
        <v>0</v>
      </c>
      <c r="BI30" s="138">
        <f t="shared" ca="1" si="30"/>
        <v>0</v>
      </c>
      <c r="BJ30" s="138">
        <f t="shared" ca="1" si="30"/>
        <v>0</v>
      </c>
      <c r="BK30" s="138">
        <f t="shared" ca="1" si="30"/>
        <v>0</v>
      </c>
      <c r="BL30" s="138">
        <f t="shared" ca="1" si="30"/>
        <v>0</v>
      </c>
      <c r="BM30" s="138">
        <f t="shared" ca="1" si="30"/>
        <v>0</v>
      </c>
      <c r="BN30" s="138">
        <f t="shared" ca="1" si="30"/>
        <v>0</v>
      </c>
      <c r="BO30" s="138">
        <f t="shared" ca="1" si="30"/>
        <v>0</v>
      </c>
      <c r="BP30" s="138">
        <f t="shared" ca="1" si="30"/>
        <v>0</v>
      </c>
      <c r="BQ30" s="138">
        <f t="shared" ca="1" si="30"/>
        <v>0</v>
      </c>
      <c r="BR30" s="138">
        <f t="shared" ca="1" si="30"/>
        <v>0</v>
      </c>
      <c r="BS30" s="138">
        <f t="shared" ca="1" si="30"/>
        <v>0</v>
      </c>
      <c r="BT30" s="138">
        <f t="shared" ca="1" si="31"/>
        <v>0</v>
      </c>
      <c r="BU30" s="138">
        <f t="shared" ca="1" si="31"/>
        <v>0</v>
      </c>
      <c r="BV30" s="138">
        <f t="shared" ca="1" si="31"/>
        <v>0</v>
      </c>
      <c r="BW30" s="138">
        <f t="shared" ca="1" si="31"/>
        <v>0</v>
      </c>
      <c r="BX30" s="138">
        <f t="shared" ca="1" si="31"/>
        <v>0</v>
      </c>
      <c r="BY30" s="138">
        <f t="shared" ca="1" si="31"/>
        <v>0</v>
      </c>
      <c r="BZ30" s="138">
        <f t="shared" ca="1" si="31"/>
        <v>0</v>
      </c>
      <c r="CA30" s="138">
        <f t="shared" ca="1" si="31"/>
        <v>0</v>
      </c>
      <c r="CB30" s="138">
        <f t="shared" ca="1" si="31"/>
        <v>0</v>
      </c>
      <c r="CC30" s="138">
        <f t="shared" ca="1" si="31"/>
        <v>0</v>
      </c>
      <c r="CD30" s="138">
        <f t="shared" ca="1" si="31"/>
        <v>0</v>
      </c>
      <c r="CE30" s="138">
        <f t="shared" ca="1" si="31"/>
        <v>0</v>
      </c>
      <c r="CF30" s="138">
        <f t="shared" ca="1" si="31"/>
        <v>0</v>
      </c>
      <c r="CG30" s="138">
        <f t="shared" ca="1" si="31"/>
        <v>0</v>
      </c>
      <c r="CH30" s="138">
        <f t="shared" ca="1" si="31"/>
        <v>0</v>
      </c>
      <c r="CI30" s="138">
        <f t="shared" ca="1" si="31"/>
        <v>0</v>
      </c>
      <c r="CJ30" s="138">
        <f t="shared" ca="1" si="32"/>
        <v>0</v>
      </c>
      <c r="CK30" s="138">
        <f t="shared" ca="1" si="32"/>
        <v>0</v>
      </c>
      <c r="CL30" s="138">
        <f t="shared" ca="1" si="32"/>
        <v>0</v>
      </c>
      <c r="CM30" s="138">
        <f t="shared" ca="1" si="32"/>
        <v>0</v>
      </c>
      <c r="CN30" s="138">
        <f t="shared" ca="1" si="32"/>
        <v>0</v>
      </c>
      <c r="CO30" s="138">
        <f t="shared" ca="1" si="32"/>
        <v>0</v>
      </c>
      <c r="CP30" s="138">
        <f t="shared" ca="1" si="32"/>
        <v>0</v>
      </c>
      <c r="CQ30" s="138">
        <f t="shared" ca="1" si="32"/>
        <v>0</v>
      </c>
      <c r="CR30" s="138">
        <f t="shared" ca="1" si="32"/>
        <v>0</v>
      </c>
      <c r="CS30" s="138">
        <f t="shared" ca="1" si="32"/>
        <v>0</v>
      </c>
      <c r="CT30" s="138">
        <f t="shared" ca="1" si="33"/>
        <v>0</v>
      </c>
      <c r="CU30" s="138">
        <f t="shared" ca="1" si="33"/>
        <v>0</v>
      </c>
      <c r="CV30" s="138">
        <f t="shared" ca="1" si="33"/>
        <v>0</v>
      </c>
      <c r="CW30" s="138">
        <f t="shared" ca="1" si="33"/>
        <v>0</v>
      </c>
      <c r="CX30" s="138">
        <f t="shared" ca="1" si="33"/>
        <v>0</v>
      </c>
      <c r="CY30" s="138">
        <f t="shared" ca="1" si="33"/>
        <v>0</v>
      </c>
      <c r="CZ30" s="138">
        <f t="shared" ca="1" si="33"/>
        <v>0</v>
      </c>
      <c r="DA30" s="138">
        <f t="shared" ca="1" si="33"/>
        <v>0</v>
      </c>
      <c r="DB30" s="138">
        <f t="shared" ca="1" si="33"/>
        <v>0</v>
      </c>
      <c r="DC30" s="138">
        <f t="shared" ca="1" si="33"/>
        <v>0</v>
      </c>
      <c r="DE30" s="254" t="str">
        <f t="shared" ca="1" si="24"/>
        <v>D.2.8.</v>
      </c>
      <c r="DF30">
        <f t="shared" ca="1" si="34"/>
        <v>1</v>
      </c>
      <c r="DG30">
        <f t="shared" ca="1" si="35"/>
        <v>21</v>
      </c>
      <c r="DH30">
        <v>0</v>
      </c>
    </row>
    <row r="31" spans="1:112" hidden="1">
      <c r="A31" s="124">
        <v>19</v>
      </c>
      <c r="B31" s="205" t="str">
        <f t="shared" ca="1" si="12"/>
        <v>D.2.9.</v>
      </c>
      <c r="C31" s="129" t="str">
        <f t="shared" ca="1" si="13"/>
        <v>Reinvesticijos (po priemonės įgyvendinimo)</v>
      </c>
      <c r="D31" s="133"/>
      <c r="E31" s="148">
        <f t="shared" ca="1" si="14"/>
        <v>0.21</v>
      </c>
      <c r="F31" s="139">
        <f ca="1">H31+NPV(FD,I31:INDEX(I31:DC31,PAL))</f>
        <v>0</v>
      </c>
      <c r="G31" s="140">
        <f ca="1">SUMIF($H$5:$DC$5,"&lt;="&amp;PAL,$H31:$DC31)</f>
        <v>0</v>
      </c>
      <c r="H31" s="138">
        <f t="shared" ca="1" si="27"/>
        <v>0</v>
      </c>
      <c r="I31" s="138">
        <f t="shared" ca="1" si="27"/>
        <v>0</v>
      </c>
      <c r="J31" s="138">
        <f t="shared" ca="1" si="27"/>
        <v>0</v>
      </c>
      <c r="K31" s="138">
        <f t="shared" ca="1" si="27"/>
        <v>0</v>
      </c>
      <c r="L31" s="138">
        <f t="shared" ca="1" si="27"/>
        <v>0</v>
      </c>
      <c r="M31" s="138">
        <f t="shared" ca="1" si="27"/>
        <v>0</v>
      </c>
      <c r="N31" s="138">
        <f t="shared" ca="1" si="27"/>
        <v>0</v>
      </c>
      <c r="O31" s="138">
        <f t="shared" ca="1" si="27"/>
        <v>0</v>
      </c>
      <c r="P31" s="138">
        <f t="shared" ca="1" si="27"/>
        <v>0</v>
      </c>
      <c r="Q31" s="138">
        <f t="shared" ca="1" si="27"/>
        <v>0</v>
      </c>
      <c r="R31" s="138">
        <f t="shared" ca="1" si="27"/>
        <v>0</v>
      </c>
      <c r="S31" s="138">
        <f t="shared" ca="1" si="27"/>
        <v>0</v>
      </c>
      <c r="T31" s="138">
        <f t="shared" ca="1" si="27"/>
        <v>0</v>
      </c>
      <c r="U31" s="138">
        <f t="shared" ca="1" si="27"/>
        <v>0</v>
      </c>
      <c r="V31" s="138">
        <f t="shared" ca="1" si="27"/>
        <v>0</v>
      </c>
      <c r="W31" s="138">
        <f t="shared" ca="1" si="27"/>
        <v>0</v>
      </c>
      <c r="X31" s="138">
        <f t="shared" ca="1" si="28"/>
        <v>0</v>
      </c>
      <c r="Y31" s="138">
        <f t="shared" ca="1" si="28"/>
        <v>0</v>
      </c>
      <c r="Z31" s="138">
        <f t="shared" ca="1" si="28"/>
        <v>0</v>
      </c>
      <c r="AA31" s="138">
        <f t="shared" ca="1" si="28"/>
        <v>0</v>
      </c>
      <c r="AB31" s="138">
        <f t="shared" ca="1" si="28"/>
        <v>0</v>
      </c>
      <c r="AC31" s="138">
        <f t="shared" ca="1" si="28"/>
        <v>0</v>
      </c>
      <c r="AD31" s="138">
        <f t="shared" ca="1" si="28"/>
        <v>0</v>
      </c>
      <c r="AE31" s="138">
        <f t="shared" ca="1" si="28"/>
        <v>0</v>
      </c>
      <c r="AF31" s="138">
        <f t="shared" ca="1" si="28"/>
        <v>0</v>
      </c>
      <c r="AG31" s="138">
        <f t="shared" ca="1" si="28"/>
        <v>0</v>
      </c>
      <c r="AH31" s="138">
        <f t="shared" ca="1" si="28"/>
        <v>0</v>
      </c>
      <c r="AI31" s="138">
        <f t="shared" ca="1" si="28"/>
        <v>0</v>
      </c>
      <c r="AJ31" s="138">
        <f t="shared" ca="1" si="28"/>
        <v>0</v>
      </c>
      <c r="AK31" s="138">
        <f t="shared" ca="1" si="28"/>
        <v>0</v>
      </c>
      <c r="AL31" s="138">
        <f t="shared" ca="1" si="28"/>
        <v>0</v>
      </c>
      <c r="AM31" s="138">
        <f t="shared" ca="1" si="28"/>
        <v>0</v>
      </c>
      <c r="AN31" s="138">
        <f t="shared" ca="1" si="29"/>
        <v>0</v>
      </c>
      <c r="AO31" s="138">
        <f t="shared" ca="1" si="29"/>
        <v>0</v>
      </c>
      <c r="AP31" s="138">
        <f t="shared" ca="1" si="29"/>
        <v>0</v>
      </c>
      <c r="AQ31" s="138">
        <f t="shared" ca="1" si="29"/>
        <v>0</v>
      </c>
      <c r="AR31" s="138">
        <f t="shared" ca="1" si="29"/>
        <v>0</v>
      </c>
      <c r="AS31" s="138">
        <f t="shared" ca="1" si="29"/>
        <v>0</v>
      </c>
      <c r="AT31" s="138">
        <f t="shared" ca="1" si="29"/>
        <v>0</v>
      </c>
      <c r="AU31" s="138">
        <f t="shared" ca="1" si="29"/>
        <v>0</v>
      </c>
      <c r="AV31" s="138">
        <f t="shared" ca="1" si="29"/>
        <v>0</v>
      </c>
      <c r="AW31" s="138">
        <f t="shared" ca="1" si="29"/>
        <v>0</v>
      </c>
      <c r="AX31" s="138">
        <f t="shared" ca="1" si="29"/>
        <v>0</v>
      </c>
      <c r="AY31" s="138">
        <f t="shared" ca="1" si="29"/>
        <v>0</v>
      </c>
      <c r="AZ31" s="138">
        <f t="shared" ca="1" si="29"/>
        <v>0</v>
      </c>
      <c r="BA31" s="138">
        <f t="shared" ca="1" si="29"/>
        <v>0</v>
      </c>
      <c r="BB31" s="138">
        <f t="shared" ca="1" si="29"/>
        <v>0</v>
      </c>
      <c r="BC31" s="138">
        <f t="shared" ca="1" si="29"/>
        <v>0</v>
      </c>
      <c r="BD31" s="138">
        <f t="shared" ca="1" si="30"/>
        <v>0</v>
      </c>
      <c r="BE31" s="138">
        <f t="shared" ca="1" si="30"/>
        <v>0</v>
      </c>
      <c r="BF31" s="138">
        <f t="shared" ca="1" si="30"/>
        <v>0</v>
      </c>
      <c r="BG31" s="138">
        <f t="shared" ca="1" si="30"/>
        <v>0</v>
      </c>
      <c r="BH31" s="138">
        <f t="shared" ca="1" si="30"/>
        <v>0</v>
      </c>
      <c r="BI31" s="138">
        <f t="shared" ca="1" si="30"/>
        <v>0</v>
      </c>
      <c r="BJ31" s="138">
        <f t="shared" ca="1" si="30"/>
        <v>0</v>
      </c>
      <c r="BK31" s="138">
        <f t="shared" ca="1" si="30"/>
        <v>0</v>
      </c>
      <c r="BL31" s="138">
        <f t="shared" ca="1" si="30"/>
        <v>0</v>
      </c>
      <c r="BM31" s="138">
        <f t="shared" ca="1" si="30"/>
        <v>0</v>
      </c>
      <c r="BN31" s="138">
        <f t="shared" ca="1" si="30"/>
        <v>0</v>
      </c>
      <c r="BO31" s="138">
        <f t="shared" ca="1" si="30"/>
        <v>0</v>
      </c>
      <c r="BP31" s="138">
        <f t="shared" ca="1" si="30"/>
        <v>0</v>
      </c>
      <c r="BQ31" s="138">
        <f t="shared" ca="1" si="30"/>
        <v>0</v>
      </c>
      <c r="BR31" s="138">
        <f t="shared" ca="1" si="30"/>
        <v>0</v>
      </c>
      <c r="BS31" s="138">
        <f t="shared" ca="1" si="30"/>
        <v>0</v>
      </c>
      <c r="BT31" s="138">
        <f t="shared" ca="1" si="31"/>
        <v>0</v>
      </c>
      <c r="BU31" s="138">
        <f t="shared" ca="1" si="31"/>
        <v>0</v>
      </c>
      <c r="BV31" s="138">
        <f t="shared" ca="1" si="31"/>
        <v>0</v>
      </c>
      <c r="BW31" s="138">
        <f t="shared" ca="1" si="31"/>
        <v>0</v>
      </c>
      <c r="BX31" s="138">
        <f t="shared" ca="1" si="31"/>
        <v>0</v>
      </c>
      <c r="BY31" s="138">
        <f t="shared" ca="1" si="31"/>
        <v>0</v>
      </c>
      <c r="BZ31" s="138">
        <f t="shared" ca="1" si="31"/>
        <v>0</v>
      </c>
      <c r="CA31" s="138">
        <f t="shared" ca="1" si="31"/>
        <v>0</v>
      </c>
      <c r="CB31" s="138">
        <f t="shared" ca="1" si="31"/>
        <v>0</v>
      </c>
      <c r="CC31" s="138">
        <f t="shared" ca="1" si="31"/>
        <v>0</v>
      </c>
      <c r="CD31" s="138">
        <f t="shared" ca="1" si="31"/>
        <v>0</v>
      </c>
      <c r="CE31" s="138">
        <f t="shared" ca="1" si="31"/>
        <v>0</v>
      </c>
      <c r="CF31" s="138">
        <f t="shared" ca="1" si="31"/>
        <v>0</v>
      </c>
      <c r="CG31" s="138">
        <f t="shared" ca="1" si="31"/>
        <v>0</v>
      </c>
      <c r="CH31" s="138">
        <f t="shared" ca="1" si="31"/>
        <v>0</v>
      </c>
      <c r="CI31" s="138">
        <f t="shared" ca="1" si="31"/>
        <v>0</v>
      </c>
      <c r="CJ31" s="138">
        <f t="shared" ca="1" si="32"/>
        <v>0</v>
      </c>
      <c r="CK31" s="138">
        <f t="shared" ca="1" si="32"/>
        <v>0</v>
      </c>
      <c r="CL31" s="138">
        <f t="shared" ca="1" si="32"/>
        <v>0</v>
      </c>
      <c r="CM31" s="138">
        <f t="shared" ca="1" si="32"/>
        <v>0</v>
      </c>
      <c r="CN31" s="138">
        <f t="shared" ca="1" si="32"/>
        <v>0</v>
      </c>
      <c r="CO31" s="138">
        <f t="shared" ca="1" si="32"/>
        <v>0</v>
      </c>
      <c r="CP31" s="138">
        <f t="shared" ca="1" si="32"/>
        <v>0</v>
      </c>
      <c r="CQ31" s="138">
        <f t="shared" ca="1" si="32"/>
        <v>0</v>
      </c>
      <c r="CR31" s="138">
        <f t="shared" ca="1" si="32"/>
        <v>0</v>
      </c>
      <c r="CS31" s="138">
        <f t="shared" ca="1" si="32"/>
        <v>0</v>
      </c>
      <c r="CT31" s="138">
        <f t="shared" ca="1" si="33"/>
        <v>0</v>
      </c>
      <c r="CU31" s="138">
        <f t="shared" ca="1" si="33"/>
        <v>0</v>
      </c>
      <c r="CV31" s="138">
        <f t="shared" ca="1" si="33"/>
        <v>0</v>
      </c>
      <c r="CW31" s="138">
        <f t="shared" ca="1" si="33"/>
        <v>0</v>
      </c>
      <c r="CX31" s="138">
        <f t="shared" ca="1" si="33"/>
        <v>0</v>
      </c>
      <c r="CY31" s="138">
        <f t="shared" ca="1" si="33"/>
        <v>0</v>
      </c>
      <c r="CZ31" s="138">
        <f t="shared" ca="1" si="33"/>
        <v>0</v>
      </c>
      <c r="DA31" s="138">
        <f t="shared" ca="1" si="33"/>
        <v>0</v>
      </c>
      <c r="DB31" s="138">
        <f t="shared" ca="1" si="33"/>
        <v>0</v>
      </c>
      <c r="DC31" s="138">
        <f t="shared" ca="1" si="33"/>
        <v>0</v>
      </c>
      <c r="DE31" s="254" t="str">
        <f t="shared" ca="1" si="24"/>
        <v>D.2.9.</v>
      </c>
      <c r="DF31">
        <f t="shared" ca="1" si="34"/>
        <v>1</v>
      </c>
      <c r="DG31">
        <f t="shared" ca="1" si="35"/>
        <v>21</v>
      </c>
      <c r="DH31">
        <v>0</v>
      </c>
    </row>
    <row r="32" spans="1:112" hidden="1">
      <c r="A32" s="124">
        <v>20</v>
      </c>
      <c r="B32" s="205" t="str">
        <f t="shared" ca="1" si="12"/>
        <v>D.2.L.</v>
      </c>
      <c r="C32" s="129" t="str">
        <f t="shared" ca="1" si="13"/>
        <v>Likutinė vertė</v>
      </c>
      <c r="D32" s="133"/>
      <c r="E32" s="148">
        <f t="shared" ca="1" si="14"/>
        <v>0.21</v>
      </c>
      <c r="F32" s="139">
        <f ca="1">H32+NPV(FD,I32:INDEX(I32:DC32,PAL))</f>
        <v>0</v>
      </c>
      <c r="G32" s="140">
        <f ca="1">SUMIF($H$5:$DC$5,"&lt;="&amp;PAL,$H32:$DC32)</f>
        <v>0</v>
      </c>
      <c r="H32" s="138">
        <f t="shared" ca="1" si="27"/>
        <v>0</v>
      </c>
      <c r="I32" s="138">
        <f t="shared" ca="1" si="27"/>
        <v>0</v>
      </c>
      <c r="J32" s="138">
        <f t="shared" ca="1" si="27"/>
        <v>0</v>
      </c>
      <c r="K32" s="138">
        <f t="shared" ca="1" si="27"/>
        <v>0</v>
      </c>
      <c r="L32" s="138">
        <f t="shared" ca="1" si="27"/>
        <v>0</v>
      </c>
      <c r="M32" s="138">
        <f t="shared" ca="1" si="27"/>
        <v>0</v>
      </c>
      <c r="N32" s="138">
        <f t="shared" ca="1" si="27"/>
        <v>0</v>
      </c>
      <c r="O32" s="138">
        <f t="shared" ca="1" si="27"/>
        <v>0</v>
      </c>
      <c r="P32" s="138">
        <f t="shared" ca="1" si="27"/>
        <v>0</v>
      </c>
      <c r="Q32" s="138">
        <f t="shared" ca="1" si="27"/>
        <v>0</v>
      </c>
      <c r="R32" s="138">
        <f t="shared" ca="1" si="27"/>
        <v>0</v>
      </c>
      <c r="S32" s="138">
        <f t="shared" ca="1" si="27"/>
        <v>0</v>
      </c>
      <c r="T32" s="138">
        <f t="shared" ca="1" si="27"/>
        <v>0</v>
      </c>
      <c r="U32" s="138">
        <f t="shared" ca="1" si="27"/>
        <v>0</v>
      </c>
      <c r="V32" s="138">
        <f t="shared" ca="1" si="27"/>
        <v>0</v>
      </c>
      <c r="W32" s="138">
        <f t="shared" ca="1" si="27"/>
        <v>0</v>
      </c>
      <c r="X32" s="138">
        <f t="shared" ca="1" si="28"/>
        <v>0</v>
      </c>
      <c r="Y32" s="138">
        <f t="shared" ca="1" si="28"/>
        <v>0</v>
      </c>
      <c r="Z32" s="138">
        <f t="shared" ca="1" si="28"/>
        <v>0</v>
      </c>
      <c r="AA32" s="138">
        <f t="shared" ca="1" si="28"/>
        <v>0</v>
      </c>
      <c r="AB32" s="138">
        <f t="shared" ca="1" si="28"/>
        <v>0</v>
      </c>
      <c r="AC32" s="138">
        <f t="shared" ca="1" si="28"/>
        <v>0</v>
      </c>
      <c r="AD32" s="138">
        <f t="shared" ca="1" si="28"/>
        <v>0</v>
      </c>
      <c r="AE32" s="138">
        <f t="shared" ca="1" si="28"/>
        <v>0</v>
      </c>
      <c r="AF32" s="138">
        <f t="shared" ca="1" si="28"/>
        <v>0</v>
      </c>
      <c r="AG32" s="138">
        <f t="shared" ca="1" si="28"/>
        <v>0</v>
      </c>
      <c r="AH32" s="138">
        <f t="shared" ca="1" si="28"/>
        <v>0</v>
      </c>
      <c r="AI32" s="138">
        <f t="shared" ca="1" si="28"/>
        <v>0</v>
      </c>
      <c r="AJ32" s="138">
        <f t="shared" ca="1" si="28"/>
        <v>0</v>
      </c>
      <c r="AK32" s="138">
        <f t="shared" ca="1" si="28"/>
        <v>0</v>
      </c>
      <c r="AL32" s="138">
        <f t="shared" ca="1" si="28"/>
        <v>0</v>
      </c>
      <c r="AM32" s="138">
        <f t="shared" ca="1" si="28"/>
        <v>0</v>
      </c>
      <c r="AN32" s="138">
        <f t="shared" ca="1" si="29"/>
        <v>0</v>
      </c>
      <c r="AO32" s="138">
        <f t="shared" ca="1" si="29"/>
        <v>0</v>
      </c>
      <c r="AP32" s="138">
        <f t="shared" ca="1" si="29"/>
        <v>0</v>
      </c>
      <c r="AQ32" s="138">
        <f t="shared" ca="1" si="29"/>
        <v>0</v>
      </c>
      <c r="AR32" s="138">
        <f t="shared" ca="1" si="29"/>
        <v>0</v>
      </c>
      <c r="AS32" s="138">
        <f t="shared" ca="1" si="29"/>
        <v>0</v>
      </c>
      <c r="AT32" s="138">
        <f t="shared" ca="1" si="29"/>
        <v>0</v>
      </c>
      <c r="AU32" s="138">
        <f t="shared" ca="1" si="29"/>
        <v>0</v>
      </c>
      <c r="AV32" s="138">
        <f t="shared" ca="1" si="29"/>
        <v>0</v>
      </c>
      <c r="AW32" s="138">
        <f t="shared" ca="1" si="29"/>
        <v>0</v>
      </c>
      <c r="AX32" s="138">
        <f t="shared" ca="1" si="29"/>
        <v>0</v>
      </c>
      <c r="AY32" s="138">
        <f t="shared" ca="1" si="29"/>
        <v>0</v>
      </c>
      <c r="AZ32" s="138">
        <f t="shared" ca="1" si="29"/>
        <v>0</v>
      </c>
      <c r="BA32" s="138">
        <f t="shared" ca="1" si="29"/>
        <v>0</v>
      </c>
      <c r="BB32" s="138">
        <f t="shared" ca="1" si="29"/>
        <v>0</v>
      </c>
      <c r="BC32" s="138">
        <f t="shared" ca="1" si="29"/>
        <v>0</v>
      </c>
      <c r="BD32" s="138">
        <f t="shared" ca="1" si="30"/>
        <v>0</v>
      </c>
      <c r="BE32" s="138">
        <f t="shared" ca="1" si="30"/>
        <v>0</v>
      </c>
      <c r="BF32" s="138">
        <f t="shared" ca="1" si="30"/>
        <v>0</v>
      </c>
      <c r="BG32" s="138">
        <f t="shared" ca="1" si="30"/>
        <v>0</v>
      </c>
      <c r="BH32" s="138">
        <f t="shared" ca="1" si="30"/>
        <v>0</v>
      </c>
      <c r="BI32" s="138">
        <f t="shared" ca="1" si="30"/>
        <v>0</v>
      </c>
      <c r="BJ32" s="138">
        <f t="shared" ca="1" si="30"/>
        <v>0</v>
      </c>
      <c r="BK32" s="138">
        <f t="shared" ca="1" si="30"/>
        <v>0</v>
      </c>
      <c r="BL32" s="138">
        <f t="shared" ca="1" si="30"/>
        <v>0</v>
      </c>
      <c r="BM32" s="138">
        <f t="shared" ca="1" si="30"/>
        <v>0</v>
      </c>
      <c r="BN32" s="138">
        <f t="shared" ca="1" si="30"/>
        <v>0</v>
      </c>
      <c r="BO32" s="138">
        <f t="shared" ca="1" si="30"/>
        <v>0</v>
      </c>
      <c r="BP32" s="138">
        <f t="shared" ca="1" si="30"/>
        <v>0</v>
      </c>
      <c r="BQ32" s="138">
        <f t="shared" ca="1" si="30"/>
        <v>0</v>
      </c>
      <c r="BR32" s="138">
        <f t="shared" ca="1" si="30"/>
        <v>0</v>
      </c>
      <c r="BS32" s="138">
        <f t="shared" ca="1" si="30"/>
        <v>0</v>
      </c>
      <c r="BT32" s="138">
        <f t="shared" ca="1" si="31"/>
        <v>0</v>
      </c>
      <c r="BU32" s="138">
        <f t="shared" ca="1" si="31"/>
        <v>0</v>
      </c>
      <c r="BV32" s="138">
        <f t="shared" ca="1" si="31"/>
        <v>0</v>
      </c>
      <c r="BW32" s="138">
        <f t="shared" ca="1" si="31"/>
        <v>0</v>
      </c>
      <c r="BX32" s="138">
        <f t="shared" ca="1" si="31"/>
        <v>0</v>
      </c>
      <c r="BY32" s="138">
        <f t="shared" ca="1" si="31"/>
        <v>0</v>
      </c>
      <c r="BZ32" s="138">
        <f t="shared" ca="1" si="31"/>
        <v>0</v>
      </c>
      <c r="CA32" s="138">
        <f t="shared" ca="1" si="31"/>
        <v>0</v>
      </c>
      <c r="CB32" s="138">
        <f t="shared" ca="1" si="31"/>
        <v>0</v>
      </c>
      <c r="CC32" s="138">
        <f t="shared" ca="1" si="31"/>
        <v>0</v>
      </c>
      <c r="CD32" s="138">
        <f t="shared" ca="1" si="31"/>
        <v>0</v>
      </c>
      <c r="CE32" s="138">
        <f t="shared" ca="1" si="31"/>
        <v>0</v>
      </c>
      <c r="CF32" s="138">
        <f t="shared" ca="1" si="31"/>
        <v>0</v>
      </c>
      <c r="CG32" s="138">
        <f t="shared" ca="1" si="31"/>
        <v>0</v>
      </c>
      <c r="CH32" s="138">
        <f t="shared" ca="1" si="31"/>
        <v>0</v>
      </c>
      <c r="CI32" s="138">
        <f t="shared" ca="1" si="31"/>
        <v>0</v>
      </c>
      <c r="CJ32" s="138">
        <f t="shared" ca="1" si="32"/>
        <v>0</v>
      </c>
      <c r="CK32" s="138">
        <f t="shared" ca="1" si="32"/>
        <v>0</v>
      </c>
      <c r="CL32" s="138">
        <f t="shared" ca="1" si="32"/>
        <v>0</v>
      </c>
      <c r="CM32" s="138">
        <f t="shared" ca="1" si="32"/>
        <v>0</v>
      </c>
      <c r="CN32" s="138">
        <f t="shared" ca="1" si="32"/>
        <v>0</v>
      </c>
      <c r="CO32" s="138">
        <f t="shared" ca="1" si="32"/>
        <v>0</v>
      </c>
      <c r="CP32" s="138">
        <f t="shared" ca="1" si="32"/>
        <v>0</v>
      </c>
      <c r="CQ32" s="138">
        <f t="shared" ca="1" si="32"/>
        <v>0</v>
      </c>
      <c r="CR32" s="138">
        <f t="shared" ca="1" si="32"/>
        <v>0</v>
      </c>
      <c r="CS32" s="138">
        <f t="shared" ca="1" si="32"/>
        <v>0</v>
      </c>
      <c r="CT32" s="138">
        <f t="shared" ca="1" si="33"/>
        <v>0</v>
      </c>
      <c r="CU32" s="138">
        <f t="shared" ca="1" si="33"/>
        <v>0</v>
      </c>
      <c r="CV32" s="138">
        <f t="shared" ca="1" si="33"/>
        <v>0</v>
      </c>
      <c r="CW32" s="138">
        <f t="shared" ca="1" si="33"/>
        <v>0</v>
      </c>
      <c r="CX32" s="138">
        <f t="shared" ca="1" si="33"/>
        <v>0</v>
      </c>
      <c r="CY32" s="138">
        <f t="shared" ca="1" si="33"/>
        <v>0</v>
      </c>
      <c r="CZ32" s="138">
        <f t="shared" ca="1" si="33"/>
        <v>0</v>
      </c>
      <c r="DA32" s="138">
        <f t="shared" ca="1" si="33"/>
        <v>0</v>
      </c>
      <c r="DB32" s="138">
        <f t="shared" ca="1" si="33"/>
        <v>0</v>
      </c>
      <c r="DC32" s="138">
        <f t="shared" ca="1" si="33"/>
        <v>0</v>
      </c>
      <c r="DE32" s="254" t="str">
        <f t="shared" ca="1" si="24"/>
        <v>D.2.L.</v>
      </c>
      <c r="DF32">
        <f t="shared" ca="1" si="34"/>
        <v>1</v>
      </c>
      <c r="DG32">
        <f t="shared" ca="1" si="35"/>
        <v>21</v>
      </c>
      <c r="DH32">
        <f ca="1">DG32/(100+DG32)</f>
        <v>0.17355371900826447</v>
      </c>
    </row>
    <row r="33" spans="1:112" hidden="1">
      <c r="A33" s="124">
        <v>21</v>
      </c>
      <c r="B33" s="205" t="str">
        <f t="shared" ca="1" si="12"/>
        <v>D.3.</v>
      </c>
      <c r="C33" s="197" t="str">
        <f t="shared" ca="1" si="13"/>
        <v>Finansinės paskatos ir kitos išmokos</v>
      </c>
      <c r="D33" s="132"/>
      <c r="E33" s="233" t="str">
        <f t="shared" ca="1" si="14"/>
        <v/>
      </c>
      <c r="F33" s="141">
        <f ca="1">SUM(F34:F41)+F42</f>
        <v>0</v>
      </c>
      <c r="G33" s="140">
        <f ca="1">SUMIF($H$5:$DC$5,"&lt;="&amp;PAL,$H33:$DC33)</f>
        <v>0</v>
      </c>
      <c r="H33" s="234">
        <f ca="1">SUM(H34:H42)</f>
        <v>0</v>
      </c>
      <c r="I33" s="234">
        <f t="shared" ref="I33:BT33" ca="1" si="36">SUM(I34:I42)</f>
        <v>0</v>
      </c>
      <c r="J33" s="234">
        <f t="shared" ca="1" si="36"/>
        <v>0</v>
      </c>
      <c r="K33" s="234">
        <f t="shared" ca="1" si="36"/>
        <v>0</v>
      </c>
      <c r="L33" s="234">
        <f t="shared" ca="1" si="36"/>
        <v>0</v>
      </c>
      <c r="M33" s="234">
        <f t="shared" ca="1" si="36"/>
        <v>0</v>
      </c>
      <c r="N33" s="234">
        <f t="shared" ca="1" si="36"/>
        <v>0</v>
      </c>
      <c r="O33" s="234">
        <f t="shared" ca="1" si="36"/>
        <v>0</v>
      </c>
      <c r="P33" s="234">
        <f t="shared" ca="1" si="36"/>
        <v>0</v>
      </c>
      <c r="Q33" s="234">
        <f t="shared" ca="1" si="36"/>
        <v>0</v>
      </c>
      <c r="R33" s="234">
        <f t="shared" ca="1" si="36"/>
        <v>0</v>
      </c>
      <c r="S33" s="234">
        <f t="shared" ca="1" si="36"/>
        <v>0</v>
      </c>
      <c r="T33" s="234">
        <f t="shared" ca="1" si="36"/>
        <v>0</v>
      </c>
      <c r="U33" s="234">
        <f t="shared" ca="1" si="36"/>
        <v>0</v>
      </c>
      <c r="V33" s="234">
        <f t="shared" ca="1" si="36"/>
        <v>0</v>
      </c>
      <c r="W33" s="234">
        <f t="shared" ca="1" si="36"/>
        <v>0</v>
      </c>
      <c r="X33" s="234">
        <f t="shared" ca="1" si="36"/>
        <v>0</v>
      </c>
      <c r="Y33" s="234">
        <f t="shared" ca="1" si="36"/>
        <v>0</v>
      </c>
      <c r="Z33" s="234">
        <f t="shared" ca="1" si="36"/>
        <v>0</v>
      </c>
      <c r="AA33" s="234">
        <f t="shared" ca="1" si="36"/>
        <v>0</v>
      </c>
      <c r="AB33" s="234">
        <f t="shared" ca="1" si="36"/>
        <v>0</v>
      </c>
      <c r="AC33" s="234">
        <f t="shared" ca="1" si="36"/>
        <v>0</v>
      </c>
      <c r="AD33" s="234">
        <f t="shared" ca="1" si="36"/>
        <v>0</v>
      </c>
      <c r="AE33" s="234">
        <f t="shared" ca="1" si="36"/>
        <v>0</v>
      </c>
      <c r="AF33" s="234">
        <f t="shared" ca="1" si="36"/>
        <v>0</v>
      </c>
      <c r="AG33" s="234">
        <f t="shared" ca="1" si="36"/>
        <v>0</v>
      </c>
      <c r="AH33" s="234">
        <f t="shared" ca="1" si="36"/>
        <v>0</v>
      </c>
      <c r="AI33" s="234">
        <f t="shared" ca="1" si="36"/>
        <v>0</v>
      </c>
      <c r="AJ33" s="234">
        <f t="shared" ca="1" si="36"/>
        <v>0</v>
      </c>
      <c r="AK33" s="234">
        <f t="shared" ca="1" si="36"/>
        <v>0</v>
      </c>
      <c r="AL33" s="234">
        <f t="shared" ca="1" si="36"/>
        <v>0</v>
      </c>
      <c r="AM33" s="234">
        <f t="shared" ca="1" si="36"/>
        <v>0</v>
      </c>
      <c r="AN33" s="234">
        <f t="shared" ca="1" si="36"/>
        <v>0</v>
      </c>
      <c r="AO33" s="234">
        <f t="shared" ca="1" si="36"/>
        <v>0</v>
      </c>
      <c r="AP33" s="234">
        <f t="shared" ca="1" si="36"/>
        <v>0</v>
      </c>
      <c r="AQ33" s="234">
        <f t="shared" ca="1" si="36"/>
        <v>0</v>
      </c>
      <c r="AR33" s="234">
        <f t="shared" ca="1" si="36"/>
        <v>0</v>
      </c>
      <c r="AS33" s="234">
        <f t="shared" ca="1" si="36"/>
        <v>0</v>
      </c>
      <c r="AT33" s="234">
        <f t="shared" ca="1" si="36"/>
        <v>0</v>
      </c>
      <c r="AU33" s="234">
        <f t="shared" ca="1" si="36"/>
        <v>0</v>
      </c>
      <c r="AV33" s="234">
        <f t="shared" ca="1" si="36"/>
        <v>0</v>
      </c>
      <c r="AW33" s="234">
        <f t="shared" ca="1" si="36"/>
        <v>0</v>
      </c>
      <c r="AX33" s="234">
        <f t="shared" ca="1" si="36"/>
        <v>0</v>
      </c>
      <c r="AY33" s="234">
        <f t="shared" ca="1" si="36"/>
        <v>0</v>
      </c>
      <c r="AZ33" s="234">
        <f t="shared" ca="1" si="36"/>
        <v>0</v>
      </c>
      <c r="BA33" s="234">
        <f t="shared" ca="1" si="36"/>
        <v>0</v>
      </c>
      <c r="BB33" s="234">
        <f t="shared" ca="1" si="36"/>
        <v>0</v>
      </c>
      <c r="BC33" s="234">
        <f t="shared" ca="1" si="36"/>
        <v>0</v>
      </c>
      <c r="BD33" s="234">
        <f t="shared" ca="1" si="36"/>
        <v>0</v>
      </c>
      <c r="BE33" s="234">
        <f t="shared" ca="1" si="36"/>
        <v>0</v>
      </c>
      <c r="BF33" s="234">
        <f t="shared" ca="1" si="36"/>
        <v>0</v>
      </c>
      <c r="BG33" s="234">
        <f t="shared" ca="1" si="36"/>
        <v>0</v>
      </c>
      <c r="BH33" s="234">
        <f t="shared" ca="1" si="36"/>
        <v>0</v>
      </c>
      <c r="BI33" s="234">
        <f t="shared" ca="1" si="36"/>
        <v>0</v>
      </c>
      <c r="BJ33" s="234">
        <f t="shared" ca="1" si="36"/>
        <v>0</v>
      </c>
      <c r="BK33" s="234">
        <f t="shared" ca="1" si="36"/>
        <v>0</v>
      </c>
      <c r="BL33" s="234">
        <f t="shared" ca="1" si="36"/>
        <v>0</v>
      </c>
      <c r="BM33" s="234">
        <f t="shared" ca="1" si="36"/>
        <v>0</v>
      </c>
      <c r="BN33" s="234">
        <f t="shared" ca="1" si="36"/>
        <v>0</v>
      </c>
      <c r="BO33" s="234">
        <f t="shared" ca="1" si="36"/>
        <v>0</v>
      </c>
      <c r="BP33" s="234">
        <f t="shared" ca="1" si="36"/>
        <v>0</v>
      </c>
      <c r="BQ33" s="234">
        <f t="shared" ca="1" si="36"/>
        <v>0</v>
      </c>
      <c r="BR33" s="234">
        <f t="shared" ca="1" si="36"/>
        <v>0</v>
      </c>
      <c r="BS33" s="234">
        <f t="shared" ca="1" si="36"/>
        <v>0</v>
      </c>
      <c r="BT33" s="234">
        <f t="shared" ca="1" si="36"/>
        <v>0</v>
      </c>
      <c r="BU33" s="234">
        <f t="shared" ref="BU33:DC33" ca="1" si="37">SUM(BU34:BU42)</f>
        <v>0</v>
      </c>
      <c r="BV33" s="234">
        <f t="shared" ca="1" si="37"/>
        <v>0</v>
      </c>
      <c r="BW33" s="234">
        <f t="shared" ca="1" si="37"/>
        <v>0</v>
      </c>
      <c r="BX33" s="234">
        <f t="shared" ca="1" si="37"/>
        <v>0</v>
      </c>
      <c r="BY33" s="234">
        <f t="shared" ca="1" si="37"/>
        <v>0</v>
      </c>
      <c r="BZ33" s="234">
        <f t="shared" ca="1" si="37"/>
        <v>0</v>
      </c>
      <c r="CA33" s="234">
        <f t="shared" ca="1" si="37"/>
        <v>0</v>
      </c>
      <c r="CB33" s="234">
        <f t="shared" ca="1" si="37"/>
        <v>0</v>
      </c>
      <c r="CC33" s="234">
        <f t="shared" ca="1" si="37"/>
        <v>0</v>
      </c>
      <c r="CD33" s="234">
        <f t="shared" ca="1" si="37"/>
        <v>0</v>
      </c>
      <c r="CE33" s="234">
        <f t="shared" ca="1" si="37"/>
        <v>0</v>
      </c>
      <c r="CF33" s="234">
        <f t="shared" ca="1" si="37"/>
        <v>0</v>
      </c>
      <c r="CG33" s="234">
        <f t="shared" ca="1" si="37"/>
        <v>0</v>
      </c>
      <c r="CH33" s="234">
        <f t="shared" ca="1" si="37"/>
        <v>0</v>
      </c>
      <c r="CI33" s="234">
        <f t="shared" ca="1" si="37"/>
        <v>0</v>
      </c>
      <c r="CJ33" s="234">
        <f t="shared" ca="1" si="37"/>
        <v>0</v>
      </c>
      <c r="CK33" s="234">
        <f t="shared" ca="1" si="37"/>
        <v>0</v>
      </c>
      <c r="CL33" s="234">
        <f t="shared" ca="1" si="37"/>
        <v>0</v>
      </c>
      <c r="CM33" s="234">
        <f t="shared" ca="1" si="37"/>
        <v>0</v>
      </c>
      <c r="CN33" s="234">
        <f t="shared" ca="1" si="37"/>
        <v>0</v>
      </c>
      <c r="CO33" s="234">
        <f t="shared" ca="1" si="37"/>
        <v>0</v>
      </c>
      <c r="CP33" s="234">
        <f t="shared" ca="1" si="37"/>
        <v>0</v>
      </c>
      <c r="CQ33" s="234">
        <f t="shared" ca="1" si="37"/>
        <v>0</v>
      </c>
      <c r="CR33" s="234">
        <f t="shared" ca="1" si="37"/>
        <v>0</v>
      </c>
      <c r="CS33" s="234">
        <f t="shared" ca="1" si="37"/>
        <v>0</v>
      </c>
      <c r="CT33" s="234">
        <f t="shared" ca="1" si="37"/>
        <v>0</v>
      </c>
      <c r="CU33" s="234">
        <f t="shared" ca="1" si="37"/>
        <v>0</v>
      </c>
      <c r="CV33" s="234">
        <f t="shared" ca="1" si="37"/>
        <v>0</v>
      </c>
      <c r="CW33" s="234">
        <f t="shared" ca="1" si="37"/>
        <v>0</v>
      </c>
      <c r="CX33" s="234">
        <f t="shared" ca="1" si="37"/>
        <v>0</v>
      </c>
      <c r="CY33" s="234">
        <f t="shared" ca="1" si="37"/>
        <v>0</v>
      </c>
      <c r="CZ33" s="234">
        <f t="shared" ca="1" si="37"/>
        <v>0</v>
      </c>
      <c r="DA33" s="234">
        <f t="shared" ca="1" si="37"/>
        <v>0</v>
      </c>
      <c r="DB33" s="234">
        <f t="shared" ca="1" si="37"/>
        <v>0</v>
      </c>
      <c r="DC33" s="234">
        <f t="shared" ca="1" si="37"/>
        <v>0</v>
      </c>
      <c r="DE33" s="254"/>
    </row>
    <row r="34" spans="1:112" hidden="1">
      <c r="A34" s="124">
        <v>22</v>
      </c>
      <c r="B34" s="205" t="str">
        <f t="shared" ca="1" si="12"/>
        <v>D.3.1.</v>
      </c>
      <c r="C34" s="129" t="str">
        <f t="shared" ca="1" si="13"/>
        <v>Veikla</v>
      </c>
      <c r="D34" s="144"/>
      <c r="E34" s="148">
        <f t="shared" ca="1" si="14"/>
        <v>0.21</v>
      </c>
      <c r="F34" s="139">
        <f ca="1">H34+NPV(FD,I34:INDEX(I34:DC34,PAL))</f>
        <v>0</v>
      </c>
      <c r="G34" s="140">
        <f ca="1">SUMIF($H$5:$DC$5,"&lt;="&amp;PAL,$H34:$DC34)</f>
        <v>0</v>
      </c>
      <c r="H34" s="138">
        <f t="shared" ref="H34:W43" ca="1" si="38">OFFSET(INDIRECT("'"&amp;Opt_alt&amp;"'!H12"),$A34,H$5)*$DF34</f>
        <v>0</v>
      </c>
      <c r="I34" s="138">
        <f t="shared" ca="1" si="38"/>
        <v>0</v>
      </c>
      <c r="J34" s="138">
        <f t="shared" ca="1" si="38"/>
        <v>0</v>
      </c>
      <c r="K34" s="138">
        <f t="shared" ca="1" si="38"/>
        <v>0</v>
      </c>
      <c r="L34" s="138">
        <f t="shared" ca="1" si="38"/>
        <v>0</v>
      </c>
      <c r="M34" s="138">
        <f t="shared" ca="1" si="38"/>
        <v>0</v>
      </c>
      <c r="N34" s="138">
        <f t="shared" ca="1" si="38"/>
        <v>0</v>
      </c>
      <c r="O34" s="138">
        <f t="shared" ca="1" si="38"/>
        <v>0</v>
      </c>
      <c r="P34" s="138">
        <f t="shared" ca="1" si="38"/>
        <v>0</v>
      </c>
      <c r="Q34" s="138">
        <f t="shared" ca="1" si="38"/>
        <v>0</v>
      </c>
      <c r="R34" s="138">
        <f t="shared" ca="1" si="38"/>
        <v>0</v>
      </c>
      <c r="S34" s="138">
        <f t="shared" ca="1" si="38"/>
        <v>0</v>
      </c>
      <c r="T34" s="138">
        <f t="shared" ca="1" si="38"/>
        <v>0</v>
      </c>
      <c r="U34" s="138">
        <f t="shared" ca="1" si="38"/>
        <v>0</v>
      </c>
      <c r="V34" s="138">
        <f t="shared" ca="1" si="38"/>
        <v>0</v>
      </c>
      <c r="W34" s="138">
        <f t="shared" ca="1" si="38"/>
        <v>0</v>
      </c>
      <c r="X34" s="138">
        <f t="shared" ref="X34:AM43" ca="1" si="39">OFFSET(INDIRECT("'"&amp;Opt_alt&amp;"'!H12"),$A34,X$5)*$DF34</f>
        <v>0</v>
      </c>
      <c r="Y34" s="138">
        <f t="shared" ca="1" si="39"/>
        <v>0</v>
      </c>
      <c r="Z34" s="138">
        <f t="shared" ca="1" si="39"/>
        <v>0</v>
      </c>
      <c r="AA34" s="138">
        <f t="shared" ca="1" si="39"/>
        <v>0</v>
      </c>
      <c r="AB34" s="138">
        <f t="shared" ca="1" si="39"/>
        <v>0</v>
      </c>
      <c r="AC34" s="138">
        <f t="shared" ca="1" si="39"/>
        <v>0</v>
      </c>
      <c r="AD34" s="138">
        <f t="shared" ca="1" si="39"/>
        <v>0</v>
      </c>
      <c r="AE34" s="138">
        <f t="shared" ca="1" si="39"/>
        <v>0</v>
      </c>
      <c r="AF34" s="138">
        <f t="shared" ca="1" si="39"/>
        <v>0</v>
      </c>
      <c r="AG34" s="138">
        <f t="shared" ca="1" si="39"/>
        <v>0</v>
      </c>
      <c r="AH34" s="138">
        <f t="shared" ca="1" si="39"/>
        <v>0</v>
      </c>
      <c r="AI34" s="138">
        <f t="shared" ca="1" si="39"/>
        <v>0</v>
      </c>
      <c r="AJ34" s="138">
        <f t="shared" ca="1" si="39"/>
        <v>0</v>
      </c>
      <c r="AK34" s="138">
        <f t="shared" ca="1" si="39"/>
        <v>0</v>
      </c>
      <c r="AL34" s="138">
        <f t="shared" ca="1" si="39"/>
        <v>0</v>
      </c>
      <c r="AM34" s="138">
        <f t="shared" ca="1" si="39"/>
        <v>0</v>
      </c>
      <c r="AN34" s="138">
        <f t="shared" ref="AN34:BC43" ca="1" si="40">OFFSET(INDIRECT("'"&amp;Opt_alt&amp;"'!H12"),$A34,AN$5)*$DF34</f>
        <v>0</v>
      </c>
      <c r="AO34" s="138">
        <f t="shared" ca="1" si="40"/>
        <v>0</v>
      </c>
      <c r="AP34" s="138">
        <f t="shared" ca="1" si="40"/>
        <v>0</v>
      </c>
      <c r="AQ34" s="138">
        <f t="shared" ca="1" si="40"/>
        <v>0</v>
      </c>
      <c r="AR34" s="138">
        <f t="shared" ca="1" si="40"/>
        <v>0</v>
      </c>
      <c r="AS34" s="138">
        <f t="shared" ca="1" si="40"/>
        <v>0</v>
      </c>
      <c r="AT34" s="138">
        <f t="shared" ca="1" si="40"/>
        <v>0</v>
      </c>
      <c r="AU34" s="138">
        <f t="shared" ca="1" si="40"/>
        <v>0</v>
      </c>
      <c r="AV34" s="138">
        <f t="shared" ca="1" si="40"/>
        <v>0</v>
      </c>
      <c r="AW34" s="138">
        <f t="shared" ca="1" si="40"/>
        <v>0</v>
      </c>
      <c r="AX34" s="138">
        <f t="shared" ca="1" si="40"/>
        <v>0</v>
      </c>
      <c r="AY34" s="138">
        <f t="shared" ca="1" si="40"/>
        <v>0</v>
      </c>
      <c r="AZ34" s="138">
        <f t="shared" ca="1" si="40"/>
        <v>0</v>
      </c>
      <c r="BA34" s="138">
        <f t="shared" ca="1" si="40"/>
        <v>0</v>
      </c>
      <c r="BB34" s="138">
        <f t="shared" ca="1" si="40"/>
        <v>0</v>
      </c>
      <c r="BC34" s="138">
        <f t="shared" ca="1" si="40"/>
        <v>0</v>
      </c>
      <c r="BD34" s="138">
        <f t="shared" ref="BD34:BS43" ca="1" si="41">OFFSET(INDIRECT("'"&amp;Opt_alt&amp;"'!H12"),$A34,BD$5)*$DF34</f>
        <v>0</v>
      </c>
      <c r="BE34" s="138">
        <f t="shared" ca="1" si="41"/>
        <v>0</v>
      </c>
      <c r="BF34" s="138">
        <f t="shared" ca="1" si="41"/>
        <v>0</v>
      </c>
      <c r="BG34" s="138">
        <f t="shared" ca="1" si="41"/>
        <v>0</v>
      </c>
      <c r="BH34" s="138">
        <f t="shared" ca="1" si="41"/>
        <v>0</v>
      </c>
      <c r="BI34" s="138">
        <f t="shared" ca="1" si="41"/>
        <v>0</v>
      </c>
      <c r="BJ34" s="138">
        <f t="shared" ca="1" si="41"/>
        <v>0</v>
      </c>
      <c r="BK34" s="138">
        <f t="shared" ca="1" si="41"/>
        <v>0</v>
      </c>
      <c r="BL34" s="138">
        <f t="shared" ca="1" si="41"/>
        <v>0</v>
      </c>
      <c r="BM34" s="138">
        <f t="shared" ca="1" si="41"/>
        <v>0</v>
      </c>
      <c r="BN34" s="138">
        <f t="shared" ca="1" si="41"/>
        <v>0</v>
      </c>
      <c r="BO34" s="138">
        <f t="shared" ca="1" si="41"/>
        <v>0</v>
      </c>
      <c r="BP34" s="138">
        <f t="shared" ca="1" si="41"/>
        <v>0</v>
      </c>
      <c r="BQ34" s="138">
        <f t="shared" ca="1" si="41"/>
        <v>0</v>
      </c>
      <c r="BR34" s="138">
        <f t="shared" ca="1" si="41"/>
        <v>0</v>
      </c>
      <c r="BS34" s="138">
        <f t="shared" ca="1" si="41"/>
        <v>0</v>
      </c>
      <c r="BT34" s="138">
        <f t="shared" ref="BT34:CI43" ca="1" si="42">OFFSET(INDIRECT("'"&amp;Opt_alt&amp;"'!H12"),$A34,BT$5)*$DF34</f>
        <v>0</v>
      </c>
      <c r="BU34" s="138">
        <f t="shared" ca="1" si="42"/>
        <v>0</v>
      </c>
      <c r="BV34" s="138">
        <f t="shared" ca="1" si="42"/>
        <v>0</v>
      </c>
      <c r="BW34" s="138">
        <f t="shared" ca="1" si="42"/>
        <v>0</v>
      </c>
      <c r="BX34" s="138">
        <f t="shared" ca="1" si="42"/>
        <v>0</v>
      </c>
      <c r="BY34" s="138">
        <f t="shared" ca="1" si="42"/>
        <v>0</v>
      </c>
      <c r="BZ34" s="138">
        <f t="shared" ca="1" si="42"/>
        <v>0</v>
      </c>
      <c r="CA34" s="138">
        <f t="shared" ca="1" si="42"/>
        <v>0</v>
      </c>
      <c r="CB34" s="138">
        <f t="shared" ca="1" si="42"/>
        <v>0</v>
      </c>
      <c r="CC34" s="138">
        <f t="shared" ca="1" si="42"/>
        <v>0</v>
      </c>
      <c r="CD34" s="138">
        <f t="shared" ca="1" si="42"/>
        <v>0</v>
      </c>
      <c r="CE34" s="138">
        <f t="shared" ca="1" si="42"/>
        <v>0</v>
      </c>
      <c r="CF34" s="138">
        <f t="shared" ca="1" si="42"/>
        <v>0</v>
      </c>
      <c r="CG34" s="138">
        <f t="shared" ca="1" si="42"/>
        <v>0</v>
      </c>
      <c r="CH34" s="138">
        <f t="shared" ca="1" si="42"/>
        <v>0</v>
      </c>
      <c r="CI34" s="138">
        <f t="shared" ca="1" si="42"/>
        <v>0</v>
      </c>
      <c r="CJ34" s="138">
        <f t="shared" ref="CJ34:CY43" ca="1" si="43">OFFSET(INDIRECT("'"&amp;Opt_alt&amp;"'!H12"),$A34,CJ$5)*$DF34</f>
        <v>0</v>
      </c>
      <c r="CK34" s="138">
        <f t="shared" ca="1" si="43"/>
        <v>0</v>
      </c>
      <c r="CL34" s="138">
        <f t="shared" ca="1" si="43"/>
        <v>0</v>
      </c>
      <c r="CM34" s="138">
        <f t="shared" ca="1" si="43"/>
        <v>0</v>
      </c>
      <c r="CN34" s="138">
        <f t="shared" ca="1" si="43"/>
        <v>0</v>
      </c>
      <c r="CO34" s="138">
        <f t="shared" ca="1" si="43"/>
        <v>0</v>
      </c>
      <c r="CP34" s="138">
        <f t="shared" ca="1" si="43"/>
        <v>0</v>
      </c>
      <c r="CQ34" s="138">
        <f t="shared" ca="1" si="43"/>
        <v>0</v>
      </c>
      <c r="CR34" s="138">
        <f t="shared" ca="1" si="43"/>
        <v>0</v>
      </c>
      <c r="CS34" s="138">
        <f t="shared" ca="1" si="43"/>
        <v>0</v>
      </c>
      <c r="CT34" s="138">
        <f t="shared" ca="1" si="43"/>
        <v>0</v>
      </c>
      <c r="CU34" s="138">
        <f t="shared" ca="1" si="43"/>
        <v>0</v>
      </c>
      <c r="CV34" s="138">
        <f t="shared" ca="1" si="43"/>
        <v>0</v>
      </c>
      <c r="CW34" s="138">
        <f t="shared" ca="1" si="43"/>
        <v>0</v>
      </c>
      <c r="CX34" s="138">
        <f t="shared" ca="1" si="43"/>
        <v>0</v>
      </c>
      <c r="CY34" s="138">
        <f t="shared" ca="1" si="43"/>
        <v>0</v>
      </c>
      <c r="CZ34" s="138">
        <f t="shared" ref="CT34:DC43" ca="1" si="44">OFFSET(INDIRECT("'"&amp;Opt_alt&amp;"'!H12"),$A34,CZ$5)*$DF34</f>
        <v>0</v>
      </c>
      <c r="DA34" s="138">
        <f t="shared" ca="1" si="44"/>
        <v>0</v>
      </c>
      <c r="DB34" s="138">
        <f t="shared" ca="1" si="44"/>
        <v>0</v>
      </c>
      <c r="DC34" s="138">
        <f t="shared" ca="1" si="44"/>
        <v>0</v>
      </c>
      <c r="DE34" s="254" t="str">
        <f t="shared" ca="1" si="24"/>
        <v>D.3.1.</v>
      </c>
      <c r="DF34">
        <f t="shared" ref="DF34:DF43" ca="1" si="45">VLOOKUP(DE34,scenarijai,$DF$6,FALSE)</f>
        <v>1</v>
      </c>
      <c r="DG34">
        <f t="shared" ref="DG34:DG43" ca="1" si="46">OFFSET(INDIRECT("'"&amp;Opt_alt&amp;"'!H12"),$A34,DG$5)</f>
        <v>21</v>
      </c>
      <c r="DH34">
        <v>0</v>
      </c>
    </row>
    <row r="35" spans="1:112" hidden="1">
      <c r="A35" s="124">
        <v>23</v>
      </c>
      <c r="B35" s="205" t="str">
        <f t="shared" ca="1" si="12"/>
        <v>D.3.2.</v>
      </c>
      <c r="C35" s="129" t="str">
        <f t="shared" ca="1" si="13"/>
        <v>Veikla</v>
      </c>
      <c r="D35" s="144"/>
      <c r="E35" s="148">
        <f t="shared" ca="1" si="14"/>
        <v>0.21</v>
      </c>
      <c r="F35" s="139">
        <f ca="1">H35+NPV(FD,I35:INDEX(I35:DC35,PAL))</f>
        <v>0</v>
      </c>
      <c r="G35" s="140">
        <f ca="1">SUMIF($H$5:$DC$5,"&lt;="&amp;PAL,$H35:$DC35)</f>
        <v>0</v>
      </c>
      <c r="H35" s="138">
        <f t="shared" ca="1" si="38"/>
        <v>0</v>
      </c>
      <c r="I35" s="138">
        <f t="shared" ca="1" si="38"/>
        <v>0</v>
      </c>
      <c r="J35" s="138">
        <f t="shared" ca="1" si="38"/>
        <v>0</v>
      </c>
      <c r="K35" s="138">
        <f t="shared" ca="1" si="38"/>
        <v>0</v>
      </c>
      <c r="L35" s="138">
        <f t="shared" ca="1" si="38"/>
        <v>0</v>
      </c>
      <c r="M35" s="138">
        <f t="shared" ca="1" si="38"/>
        <v>0</v>
      </c>
      <c r="N35" s="138">
        <f t="shared" ca="1" si="38"/>
        <v>0</v>
      </c>
      <c r="O35" s="138">
        <f t="shared" ca="1" si="38"/>
        <v>0</v>
      </c>
      <c r="P35" s="138">
        <f t="shared" ca="1" si="38"/>
        <v>0</v>
      </c>
      <c r="Q35" s="138">
        <f t="shared" ca="1" si="38"/>
        <v>0</v>
      </c>
      <c r="R35" s="138">
        <f t="shared" ca="1" si="38"/>
        <v>0</v>
      </c>
      <c r="S35" s="138">
        <f t="shared" ca="1" si="38"/>
        <v>0</v>
      </c>
      <c r="T35" s="138">
        <f t="shared" ca="1" si="38"/>
        <v>0</v>
      </c>
      <c r="U35" s="138">
        <f t="shared" ca="1" si="38"/>
        <v>0</v>
      </c>
      <c r="V35" s="138">
        <f t="shared" ca="1" si="38"/>
        <v>0</v>
      </c>
      <c r="W35" s="138">
        <f t="shared" ca="1" si="38"/>
        <v>0</v>
      </c>
      <c r="X35" s="138">
        <f t="shared" ca="1" si="39"/>
        <v>0</v>
      </c>
      <c r="Y35" s="138">
        <f t="shared" ca="1" si="39"/>
        <v>0</v>
      </c>
      <c r="Z35" s="138">
        <f t="shared" ca="1" si="39"/>
        <v>0</v>
      </c>
      <c r="AA35" s="138">
        <f t="shared" ca="1" si="39"/>
        <v>0</v>
      </c>
      <c r="AB35" s="138">
        <f t="shared" ca="1" si="39"/>
        <v>0</v>
      </c>
      <c r="AC35" s="138">
        <f t="shared" ca="1" si="39"/>
        <v>0</v>
      </c>
      <c r="AD35" s="138">
        <f t="shared" ca="1" si="39"/>
        <v>0</v>
      </c>
      <c r="AE35" s="138">
        <f t="shared" ca="1" si="39"/>
        <v>0</v>
      </c>
      <c r="AF35" s="138">
        <f t="shared" ca="1" si="39"/>
        <v>0</v>
      </c>
      <c r="AG35" s="138">
        <f t="shared" ca="1" si="39"/>
        <v>0</v>
      </c>
      <c r="AH35" s="138">
        <f t="shared" ca="1" si="39"/>
        <v>0</v>
      </c>
      <c r="AI35" s="138">
        <f t="shared" ca="1" si="39"/>
        <v>0</v>
      </c>
      <c r="AJ35" s="138">
        <f t="shared" ca="1" si="39"/>
        <v>0</v>
      </c>
      <c r="AK35" s="138">
        <f t="shared" ca="1" si="39"/>
        <v>0</v>
      </c>
      <c r="AL35" s="138">
        <f t="shared" ca="1" si="39"/>
        <v>0</v>
      </c>
      <c r="AM35" s="138">
        <f t="shared" ca="1" si="39"/>
        <v>0</v>
      </c>
      <c r="AN35" s="138">
        <f t="shared" ca="1" si="40"/>
        <v>0</v>
      </c>
      <c r="AO35" s="138">
        <f t="shared" ca="1" si="40"/>
        <v>0</v>
      </c>
      <c r="AP35" s="138">
        <f t="shared" ca="1" si="40"/>
        <v>0</v>
      </c>
      <c r="AQ35" s="138">
        <f t="shared" ca="1" si="40"/>
        <v>0</v>
      </c>
      <c r="AR35" s="138">
        <f t="shared" ca="1" si="40"/>
        <v>0</v>
      </c>
      <c r="AS35" s="138">
        <f t="shared" ca="1" si="40"/>
        <v>0</v>
      </c>
      <c r="AT35" s="138">
        <f t="shared" ca="1" si="40"/>
        <v>0</v>
      </c>
      <c r="AU35" s="138">
        <f t="shared" ca="1" si="40"/>
        <v>0</v>
      </c>
      <c r="AV35" s="138">
        <f t="shared" ca="1" si="40"/>
        <v>0</v>
      </c>
      <c r="AW35" s="138">
        <f t="shared" ca="1" si="40"/>
        <v>0</v>
      </c>
      <c r="AX35" s="138">
        <f t="shared" ca="1" si="40"/>
        <v>0</v>
      </c>
      <c r="AY35" s="138">
        <f t="shared" ca="1" si="40"/>
        <v>0</v>
      </c>
      <c r="AZ35" s="138">
        <f t="shared" ca="1" si="40"/>
        <v>0</v>
      </c>
      <c r="BA35" s="138">
        <f t="shared" ca="1" si="40"/>
        <v>0</v>
      </c>
      <c r="BB35" s="138">
        <f t="shared" ca="1" si="40"/>
        <v>0</v>
      </c>
      <c r="BC35" s="138">
        <f t="shared" ca="1" si="40"/>
        <v>0</v>
      </c>
      <c r="BD35" s="138">
        <f t="shared" ca="1" si="41"/>
        <v>0</v>
      </c>
      <c r="BE35" s="138">
        <f t="shared" ca="1" si="41"/>
        <v>0</v>
      </c>
      <c r="BF35" s="138">
        <f t="shared" ca="1" si="41"/>
        <v>0</v>
      </c>
      <c r="BG35" s="138">
        <f t="shared" ca="1" si="41"/>
        <v>0</v>
      </c>
      <c r="BH35" s="138">
        <f t="shared" ca="1" si="41"/>
        <v>0</v>
      </c>
      <c r="BI35" s="138">
        <f t="shared" ca="1" si="41"/>
        <v>0</v>
      </c>
      <c r="BJ35" s="138">
        <f t="shared" ca="1" si="41"/>
        <v>0</v>
      </c>
      <c r="BK35" s="138">
        <f t="shared" ca="1" si="41"/>
        <v>0</v>
      </c>
      <c r="BL35" s="138">
        <f t="shared" ca="1" si="41"/>
        <v>0</v>
      </c>
      <c r="BM35" s="138">
        <f t="shared" ca="1" si="41"/>
        <v>0</v>
      </c>
      <c r="BN35" s="138">
        <f t="shared" ca="1" si="41"/>
        <v>0</v>
      </c>
      <c r="BO35" s="138">
        <f t="shared" ca="1" si="41"/>
        <v>0</v>
      </c>
      <c r="BP35" s="138">
        <f t="shared" ca="1" si="41"/>
        <v>0</v>
      </c>
      <c r="BQ35" s="138">
        <f t="shared" ca="1" si="41"/>
        <v>0</v>
      </c>
      <c r="BR35" s="138">
        <f t="shared" ca="1" si="41"/>
        <v>0</v>
      </c>
      <c r="BS35" s="138">
        <f t="shared" ca="1" si="41"/>
        <v>0</v>
      </c>
      <c r="BT35" s="138">
        <f t="shared" ca="1" si="42"/>
        <v>0</v>
      </c>
      <c r="BU35" s="138">
        <f t="shared" ca="1" si="42"/>
        <v>0</v>
      </c>
      <c r="BV35" s="138">
        <f t="shared" ca="1" si="42"/>
        <v>0</v>
      </c>
      <c r="BW35" s="138">
        <f t="shared" ca="1" si="42"/>
        <v>0</v>
      </c>
      <c r="BX35" s="138">
        <f t="shared" ca="1" si="42"/>
        <v>0</v>
      </c>
      <c r="BY35" s="138">
        <f t="shared" ca="1" si="42"/>
        <v>0</v>
      </c>
      <c r="BZ35" s="138">
        <f t="shared" ca="1" si="42"/>
        <v>0</v>
      </c>
      <c r="CA35" s="138">
        <f t="shared" ca="1" si="42"/>
        <v>0</v>
      </c>
      <c r="CB35" s="138">
        <f t="shared" ca="1" si="42"/>
        <v>0</v>
      </c>
      <c r="CC35" s="138">
        <f t="shared" ca="1" si="42"/>
        <v>0</v>
      </c>
      <c r="CD35" s="138">
        <f t="shared" ca="1" si="42"/>
        <v>0</v>
      </c>
      <c r="CE35" s="138">
        <f t="shared" ca="1" si="42"/>
        <v>0</v>
      </c>
      <c r="CF35" s="138">
        <f t="shared" ca="1" si="42"/>
        <v>0</v>
      </c>
      <c r="CG35" s="138">
        <f t="shared" ca="1" si="42"/>
        <v>0</v>
      </c>
      <c r="CH35" s="138">
        <f t="shared" ca="1" si="42"/>
        <v>0</v>
      </c>
      <c r="CI35" s="138">
        <f t="shared" ca="1" si="42"/>
        <v>0</v>
      </c>
      <c r="CJ35" s="138">
        <f t="shared" ca="1" si="43"/>
        <v>0</v>
      </c>
      <c r="CK35" s="138">
        <f t="shared" ca="1" si="43"/>
        <v>0</v>
      </c>
      <c r="CL35" s="138">
        <f t="shared" ca="1" si="43"/>
        <v>0</v>
      </c>
      <c r="CM35" s="138">
        <f t="shared" ca="1" si="43"/>
        <v>0</v>
      </c>
      <c r="CN35" s="138">
        <f t="shared" ca="1" si="43"/>
        <v>0</v>
      </c>
      <c r="CO35" s="138">
        <f t="shared" ca="1" si="43"/>
        <v>0</v>
      </c>
      <c r="CP35" s="138">
        <f t="shared" ca="1" si="43"/>
        <v>0</v>
      </c>
      <c r="CQ35" s="138">
        <f t="shared" ca="1" si="43"/>
        <v>0</v>
      </c>
      <c r="CR35" s="138">
        <f t="shared" ca="1" si="43"/>
        <v>0</v>
      </c>
      <c r="CS35" s="138">
        <f t="shared" ca="1" si="43"/>
        <v>0</v>
      </c>
      <c r="CT35" s="138">
        <f t="shared" ca="1" si="44"/>
        <v>0</v>
      </c>
      <c r="CU35" s="138">
        <f t="shared" ca="1" si="44"/>
        <v>0</v>
      </c>
      <c r="CV35" s="138">
        <f t="shared" ca="1" si="44"/>
        <v>0</v>
      </c>
      <c r="CW35" s="138">
        <f t="shared" ca="1" si="44"/>
        <v>0</v>
      </c>
      <c r="CX35" s="138">
        <f t="shared" ca="1" si="44"/>
        <v>0</v>
      </c>
      <c r="CY35" s="138">
        <f t="shared" ca="1" si="44"/>
        <v>0</v>
      </c>
      <c r="CZ35" s="138">
        <f t="shared" ca="1" si="44"/>
        <v>0</v>
      </c>
      <c r="DA35" s="138">
        <f t="shared" ca="1" si="44"/>
        <v>0</v>
      </c>
      <c r="DB35" s="138">
        <f t="shared" ca="1" si="44"/>
        <v>0</v>
      </c>
      <c r="DC35" s="138">
        <f t="shared" ca="1" si="44"/>
        <v>0</v>
      </c>
      <c r="DE35" s="254" t="str">
        <f t="shared" ca="1" si="24"/>
        <v>D.3.2.</v>
      </c>
      <c r="DF35">
        <f t="shared" ca="1" si="45"/>
        <v>1</v>
      </c>
      <c r="DG35">
        <f t="shared" ca="1" si="46"/>
        <v>21</v>
      </c>
      <c r="DH35">
        <v>0</v>
      </c>
    </row>
    <row r="36" spans="1:112" hidden="1">
      <c r="A36" s="124">
        <v>24</v>
      </c>
      <c r="B36" s="205" t="str">
        <f t="shared" ca="1" si="12"/>
        <v>D.3.3.</v>
      </c>
      <c r="C36" s="129" t="str">
        <f t="shared" ca="1" si="13"/>
        <v>Veikla</v>
      </c>
      <c r="D36" s="144"/>
      <c r="E36" s="148">
        <f t="shared" ca="1" si="14"/>
        <v>0.21</v>
      </c>
      <c r="F36" s="139">
        <f ca="1">H36+NPV(FD,I36:INDEX(I36:DC36,PAL))</f>
        <v>0</v>
      </c>
      <c r="G36" s="140">
        <f ca="1">SUMIF($H$5:$DC$5,"&lt;="&amp;PAL,$H36:$DC36)</f>
        <v>0</v>
      </c>
      <c r="H36" s="138">
        <f t="shared" ca="1" si="38"/>
        <v>0</v>
      </c>
      <c r="I36" s="138">
        <f t="shared" ca="1" si="38"/>
        <v>0</v>
      </c>
      <c r="J36" s="138">
        <f t="shared" ca="1" si="38"/>
        <v>0</v>
      </c>
      <c r="K36" s="138">
        <f t="shared" ca="1" si="38"/>
        <v>0</v>
      </c>
      <c r="L36" s="138">
        <f t="shared" ca="1" si="38"/>
        <v>0</v>
      </c>
      <c r="M36" s="138">
        <f t="shared" ca="1" si="38"/>
        <v>0</v>
      </c>
      <c r="N36" s="138">
        <f t="shared" ca="1" si="38"/>
        <v>0</v>
      </c>
      <c r="O36" s="138">
        <f t="shared" ca="1" si="38"/>
        <v>0</v>
      </c>
      <c r="P36" s="138">
        <f t="shared" ca="1" si="38"/>
        <v>0</v>
      </c>
      <c r="Q36" s="138">
        <f t="shared" ca="1" si="38"/>
        <v>0</v>
      </c>
      <c r="R36" s="138">
        <f t="shared" ca="1" si="38"/>
        <v>0</v>
      </c>
      <c r="S36" s="138">
        <f t="shared" ca="1" si="38"/>
        <v>0</v>
      </c>
      <c r="T36" s="138">
        <f t="shared" ca="1" si="38"/>
        <v>0</v>
      </c>
      <c r="U36" s="138">
        <f t="shared" ca="1" si="38"/>
        <v>0</v>
      </c>
      <c r="V36" s="138">
        <f t="shared" ca="1" si="38"/>
        <v>0</v>
      </c>
      <c r="W36" s="138">
        <f t="shared" ca="1" si="38"/>
        <v>0</v>
      </c>
      <c r="X36" s="138">
        <f t="shared" ca="1" si="39"/>
        <v>0</v>
      </c>
      <c r="Y36" s="138">
        <f t="shared" ca="1" si="39"/>
        <v>0</v>
      </c>
      <c r="Z36" s="138">
        <f t="shared" ca="1" si="39"/>
        <v>0</v>
      </c>
      <c r="AA36" s="138">
        <f t="shared" ca="1" si="39"/>
        <v>0</v>
      </c>
      <c r="AB36" s="138">
        <f t="shared" ca="1" si="39"/>
        <v>0</v>
      </c>
      <c r="AC36" s="138">
        <f t="shared" ca="1" si="39"/>
        <v>0</v>
      </c>
      <c r="AD36" s="138">
        <f t="shared" ca="1" si="39"/>
        <v>0</v>
      </c>
      <c r="AE36" s="138">
        <f t="shared" ca="1" si="39"/>
        <v>0</v>
      </c>
      <c r="AF36" s="138">
        <f t="shared" ca="1" si="39"/>
        <v>0</v>
      </c>
      <c r="AG36" s="138">
        <f t="shared" ca="1" si="39"/>
        <v>0</v>
      </c>
      <c r="AH36" s="138">
        <f t="shared" ca="1" si="39"/>
        <v>0</v>
      </c>
      <c r="AI36" s="138">
        <f t="shared" ca="1" si="39"/>
        <v>0</v>
      </c>
      <c r="AJ36" s="138">
        <f t="shared" ca="1" si="39"/>
        <v>0</v>
      </c>
      <c r="AK36" s="138">
        <f t="shared" ca="1" si="39"/>
        <v>0</v>
      </c>
      <c r="AL36" s="138">
        <f t="shared" ca="1" si="39"/>
        <v>0</v>
      </c>
      <c r="AM36" s="138">
        <f t="shared" ca="1" si="39"/>
        <v>0</v>
      </c>
      <c r="AN36" s="138">
        <f t="shared" ca="1" si="40"/>
        <v>0</v>
      </c>
      <c r="AO36" s="138">
        <f t="shared" ca="1" si="40"/>
        <v>0</v>
      </c>
      <c r="AP36" s="138">
        <f t="shared" ca="1" si="40"/>
        <v>0</v>
      </c>
      <c r="AQ36" s="138">
        <f t="shared" ca="1" si="40"/>
        <v>0</v>
      </c>
      <c r="AR36" s="138">
        <f t="shared" ca="1" si="40"/>
        <v>0</v>
      </c>
      <c r="AS36" s="138">
        <f t="shared" ca="1" si="40"/>
        <v>0</v>
      </c>
      <c r="AT36" s="138">
        <f t="shared" ca="1" si="40"/>
        <v>0</v>
      </c>
      <c r="AU36" s="138">
        <f t="shared" ca="1" si="40"/>
        <v>0</v>
      </c>
      <c r="AV36" s="138">
        <f t="shared" ca="1" si="40"/>
        <v>0</v>
      </c>
      <c r="AW36" s="138">
        <f t="shared" ca="1" si="40"/>
        <v>0</v>
      </c>
      <c r="AX36" s="138">
        <f t="shared" ca="1" si="40"/>
        <v>0</v>
      </c>
      <c r="AY36" s="138">
        <f t="shared" ca="1" si="40"/>
        <v>0</v>
      </c>
      <c r="AZ36" s="138">
        <f t="shared" ca="1" si="40"/>
        <v>0</v>
      </c>
      <c r="BA36" s="138">
        <f t="shared" ca="1" si="40"/>
        <v>0</v>
      </c>
      <c r="BB36" s="138">
        <f t="shared" ca="1" si="40"/>
        <v>0</v>
      </c>
      <c r="BC36" s="138">
        <f t="shared" ca="1" si="40"/>
        <v>0</v>
      </c>
      <c r="BD36" s="138">
        <f t="shared" ca="1" si="41"/>
        <v>0</v>
      </c>
      <c r="BE36" s="138">
        <f t="shared" ca="1" si="41"/>
        <v>0</v>
      </c>
      <c r="BF36" s="138">
        <f t="shared" ca="1" si="41"/>
        <v>0</v>
      </c>
      <c r="BG36" s="138">
        <f t="shared" ca="1" si="41"/>
        <v>0</v>
      </c>
      <c r="BH36" s="138">
        <f t="shared" ca="1" si="41"/>
        <v>0</v>
      </c>
      <c r="BI36" s="138">
        <f t="shared" ca="1" si="41"/>
        <v>0</v>
      </c>
      <c r="BJ36" s="138">
        <f t="shared" ca="1" si="41"/>
        <v>0</v>
      </c>
      <c r="BK36" s="138">
        <f t="shared" ca="1" si="41"/>
        <v>0</v>
      </c>
      <c r="BL36" s="138">
        <f t="shared" ca="1" si="41"/>
        <v>0</v>
      </c>
      <c r="BM36" s="138">
        <f t="shared" ca="1" si="41"/>
        <v>0</v>
      </c>
      <c r="BN36" s="138">
        <f t="shared" ca="1" si="41"/>
        <v>0</v>
      </c>
      <c r="BO36" s="138">
        <f t="shared" ca="1" si="41"/>
        <v>0</v>
      </c>
      <c r="BP36" s="138">
        <f t="shared" ca="1" si="41"/>
        <v>0</v>
      </c>
      <c r="BQ36" s="138">
        <f t="shared" ca="1" si="41"/>
        <v>0</v>
      </c>
      <c r="BR36" s="138">
        <f t="shared" ca="1" si="41"/>
        <v>0</v>
      </c>
      <c r="BS36" s="138">
        <f t="shared" ca="1" si="41"/>
        <v>0</v>
      </c>
      <c r="BT36" s="138">
        <f t="shared" ca="1" si="42"/>
        <v>0</v>
      </c>
      <c r="BU36" s="138">
        <f t="shared" ca="1" si="42"/>
        <v>0</v>
      </c>
      <c r="BV36" s="138">
        <f t="shared" ca="1" si="42"/>
        <v>0</v>
      </c>
      <c r="BW36" s="138">
        <f t="shared" ca="1" si="42"/>
        <v>0</v>
      </c>
      <c r="BX36" s="138">
        <f t="shared" ca="1" si="42"/>
        <v>0</v>
      </c>
      <c r="BY36" s="138">
        <f t="shared" ca="1" si="42"/>
        <v>0</v>
      </c>
      <c r="BZ36" s="138">
        <f t="shared" ca="1" si="42"/>
        <v>0</v>
      </c>
      <c r="CA36" s="138">
        <f t="shared" ca="1" si="42"/>
        <v>0</v>
      </c>
      <c r="CB36" s="138">
        <f t="shared" ca="1" si="42"/>
        <v>0</v>
      </c>
      <c r="CC36" s="138">
        <f t="shared" ca="1" si="42"/>
        <v>0</v>
      </c>
      <c r="CD36" s="138">
        <f t="shared" ca="1" si="42"/>
        <v>0</v>
      </c>
      <c r="CE36" s="138">
        <f t="shared" ca="1" si="42"/>
        <v>0</v>
      </c>
      <c r="CF36" s="138">
        <f t="shared" ca="1" si="42"/>
        <v>0</v>
      </c>
      <c r="CG36" s="138">
        <f t="shared" ca="1" si="42"/>
        <v>0</v>
      </c>
      <c r="CH36" s="138">
        <f t="shared" ca="1" si="42"/>
        <v>0</v>
      </c>
      <c r="CI36" s="138">
        <f t="shared" ca="1" si="42"/>
        <v>0</v>
      </c>
      <c r="CJ36" s="138">
        <f t="shared" ca="1" si="43"/>
        <v>0</v>
      </c>
      <c r="CK36" s="138">
        <f t="shared" ca="1" si="43"/>
        <v>0</v>
      </c>
      <c r="CL36" s="138">
        <f t="shared" ca="1" si="43"/>
        <v>0</v>
      </c>
      <c r="CM36" s="138">
        <f t="shared" ca="1" si="43"/>
        <v>0</v>
      </c>
      <c r="CN36" s="138">
        <f t="shared" ca="1" si="43"/>
        <v>0</v>
      </c>
      <c r="CO36" s="138">
        <f t="shared" ca="1" si="43"/>
        <v>0</v>
      </c>
      <c r="CP36" s="138">
        <f t="shared" ca="1" si="43"/>
        <v>0</v>
      </c>
      <c r="CQ36" s="138">
        <f t="shared" ca="1" si="43"/>
        <v>0</v>
      </c>
      <c r="CR36" s="138">
        <f t="shared" ca="1" si="43"/>
        <v>0</v>
      </c>
      <c r="CS36" s="138">
        <f t="shared" ca="1" si="43"/>
        <v>0</v>
      </c>
      <c r="CT36" s="138">
        <f t="shared" ca="1" si="44"/>
        <v>0</v>
      </c>
      <c r="CU36" s="138">
        <f t="shared" ca="1" si="44"/>
        <v>0</v>
      </c>
      <c r="CV36" s="138">
        <f t="shared" ca="1" si="44"/>
        <v>0</v>
      </c>
      <c r="CW36" s="138">
        <f t="shared" ca="1" si="44"/>
        <v>0</v>
      </c>
      <c r="CX36" s="138">
        <f t="shared" ca="1" si="44"/>
        <v>0</v>
      </c>
      <c r="CY36" s="138">
        <f t="shared" ca="1" si="44"/>
        <v>0</v>
      </c>
      <c r="CZ36" s="138">
        <f t="shared" ca="1" si="44"/>
        <v>0</v>
      </c>
      <c r="DA36" s="138">
        <f t="shared" ca="1" si="44"/>
        <v>0</v>
      </c>
      <c r="DB36" s="138">
        <f t="shared" ca="1" si="44"/>
        <v>0</v>
      </c>
      <c r="DC36" s="138">
        <f t="shared" ca="1" si="44"/>
        <v>0</v>
      </c>
      <c r="DE36" s="254" t="str">
        <f t="shared" ca="1" si="24"/>
        <v>D.3.3.</v>
      </c>
      <c r="DF36">
        <f t="shared" ca="1" si="45"/>
        <v>1</v>
      </c>
      <c r="DG36">
        <f t="shared" ca="1" si="46"/>
        <v>21</v>
      </c>
      <c r="DH36">
        <v>0</v>
      </c>
    </row>
    <row r="37" spans="1:112" hidden="1">
      <c r="A37" s="124">
        <v>25</v>
      </c>
      <c r="B37" s="205" t="str">
        <f t="shared" ca="1" si="12"/>
        <v>D.3.4.</v>
      </c>
      <c r="C37" s="129" t="str">
        <f t="shared" ca="1" si="13"/>
        <v>Veikla</v>
      </c>
      <c r="D37" s="144"/>
      <c r="E37" s="148">
        <f t="shared" ca="1" si="14"/>
        <v>0.21</v>
      </c>
      <c r="F37" s="139">
        <f ca="1">H37+NPV(FD,I37:INDEX(I37:DC37,PAL))</f>
        <v>0</v>
      </c>
      <c r="G37" s="140">
        <f ca="1">SUMIF($H$5:$DC$5,"&lt;="&amp;PAL,$H37:$DC37)</f>
        <v>0</v>
      </c>
      <c r="H37" s="138">
        <f t="shared" ca="1" si="38"/>
        <v>0</v>
      </c>
      <c r="I37" s="138">
        <f t="shared" ca="1" si="38"/>
        <v>0</v>
      </c>
      <c r="J37" s="138">
        <f t="shared" ca="1" si="38"/>
        <v>0</v>
      </c>
      <c r="K37" s="138">
        <f t="shared" ca="1" si="38"/>
        <v>0</v>
      </c>
      <c r="L37" s="138">
        <f t="shared" ca="1" si="38"/>
        <v>0</v>
      </c>
      <c r="M37" s="138">
        <f t="shared" ca="1" si="38"/>
        <v>0</v>
      </c>
      <c r="N37" s="138">
        <f t="shared" ca="1" si="38"/>
        <v>0</v>
      </c>
      <c r="O37" s="138">
        <f t="shared" ca="1" si="38"/>
        <v>0</v>
      </c>
      <c r="P37" s="138">
        <f t="shared" ca="1" si="38"/>
        <v>0</v>
      </c>
      <c r="Q37" s="138">
        <f t="shared" ca="1" si="38"/>
        <v>0</v>
      </c>
      <c r="R37" s="138">
        <f t="shared" ca="1" si="38"/>
        <v>0</v>
      </c>
      <c r="S37" s="138">
        <f t="shared" ca="1" si="38"/>
        <v>0</v>
      </c>
      <c r="T37" s="138">
        <f t="shared" ca="1" si="38"/>
        <v>0</v>
      </c>
      <c r="U37" s="138">
        <f t="shared" ca="1" si="38"/>
        <v>0</v>
      </c>
      <c r="V37" s="138">
        <f t="shared" ca="1" si="38"/>
        <v>0</v>
      </c>
      <c r="W37" s="138">
        <f t="shared" ca="1" si="38"/>
        <v>0</v>
      </c>
      <c r="X37" s="138">
        <f t="shared" ca="1" si="39"/>
        <v>0</v>
      </c>
      <c r="Y37" s="138">
        <f t="shared" ca="1" si="39"/>
        <v>0</v>
      </c>
      <c r="Z37" s="138">
        <f t="shared" ca="1" si="39"/>
        <v>0</v>
      </c>
      <c r="AA37" s="138">
        <f t="shared" ca="1" si="39"/>
        <v>0</v>
      </c>
      <c r="AB37" s="138">
        <f t="shared" ca="1" si="39"/>
        <v>0</v>
      </c>
      <c r="AC37" s="138">
        <f t="shared" ca="1" si="39"/>
        <v>0</v>
      </c>
      <c r="AD37" s="138">
        <f t="shared" ca="1" si="39"/>
        <v>0</v>
      </c>
      <c r="AE37" s="138">
        <f t="shared" ca="1" si="39"/>
        <v>0</v>
      </c>
      <c r="AF37" s="138">
        <f t="shared" ca="1" si="39"/>
        <v>0</v>
      </c>
      <c r="AG37" s="138">
        <f t="shared" ca="1" si="39"/>
        <v>0</v>
      </c>
      <c r="AH37" s="138">
        <f t="shared" ca="1" si="39"/>
        <v>0</v>
      </c>
      <c r="AI37" s="138">
        <f t="shared" ca="1" si="39"/>
        <v>0</v>
      </c>
      <c r="AJ37" s="138">
        <f t="shared" ca="1" si="39"/>
        <v>0</v>
      </c>
      <c r="AK37" s="138">
        <f t="shared" ca="1" si="39"/>
        <v>0</v>
      </c>
      <c r="AL37" s="138">
        <f t="shared" ca="1" si="39"/>
        <v>0</v>
      </c>
      <c r="AM37" s="138">
        <f t="shared" ca="1" si="39"/>
        <v>0</v>
      </c>
      <c r="AN37" s="138">
        <f t="shared" ca="1" si="40"/>
        <v>0</v>
      </c>
      <c r="AO37" s="138">
        <f t="shared" ca="1" si="40"/>
        <v>0</v>
      </c>
      <c r="AP37" s="138">
        <f t="shared" ca="1" si="40"/>
        <v>0</v>
      </c>
      <c r="AQ37" s="138">
        <f t="shared" ca="1" si="40"/>
        <v>0</v>
      </c>
      <c r="AR37" s="138">
        <f t="shared" ca="1" si="40"/>
        <v>0</v>
      </c>
      <c r="AS37" s="138">
        <f t="shared" ca="1" si="40"/>
        <v>0</v>
      </c>
      <c r="AT37" s="138">
        <f t="shared" ca="1" si="40"/>
        <v>0</v>
      </c>
      <c r="AU37" s="138">
        <f t="shared" ca="1" si="40"/>
        <v>0</v>
      </c>
      <c r="AV37" s="138">
        <f t="shared" ca="1" si="40"/>
        <v>0</v>
      </c>
      <c r="AW37" s="138">
        <f t="shared" ca="1" si="40"/>
        <v>0</v>
      </c>
      <c r="AX37" s="138">
        <f t="shared" ca="1" si="40"/>
        <v>0</v>
      </c>
      <c r="AY37" s="138">
        <f t="shared" ca="1" si="40"/>
        <v>0</v>
      </c>
      <c r="AZ37" s="138">
        <f t="shared" ca="1" si="40"/>
        <v>0</v>
      </c>
      <c r="BA37" s="138">
        <f t="shared" ca="1" si="40"/>
        <v>0</v>
      </c>
      <c r="BB37" s="138">
        <f t="shared" ca="1" si="40"/>
        <v>0</v>
      </c>
      <c r="BC37" s="138">
        <f t="shared" ca="1" si="40"/>
        <v>0</v>
      </c>
      <c r="BD37" s="138">
        <f t="shared" ca="1" si="41"/>
        <v>0</v>
      </c>
      <c r="BE37" s="138">
        <f t="shared" ca="1" si="41"/>
        <v>0</v>
      </c>
      <c r="BF37" s="138">
        <f t="shared" ca="1" si="41"/>
        <v>0</v>
      </c>
      <c r="BG37" s="138">
        <f t="shared" ca="1" si="41"/>
        <v>0</v>
      </c>
      <c r="BH37" s="138">
        <f t="shared" ca="1" si="41"/>
        <v>0</v>
      </c>
      <c r="BI37" s="138">
        <f t="shared" ca="1" si="41"/>
        <v>0</v>
      </c>
      <c r="BJ37" s="138">
        <f t="shared" ca="1" si="41"/>
        <v>0</v>
      </c>
      <c r="BK37" s="138">
        <f t="shared" ca="1" si="41"/>
        <v>0</v>
      </c>
      <c r="BL37" s="138">
        <f t="shared" ca="1" si="41"/>
        <v>0</v>
      </c>
      <c r="BM37" s="138">
        <f t="shared" ca="1" si="41"/>
        <v>0</v>
      </c>
      <c r="BN37" s="138">
        <f t="shared" ca="1" si="41"/>
        <v>0</v>
      </c>
      <c r="BO37" s="138">
        <f t="shared" ca="1" si="41"/>
        <v>0</v>
      </c>
      <c r="BP37" s="138">
        <f t="shared" ca="1" si="41"/>
        <v>0</v>
      </c>
      <c r="BQ37" s="138">
        <f t="shared" ca="1" si="41"/>
        <v>0</v>
      </c>
      <c r="BR37" s="138">
        <f t="shared" ca="1" si="41"/>
        <v>0</v>
      </c>
      <c r="BS37" s="138">
        <f t="shared" ca="1" si="41"/>
        <v>0</v>
      </c>
      <c r="BT37" s="138">
        <f t="shared" ca="1" si="42"/>
        <v>0</v>
      </c>
      <c r="BU37" s="138">
        <f t="shared" ca="1" si="42"/>
        <v>0</v>
      </c>
      <c r="BV37" s="138">
        <f t="shared" ca="1" si="42"/>
        <v>0</v>
      </c>
      <c r="BW37" s="138">
        <f t="shared" ca="1" si="42"/>
        <v>0</v>
      </c>
      <c r="BX37" s="138">
        <f t="shared" ca="1" si="42"/>
        <v>0</v>
      </c>
      <c r="BY37" s="138">
        <f t="shared" ca="1" si="42"/>
        <v>0</v>
      </c>
      <c r="BZ37" s="138">
        <f t="shared" ca="1" si="42"/>
        <v>0</v>
      </c>
      <c r="CA37" s="138">
        <f t="shared" ca="1" si="42"/>
        <v>0</v>
      </c>
      <c r="CB37" s="138">
        <f t="shared" ca="1" si="42"/>
        <v>0</v>
      </c>
      <c r="CC37" s="138">
        <f t="shared" ca="1" si="42"/>
        <v>0</v>
      </c>
      <c r="CD37" s="138">
        <f t="shared" ca="1" si="42"/>
        <v>0</v>
      </c>
      <c r="CE37" s="138">
        <f t="shared" ca="1" si="42"/>
        <v>0</v>
      </c>
      <c r="CF37" s="138">
        <f t="shared" ca="1" si="42"/>
        <v>0</v>
      </c>
      <c r="CG37" s="138">
        <f t="shared" ca="1" si="42"/>
        <v>0</v>
      </c>
      <c r="CH37" s="138">
        <f t="shared" ca="1" si="42"/>
        <v>0</v>
      </c>
      <c r="CI37" s="138">
        <f t="shared" ca="1" si="42"/>
        <v>0</v>
      </c>
      <c r="CJ37" s="138">
        <f t="shared" ca="1" si="43"/>
        <v>0</v>
      </c>
      <c r="CK37" s="138">
        <f t="shared" ca="1" si="43"/>
        <v>0</v>
      </c>
      <c r="CL37" s="138">
        <f t="shared" ca="1" si="43"/>
        <v>0</v>
      </c>
      <c r="CM37" s="138">
        <f t="shared" ca="1" si="43"/>
        <v>0</v>
      </c>
      <c r="CN37" s="138">
        <f t="shared" ca="1" si="43"/>
        <v>0</v>
      </c>
      <c r="CO37" s="138">
        <f t="shared" ca="1" si="43"/>
        <v>0</v>
      </c>
      <c r="CP37" s="138">
        <f t="shared" ca="1" si="43"/>
        <v>0</v>
      </c>
      <c r="CQ37" s="138">
        <f t="shared" ca="1" si="43"/>
        <v>0</v>
      </c>
      <c r="CR37" s="138">
        <f t="shared" ca="1" si="43"/>
        <v>0</v>
      </c>
      <c r="CS37" s="138">
        <f t="shared" ca="1" si="43"/>
        <v>0</v>
      </c>
      <c r="CT37" s="138">
        <f t="shared" ca="1" si="44"/>
        <v>0</v>
      </c>
      <c r="CU37" s="138">
        <f t="shared" ca="1" si="44"/>
        <v>0</v>
      </c>
      <c r="CV37" s="138">
        <f t="shared" ca="1" si="44"/>
        <v>0</v>
      </c>
      <c r="CW37" s="138">
        <f t="shared" ca="1" si="44"/>
        <v>0</v>
      </c>
      <c r="CX37" s="138">
        <f t="shared" ca="1" si="44"/>
        <v>0</v>
      </c>
      <c r="CY37" s="138">
        <f t="shared" ca="1" si="44"/>
        <v>0</v>
      </c>
      <c r="CZ37" s="138">
        <f t="shared" ca="1" si="44"/>
        <v>0</v>
      </c>
      <c r="DA37" s="138">
        <f t="shared" ca="1" si="44"/>
        <v>0</v>
      </c>
      <c r="DB37" s="138">
        <f t="shared" ca="1" si="44"/>
        <v>0</v>
      </c>
      <c r="DC37" s="138">
        <f t="shared" ca="1" si="44"/>
        <v>0</v>
      </c>
      <c r="DE37" s="254" t="str">
        <f t="shared" ca="1" si="24"/>
        <v>D.3.4.</v>
      </c>
      <c r="DF37">
        <f t="shared" ca="1" si="45"/>
        <v>1</v>
      </c>
      <c r="DG37">
        <f t="shared" ca="1" si="46"/>
        <v>21</v>
      </c>
      <c r="DH37">
        <v>0</v>
      </c>
    </row>
    <row r="38" spans="1:112" hidden="1">
      <c r="A38" s="124">
        <v>26</v>
      </c>
      <c r="B38" s="205" t="str">
        <f t="shared" ca="1" si="12"/>
        <v>D.3.5.</v>
      </c>
      <c r="C38" s="129" t="str">
        <f t="shared" ca="1" si="13"/>
        <v>Veikla</v>
      </c>
      <c r="D38" s="144"/>
      <c r="E38" s="148">
        <f t="shared" ca="1" si="14"/>
        <v>0.21</v>
      </c>
      <c r="F38" s="139">
        <f ca="1">H38+NPV(FD,I38:INDEX(I38:DC38,PAL))</f>
        <v>0</v>
      </c>
      <c r="G38" s="140">
        <f ca="1">SUMIF($H$5:$DC$5,"&lt;="&amp;PAL,$H38:$DC38)</f>
        <v>0</v>
      </c>
      <c r="H38" s="138">
        <f t="shared" ca="1" si="38"/>
        <v>0</v>
      </c>
      <c r="I38" s="138">
        <f t="shared" ca="1" si="38"/>
        <v>0</v>
      </c>
      <c r="J38" s="138">
        <f t="shared" ca="1" si="38"/>
        <v>0</v>
      </c>
      <c r="K38" s="138">
        <f t="shared" ca="1" si="38"/>
        <v>0</v>
      </c>
      <c r="L38" s="138">
        <f t="shared" ca="1" si="38"/>
        <v>0</v>
      </c>
      <c r="M38" s="138">
        <f t="shared" ca="1" si="38"/>
        <v>0</v>
      </c>
      <c r="N38" s="138">
        <f t="shared" ca="1" si="38"/>
        <v>0</v>
      </c>
      <c r="O38" s="138">
        <f t="shared" ca="1" si="38"/>
        <v>0</v>
      </c>
      <c r="P38" s="138">
        <f t="shared" ca="1" si="38"/>
        <v>0</v>
      </c>
      <c r="Q38" s="138">
        <f t="shared" ca="1" si="38"/>
        <v>0</v>
      </c>
      <c r="R38" s="138">
        <f t="shared" ca="1" si="38"/>
        <v>0</v>
      </c>
      <c r="S38" s="138">
        <f t="shared" ca="1" si="38"/>
        <v>0</v>
      </c>
      <c r="T38" s="138">
        <f t="shared" ca="1" si="38"/>
        <v>0</v>
      </c>
      <c r="U38" s="138">
        <f t="shared" ca="1" si="38"/>
        <v>0</v>
      </c>
      <c r="V38" s="138">
        <f t="shared" ca="1" si="38"/>
        <v>0</v>
      </c>
      <c r="W38" s="138">
        <f t="shared" ca="1" si="38"/>
        <v>0</v>
      </c>
      <c r="X38" s="138">
        <f t="shared" ca="1" si="39"/>
        <v>0</v>
      </c>
      <c r="Y38" s="138">
        <f t="shared" ca="1" si="39"/>
        <v>0</v>
      </c>
      <c r="Z38" s="138">
        <f t="shared" ca="1" si="39"/>
        <v>0</v>
      </c>
      <c r="AA38" s="138">
        <f t="shared" ca="1" si="39"/>
        <v>0</v>
      </c>
      <c r="AB38" s="138">
        <f t="shared" ca="1" si="39"/>
        <v>0</v>
      </c>
      <c r="AC38" s="138">
        <f t="shared" ca="1" si="39"/>
        <v>0</v>
      </c>
      <c r="AD38" s="138">
        <f t="shared" ca="1" si="39"/>
        <v>0</v>
      </c>
      <c r="AE38" s="138">
        <f t="shared" ca="1" si="39"/>
        <v>0</v>
      </c>
      <c r="AF38" s="138">
        <f t="shared" ca="1" si="39"/>
        <v>0</v>
      </c>
      <c r="AG38" s="138">
        <f t="shared" ca="1" si="39"/>
        <v>0</v>
      </c>
      <c r="AH38" s="138">
        <f t="shared" ca="1" si="39"/>
        <v>0</v>
      </c>
      <c r="AI38" s="138">
        <f t="shared" ca="1" si="39"/>
        <v>0</v>
      </c>
      <c r="AJ38" s="138">
        <f t="shared" ca="1" si="39"/>
        <v>0</v>
      </c>
      <c r="AK38" s="138">
        <f t="shared" ca="1" si="39"/>
        <v>0</v>
      </c>
      <c r="AL38" s="138">
        <f t="shared" ca="1" si="39"/>
        <v>0</v>
      </c>
      <c r="AM38" s="138">
        <f t="shared" ca="1" si="39"/>
        <v>0</v>
      </c>
      <c r="AN38" s="138">
        <f t="shared" ca="1" si="40"/>
        <v>0</v>
      </c>
      <c r="AO38" s="138">
        <f t="shared" ca="1" si="40"/>
        <v>0</v>
      </c>
      <c r="AP38" s="138">
        <f t="shared" ca="1" si="40"/>
        <v>0</v>
      </c>
      <c r="AQ38" s="138">
        <f t="shared" ca="1" si="40"/>
        <v>0</v>
      </c>
      <c r="AR38" s="138">
        <f t="shared" ca="1" si="40"/>
        <v>0</v>
      </c>
      <c r="AS38" s="138">
        <f t="shared" ca="1" si="40"/>
        <v>0</v>
      </c>
      <c r="AT38" s="138">
        <f t="shared" ca="1" si="40"/>
        <v>0</v>
      </c>
      <c r="AU38" s="138">
        <f t="shared" ca="1" si="40"/>
        <v>0</v>
      </c>
      <c r="AV38" s="138">
        <f t="shared" ca="1" si="40"/>
        <v>0</v>
      </c>
      <c r="AW38" s="138">
        <f t="shared" ca="1" si="40"/>
        <v>0</v>
      </c>
      <c r="AX38" s="138">
        <f t="shared" ca="1" si="40"/>
        <v>0</v>
      </c>
      <c r="AY38" s="138">
        <f t="shared" ca="1" si="40"/>
        <v>0</v>
      </c>
      <c r="AZ38" s="138">
        <f t="shared" ca="1" si="40"/>
        <v>0</v>
      </c>
      <c r="BA38" s="138">
        <f t="shared" ca="1" si="40"/>
        <v>0</v>
      </c>
      <c r="BB38" s="138">
        <f t="shared" ca="1" si="40"/>
        <v>0</v>
      </c>
      <c r="BC38" s="138">
        <f t="shared" ca="1" si="40"/>
        <v>0</v>
      </c>
      <c r="BD38" s="138">
        <f t="shared" ca="1" si="41"/>
        <v>0</v>
      </c>
      <c r="BE38" s="138">
        <f t="shared" ca="1" si="41"/>
        <v>0</v>
      </c>
      <c r="BF38" s="138">
        <f t="shared" ca="1" si="41"/>
        <v>0</v>
      </c>
      <c r="BG38" s="138">
        <f t="shared" ca="1" si="41"/>
        <v>0</v>
      </c>
      <c r="BH38" s="138">
        <f t="shared" ca="1" si="41"/>
        <v>0</v>
      </c>
      <c r="BI38" s="138">
        <f t="shared" ca="1" si="41"/>
        <v>0</v>
      </c>
      <c r="BJ38" s="138">
        <f t="shared" ca="1" si="41"/>
        <v>0</v>
      </c>
      <c r="BK38" s="138">
        <f t="shared" ca="1" si="41"/>
        <v>0</v>
      </c>
      <c r="BL38" s="138">
        <f t="shared" ca="1" si="41"/>
        <v>0</v>
      </c>
      <c r="BM38" s="138">
        <f t="shared" ca="1" si="41"/>
        <v>0</v>
      </c>
      <c r="BN38" s="138">
        <f t="shared" ca="1" si="41"/>
        <v>0</v>
      </c>
      <c r="BO38" s="138">
        <f t="shared" ca="1" si="41"/>
        <v>0</v>
      </c>
      <c r="BP38" s="138">
        <f t="shared" ca="1" si="41"/>
        <v>0</v>
      </c>
      <c r="BQ38" s="138">
        <f t="shared" ca="1" si="41"/>
        <v>0</v>
      </c>
      <c r="BR38" s="138">
        <f t="shared" ca="1" si="41"/>
        <v>0</v>
      </c>
      <c r="BS38" s="138">
        <f t="shared" ca="1" si="41"/>
        <v>0</v>
      </c>
      <c r="BT38" s="138">
        <f t="shared" ca="1" si="42"/>
        <v>0</v>
      </c>
      <c r="BU38" s="138">
        <f t="shared" ca="1" si="42"/>
        <v>0</v>
      </c>
      <c r="BV38" s="138">
        <f t="shared" ca="1" si="42"/>
        <v>0</v>
      </c>
      <c r="BW38" s="138">
        <f t="shared" ca="1" si="42"/>
        <v>0</v>
      </c>
      <c r="BX38" s="138">
        <f t="shared" ca="1" si="42"/>
        <v>0</v>
      </c>
      <c r="BY38" s="138">
        <f t="shared" ca="1" si="42"/>
        <v>0</v>
      </c>
      <c r="BZ38" s="138">
        <f t="shared" ca="1" si="42"/>
        <v>0</v>
      </c>
      <c r="CA38" s="138">
        <f t="shared" ca="1" si="42"/>
        <v>0</v>
      </c>
      <c r="CB38" s="138">
        <f t="shared" ca="1" si="42"/>
        <v>0</v>
      </c>
      <c r="CC38" s="138">
        <f t="shared" ca="1" si="42"/>
        <v>0</v>
      </c>
      <c r="CD38" s="138">
        <f t="shared" ca="1" si="42"/>
        <v>0</v>
      </c>
      <c r="CE38" s="138">
        <f t="shared" ca="1" si="42"/>
        <v>0</v>
      </c>
      <c r="CF38" s="138">
        <f t="shared" ca="1" si="42"/>
        <v>0</v>
      </c>
      <c r="CG38" s="138">
        <f t="shared" ca="1" si="42"/>
        <v>0</v>
      </c>
      <c r="CH38" s="138">
        <f t="shared" ca="1" si="42"/>
        <v>0</v>
      </c>
      <c r="CI38" s="138">
        <f t="shared" ca="1" si="42"/>
        <v>0</v>
      </c>
      <c r="CJ38" s="138">
        <f t="shared" ca="1" si="43"/>
        <v>0</v>
      </c>
      <c r="CK38" s="138">
        <f t="shared" ca="1" si="43"/>
        <v>0</v>
      </c>
      <c r="CL38" s="138">
        <f t="shared" ca="1" si="43"/>
        <v>0</v>
      </c>
      <c r="CM38" s="138">
        <f t="shared" ca="1" si="43"/>
        <v>0</v>
      </c>
      <c r="CN38" s="138">
        <f t="shared" ca="1" si="43"/>
        <v>0</v>
      </c>
      <c r="CO38" s="138">
        <f t="shared" ca="1" si="43"/>
        <v>0</v>
      </c>
      <c r="CP38" s="138">
        <f t="shared" ca="1" si="43"/>
        <v>0</v>
      </c>
      <c r="CQ38" s="138">
        <f t="shared" ca="1" si="43"/>
        <v>0</v>
      </c>
      <c r="CR38" s="138">
        <f t="shared" ca="1" si="43"/>
        <v>0</v>
      </c>
      <c r="CS38" s="138">
        <f t="shared" ca="1" si="43"/>
        <v>0</v>
      </c>
      <c r="CT38" s="138">
        <f t="shared" ca="1" si="44"/>
        <v>0</v>
      </c>
      <c r="CU38" s="138">
        <f t="shared" ca="1" si="44"/>
        <v>0</v>
      </c>
      <c r="CV38" s="138">
        <f t="shared" ca="1" si="44"/>
        <v>0</v>
      </c>
      <c r="CW38" s="138">
        <f t="shared" ca="1" si="44"/>
        <v>0</v>
      </c>
      <c r="CX38" s="138">
        <f t="shared" ca="1" si="44"/>
        <v>0</v>
      </c>
      <c r="CY38" s="138">
        <f t="shared" ca="1" si="44"/>
        <v>0</v>
      </c>
      <c r="CZ38" s="138">
        <f t="shared" ca="1" si="44"/>
        <v>0</v>
      </c>
      <c r="DA38" s="138">
        <f t="shared" ca="1" si="44"/>
        <v>0</v>
      </c>
      <c r="DB38" s="138">
        <f t="shared" ca="1" si="44"/>
        <v>0</v>
      </c>
      <c r="DC38" s="138">
        <f t="shared" ca="1" si="44"/>
        <v>0</v>
      </c>
      <c r="DE38" s="254" t="str">
        <f t="shared" ca="1" si="24"/>
        <v>D.3.5.</v>
      </c>
      <c r="DF38">
        <f t="shared" ca="1" si="45"/>
        <v>1</v>
      </c>
      <c r="DG38">
        <f t="shared" ca="1" si="46"/>
        <v>21</v>
      </c>
      <c r="DH38">
        <v>0</v>
      </c>
    </row>
    <row r="39" spans="1:112" hidden="1">
      <c r="A39" s="124">
        <v>27</v>
      </c>
      <c r="B39" s="205" t="str">
        <f t="shared" ca="1" si="12"/>
        <v>D.3.6.</v>
      </c>
      <c r="C39" s="129" t="str">
        <f t="shared" ca="1" si="13"/>
        <v>Veikla</v>
      </c>
      <c r="D39" s="144"/>
      <c r="E39" s="148">
        <f t="shared" ca="1" si="14"/>
        <v>0.21</v>
      </c>
      <c r="F39" s="139">
        <f ca="1">H39+NPV(FD,I39:INDEX(I39:DC39,PAL))</f>
        <v>0</v>
      </c>
      <c r="G39" s="140">
        <f ca="1">SUMIF($H$5:$DC$5,"&lt;="&amp;PAL,$H39:$DC39)</f>
        <v>0</v>
      </c>
      <c r="H39" s="138">
        <f t="shared" ca="1" si="38"/>
        <v>0</v>
      </c>
      <c r="I39" s="138">
        <f t="shared" ca="1" si="38"/>
        <v>0</v>
      </c>
      <c r="J39" s="138">
        <f t="shared" ca="1" si="38"/>
        <v>0</v>
      </c>
      <c r="K39" s="138">
        <f t="shared" ca="1" si="38"/>
        <v>0</v>
      </c>
      <c r="L39" s="138">
        <f t="shared" ca="1" si="38"/>
        <v>0</v>
      </c>
      <c r="M39" s="138">
        <f t="shared" ca="1" si="38"/>
        <v>0</v>
      </c>
      <c r="N39" s="138">
        <f t="shared" ca="1" si="38"/>
        <v>0</v>
      </c>
      <c r="O39" s="138">
        <f t="shared" ca="1" si="38"/>
        <v>0</v>
      </c>
      <c r="P39" s="138">
        <f t="shared" ca="1" si="38"/>
        <v>0</v>
      </c>
      <c r="Q39" s="138">
        <f t="shared" ca="1" si="38"/>
        <v>0</v>
      </c>
      <c r="R39" s="138">
        <f t="shared" ca="1" si="38"/>
        <v>0</v>
      </c>
      <c r="S39" s="138">
        <f t="shared" ca="1" si="38"/>
        <v>0</v>
      </c>
      <c r="T39" s="138">
        <f t="shared" ca="1" si="38"/>
        <v>0</v>
      </c>
      <c r="U39" s="138">
        <f t="shared" ca="1" si="38"/>
        <v>0</v>
      </c>
      <c r="V39" s="138">
        <f t="shared" ca="1" si="38"/>
        <v>0</v>
      </c>
      <c r="W39" s="138">
        <f t="shared" ca="1" si="38"/>
        <v>0</v>
      </c>
      <c r="X39" s="138">
        <f t="shared" ca="1" si="39"/>
        <v>0</v>
      </c>
      <c r="Y39" s="138">
        <f t="shared" ca="1" si="39"/>
        <v>0</v>
      </c>
      <c r="Z39" s="138">
        <f t="shared" ca="1" si="39"/>
        <v>0</v>
      </c>
      <c r="AA39" s="138">
        <f t="shared" ca="1" si="39"/>
        <v>0</v>
      </c>
      <c r="AB39" s="138">
        <f t="shared" ca="1" si="39"/>
        <v>0</v>
      </c>
      <c r="AC39" s="138">
        <f t="shared" ca="1" si="39"/>
        <v>0</v>
      </c>
      <c r="AD39" s="138">
        <f t="shared" ca="1" si="39"/>
        <v>0</v>
      </c>
      <c r="AE39" s="138">
        <f t="shared" ca="1" si="39"/>
        <v>0</v>
      </c>
      <c r="AF39" s="138">
        <f t="shared" ca="1" si="39"/>
        <v>0</v>
      </c>
      <c r="AG39" s="138">
        <f t="shared" ca="1" si="39"/>
        <v>0</v>
      </c>
      <c r="AH39" s="138">
        <f t="shared" ca="1" si="39"/>
        <v>0</v>
      </c>
      <c r="AI39" s="138">
        <f t="shared" ca="1" si="39"/>
        <v>0</v>
      </c>
      <c r="AJ39" s="138">
        <f t="shared" ca="1" si="39"/>
        <v>0</v>
      </c>
      <c r="AK39" s="138">
        <f t="shared" ca="1" si="39"/>
        <v>0</v>
      </c>
      <c r="AL39" s="138">
        <f t="shared" ca="1" si="39"/>
        <v>0</v>
      </c>
      <c r="AM39" s="138">
        <f t="shared" ca="1" si="39"/>
        <v>0</v>
      </c>
      <c r="AN39" s="138">
        <f t="shared" ca="1" si="40"/>
        <v>0</v>
      </c>
      <c r="AO39" s="138">
        <f t="shared" ca="1" si="40"/>
        <v>0</v>
      </c>
      <c r="AP39" s="138">
        <f t="shared" ca="1" si="40"/>
        <v>0</v>
      </c>
      <c r="AQ39" s="138">
        <f t="shared" ca="1" si="40"/>
        <v>0</v>
      </c>
      <c r="AR39" s="138">
        <f t="shared" ca="1" si="40"/>
        <v>0</v>
      </c>
      <c r="AS39" s="138">
        <f t="shared" ca="1" si="40"/>
        <v>0</v>
      </c>
      <c r="AT39" s="138">
        <f t="shared" ca="1" si="40"/>
        <v>0</v>
      </c>
      <c r="AU39" s="138">
        <f t="shared" ca="1" si="40"/>
        <v>0</v>
      </c>
      <c r="AV39" s="138">
        <f t="shared" ca="1" si="40"/>
        <v>0</v>
      </c>
      <c r="AW39" s="138">
        <f t="shared" ca="1" si="40"/>
        <v>0</v>
      </c>
      <c r="AX39" s="138">
        <f t="shared" ca="1" si="40"/>
        <v>0</v>
      </c>
      <c r="AY39" s="138">
        <f t="shared" ca="1" si="40"/>
        <v>0</v>
      </c>
      <c r="AZ39" s="138">
        <f t="shared" ca="1" si="40"/>
        <v>0</v>
      </c>
      <c r="BA39" s="138">
        <f t="shared" ca="1" si="40"/>
        <v>0</v>
      </c>
      <c r="BB39" s="138">
        <f t="shared" ca="1" si="40"/>
        <v>0</v>
      </c>
      <c r="BC39" s="138">
        <f t="shared" ca="1" si="40"/>
        <v>0</v>
      </c>
      <c r="BD39" s="138">
        <f t="shared" ca="1" si="41"/>
        <v>0</v>
      </c>
      <c r="BE39" s="138">
        <f t="shared" ca="1" si="41"/>
        <v>0</v>
      </c>
      <c r="BF39" s="138">
        <f t="shared" ca="1" si="41"/>
        <v>0</v>
      </c>
      <c r="BG39" s="138">
        <f t="shared" ca="1" si="41"/>
        <v>0</v>
      </c>
      <c r="BH39" s="138">
        <f t="shared" ca="1" si="41"/>
        <v>0</v>
      </c>
      <c r="BI39" s="138">
        <f t="shared" ca="1" si="41"/>
        <v>0</v>
      </c>
      <c r="BJ39" s="138">
        <f t="shared" ca="1" si="41"/>
        <v>0</v>
      </c>
      <c r="BK39" s="138">
        <f t="shared" ca="1" si="41"/>
        <v>0</v>
      </c>
      <c r="BL39" s="138">
        <f t="shared" ca="1" si="41"/>
        <v>0</v>
      </c>
      <c r="BM39" s="138">
        <f t="shared" ca="1" si="41"/>
        <v>0</v>
      </c>
      <c r="BN39" s="138">
        <f t="shared" ca="1" si="41"/>
        <v>0</v>
      </c>
      <c r="BO39" s="138">
        <f t="shared" ca="1" si="41"/>
        <v>0</v>
      </c>
      <c r="BP39" s="138">
        <f t="shared" ca="1" si="41"/>
        <v>0</v>
      </c>
      <c r="BQ39" s="138">
        <f t="shared" ca="1" si="41"/>
        <v>0</v>
      </c>
      <c r="BR39" s="138">
        <f t="shared" ca="1" si="41"/>
        <v>0</v>
      </c>
      <c r="BS39" s="138">
        <f t="shared" ca="1" si="41"/>
        <v>0</v>
      </c>
      <c r="BT39" s="138">
        <f t="shared" ca="1" si="42"/>
        <v>0</v>
      </c>
      <c r="BU39" s="138">
        <f t="shared" ca="1" si="42"/>
        <v>0</v>
      </c>
      <c r="BV39" s="138">
        <f t="shared" ca="1" si="42"/>
        <v>0</v>
      </c>
      <c r="BW39" s="138">
        <f t="shared" ca="1" si="42"/>
        <v>0</v>
      </c>
      <c r="BX39" s="138">
        <f t="shared" ca="1" si="42"/>
        <v>0</v>
      </c>
      <c r="BY39" s="138">
        <f t="shared" ca="1" si="42"/>
        <v>0</v>
      </c>
      <c r="BZ39" s="138">
        <f t="shared" ca="1" si="42"/>
        <v>0</v>
      </c>
      <c r="CA39" s="138">
        <f t="shared" ca="1" si="42"/>
        <v>0</v>
      </c>
      <c r="CB39" s="138">
        <f t="shared" ca="1" si="42"/>
        <v>0</v>
      </c>
      <c r="CC39" s="138">
        <f t="shared" ca="1" si="42"/>
        <v>0</v>
      </c>
      <c r="CD39" s="138">
        <f t="shared" ca="1" si="42"/>
        <v>0</v>
      </c>
      <c r="CE39" s="138">
        <f t="shared" ca="1" si="42"/>
        <v>0</v>
      </c>
      <c r="CF39" s="138">
        <f t="shared" ca="1" si="42"/>
        <v>0</v>
      </c>
      <c r="CG39" s="138">
        <f t="shared" ca="1" si="42"/>
        <v>0</v>
      </c>
      <c r="CH39" s="138">
        <f t="shared" ca="1" si="42"/>
        <v>0</v>
      </c>
      <c r="CI39" s="138">
        <f t="shared" ca="1" si="42"/>
        <v>0</v>
      </c>
      <c r="CJ39" s="138">
        <f t="shared" ca="1" si="43"/>
        <v>0</v>
      </c>
      <c r="CK39" s="138">
        <f t="shared" ca="1" si="43"/>
        <v>0</v>
      </c>
      <c r="CL39" s="138">
        <f t="shared" ca="1" si="43"/>
        <v>0</v>
      </c>
      <c r="CM39" s="138">
        <f t="shared" ca="1" si="43"/>
        <v>0</v>
      </c>
      <c r="CN39" s="138">
        <f t="shared" ca="1" si="43"/>
        <v>0</v>
      </c>
      <c r="CO39" s="138">
        <f t="shared" ca="1" si="43"/>
        <v>0</v>
      </c>
      <c r="CP39" s="138">
        <f t="shared" ca="1" si="43"/>
        <v>0</v>
      </c>
      <c r="CQ39" s="138">
        <f t="shared" ca="1" si="43"/>
        <v>0</v>
      </c>
      <c r="CR39" s="138">
        <f t="shared" ca="1" si="43"/>
        <v>0</v>
      </c>
      <c r="CS39" s="138">
        <f t="shared" ca="1" si="43"/>
        <v>0</v>
      </c>
      <c r="CT39" s="138">
        <f t="shared" ca="1" si="44"/>
        <v>0</v>
      </c>
      <c r="CU39" s="138">
        <f t="shared" ca="1" si="44"/>
        <v>0</v>
      </c>
      <c r="CV39" s="138">
        <f t="shared" ca="1" si="44"/>
        <v>0</v>
      </c>
      <c r="CW39" s="138">
        <f t="shared" ca="1" si="44"/>
        <v>0</v>
      </c>
      <c r="CX39" s="138">
        <f t="shared" ca="1" si="44"/>
        <v>0</v>
      </c>
      <c r="CY39" s="138">
        <f t="shared" ca="1" si="44"/>
        <v>0</v>
      </c>
      <c r="CZ39" s="138">
        <f t="shared" ca="1" si="44"/>
        <v>0</v>
      </c>
      <c r="DA39" s="138">
        <f t="shared" ca="1" si="44"/>
        <v>0</v>
      </c>
      <c r="DB39" s="138">
        <f t="shared" ca="1" si="44"/>
        <v>0</v>
      </c>
      <c r="DC39" s="138">
        <f t="shared" ca="1" si="44"/>
        <v>0</v>
      </c>
      <c r="DE39" s="254" t="str">
        <f t="shared" ca="1" si="24"/>
        <v>D.3.6.</v>
      </c>
      <c r="DF39">
        <f t="shared" ca="1" si="45"/>
        <v>1</v>
      </c>
      <c r="DG39">
        <f t="shared" ca="1" si="46"/>
        <v>21</v>
      </c>
      <c r="DH39">
        <v>0</v>
      </c>
    </row>
    <row r="40" spans="1:112" hidden="1">
      <c r="A40" s="124">
        <v>28</v>
      </c>
      <c r="B40" s="205" t="str">
        <f t="shared" ca="1" si="12"/>
        <v>D.3.7.</v>
      </c>
      <c r="C40" s="129" t="str">
        <f t="shared" ca="1" si="13"/>
        <v>Veikla</v>
      </c>
      <c r="D40" s="144"/>
      <c r="E40" s="148">
        <f t="shared" ca="1" si="14"/>
        <v>0.21</v>
      </c>
      <c r="F40" s="139">
        <f ca="1">H40+NPV(FD,I40:INDEX(I40:DC40,PAL))</f>
        <v>0</v>
      </c>
      <c r="G40" s="140">
        <f ca="1">SUMIF($H$5:$DC$5,"&lt;="&amp;PAL,$H40:$DC40)</f>
        <v>0</v>
      </c>
      <c r="H40" s="138">
        <f t="shared" ca="1" si="38"/>
        <v>0</v>
      </c>
      <c r="I40" s="138">
        <f t="shared" ca="1" si="38"/>
        <v>0</v>
      </c>
      <c r="J40" s="138">
        <f t="shared" ca="1" si="38"/>
        <v>0</v>
      </c>
      <c r="K40" s="138">
        <f t="shared" ca="1" si="38"/>
        <v>0</v>
      </c>
      <c r="L40" s="138">
        <f t="shared" ca="1" si="38"/>
        <v>0</v>
      </c>
      <c r="M40" s="138">
        <f t="shared" ca="1" si="38"/>
        <v>0</v>
      </c>
      <c r="N40" s="138">
        <f t="shared" ca="1" si="38"/>
        <v>0</v>
      </c>
      <c r="O40" s="138">
        <f t="shared" ca="1" si="38"/>
        <v>0</v>
      </c>
      <c r="P40" s="138">
        <f t="shared" ca="1" si="38"/>
        <v>0</v>
      </c>
      <c r="Q40" s="138">
        <f t="shared" ca="1" si="38"/>
        <v>0</v>
      </c>
      <c r="R40" s="138">
        <f t="shared" ca="1" si="38"/>
        <v>0</v>
      </c>
      <c r="S40" s="138">
        <f t="shared" ca="1" si="38"/>
        <v>0</v>
      </c>
      <c r="T40" s="138">
        <f t="shared" ca="1" si="38"/>
        <v>0</v>
      </c>
      <c r="U40" s="138">
        <f t="shared" ca="1" si="38"/>
        <v>0</v>
      </c>
      <c r="V40" s="138">
        <f t="shared" ca="1" si="38"/>
        <v>0</v>
      </c>
      <c r="W40" s="138">
        <f t="shared" ca="1" si="38"/>
        <v>0</v>
      </c>
      <c r="X40" s="138">
        <f t="shared" ca="1" si="39"/>
        <v>0</v>
      </c>
      <c r="Y40" s="138">
        <f t="shared" ca="1" si="39"/>
        <v>0</v>
      </c>
      <c r="Z40" s="138">
        <f t="shared" ca="1" si="39"/>
        <v>0</v>
      </c>
      <c r="AA40" s="138">
        <f t="shared" ca="1" si="39"/>
        <v>0</v>
      </c>
      <c r="AB40" s="138">
        <f t="shared" ca="1" si="39"/>
        <v>0</v>
      </c>
      <c r="AC40" s="138">
        <f t="shared" ca="1" si="39"/>
        <v>0</v>
      </c>
      <c r="AD40" s="138">
        <f t="shared" ca="1" si="39"/>
        <v>0</v>
      </c>
      <c r="AE40" s="138">
        <f t="shared" ca="1" si="39"/>
        <v>0</v>
      </c>
      <c r="AF40" s="138">
        <f t="shared" ca="1" si="39"/>
        <v>0</v>
      </c>
      <c r="AG40" s="138">
        <f t="shared" ca="1" si="39"/>
        <v>0</v>
      </c>
      <c r="AH40" s="138">
        <f t="shared" ca="1" si="39"/>
        <v>0</v>
      </c>
      <c r="AI40" s="138">
        <f t="shared" ca="1" si="39"/>
        <v>0</v>
      </c>
      <c r="AJ40" s="138">
        <f t="shared" ca="1" si="39"/>
        <v>0</v>
      </c>
      <c r="AK40" s="138">
        <f t="shared" ca="1" si="39"/>
        <v>0</v>
      </c>
      <c r="AL40" s="138">
        <f t="shared" ca="1" si="39"/>
        <v>0</v>
      </c>
      <c r="AM40" s="138">
        <f t="shared" ca="1" si="39"/>
        <v>0</v>
      </c>
      <c r="AN40" s="138">
        <f t="shared" ca="1" si="40"/>
        <v>0</v>
      </c>
      <c r="AO40" s="138">
        <f t="shared" ca="1" si="40"/>
        <v>0</v>
      </c>
      <c r="AP40" s="138">
        <f t="shared" ca="1" si="40"/>
        <v>0</v>
      </c>
      <c r="AQ40" s="138">
        <f t="shared" ca="1" si="40"/>
        <v>0</v>
      </c>
      <c r="AR40" s="138">
        <f t="shared" ca="1" si="40"/>
        <v>0</v>
      </c>
      <c r="AS40" s="138">
        <f t="shared" ca="1" si="40"/>
        <v>0</v>
      </c>
      <c r="AT40" s="138">
        <f t="shared" ca="1" si="40"/>
        <v>0</v>
      </c>
      <c r="AU40" s="138">
        <f t="shared" ca="1" si="40"/>
        <v>0</v>
      </c>
      <c r="AV40" s="138">
        <f t="shared" ca="1" si="40"/>
        <v>0</v>
      </c>
      <c r="AW40" s="138">
        <f t="shared" ca="1" si="40"/>
        <v>0</v>
      </c>
      <c r="AX40" s="138">
        <f t="shared" ca="1" si="40"/>
        <v>0</v>
      </c>
      <c r="AY40" s="138">
        <f t="shared" ca="1" si="40"/>
        <v>0</v>
      </c>
      <c r="AZ40" s="138">
        <f t="shared" ca="1" si="40"/>
        <v>0</v>
      </c>
      <c r="BA40" s="138">
        <f t="shared" ca="1" si="40"/>
        <v>0</v>
      </c>
      <c r="BB40" s="138">
        <f t="shared" ca="1" si="40"/>
        <v>0</v>
      </c>
      <c r="BC40" s="138">
        <f t="shared" ca="1" si="40"/>
        <v>0</v>
      </c>
      <c r="BD40" s="138">
        <f t="shared" ca="1" si="41"/>
        <v>0</v>
      </c>
      <c r="BE40" s="138">
        <f t="shared" ca="1" si="41"/>
        <v>0</v>
      </c>
      <c r="BF40" s="138">
        <f t="shared" ca="1" si="41"/>
        <v>0</v>
      </c>
      <c r="BG40" s="138">
        <f t="shared" ca="1" si="41"/>
        <v>0</v>
      </c>
      <c r="BH40" s="138">
        <f t="shared" ca="1" si="41"/>
        <v>0</v>
      </c>
      <c r="BI40" s="138">
        <f t="shared" ca="1" si="41"/>
        <v>0</v>
      </c>
      <c r="BJ40" s="138">
        <f t="shared" ca="1" si="41"/>
        <v>0</v>
      </c>
      <c r="BK40" s="138">
        <f t="shared" ca="1" si="41"/>
        <v>0</v>
      </c>
      <c r="BL40" s="138">
        <f t="shared" ca="1" si="41"/>
        <v>0</v>
      </c>
      <c r="BM40" s="138">
        <f t="shared" ca="1" si="41"/>
        <v>0</v>
      </c>
      <c r="BN40" s="138">
        <f t="shared" ca="1" si="41"/>
        <v>0</v>
      </c>
      <c r="BO40" s="138">
        <f t="shared" ca="1" si="41"/>
        <v>0</v>
      </c>
      <c r="BP40" s="138">
        <f t="shared" ca="1" si="41"/>
        <v>0</v>
      </c>
      <c r="BQ40" s="138">
        <f t="shared" ca="1" si="41"/>
        <v>0</v>
      </c>
      <c r="BR40" s="138">
        <f t="shared" ca="1" si="41"/>
        <v>0</v>
      </c>
      <c r="BS40" s="138">
        <f t="shared" ca="1" si="41"/>
        <v>0</v>
      </c>
      <c r="BT40" s="138">
        <f t="shared" ca="1" si="42"/>
        <v>0</v>
      </c>
      <c r="BU40" s="138">
        <f t="shared" ca="1" si="42"/>
        <v>0</v>
      </c>
      <c r="BV40" s="138">
        <f t="shared" ca="1" si="42"/>
        <v>0</v>
      </c>
      <c r="BW40" s="138">
        <f t="shared" ca="1" si="42"/>
        <v>0</v>
      </c>
      <c r="BX40" s="138">
        <f t="shared" ca="1" si="42"/>
        <v>0</v>
      </c>
      <c r="BY40" s="138">
        <f t="shared" ca="1" si="42"/>
        <v>0</v>
      </c>
      <c r="BZ40" s="138">
        <f t="shared" ca="1" si="42"/>
        <v>0</v>
      </c>
      <c r="CA40" s="138">
        <f t="shared" ca="1" si="42"/>
        <v>0</v>
      </c>
      <c r="CB40" s="138">
        <f t="shared" ca="1" si="42"/>
        <v>0</v>
      </c>
      <c r="CC40" s="138">
        <f t="shared" ca="1" si="42"/>
        <v>0</v>
      </c>
      <c r="CD40" s="138">
        <f t="shared" ca="1" si="42"/>
        <v>0</v>
      </c>
      <c r="CE40" s="138">
        <f t="shared" ca="1" si="42"/>
        <v>0</v>
      </c>
      <c r="CF40" s="138">
        <f t="shared" ca="1" si="42"/>
        <v>0</v>
      </c>
      <c r="CG40" s="138">
        <f t="shared" ca="1" si="42"/>
        <v>0</v>
      </c>
      <c r="CH40" s="138">
        <f t="shared" ca="1" si="42"/>
        <v>0</v>
      </c>
      <c r="CI40" s="138">
        <f t="shared" ca="1" si="42"/>
        <v>0</v>
      </c>
      <c r="CJ40" s="138">
        <f t="shared" ca="1" si="43"/>
        <v>0</v>
      </c>
      <c r="CK40" s="138">
        <f t="shared" ca="1" si="43"/>
        <v>0</v>
      </c>
      <c r="CL40" s="138">
        <f t="shared" ca="1" si="43"/>
        <v>0</v>
      </c>
      <c r="CM40" s="138">
        <f t="shared" ca="1" si="43"/>
        <v>0</v>
      </c>
      <c r="CN40" s="138">
        <f t="shared" ca="1" si="43"/>
        <v>0</v>
      </c>
      <c r="CO40" s="138">
        <f t="shared" ca="1" si="43"/>
        <v>0</v>
      </c>
      <c r="CP40" s="138">
        <f t="shared" ca="1" si="43"/>
        <v>0</v>
      </c>
      <c r="CQ40" s="138">
        <f t="shared" ca="1" si="43"/>
        <v>0</v>
      </c>
      <c r="CR40" s="138">
        <f t="shared" ca="1" si="43"/>
        <v>0</v>
      </c>
      <c r="CS40" s="138">
        <f t="shared" ca="1" si="43"/>
        <v>0</v>
      </c>
      <c r="CT40" s="138">
        <f t="shared" ca="1" si="44"/>
        <v>0</v>
      </c>
      <c r="CU40" s="138">
        <f t="shared" ca="1" si="44"/>
        <v>0</v>
      </c>
      <c r="CV40" s="138">
        <f t="shared" ca="1" si="44"/>
        <v>0</v>
      </c>
      <c r="CW40" s="138">
        <f t="shared" ca="1" si="44"/>
        <v>0</v>
      </c>
      <c r="CX40" s="138">
        <f t="shared" ca="1" si="44"/>
        <v>0</v>
      </c>
      <c r="CY40" s="138">
        <f t="shared" ca="1" si="44"/>
        <v>0</v>
      </c>
      <c r="CZ40" s="138">
        <f t="shared" ca="1" si="44"/>
        <v>0</v>
      </c>
      <c r="DA40" s="138">
        <f t="shared" ca="1" si="44"/>
        <v>0</v>
      </c>
      <c r="DB40" s="138">
        <f t="shared" ca="1" si="44"/>
        <v>0</v>
      </c>
      <c r="DC40" s="138">
        <f t="shared" ca="1" si="44"/>
        <v>0</v>
      </c>
      <c r="DE40" s="254" t="str">
        <f t="shared" ca="1" si="24"/>
        <v>D.3.7.</v>
      </c>
      <c r="DF40">
        <f t="shared" ca="1" si="45"/>
        <v>1</v>
      </c>
      <c r="DG40">
        <f t="shared" ca="1" si="46"/>
        <v>21</v>
      </c>
      <c r="DH40">
        <v>0</v>
      </c>
    </row>
    <row r="41" spans="1:112" hidden="1">
      <c r="A41" s="124">
        <v>29</v>
      </c>
      <c r="B41" s="205" t="str">
        <f t="shared" ca="1" si="12"/>
        <v>D.3.8.</v>
      </c>
      <c r="C41" s="129" t="str">
        <f t="shared" ca="1" si="13"/>
        <v>Veikla</v>
      </c>
      <c r="D41" s="133"/>
      <c r="E41" s="148">
        <f t="shared" ca="1" si="14"/>
        <v>0.21</v>
      </c>
      <c r="F41" s="139">
        <f ca="1">H41+NPV(FD,I41:INDEX(I41:DC41,PAL))</f>
        <v>0</v>
      </c>
      <c r="G41" s="140">
        <f ca="1">SUMIF($H$5:$DC$5,"&lt;="&amp;PAL,$H41:$DC41)</f>
        <v>0</v>
      </c>
      <c r="H41" s="138">
        <f t="shared" ca="1" si="38"/>
        <v>0</v>
      </c>
      <c r="I41" s="138">
        <f t="shared" ca="1" si="38"/>
        <v>0</v>
      </c>
      <c r="J41" s="138">
        <f t="shared" ca="1" si="38"/>
        <v>0</v>
      </c>
      <c r="K41" s="138">
        <f t="shared" ca="1" si="38"/>
        <v>0</v>
      </c>
      <c r="L41" s="138">
        <f t="shared" ca="1" si="38"/>
        <v>0</v>
      </c>
      <c r="M41" s="138">
        <f t="shared" ca="1" si="38"/>
        <v>0</v>
      </c>
      <c r="N41" s="138">
        <f t="shared" ca="1" si="38"/>
        <v>0</v>
      </c>
      <c r="O41" s="138">
        <f t="shared" ca="1" si="38"/>
        <v>0</v>
      </c>
      <c r="P41" s="138">
        <f t="shared" ca="1" si="38"/>
        <v>0</v>
      </c>
      <c r="Q41" s="138">
        <f t="shared" ca="1" si="38"/>
        <v>0</v>
      </c>
      <c r="R41" s="138">
        <f t="shared" ca="1" si="38"/>
        <v>0</v>
      </c>
      <c r="S41" s="138">
        <f t="shared" ca="1" si="38"/>
        <v>0</v>
      </c>
      <c r="T41" s="138">
        <f t="shared" ca="1" si="38"/>
        <v>0</v>
      </c>
      <c r="U41" s="138">
        <f t="shared" ca="1" si="38"/>
        <v>0</v>
      </c>
      <c r="V41" s="138">
        <f t="shared" ca="1" si="38"/>
        <v>0</v>
      </c>
      <c r="W41" s="138">
        <f t="shared" ca="1" si="38"/>
        <v>0</v>
      </c>
      <c r="X41" s="138">
        <f t="shared" ca="1" si="39"/>
        <v>0</v>
      </c>
      <c r="Y41" s="138">
        <f t="shared" ca="1" si="39"/>
        <v>0</v>
      </c>
      <c r="Z41" s="138">
        <f t="shared" ca="1" si="39"/>
        <v>0</v>
      </c>
      <c r="AA41" s="138">
        <f t="shared" ca="1" si="39"/>
        <v>0</v>
      </c>
      <c r="AB41" s="138">
        <f t="shared" ca="1" si="39"/>
        <v>0</v>
      </c>
      <c r="AC41" s="138">
        <f t="shared" ca="1" si="39"/>
        <v>0</v>
      </c>
      <c r="AD41" s="138">
        <f t="shared" ca="1" si="39"/>
        <v>0</v>
      </c>
      <c r="AE41" s="138">
        <f t="shared" ca="1" si="39"/>
        <v>0</v>
      </c>
      <c r="AF41" s="138">
        <f t="shared" ca="1" si="39"/>
        <v>0</v>
      </c>
      <c r="AG41" s="138">
        <f t="shared" ca="1" si="39"/>
        <v>0</v>
      </c>
      <c r="AH41" s="138">
        <f t="shared" ca="1" si="39"/>
        <v>0</v>
      </c>
      <c r="AI41" s="138">
        <f t="shared" ca="1" si="39"/>
        <v>0</v>
      </c>
      <c r="AJ41" s="138">
        <f t="shared" ca="1" si="39"/>
        <v>0</v>
      </c>
      <c r="AK41" s="138">
        <f t="shared" ca="1" si="39"/>
        <v>0</v>
      </c>
      <c r="AL41" s="138">
        <f t="shared" ca="1" si="39"/>
        <v>0</v>
      </c>
      <c r="AM41" s="138">
        <f t="shared" ca="1" si="39"/>
        <v>0</v>
      </c>
      <c r="AN41" s="138">
        <f t="shared" ca="1" si="40"/>
        <v>0</v>
      </c>
      <c r="AO41" s="138">
        <f t="shared" ca="1" si="40"/>
        <v>0</v>
      </c>
      <c r="AP41" s="138">
        <f t="shared" ca="1" si="40"/>
        <v>0</v>
      </c>
      <c r="AQ41" s="138">
        <f t="shared" ca="1" si="40"/>
        <v>0</v>
      </c>
      <c r="AR41" s="138">
        <f t="shared" ca="1" si="40"/>
        <v>0</v>
      </c>
      <c r="AS41" s="138">
        <f t="shared" ca="1" si="40"/>
        <v>0</v>
      </c>
      <c r="AT41" s="138">
        <f t="shared" ca="1" si="40"/>
        <v>0</v>
      </c>
      <c r="AU41" s="138">
        <f t="shared" ca="1" si="40"/>
        <v>0</v>
      </c>
      <c r="AV41" s="138">
        <f t="shared" ca="1" si="40"/>
        <v>0</v>
      </c>
      <c r="AW41" s="138">
        <f t="shared" ca="1" si="40"/>
        <v>0</v>
      </c>
      <c r="AX41" s="138">
        <f t="shared" ca="1" si="40"/>
        <v>0</v>
      </c>
      <c r="AY41" s="138">
        <f t="shared" ca="1" si="40"/>
        <v>0</v>
      </c>
      <c r="AZ41" s="138">
        <f t="shared" ca="1" si="40"/>
        <v>0</v>
      </c>
      <c r="BA41" s="138">
        <f t="shared" ca="1" si="40"/>
        <v>0</v>
      </c>
      <c r="BB41" s="138">
        <f t="shared" ca="1" si="40"/>
        <v>0</v>
      </c>
      <c r="BC41" s="138">
        <f t="shared" ca="1" si="40"/>
        <v>0</v>
      </c>
      <c r="BD41" s="138">
        <f t="shared" ca="1" si="41"/>
        <v>0</v>
      </c>
      <c r="BE41" s="138">
        <f t="shared" ca="1" si="41"/>
        <v>0</v>
      </c>
      <c r="BF41" s="138">
        <f t="shared" ca="1" si="41"/>
        <v>0</v>
      </c>
      <c r="BG41" s="138">
        <f t="shared" ca="1" si="41"/>
        <v>0</v>
      </c>
      <c r="BH41" s="138">
        <f t="shared" ca="1" si="41"/>
        <v>0</v>
      </c>
      <c r="BI41" s="138">
        <f t="shared" ca="1" si="41"/>
        <v>0</v>
      </c>
      <c r="BJ41" s="138">
        <f t="shared" ca="1" si="41"/>
        <v>0</v>
      </c>
      <c r="BK41" s="138">
        <f t="shared" ca="1" si="41"/>
        <v>0</v>
      </c>
      <c r="BL41" s="138">
        <f t="shared" ca="1" si="41"/>
        <v>0</v>
      </c>
      <c r="BM41" s="138">
        <f t="shared" ca="1" si="41"/>
        <v>0</v>
      </c>
      <c r="BN41" s="138">
        <f t="shared" ca="1" si="41"/>
        <v>0</v>
      </c>
      <c r="BO41" s="138">
        <f t="shared" ca="1" si="41"/>
        <v>0</v>
      </c>
      <c r="BP41" s="138">
        <f t="shared" ca="1" si="41"/>
        <v>0</v>
      </c>
      <c r="BQ41" s="138">
        <f t="shared" ca="1" si="41"/>
        <v>0</v>
      </c>
      <c r="BR41" s="138">
        <f t="shared" ca="1" si="41"/>
        <v>0</v>
      </c>
      <c r="BS41" s="138">
        <f t="shared" ca="1" si="41"/>
        <v>0</v>
      </c>
      <c r="BT41" s="138">
        <f t="shared" ca="1" si="42"/>
        <v>0</v>
      </c>
      <c r="BU41" s="138">
        <f t="shared" ca="1" si="42"/>
        <v>0</v>
      </c>
      <c r="BV41" s="138">
        <f t="shared" ca="1" si="42"/>
        <v>0</v>
      </c>
      <c r="BW41" s="138">
        <f t="shared" ca="1" si="42"/>
        <v>0</v>
      </c>
      <c r="BX41" s="138">
        <f t="shared" ca="1" si="42"/>
        <v>0</v>
      </c>
      <c r="BY41" s="138">
        <f t="shared" ca="1" si="42"/>
        <v>0</v>
      </c>
      <c r="BZ41" s="138">
        <f t="shared" ca="1" si="42"/>
        <v>0</v>
      </c>
      <c r="CA41" s="138">
        <f t="shared" ca="1" si="42"/>
        <v>0</v>
      </c>
      <c r="CB41" s="138">
        <f t="shared" ca="1" si="42"/>
        <v>0</v>
      </c>
      <c r="CC41" s="138">
        <f t="shared" ca="1" si="42"/>
        <v>0</v>
      </c>
      <c r="CD41" s="138">
        <f t="shared" ca="1" si="42"/>
        <v>0</v>
      </c>
      <c r="CE41" s="138">
        <f t="shared" ca="1" si="42"/>
        <v>0</v>
      </c>
      <c r="CF41" s="138">
        <f t="shared" ca="1" si="42"/>
        <v>0</v>
      </c>
      <c r="CG41" s="138">
        <f t="shared" ca="1" si="42"/>
        <v>0</v>
      </c>
      <c r="CH41" s="138">
        <f t="shared" ca="1" si="42"/>
        <v>0</v>
      </c>
      <c r="CI41" s="138">
        <f t="shared" ca="1" si="42"/>
        <v>0</v>
      </c>
      <c r="CJ41" s="138">
        <f t="shared" ca="1" si="43"/>
        <v>0</v>
      </c>
      <c r="CK41" s="138">
        <f t="shared" ca="1" si="43"/>
        <v>0</v>
      </c>
      <c r="CL41" s="138">
        <f t="shared" ca="1" si="43"/>
        <v>0</v>
      </c>
      <c r="CM41" s="138">
        <f t="shared" ca="1" si="43"/>
        <v>0</v>
      </c>
      <c r="CN41" s="138">
        <f t="shared" ca="1" si="43"/>
        <v>0</v>
      </c>
      <c r="CO41" s="138">
        <f t="shared" ca="1" si="43"/>
        <v>0</v>
      </c>
      <c r="CP41" s="138">
        <f t="shared" ca="1" si="43"/>
        <v>0</v>
      </c>
      <c r="CQ41" s="138">
        <f t="shared" ca="1" si="43"/>
        <v>0</v>
      </c>
      <c r="CR41" s="138">
        <f t="shared" ca="1" si="43"/>
        <v>0</v>
      </c>
      <c r="CS41" s="138">
        <f t="shared" ca="1" si="43"/>
        <v>0</v>
      </c>
      <c r="CT41" s="138">
        <f t="shared" ca="1" si="44"/>
        <v>0</v>
      </c>
      <c r="CU41" s="138">
        <f t="shared" ca="1" si="44"/>
        <v>0</v>
      </c>
      <c r="CV41" s="138">
        <f t="shared" ca="1" si="44"/>
        <v>0</v>
      </c>
      <c r="CW41" s="138">
        <f t="shared" ca="1" si="44"/>
        <v>0</v>
      </c>
      <c r="CX41" s="138">
        <f t="shared" ca="1" si="44"/>
        <v>0</v>
      </c>
      <c r="CY41" s="138">
        <f t="shared" ca="1" si="44"/>
        <v>0</v>
      </c>
      <c r="CZ41" s="138">
        <f t="shared" ca="1" si="44"/>
        <v>0</v>
      </c>
      <c r="DA41" s="138">
        <f t="shared" ca="1" si="44"/>
        <v>0</v>
      </c>
      <c r="DB41" s="138">
        <f t="shared" ca="1" si="44"/>
        <v>0</v>
      </c>
      <c r="DC41" s="138">
        <f t="shared" ca="1" si="44"/>
        <v>0</v>
      </c>
      <c r="DE41" s="254" t="str">
        <f t="shared" ca="1" si="24"/>
        <v>D.3.8.</v>
      </c>
      <c r="DF41">
        <f t="shared" ca="1" si="45"/>
        <v>1</v>
      </c>
      <c r="DG41">
        <f t="shared" ca="1" si="46"/>
        <v>21</v>
      </c>
      <c r="DH41">
        <v>0</v>
      </c>
    </row>
    <row r="42" spans="1:112" hidden="1">
      <c r="A42" s="124">
        <v>30</v>
      </c>
      <c r="B42" s="205" t="str">
        <f t="shared" ca="1" si="12"/>
        <v>D.3.9.</v>
      </c>
      <c r="C42" s="129" t="str">
        <f t="shared" ca="1" si="13"/>
        <v>Reinvesticijos (po priemonės įgyvendinimo)</v>
      </c>
      <c r="D42" s="133"/>
      <c r="E42" s="148">
        <f t="shared" ca="1" si="14"/>
        <v>0.21</v>
      </c>
      <c r="F42" s="139">
        <f ca="1">H42+NPV(FD,I42:INDEX(I42:DC42,PAL))</f>
        <v>0</v>
      </c>
      <c r="G42" s="140">
        <f ca="1">SUMIF($H$5:$DC$5,"&lt;="&amp;PAL,$H42:$DC42)</f>
        <v>0</v>
      </c>
      <c r="H42" s="138">
        <f t="shared" ca="1" si="38"/>
        <v>0</v>
      </c>
      <c r="I42" s="138">
        <f t="shared" ca="1" si="38"/>
        <v>0</v>
      </c>
      <c r="J42" s="138">
        <f t="shared" ca="1" si="38"/>
        <v>0</v>
      </c>
      <c r="K42" s="138">
        <f t="shared" ca="1" si="38"/>
        <v>0</v>
      </c>
      <c r="L42" s="138">
        <f t="shared" ca="1" si="38"/>
        <v>0</v>
      </c>
      <c r="M42" s="138">
        <f t="shared" ca="1" si="38"/>
        <v>0</v>
      </c>
      <c r="N42" s="138">
        <f t="shared" ca="1" si="38"/>
        <v>0</v>
      </c>
      <c r="O42" s="138">
        <f t="shared" ca="1" si="38"/>
        <v>0</v>
      </c>
      <c r="P42" s="138">
        <f t="shared" ca="1" si="38"/>
        <v>0</v>
      </c>
      <c r="Q42" s="138">
        <f t="shared" ca="1" si="38"/>
        <v>0</v>
      </c>
      <c r="R42" s="138">
        <f t="shared" ca="1" si="38"/>
        <v>0</v>
      </c>
      <c r="S42" s="138">
        <f t="shared" ca="1" si="38"/>
        <v>0</v>
      </c>
      <c r="T42" s="138">
        <f t="shared" ca="1" si="38"/>
        <v>0</v>
      </c>
      <c r="U42" s="138">
        <f t="shared" ca="1" si="38"/>
        <v>0</v>
      </c>
      <c r="V42" s="138">
        <f t="shared" ca="1" si="38"/>
        <v>0</v>
      </c>
      <c r="W42" s="138">
        <f t="shared" ca="1" si="38"/>
        <v>0</v>
      </c>
      <c r="X42" s="138">
        <f t="shared" ca="1" si="39"/>
        <v>0</v>
      </c>
      <c r="Y42" s="138">
        <f t="shared" ca="1" si="39"/>
        <v>0</v>
      </c>
      <c r="Z42" s="138">
        <f t="shared" ca="1" si="39"/>
        <v>0</v>
      </c>
      <c r="AA42" s="138">
        <f t="shared" ca="1" si="39"/>
        <v>0</v>
      </c>
      <c r="AB42" s="138">
        <f t="shared" ca="1" si="39"/>
        <v>0</v>
      </c>
      <c r="AC42" s="138">
        <f t="shared" ca="1" si="39"/>
        <v>0</v>
      </c>
      <c r="AD42" s="138">
        <f t="shared" ca="1" si="39"/>
        <v>0</v>
      </c>
      <c r="AE42" s="138">
        <f t="shared" ca="1" si="39"/>
        <v>0</v>
      </c>
      <c r="AF42" s="138">
        <f t="shared" ca="1" si="39"/>
        <v>0</v>
      </c>
      <c r="AG42" s="138">
        <f t="shared" ca="1" si="39"/>
        <v>0</v>
      </c>
      <c r="AH42" s="138">
        <f t="shared" ca="1" si="39"/>
        <v>0</v>
      </c>
      <c r="AI42" s="138">
        <f t="shared" ca="1" si="39"/>
        <v>0</v>
      </c>
      <c r="AJ42" s="138">
        <f t="shared" ca="1" si="39"/>
        <v>0</v>
      </c>
      <c r="AK42" s="138">
        <f t="shared" ca="1" si="39"/>
        <v>0</v>
      </c>
      <c r="AL42" s="138">
        <f t="shared" ca="1" si="39"/>
        <v>0</v>
      </c>
      <c r="AM42" s="138">
        <f t="shared" ca="1" si="39"/>
        <v>0</v>
      </c>
      <c r="AN42" s="138">
        <f t="shared" ca="1" si="40"/>
        <v>0</v>
      </c>
      <c r="AO42" s="138">
        <f t="shared" ca="1" si="40"/>
        <v>0</v>
      </c>
      <c r="AP42" s="138">
        <f t="shared" ca="1" si="40"/>
        <v>0</v>
      </c>
      <c r="AQ42" s="138">
        <f t="shared" ca="1" si="40"/>
        <v>0</v>
      </c>
      <c r="AR42" s="138">
        <f t="shared" ca="1" si="40"/>
        <v>0</v>
      </c>
      <c r="AS42" s="138">
        <f t="shared" ca="1" si="40"/>
        <v>0</v>
      </c>
      <c r="AT42" s="138">
        <f t="shared" ca="1" si="40"/>
        <v>0</v>
      </c>
      <c r="AU42" s="138">
        <f t="shared" ca="1" si="40"/>
        <v>0</v>
      </c>
      <c r="AV42" s="138">
        <f t="shared" ca="1" si="40"/>
        <v>0</v>
      </c>
      <c r="AW42" s="138">
        <f t="shared" ca="1" si="40"/>
        <v>0</v>
      </c>
      <c r="AX42" s="138">
        <f t="shared" ca="1" si="40"/>
        <v>0</v>
      </c>
      <c r="AY42" s="138">
        <f t="shared" ca="1" si="40"/>
        <v>0</v>
      </c>
      <c r="AZ42" s="138">
        <f t="shared" ca="1" si="40"/>
        <v>0</v>
      </c>
      <c r="BA42" s="138">
        <f t="shared" ca="1" si="40"/>
        <v>0</v>
      </c>
      <c r="BB42" s="138">
        <f t="shared" ca="1" si="40"/>
        <v>0</v>
      </c>
      <c r="BC42" s="138">
        <f t="shared" ca="1" si="40"/>
        <v>0</v>
      </c>
      <c r="BD42" s="138">
        <f t="shared" ca="1" si="41"/>
        <v>0</v>
      </c>
      <c r="BE42" s="138">
        <f t="shared" ca="1" si="41"/>
        <v>0</v>
      </c>
      <c r="BF42" s="138">
        <f t="shared" ca="1" si="41"/>
        <v>0</v>
      </c>
      <c r="BG42" s="138">
        <f t="shared" ca="1" si="41"/>
        <v>0</v>
      </c>
      <c r="BH42" s="138">
        <f t="shared" ca="1" si="41"/>
        <v>0</v>
      </c>
      <c r="BI42" s="138">
        <f t="shared" ca="1" si="41"/>
        <v>0</v>
      </c>
      <c r="BJ42" s="138">
        <f t="shared" ca="1" si="41"/>
        <v>0</v>
      </c>
      <c r="BK42" s="138">
        <f t="shared" ca="1" si="41"/>
        <v>0</v>
      </c>
      <c r="BL42" s="138">
        <f t="shared" ca="1" si="41"/>
        <v>0</v>
      </c>
      <c r="BM42" s="138">
        <f t="shared" ca="1" si="41"/>
        <v>0</v>
      </c>
      <c r="BN42" s="138">
        <f t="shared" ca="1" si="41"/>
        <v>0</v>
      </c>
      <c r="BO42" s="138">
        <f t="shared" ca="1" si="41"/>
        <v>0</v>
      </c>
      <c r="BP42" s="138">
        <f t="shared" ca="1" si="41"/>
        <v>0</v>
      </c>
      <c r="BQ42" s="138">
        <f t="shared" ca="1" si="41"/>
        <v>0</v>
      </c>
      <c r="BR42" s="138">
        <f t="shared" ca="1" si="41"/>
        <v>0</v>
      </c>
      <c r="BS42" s="138">
        <f t="shared" ca="1" si="41"/>
        <v>0</v>
      </c>
      <c r="BT42" s="138">
        <f t="shared" ca="1" si="42"/>
        <v>0</v>
      </c>
      <c r="BU42" s="138">
        <f t="shared" ca="1" si="42"/>
        <v>0</v>
      </c>
      <c r="BV42" s="138">
        <f t="shared" ca="1" si="42"/>
        <v>0</v>
      </c>
      <c r="BW42" s="138">
        <f t="shared" ca="1" si="42"/>
        <v>0</v>
      </c>
      <c r="BX42" s="138">
        <f t="shared" ca="1" si="42"/>
        <v>0</v>
      </c>
      <c r="BY42" s="138">
        <f t="shared" ca="1" si="42"/>
        <v>0</v>
      </c>
      <c r="BZ42" s="138">
        <f t="shared" ca="1" si="42"/>
        <v>0</v>
      </c>
      <c r="CA42" s="138">
        <f t="shared" ca="1" si="42"/>
        <v>0</v>
      </c>
      <c r="CB42" s="138">
        <f t="shared" ca="1" si="42"/>
        <v>0</v>
      </c>
      <c r="CC42" s="138">
        <f t="shared" ca="1" si="42"/>
        <v>0</v>
      </c>
      <c r="CD42" s="138">
        <f t="shared" ca="1" si="42"/>
        <v>0</v>
      </c>
      <c r="CE42" s="138">
        <f t="shared" ca="1" si="42"/>
        <v>0</v>
      </c>
      <c r="CF42" s="138">
        <f t="shared" ca="1" si="42"/>
        <v>0</v>
      </c>
      <c r="CG42" s="138">
        <f t="shared" ca="1" si="42"/>
        <v>0</v>
      </c>
      <c r="CH42" s="138">
        <f t="shared" ca="1" si="42"/>
        <v>0</v>
      </c>
      <c r="CI42" s="138">
        <f t="shared" ca="1" si="42"/>
        <v>0</v>
      </c>
      <c r="CJ42" s="138">
        <f t="shared" ca="1" si="43"/>
        <v>0</v>
      </c>
      <c r="CK42" s="138">
        <f t="shared" ca="1" si="43"/>
        <v>0</v>
      </c>
      <c r="CL42" s="138">
        <f t="shared" ca="1" si="43"/>
        <v>0</v>
      </c>
      <c r="CM42" s="138">
        <f t="shared" ca="1" si="43"/>
        <v>0</v>
      </c>
      <c r="CN42" s="138">
        <f t="shared" ca="1" si="43"/>
        <v>0</v>
      </c>
      <c r="CO42" s="138">
        <f t="shared" ca="1" si="43"/>
        <v>0</v>
      </c>
      <c r="CP42" s="138">
        <f t="shared" ca="1" si="43"/>
        <v>0</v>
      </c>
      <c r="CQ42" s="138">
        <f t="shared" ca="1" si="43"/>
        <v>0</v>
      </c>
      <c r="CR42" s="138">
        <f t="shared" ca="1" si="43"/>
        <v>0</v>
      </c>
      <c r="CS42" s="138">
        <f t="shared" ca="1" si="43"/>
        <v>0</v>
      </c>
      <c r="CT42" s="138">
        <f t="shared" ca="1" si="44"/>
        <v>0</v>
      </c>
      <c r="CU42" s="138">
        <f t="shared" ca="1" si="44"/>
        <v>0</v>
      </c>
      <c r="CV42" s="138">
        <f t="shared" ca="1" si="44"/>
        <v>0</v>
      </c>
      <c r="CW42" s="138">
        <f t="shared" ca="1" si="44"/>
        <v>0</v>
      </c>
      <c r="CX42" s="138">
        <f t="shared" ca="1" si="44"/>
        <v>0</v>
      </c>
      <c r="CY42" s="138">
        <f t="shared" ca="1" si="44"/>
        <v>0</v>
      </c>
      <c r="CZ42" s="138">
        <f t="shared" ca="1" si="44"/>
        <v>0</v>
      </c>
      <c r="DA42" s="138">
        <f t="shared" ca="1" si="44"/>
        <v>0</v>
      </c>
      <c r="DB42" s="138">
        <f t="shared" ca="1" si="44"/>
        <v>0</v>
      </c>
      <c r="DC42" s="138">
        <f t="shared" ca="1" si="44"/>
        <v>0</v>
      </c>
      <c r="DE42" s="254" t="str">
        <f t="shared" ca="1" si="24"/>
        <v>D.3.9.</v>
      </c>
      <c r="DF42">
        <f t="shared" ca="1" si="45"/>
        <v>1</v>
      </c>
      <c r="DG42">
        <f t="shared" ca="1" si="46"/>
        <v>21</v>
      </c>
      <c r="DH42">
        <v>0</v>
      </c>
    </row>
    <row r="43" spans="1:112" hidden="1">
      <c r="A43" s="124">
        <v>31</v>
      </c>
      <c r="B43" s="205" t="str">
        <f t="shared" ca="1" si="12"/>
        <v>D.3.L.</v>
      </c>
      <c r="C43" s="129" t="str">
        <f t="shared" ca="1" si="13"/>
        <v>Likutinė vertė</v>
      </c>
      <c r="D43" s="133"/>
      <c r="E43" s="148">
        <f t="shared" ca="1" si="14"/>
        <v>0.21</v>
      </c>
      <c r="F43" s="139">
        <f ca="1">H43+NPV(FD,I43:INDEX(I43:DC43,PAL))</f>
        <v>0</v>
      </c>
      <c r="G43" s="140">
        <f ca="1">SUMIF($H$5:$DC$5,"&lt;="&amp;PAL,$H43:$DC43)</f>
        <v>0</v>
      </c>
      <c r="H43" s="138">
        <f t="shared" ca="1" si="38"/>
        <v>0</v>
      </c>
      <c r="I43" s="138">
        <f t="shared" ca="1" si="38"/>
        <v>0</v>
      </c>
      <c r="J43" s="138">
        <f t="shared" ca="1" si="38"/>
        <v>0</v>
      </c>
      <c r="K43" s="138">
        <f t="shared" ca="1" si="38"/>
        <v>0</v>
      </c>
      <c r="L43" s="138">
        <f t="shared" ca="1" si="38"/>
        <v>0</v>
      </c>
      <c r="M43" s="138">
        <f t="shared" ca="1" si="38"/>
        <v>0</v>
      </c>
      <c r="N43" s="138">
        <f t="shared" ca="1" si="38"/>
        <v>0</v>
      </c>
      <c r="O43" s="138">
        <f t="shared" ca="1" si="38"/>
        <v>0</v>
      </c>
      <c r="P43" s="138">
        <f t="shared" ca="1" si="38"/>
        <v>0</v>
      </c>
      <c r="Q43" s="138">
        <f t="shared" ca="1" si="38"/>
        <v>0</v>
      </c>
      <c r="R43" s="138">
        <f t="shared" ca="1" si="38"/>
        <v>0</v>
      </c>
      <c r="S43" s="138">
        <f t="shared" ca="1" si="38"/>
        <v>0</v>
      </c>
      <c r="T43" s="138">
        <f t="shared" ca="1" si="38"/>
        <v>0</v>
      </c>
      <c r="U43" s="138">
        <f t="shared" ca="1" si="38"/>
        <v>0</v>
      </c>
      <c r="V43" s="138">
        <f t="shared" ca="1" si="38"/>
        <v>0</v>
      </c>
      <c r="W43" s="138">
        <f t="shared" ca="1" si="38"/>
        <v>0</v>
      </c>
      <c r="X43" s="138">
        <f t="shared" ca="1" si="39"/>
        <v>0</v>
      </c>
      <c r="Y43" s="138">
        <f t="shared" ca="1" si="39"/>
        <v>0</v>
      </c>
      <c r="Z43" s="138">
        <f t="shared" ca="1" si="39"/>
        <v>0</v>
      </c>
      <c r="AA43" s="138">
        <f t="shared" ca="1" si="39"/>
        <v>0</v>
      </c>
      <c r="AB43" s="138">
        <f t="shared" ca="1" si="39"/>
        <v>0</v>
      </c>
      <c r="AC43" s="138">
        <f t="shared" ca="1" si="39"/>
        <v>0</v>
      </c>
      <c r="AD43" s="138">
        <f t="shared" ca="1" si="39"/>
        <v>0</v>
      </c>
      <c r="AE43" s="138">
        <f t="shared" ca="1" si="39"/>
        <v>0</v>
      </c>
      <c r="AF43" s="138">
        <f t="shared" ca="1" si="39"/>
        <v>0</v>
      </c>
      <c r="AG43" s="138">
        <f t="shared" ca="1" si="39"/>
        <v>0</v>
      </c>
      <c r="AH43" s="138">
        <f t="shared" ca="1" si="39"/>
        <v>0</v>
      </c>
      <c r="AI43" s="138">
        <f t="shared" ca="1" si="39"/>
        <v>0</v>
      </c>
      <c r="AJ43" s="138">
        <f t="shared" ca="1" si="39"/>
        <v>0</v>
      </c>
      <c r="AK43" s="138">
        <f t="shared" ca="1" si="39"/>
        <v>0</v>
      </c>
      <c r="AL43" s="138">
        <f t="shared" ca="1" si="39"/>
        <v>0</v>
      </c>
      <c r="AM43" s="138">
        <f t="shared" ca="1" si="39"/>
        <v>0</v>
      </c>
      <c r="AN43" s="138">
        <f t="shared" ca="1" si="40"/>
        <v>0</v>
      </c>
      <c r="AO43" s="138">
        <f t="shared" ca="1" si="40"/>
        <v>0</v>
      </c>
      <c r="AP43" s="138">
        <f t="shared" ca="1" si="40"/>
        <v>0</v>
      </c>
      <c r="AQ43" s="138">
        <f t="shared" ca="1" si="40"/>
        <v>0</v>
      </c>
      <c r="AR43" s="138">
        <f t="shared" ca="1" si="40"/>
        <v>0</v>
      </c>
      <c r="AS43" s="138">
        <f t="shared" ca="1" si="40"/>
        <v>0</v>
      </c>
      <c r="AT43" s="138">
        <f t="shared" ca="1" si="40"/>
        <v>0</v>
      </c>
      <c r="AU43" s="138">
        <f t="shared" ca="1" si="40"/>
        <v>0</v>
      </c>
      <c r="AV43" s="138">
        <f t="shared" ca="1" si="40"/>
        <v>0</v>
      </c>
      <c r="AW43" s="138">
        <f t="shared" ca="1" si="40"/>
        <v>0</v>
      </c>
      <c r="AX43" s="138">
        <f t="shared" ca="1" si="40"/>
        <v>0</v>
      </c>
      <c r="AY43" s="138">
        <f t="shared" ca="1" si="40"/>
        <v>0</v>
      </c>
      <c r="AZ43" s="138">
        <f t="shared" ca="1" si="40"/>
        <v>0</v>
      </c>
      <c r="BA43" s="138">
        <f t="shared" ca="1" si="40"/>
        <v>0</v>
      </c>
      <c r="BB43" s="138">
        <f t="shared" ca="1" si="40"/>
        <v>0</v>
      </c>
      <c r="BC43" s="138">
        <f t="shared" ca="1" si="40"/>
        <v>0</v>
      </c>
      <c r="BD43" s="138">
        <f t="shared" ca="1" si="41"/>
        <v>0</v>
      </c>
      <c r="BE43" s="138">
        <f t="shared" ca="1" si="41"/>
        <v>0</v>
      </c>
      <c r="BF43" s="138">
        <f t="shared" ca="1" si="41"/>
        <v>0</v>
      </c>
      <c r="BG43" s="138">
        <f t="shared" ca="1" si="41"/>
        <v>0</v>
      </c>
      <c r="BH43" s="138">
        <f t="shared" ca="1" si="41"/>
        <v>0</v>
      </c>
      <c r="BI43" s="138">
        <f t="shared" ca="1" si="41"/>
        <v>0</v>
      </c>
      <c r="BJ43" s="138">
        <f t="shared" ca="1" si="41"/>
        <v>0</v>
      </c>
      <c r="BK43" s="138">
        <f t="shared" ca="1" si="41"/>
        <v>0</v>
      </c>
      <c r="BL43" s="138">
        <f t="shared" ca="1" si="41"/>
        <v>0</v>
      </c>
      <c r="BM43" s="138">
        <f t="shared" ca="1" si="41"/>
        <v>0</v>
      </c>
      <c r="BN43" s="138">
        <f t="shared" ca="1" si="41"/>
        <v>0</v>
      </c>
      <c r="BO43" s="138">
        <f t="shared" ca="1" si="41"/>
        <v>0</v>
      </c>
      <c r="BP43" s="138">
        <f t="shared" ca="1" si="41"/>
        <v>0</v>
      </c>
      <c r="BQ43" s="138">
        <f t="shared" ca="1" si="41"/>
        <v>0</v>
      </c>
      <c r="BR43" s="138">
        <f t="shared" ca="1" si="41"/>
        <v>0</v>
      </c>
      <c r="BS43" s="138">
        <f t="shared" ca="1" si="41"/>
        <v>0</v>
      </c>
      <c r="BT43" s="138">
        <f t="shared" ca="1" si="42"/>
        <v>0</v>
      </c>
      <c r="BU43" s="138">
        <f t="shared" ca="1" si="42"/>
        <v>0</v>
      </c>
      <c r="BV43" s="138">
        <f t="shared" ca="1" si="42"/>
        <v>0</v>
      </c>
      <c r="BW43" s="138">
        <f t="shared" ca="1" si="42"/>
        <v>0</v>
      </c>
      <c r="BX43" s="138">
        <f t="shared" ca="1" si="42"/>
        <v>0</v>
      </c>
      <c r="BY43" s="138">
        <f t="shared" ca="1" si="42"/>
        <v>0</v>
      </c>
      <c r="BZ43" s="138">
        <f t="shared" ca="1" si="42"/>
        <v>0</v>
      </c>
      <c r="CA43" s="138">
        <f t="shared" ca="1" si="42"/>
        <v>0</v>
      </c>
      <c r="CB43" s="138">
        <f t="shared" ca="1" si="42"/>
        <v>0</v>
      </c>
      <c r="CC43" s="138">
        <f t="shared" ca="1" si="42"/>
        <v>0</v>
      </c>
      <c r="CD43" s="138">
        <f t="shared" ca="1" si="42"/>
        <v>0</v>
      </c>
      <c r="CE43" s="138">
        <f t="shared" ca="1" si="42"/>
        <v>0</v>
      </c>
      <c r="CF43" s="138">
        <f t="shared" ca="1" si="42"/>
        <v>0</v>
      </c>
      <c r="CG43" s="138">
        <f t="shared" ca="1" si="42"/>
        <v>0</v>
      </c>
      <c r="CH43" s="138">
        <f t="shared" ca="1" si="42"/>
        <v>0</v>
      </c>
      <c r="CI43" s="138">
        <f t="shared" ca="1" si="42"/>
        <v>0</v>
      </c>
      <c r="CJ43" s="138">
        <f t="shared" ca="1" si="43"/>
        <v>0</v>
      </c>
      <c r="CK43" s="138">
        <f t="shared" ca="1" si="43"/>
        <v>0</v>
      </c>
      <c r="CL43" s="138">
        <f t="shared" ca="1" si="43"/>
        <v>0</v>
      </c>
      <c r="CM43" s="138">
        <f t="shared" ca="1" si="43"/>
        <v>0</v>
      </c>
      <c r="CN43" s="138">
        <f t="shared" ca="1" si="43"/>
        <v>0</v>
      </c>
      <c r="CO43" s="138">
        <f t="shared" ca="1" si="43"/>
        <v>0</v>
      </c>
      <c r="CP43" s="138">
        <f t="shared" ca="1" si="43"/>
        <v>0</v>
      </c>
      <c r="CQ43" s="138">
        <f t="shared" ca="1" si="43"/>
        <v>0</v>
      </c>
      <c r="CR43" s="138">
        <f t="shared" ca="1" si="43"/>
        <v>0</v>
      </c>
      <c r="CS43" s="138">
        <f t="shared" ca="1" si="43"/>
        <v>0</v>
      </c>
      <c r="CT43" s="138">
        <f t="shared" ca="1" si="44"/>
        <v>0</v>
      </c>
      <c r="CU43" s="138">
        <f t="shared" ca="1" si="44"/>
        <v>0</v>
      </c>
      <c r="CV43" s="138">
        <f t="shared" ca="1" si="44"/>
        <v>0</v>
      </c>
      <c r="CW43" s="138">
        <f t="shared" ca="1" si="44"/>
        <v>0</v>
      </c>
      <c r="CX43" s="138">
        <f t="shared" ca="1" si="44"/>
        <v>0</v>
      </c>
      <c r="CY43" s="138">
        <f t="shared" ca="1" si="44"/>
        <v>0</v>
      </c>
      <c r="CZ43" s="138">
        <f t="shared" ca="1" si="44"/>
        <v>0</v>
      </c>
      <c r="DA43" s="138">
        <f t="shared" ca="1" si="44"/>
        <v>0</v>
      </c>
      <c r="DB43" s="138">
        <f t="shared" ca="1" si="44"/>
        <v>0</v>
      </c>
      <c r="DC43" s="138">
        <f t="shared" ca="1" si="44"/>
        <v>0</v>
      </c>
      <c r="DE43" s="254" t="str">
        <f t="shared" ca="1" si="24"/>
        <v>D.3.L.</v>
      </c>
      <c r="DF43">
        <f t="shared" ca="1" si="45"/>
        <v>1</v>
      </c>
      <c r="DG43">
        <f t="shared" ca="1" si="46"/>
        <v>21</v>
      </c>
      <c r="DH43">
        <f ca="1">DG43/(100+DG43)</f>
        <v>0.17355371900826447</v>
      </c>
    </row>
    <row r="44" spans="1:112" hidden="1">
      <c r="A44" s="124">
        <v>32</v>
      </c>
      <c r="B44" s="205" t="str">
        <f t="shared" ca="1" si="12"/>
        <v>E.</v>
      </c>
      <c r="C44" s="197" t="str">
        <f t="shared" ca="1" si="13"/>
        <v>INVESTICINĖS VEIKLOS</v>
      </c>
      <c r="D44" s="132"/>
      <c r="E44" s="233" t="str">
        <f t="shared" ca="1" si="14"/>
        <v/>
      </c>
      <c r="F44" s="141">
        <f ca="1">F45+F56+F67</f>
        <v>12338333.613047894</v>
      </c>
      <c r="G44" s="140">
        <f ca="1">SUMIF($H$5:$DC$5,"&lt;="&amp;PAL,$H44:$DC44)</f>
        <v>13460940.4630432</v>
      </c>
      <c r="H44" s="234">
        <f ca="1">H45+H56+H67</f>
        <v>1730000</v>
      </c>
      <c r="I44" s="234">
        <f t="shared" ref="I44:BT44" ca="1" si="47">I45+I56+I67</f>
        <v>3387980.7675319999</v>
      </c>
      <c r="J44" s="234">
        <f t="shared" ca="1" si="47"/>
        <v>3377730.2703541331</v>
      </c>
      <c r="K44" s="234">
        <f t="shared" ca="1" si="47"/>
        <v>4210729.4251570664</v>
      </c>
      <c r="L44" s="234">
        <f t="shared" ca="1" si="47"/>
        <v>5000</v>
      </c>
      <c r="M44" s="234">
        <f t="shared" ca="1" si="47"/>
        <v>25000</v>
      </c>
      <c r="N44" s="234">
        <f t="shared" ca="1" si="47"/>
        <v>4500</v>
      </c>
      <c r="O44" s="234">
        <f t="shared" ca="1" si="47"/>
        <v>0</v>
      </c>
      <c r="P44" s="234">
        <f t="shared" ca="1" si="47"/>
        <v>0</v>
      </c>
      <c r="Q44" s="234">
        <f t="shared" ca="1" si="47"/>
        <v>0</v>
      </c>
      <c r="R44" s="234">
        <f t="shared" ca="1" si="47"/>
        <v>120000</v>
      </c>
      <c r="S44" s="234">
        <f t="shared" ca="1" si="47"/>
        <v>240000</v>
      </c>
      <c r="T44" s="234">
        <f t="shared" ca="1" si="47"/>
        <v>120000</v>
      </c>
      <c r="U44" s="234">
        <f t="shared" ca="1" si="47"/>
        <v>240000</v>
      </c>
      <c r="V44" s="234">
        <f t="shared" ca="1" si="47"/>
        <v>0</v>
      </c>
      <c r="W44" s="234">
        <f t="shared" ca="1" si="47"/>
        <v>0</v>
      </c>
      <c r="X44" s="234">
        <f t="shared" ca="1" si="47"/>
        <v>0</v>
      </c>
      <c r="Y44" s="234">
        <f t="shared" ca="1" si="47"/>
        <v>0</v>
      </c>
      <c r="Z44" s="234">
        <f t="shared" ca="1" si="47"/>
        <v>0</v>
      </c>
      <c r="AA44" s="234">
        <f t="shared" ca="1" si="47"/>
        <v>0</v>
      </c>
      <c r="AB44" s="234">
        <f t="shared" ca="1" si="47"/>
        <v>0</v>
      </c>
      <c r="AC44" s="234">
        <f t="shared" ca="1" si="47"/>
        <v>0</v>
      </c>
      <c r="AD44" s="234">
        <f t="shared" ca="1" si="47"/>
        <v>0</v>
      </c>
      <c r="AE44" s="234">
        <f t="shared" ca="1" si="47"/>
        <v>0</v>
      </c>
      <c r="AF44" s="234">
        <f t="shared" ca="1" si="47"/>
        <v>0</v>
      </c>
      <c r="AG44" s="234">
        <f t="shared" ca="1" si="47"/>
        <v>0</v>
      </c>
      <c r="AH44" s="234">
        <f t="shared" ca="1" si="47"/>
        <v>0</v>
      </c>
      <c r="AI44" s="234">
        <f t="shared" ca="1" si="47"/>
        <v>0</v>
      </c>
      <c r="AJ44" s="234">
        <f t="shared" ca="1" si="47"/>
        <v>0</v>
      </c>
      <c r="AK44" s="234">
        <f t="shared" ca="1" si="47"/>
        <v>0</v>
      </c>
      <c r="AL44" s="234">
        <f t="shared" ca="1" si="47"/>
        <v>0</v>
      </c>
      <c r="AM44" s="234">
        <f t="shared" ca="1" si="47"/>
        <v>0</v>
      </c>
      <c r="AN44" s="234">
        <f t="shared" ca="1" si="47"/>
        <v>0</v>
      </c>
      <c r="AO44" s="234">
        <f t="shared" ca="1" si="47"/>
        <v>0</v>
      </c>
      <c r="AP44" s="234">
        <f t="shared" ca="1" si="47"/>
        <v>0</v>
      </c>
      <c r="AQ44" s="234">
        <f t="shared" ca="1" si="47"/>
        <v>0</v>
      </c>
      <c r="AR44" s="234">
        <f t="shared" ca="1" si="47"/>
        <v>0</v>
      </c>
      <c r="AS44" s="234">
        <f t="shared" ca="1" si="47"/>
        <v>0</v>
      </c>
      <c r="AT44" s="234">
        <f t="shared" ca="1" si="47"/>
        <v>0</v>
      </c>
      <c r="AU44" s="234">
        <f t="shared" ca="1" si="47"/>
        <v>0</v>
      </c>
      <c r="AV44" s="234">
        <f t="shared" ca="1" si="47"/>
        <v>0</v>
      </c>
      <c r="AW44" s="234">
        <f t="shared" ca="1" si="47"/>
        <v>0</v>
      </c>
      <c r="AX44" s="234">
        <f t="shared" ca="1" si="47"/>
        <v>0</v>
      </c>
      <c r="AY44" s="234">
        <f t="shared" ca="1" si="47"/>
        <v>0</v>
      </c>
      <c r="AZ44" s="234">
        <f t="shared" ca="1" si="47"/>
        <v>0</v>
      </c>
      <c r="BA44" s="234">
        <f t="shared" ca="1" si="47"/>
        <v>0</v>
      </c>
      <c r="BB44" s="234">
        <f t="shared" ca="1" si="47"/>
        <v>0</v>
      </c>
      <c r="BC44" s="234">
        <f t="shared" ca="1" si="47"/>
        <v>0</v>
      </c>
      <c r="BD44" s="234">
        <f t="shared" ca="1" si="47"/>
        <v>0</v>
      </c>
      <c r="BE44" s="234">
        <f t="shared" ca="1" si="47"/>
        <v>0</v>
      </c>
      <c r="BF44" s="234">
        <f t="shared" ca="1" si="47"/>
        <v>0</v>
      </c>
      <c r="BG44" s="234">
        <f t="shared" ca="1" si="47"/>
        <v>0</v>
      </c>
      <c r="BH44" s="234">
        <f t="shared" ca="1" si="47"/>
        <v>0</v>
      </c>
      <c r="BI44" s="234">
        <f t="shared" ca="1" si="47"/>
        <v>0</v>
      </c>
      <c r="BJ44" s="234">
        <f t="shared" ca="1" si="47"/>
        <v>0</v>
      </c>
      <c r="BK44" s="234">
        <f t="shared" ca="1" si="47"/>
        <v>0</v>
      </c>
      <c r="BL44" s="234">
        <f t="shared" ca="1" si="47"/>
        <v>0</v>
      </c>
      <c r="BM44" s="234">
        <f t="shared" ca="1" si="47"/>
        <v>0</v>
      </c>
      <c r="BN44" s="234">
        <f t="shared" ca="1" si="47"/>
        <v>0</v>
      </c>
      <c r="BO44" s="234">
        <f t="shared" ca="1" si="47"/>
        <v>0</v>
      </c>
      <c r="BP44" s="234">
        <f t="shared" ca="1" si="47"/>
        <v>0</v>
      </c>
      <c r="BQ44" s="234">
        <f t="shared" ca="1" si="47"/>
        <v>0</v>
      </c>
      <c r="BR44" s="234">
        <f t="shared" ca="1" si="47"/>
        <v>0</v>
      </c>
      <c r="BS44" s="234">
        <f t="shared" ca="1" si="47"/>
        <v>0</v>
      </c>
      <c r="BT44" s="234">
        <f t="shared" ca="1" si="47"/>
        <v>0</v>
      </c>
      <c r="BU44" s="234">
        <f t="shared" ref="BU44:DC44" ca="1" si="48">BU45+BU56+BU67</f>
        <v>0</v>
      </c>
      <c r="BV44" s="234">
        <f t="shared" ca="1" si="48"/>
        <v>0</v>
      </c>
      <c r="BW44" s="234">
        <f t="shared" ca="1" si="48"/>
        <v>0</v>
      </c>
      <c r="BX44" s="234">
        <f t="shared" ca="1" si="48"/>
        <v>0</v>
      </c>
      <c r="BY44" s="234">
        <f t="shared" ca="1" si="48"/>
        <v>0</v>
      </c>
      <c r="BZ44" s="234">
        <f t="shared" ca="1" si="48"/>
        <v>0</v>
      </c>
      <c r="CA44" s="234">
        <f t="shared" ca="1" si="48"/>
        <v>0</v>
      </c>
      <c r="CB44" s="234">
        <f t="shared" ca="1" si="48"/>
        <v>0</v>
      </c>
      <c r="CC44" s="234">
        <f t="shared" ca="1" si="48"/>
        <v>0</v>
      </c>
      <c r="CD44" s="234">
        <f t="shared" ca="1" si="48"/>
        <v>0</v>
      </c>
      <c r="CE44" s="234">
        <f t="shared" ca="1" si="48"/>
        <v>0</v>
      </c>
      <c r="CF44" s="234">
        <f t="shared" ca="1" si="48"/>
        <v>0</v>
      </c>
      <c r="CG44" s="234">
        <f t="shared" ca="1" si="48"/>
        <v>0</v>
      </c>
      <c r="CH44" s="234">
        <f t="shared" ca="1" si="48"/>
        <v>0</v>
      </c>
      <c r="CI44" s="234">
        <f t="shared" ca="1" si="48"/>
        <v>0</v>
      </c>
      <c r="CJ44" s="234">
        <f t="shared" ca="1" si="48"/>
        <v>0</v>
      </c>
      <c r="CK44" s="234">
        <f t="shared" ca="1" si="48"/>
        <v>0</v>
      </c>
      <c r="CL44" s="234">
        <f t="shared" ca="1" si="48"/>
        <v>0</v>
      </c>
      <c r="CM44" s="234">
        <f t="shared" ca="1" si="48"/>
        <v>0</v>
      </c>
      <c r="CN44" s="234">
        <f t="shared" ca="1" si="48"/>
        <v>0</v>
      </c>
      <c r="CO44" s="234">
        <f t="shared" ca="1" si="48"/>
        <v>0</v>
      </c>
      <c r="CP44" s="234">
        <f t="shared" ca="1" si="48"/>
        <v>0</v>
      </c>
      <c r="CQ44" s="234">
        <f t="shared" ca="1" si="48"/>
        <v>0</v>
      </c>
      <c r="CR44" s="234">
        <f t="shared" ca="1" si="48"/>
        <v>0</v>
      </c>
      <c r="CS44" s="234">
        <f t="shared" ca="1" si="48"/>
        <v>0</v>
      </c>
      <c r="CT44" s="234">
        <f t="shared" ca="1" si="48"/>
        <v>0</v>
      </c>
      <c r="CU44" s="234">
        <f t="shared" ca="1" si="48"/>
        <v>0</v>
      </c>
      <c r="CV44" s="234">
        <f t="shared" ca="1" si="48"/>
        <v>0</v>
      </c>
      <c r="CW44" s="234">
        <f t="shared" ca="1" si="48"/>
        <v>0</v>
      </c>
      <c r="CX44" s="234">
        <f t="shared" ca="1" si="48"/>
        <v>0</v>
      </c>
      <c r="CY44" s="234">
        <f t="shared" ca="1" si="48"/>
        <v>0</v>
      </c>
      <c r="CZ44" s="234">
        <f t="shared" ca="1" si="48"/>
        <v>0</v>
      </c>
      <c r="DA44" s="234">
        <f t="shared" ca="1" si="48"/>
        <v>0</v>
      </c>
      <c r="DB44" s="234">
        <f t="shared" ca="1" si="48"/>
        <v>0</v>
      </c>
      <c r="DC44" s="234">
        <f t="shared" ca="1" si="48"/>
        <v>0</v>
      </c>
      <c r="DE44" s="254"/>
    </row>
    <row r="45" spans="1:112" hidden="1">
      <c r="A45" s="124">
        <v>33</v>
      </c>
      <c r="B45" s="205" t="str">
        <f t="shared" ca="1" si="12"/>
        <v>E.1.</v>
      </c>
      <c r="C45" s="197" t="str">
        <f t="shared" ca="1" si="13"/>
        <v>Infrastruktūros vystymas</v>
      </c>
      <c r="D45" s="132"/>
      <c r="E45" s="233" t="str">
        <f t="shared" ca="1" si="14"/>
        <v/>
      </c>
      <c r="F45" s="141">
        <f ca="1">SUM(F46:F53)+F54</f>
        <v>9549283.3938790597</v>
      </c>
      <c r="G45" s="140">
        <f ca="1">SUMIF($H$5:$DC$5,"&lt;="&amp;PAL,$H45:$DC45)</f>
        <v>10400800</v>
      </c>
      <c r="H45" s="234">
        <f ca="1">SUM(H46:H54)</f>
        <v>1730000</v>
      </c>
      <c r="I45" s="234">
        <f t="shared" ref="I45:BT45" ca="1" si="49">SUM(I46:I54)</f>
        <v>3170500</v>
      </c>
      <c r="J45" s="234">
        <f t="shared" ca="1" si="49"/>
        <v>1827900</v>
      </c>
      <c r="K45" s="234">
        <f t="shared" ca="1" si="49"/>
        <v>2952399.9999999995</v>
      </c>
      <c r="L45" s="234">
        <f t="shared" ca="1" si="49"/>
        <v>0</v>
      </c>
      <c r="M45" s="234">
        <f t="shared" ca="1" si="49"/>
        <v>0</v>
      </c>
      <c r="N45" s="234">
        <f t="shared" ca="1" si="49"/>
        <v>0</v>
      </c>
      <c r="O45" s="234">
        <f t="shared" ca="1" si="49"/>
        <v>0</v>
      </c>
      <c r="P45" s="234">
        <f t="shared" ca="1" si="49"/>
        <v>0</v>
      </c>
      <c r="Q45" s="234">
        <f t="shared" ca="1" si="49"/>
        <v>0</v>
      </c>
      <c r="R45" s="234">
        <f t="shared" ca="1" si="49"/>
        <v>120000</v>
      </c>
      <c r="S45" s="234">
        <f t="shared" ca="1" si="49"/>
        <v>240000</v>
      </c>
      <c r="T45" s="234">
        <f t="shared" ca="1" si="49"/>
        <v>120000</v>
      </c>
      <c r="U45" s="234">
        <f t="shared" ca="1" si="49"/>
        <v>240000</v>
      </c>
      <c r="V45" s="234">
        <f t="shared" ca="1" si="49"/>
        <v>0</v>
      </c>
      <c r="W45" s="234">
        <f t="shared" ca="1" si="49"/>
        <v>0</v>
      </c>
      <c r="X45" s="234">
        <f t="shared" ca="1" si="49"/>
        <v>0</v>
      </c>
      <c r="Y45" s="234">
        <f t="shared" ca="1" si="49"/>
        <v>0</v>
      </c>
      <c r="Z45" s="234">
        <f t="shared" ca="1" si="49"/>
        <v>0</v>
      </c>
      <c r="AA45" s="234">
        <f t="shared" ca="1" si="49"/>
        <v>0</v>
      </c>
      <c r="AB45" s="234">
        <f t="shared" ca="1" si="49"/>
        <v>0</v>
      </c>
      <c r="AC45" s="234">
        <f t="shared" ca="1" si="49"/>
        <v>0</v>
      </c>
      <c r="AD45" s="234">
        <f t="shared" ca="1" si="49"/>
        <v>0</v>
      </c>
      <c r="AE45" s="234">
        <f t="shared" ca="1" si="49"/>
        <v>0</v>
      </c>
      <c r="AF45" s="234">
        <f t="shared" ca="1" si="49"/>
        <v>0</v>
      </c>
      <c r="AG45" s="234">
        <f t="shared" ca="1" si="49"/>
        <v>0</v>
      </c>
      <c r="AH45" s="234">
        <f t="shared" ca="1" si="49"/>
        <v>0</v>
      </c>
      <c r="AI45" s="234">
        <f t="shared" ca="1" si="49"/>
        <v>0</v>
      </c>
      <c r="AJ45" s="234">
        <f t="shared" ca="1" si="49"/>
        <v>0</v>
      </c>
      <c r="AK45" s="234">
        <f t="shared" ca="1" si="49"/>
        <v>0</v>
      </c>
      <c r="AL45" s="234">
        <f t="shared" ca="1" si="49"/>
        <v>0</v>
      </c>
      <c r="AM45" s="234">
        <f t="shared" ca="1" si="49"/>
        <v>0</v>
      </c>
      <c r="AN45" s="234">
        <f t="shared" ca="1" si="49"/>
        <v>0</v>
      </c>
      <c r="AO45" s="234">
        <f t="shared" ca="1" si="49"/>
        <v>0</v>
      </c>
      <c r="AP45" s="234">
        <f t="shared" ca="1" si="49"/>
        <v>0</v>
      </c>
      <c r="AQ45" s="234">
        <f t="shared" ca="1" si="49"/>
        <v>0</v>
      </c>
      <c r="AR45" s="234">
        <f t="shared" ca="1" si="49"/>
        <v>0</v>
      </c>
      <c r="AS45" s="234">
        <f t="shared" ca="1" si="49"/>
        <v>0</v>
      </c>
      <c r="AT45" s="234">
        <f t="shared" ca="1" si="49"/>
        <v>0</v>
      </c>
      <c r="AU45" s="234">
        <f t="shared" ca="1" si="49"/>
        <v>0</v>
      </c>
      <c r="AV45" s="234">
        <f t="shared" ca="1" si="49"/>
        <v>0</v>
      </c>
      <c r="AW45" s="234">
        <f t="shared" ca="1" si="49"/>
        <v>0</v>
      </c>
      <c r="AX45" s="234">
        <f t="shared" ca="1" si="49"/>
        <v>0</v>
      </c>
      <c r="AY45" s="234">
        <f t="shared" ca="1" si="49"/>
        <v>0</v>
      </c>
      <c r="AZ45" s="234">
        <f t="shared" ca="1" si="49"/>
        <v>0</v>
      </c>
      <c r="BA45" s="234">
        <f t="shared" ca="1" si="49"/>
        <v>0</v>
      </c>
      <c r="BB45" s="234">
        <f t="shared" ca="1" si="49"/>
        <v>0</v>
      </c>
      <c r="BC45" s="234">
        <f t="shared" ca="1" si="49"/>
        <v>0</v>
      </c>
      <c r="BD45" s="234">
        <f t="shared" ca="1" si="49"/>
        <v>0</v>
      </c>
      <c r="BE45" s="234">
        <f t="shared" ca="1" si="49"/>
        <v>0</v>
      </c>
      <c r="BF45" s="234">
        <f t="shared" ca="1" si="49"/>
        <v>0</v>
      </c>
      <c r="BG45" s="234">
        <f t="shared" ca="1" si="49"/>
        <v>0</v>
      </c>
      <c r="BH45" s="234">
        <f t="shared" ca="1" si="49"/>
        <v>0</v>
      </c>
      <c r="BI45" s="234">
        <f t="shared" ca="1" si="49"/>
        <v>0</v>
      </c>
      <c r="BJ45" s="234">
        <f t="shared" ca="1" si="49"/>
        <v>0</v>
      </c>
      <c r="BK45" s="234">
        <f t="shared" ca="1" si="49"/>
        <v>0</v>
      </c>
      <c r="BL45" s="234">
        <f t="shared" ca="1" si="49"/>
        <v>0</v>
      </c>
      <c r="BM45" s="234">
        <f t="shared" ca="1" si="49"/>
        <v>0</v>
      </c>
      <c r="BN45" s="234">
        <f t="shared" ca="1" si="49"/>
        <v>0</v>
      </c>
      <c r="BO45" s="234">
        <f t="shared" ca="1" si="49"/>
        <v>0</v>
      </c>
      <c r="BP45" s="234">
        <f t="shared" ca="1" si="49"/>
        <v>0</v>
      </c>
      <c r="BQ45" s="234">
        <f t="shared" ca="1" si="49"/>
        <v>0</v>
      </c>
      <c r="BR45" s="234">
        <f t="shared" ca="1" si="49"/>
        <v>0</v>
      </c>
      <c r="BS45" s="234">
        <f t="shared" ca="1" si="49"/>
        <v>0</v>
      </c>
      <c r="BT45" s="234">
        <f t="shared" ca="1" si="49"/>
        <v>0</v>
      </c>
      <c r="BU45" s="234">
        <f t="shared" ref="BU45:DC45" ca="1" si="50">SUM(BU46:BU54)</f>
        <v>0</v>
      </c>
      <c r="BV45" s="234">
        <f t="shared" ca="1" si="50"/>
        <v>0</v>
      </c>
      <c r="BW45" s="234">
        <f t="shared" ca="1" si="50"/>
        <v>0</v>
      </c>
      <c r="BX45" s="234">
        <f t="shared" ca="1" si="50"/>
        <v>0</v>
      </c>
      <c r="BY45" s="234">
        <f t="shared" ca="1" si="50"/>
        <v>0</v>
      </c>
      <c r="BZ45" s="234">
        <f t="shared" ca="1" si="50"/>
        <v>0</v>
      </c>
      <c r="CA45" s="234">
        <f t="shared" ca="1" si="50"/>
        <v>0</v>
      </c>
      <c r="CB45" s="234">
        <f t="shared" ca="1" si="50"/>
        <v>0</v>
      </c>
      <c r="CC45" s="234">
        <f t="shared" ca="1" si="50"/>
        <v>0</v>
      </c>
      <c r="CD45" s="234">
        <f t="shared" ca="1" si="50"/>
        <v>0</v>
      </c>
      <c r="CE45" s="234">
        <f t="shared" ca="1" si="50"/>
        <v>0</v>
      </c>
      <c r="CF45" s="234">
        <f t="shared" ca="1" si="50"/>
        <v>0</v>
      </c>
      <c r="CG45" s="234">
        <f t="shared" ca="1" si="50"/>
        <v>0</v>
      </c>
      <c r="CH45" s="234">
        <f t="shared" ca="1" si="50"/>
        <v>0</v>
      </c>
      <c r="CI45" s="234">
        <f t="shared" ca="1" si="50"/>
        <v>0</v>
      </c>
      <c r="CJ45" s="234">
        <f t="shared" ca="1" si="50"/>
        <v>0</v>
      </c>
      <c r="CK45" s="234">
        <f t="shared" ca="1" si="50"/>
        <v>0</v>
      </c>
      <c r="CL45" s="234">
        <f t="shared" ca="1" si="50"/>
        <v>0</v>
      </c>
      <c r="CM45" s="234">
        <f t="shared" ca="1" si="50"/>
        <v>0</v>
      </c>
      <c r="CN45" s="234">
        <f t="shared" ca="1" si="50"/>
        <v>0</v>
      </c>
      <c r="CO45" s="234">
        <f t="shared" ca="1" si="50"/>
        <v>0</v>
      </c>
      <c r="CP45" s="234">
        <f t="shared" ca="1" si="50"/>
        <v>0</v>
      </c>
      <c r="CQ45" s="234">
        <f t="shared" ca="1" si="50"/>
        <v>0</v>
      </c>
      <c r="CR45" s="234">
        <f t="shared" ca="1" si="50"/>
        <v>0</v>
      </c>
      <c r="CS45" s="234">
        <f t="shared" ca="1" si="50"/>
        <v>0</v>
      </c>
      <c r="CT45" s="234">
        <f t="shared" ca="1" si="50"/>
        <v>0</v>
      </c>
      <c r="CU45" s="234">
        <f t="shared" ca="1" si="50"/>
        <v>0</v>
      </c>
      <c r="CV45" s="234">
        <f t="shared" ca="1" si="50"/>
        <v>0</v>
      </c>
      <c r="CW45" s="234">
        <f t="shared" ca="1" si="50"/>
        <v>0</v>
      </c>
      <c r="CX45" s="234">
        <f t="shared" ca="1" si="50"/>
        <v>0</v>
      </c>
      <c r="CY45" s="234">
        <f t="shared" ca="1" si="50"/>
        <v>0</v>
      </c>
      <c r="CZ45" s="234">
        <f t="shared" ca="1" si="50"/>
        <v>0</v>
      </c>
      <c r="DA45" s="234">
        <f t="shared" ca="1" si="50"/>
        <v>0</v>
      </c>
      <c r="DB45" s="234">
        <f t="shared" ca="1" si="50"/>
        <v>0</v>
      </c>
      <c r="DC45" s="234">
        <f t="shared" ca="1" si="50"/>
        <v>0</v>
      </c>
      <c r="DE45" s="254"/>
    </row>
    <row r="46" spans="1:112" hidden="1">
      <c r="A46" s="124">
        <v>34</v>
      </c>
      <c r="B46" s="205" t="str">
        <f t="shared" ca="1" si="12"/>
        <v>E.1.1.</v>
      </c>
      <c r="C46" s="129" t="str">
        <f t="shared" ca="1" si="13"/>
        <v>Ambasados Singapūre įsteigimas</v>
      </c>
      <c r="D46" s="144"/>
      <c r="E46" s="148">
        <f t="shared" ca="1" si="14"/>
        <v>0</v>
      </c>
      <c r="F46" s="139">
        <f ca="1">H46+NPV(FD,I46:INDEX(I46:DC46,PAL))</f>
        <v>1730000</v>
      </c>
      <c r="G46" s="140">
        <f ca="1">SUMIF($H$5:$DC$5,"&lt;="&amp;PAL,$H46:$DC46)</f>
        <v>1730000</v>
      </c>
      <c r="H46" s="138">
        <f t="shared" ref="H46:X46" ca="1" si="51">OFFSET(INDIRECT("'"&amp;Opt_alt&amp;"'!H12"),$A46,H$5)*$DF46</f>
        <v>1730000</v>
      </c>
      <c r="I46" s="138">
        <f t="shared" ca="1" si="51"/>
        <v>0</v>
      </c>
      <c r="J46" s="138">
        <f t="shared" ca="1" si="51"/>
        <v>0</v>
      </c>
      <c r="K46" s="138">
        <f t="shared" ca="1" si="51"/>
        <v>0</v>
      </c>
      <c r="L46" s="138">
        <f t="shared" ca="1" si="51"/>
        <v>0</v>
      </c>
      <c r="M46" s="138">
        <f t="shared" ca="1" si="51"/>
        <v>0</v>
      </c>
      <c r="N46" s="138">
        <f t="shared" ca="1" si="51"/>
        <v>0</v>
      </c>
      <c r="O46" s="138">
        <f t="shared" ca="1" si="51"/>
        <v>0</v>
      </c>
      <c r="P46" s="138">
        <f t="shared" ca="1" si="51"/>
        <v>0</v>
      </c>
      <c r="Q46" s="138">
        <f t="shared" ca="1" si="51"/>
        <v>0</v>
      </c>
      <c r="R46" s="138">
        <f t="shared" ca="1" si="51"/>
        <v>0</v>
      </c>
      <c r="S46" s="138">
        <f t="shared" ca="1" si="51"/>
        <v>0</v>
      </c>
      <c r="T46" s="138">
        <f t="shared" ca="1" si="51"/>
        <v>0</v>
      </c>
      <c r="U46" s="138">
        <f t="shared" ca="1" si="51"/>
        <v>0</v>
      </c>
      <c r="V46" s="138">
        <f t="shared" ca="1" si="51"/>
        <v>0</v>
      </c>
      <c r="W46" s="138">
        <f t="shared" ca="1" si="51"/>
        <v>0</v>
      </c>
      <c r="X46" s="138">
        <f t="shared" ca="1" si="51"/>
        <v>0</v>
      </c>
      <c r="Y46" s="138">
        <f t="shared" ref="Y46:AN55" ca="1" si="52">OFFSET(INDIRECT("'"&amp;Opt_alt&amp;"'!H12"),$A46,Y$5)*$DF46</f>
        <v>0</v>
      </c>
      <c r="Z46" s="138">
        <f t="shared" ca="1" si="52"/>
        <v>0</v>
      </c>
      <c r="AA46" s="138">
        <f t="shared" ca="1" si="52"/>
        <v>0</v>
      </c>
      <c r="AB46" s="138">
        <f t="shared" ca="1" si="52"/>
        <v>0</v>
      </c>
      <c r="AC46" s="138">
        <f t="shared" ca="1" si="52"/>
        <v>0</v>
      </c>
      <c r="AD46" s="138">
        <f t="shared" ca="1" si="52"/>
        <v>0</v>
      </c>
      <c r="AE46" s="138">
        <f t="shared" ca="1" si="52"/>
        <v>0</v>
      </c>
      <c r="AF46" s="138">
        <f t="shared" ca="1" si="52"/>
        <v>0</v>
      </c>
      <c r="AG46" s="138">
        <f t="shared" ca="1" si="52"/>
        <v>0</v>
      </c>
      <c r="AH46" s="138">
        <f t="shared" ca="1" si="52"/>
        <v>0</v>
      </c>
      <c r="AI46" s="138">
        <f t="shared" ca="1" si="52"/>
        <v>0</v>
      </c>
      <c r="AJ46" s="138">
        <f t="shared" ca="1" si="52"/>
        <v>0</v>
      </c>
      <c r="AK46" s="138">
        <f t="shared" ca="1" si="52"/>
        <v>0</v>
      </c>
      <c r="AL46" s="138">
        <f t="shared" ca="1" si="52"/>
        <v>0</v>
      </c>
      <c r="AM46" s="138">
        <f t="shared" ca="1" si="52"/>
        <v>0</v>
      </c>
      <c r="AN46" s="138">
        <f t="shared" ca="1" si="52"/>
        <v>0</v>
      </c>
      <c r="AO46" s="138">
        <f t="shared" ref="AO46:BD55" ca="1" si="53">OFFSET(INDIRECT("'"&amp;Opt_alt&amp;"'!H12"),$A46,AO$5)*$DF46</f>
        <v>0</v>
      </c>
      <c r="AP46" s="138">
        <f t="shared" ca="1" si="53"/>
        <v>0</v>
      </c>
      <c r="AQ46" s="138">
        <f t="shared" ca="1" si="53"/>
        <v>0</v>
      </c>
      <c r="AR46" s="138">
        <f t="shared" ca="1" si="53"/>
        <v>0</v>
      </c>
      <c r="AS46" s="138">
        <f t="shared" ca="1" si="53"/>
        <v>0</v>
      </c>
      <c r="AT46" s="138">
        <f t="shared" ca="1" si="53"/>
        <v>0</v>
      </c>
      <c r="AU46" s="138">
        <f t="shared" ca="1" si="53"/>
        <v>0</v>
      </c>
      <c r="AV46" s="138">
        <f t="shared" ca="1" si="53"/>
        <v>0</v>
      </c>
      <c r="AW46" s="138">
        <f t="shared" ca="1" si="53"/>
        <v>0</v>
      </c>
      <c r="AX46" s="138">
        <f t="shared" ca="1" si="53"/>
        <v>0</v>
      </c>
      <c r="AY46" s="138">
        <f t="shared" ca="1" si="53"/>
        <v>0</v>
      </c>
      <c r="AZ46" s="138">
        <f t="shared" ca="1" si="53"/>
        <v>0</v>
      </c>
      <c r="BA46" s="138">
        <f t="shared" ca="1" si="53"/>
        <v>0</v>
      </c>
      <c r="BB46" s="138">
        <f t="shared" ca="1" si="53"/>
        <v>0</v>
      </c>
      <c r="BC46" s="138">
        <f t="shared" ca="1" si="53"/>
        <v>0</v>
      </c>
      <c r="BD46" s="138">
        <f t="shared" ca="1" si="53"/>
        <v>0</v>
      </c>
      <c r="BE46" s="138">
        <f t="shared" ref="BE46:BT55" ca="1" si="54">OFFSET(INDIRECT("'"&amp;Opt_alt&amp;"'!H12"),$A46,BE$5)*$DF46</f>
        <v>0</v>
      </c>
      <c r="BF46" s="138">
        <f t="shared" ca="1" si="54"/>
        <v>0</v>
      </c>
      <c r="BG46" s="138">
        <f t="shared" ca="1" si="54"/>
        <v>0</v>
      </c>
      <c r="BH46" s="138">
        <f t="shared" ca="1" si="54"/>
        <v>0</v>
      </c>
      <c r="BI46" s="138">
        <f t="shared" ca="1" si="54"/>
        <v>0</v>
      </c>
      <c r="BJ46" s="138">
        <f t="shared" ca="1" si="54"/>
        <v>0</v>
      </c>
      <c r="BK46" s="138">
        <f t="shared" ca="1" si="54"/>
        <v>0</v>
      </c>
      <c r="BL46" s="138">
        <f t="shared" ca="1" si="54"/>
        <v>0</v>
      </c>
      <c r="BM46" s="138">
        <f t="shared" ca="1" si="54"/>
        <v>0</v>
      </c>
      <c r="BN46" s="138">
        <f t="shared" ca="1" si="54"/>
        <v>0</v>
      </c>
      <c r="BO46" s="138">
        <f t="shared" ca="1" si="54"/>
        <v>0</v>
      </c>
      <c r="BP46" s="138">
        <f t="shared" ca="1" si="54"/>
        <v>0</v>
      </c>
      <c r="BQ46" s="138">
        <f t="shared" ca="1" si="54"/>
        <v>0</v>
      </c>
      <c r="BR46" s="138">
        <f t="shared" ca="1" si="54"/>
        <v>0</v>
      </c>
      <c r="BS46" s="138">
        <f t="shared" ca="1" si="54"/>
        <v>0</v>
      </c>
      <c r="BT46" s="138">
        <f t="shared" ca="1" si="54"/>
        <v>0</v>
      </c>
      <c r="BU46" s="138">
        <f t="shared" ref="BU46:CJ55" ca="1" si="55">OFFSET(INDIRECT("'"&amp;Opt_alt&amp;"'!H12"),$A46,BU$5)*$DF46</f>
        <v>0</v>
      </c>
      <c r="BV46" s="138">
        <f t="shared" ca="1" si="55"/>
        <v>0</v>
      </c>
      <c r="BW46" s="138">
        <f t="shared" ca="1" si="55"/>
        <v>0</v>
      </c>
      <c r="BX46" s="138">
        <f t="shared" ca="1" si="55"/>
        <v>0</v>
      </c>
      <c r="BY46" s="138">
        <f t="shared" ca="1" si="55"/>
        <v>0</v>
      </c>
      <c r="BZ46" s="138">
        <f t="shared" ca="1" si="55"/>
        <v>0</v>
      </c>
      <c r="CA46" s="138">
        <f t="shared" ca="1" si="55"/>
        <v>0</v>
      </c>
      <c r="CB46" s="138">
        <f t="shared" ca="1" si="55"/>
        <v>0</v>
      </c>
      <c r="CC46" s="138">
        <f t="shared" ca="1" si="55"/>
        <v>0</v>
      </c>
      <c r="CD46" s="138">
        <f t="shared" ca="1" si="55"/>
        <v>0</v>
      </c>
      <c r="CE46" s="138">
        <f t="shared" ca="1" si="55"/>
        <v>0</v>
      </c>
      <c r="CF46" s="138">
        <f t="shared" ca="1" si="55"/>
        <v>0</v>
      </c>
      <c r="CG46" s="138">
        <f t="shared" ca="1" si="55"/>
        <v>0</v>
      </c>
      <c r="CH46" s="138">
        <f t="shared" ca="1" si="55"/>
        <v>0</v>
      </c>
      <c r="CI46" s="138">
        <f t="shared" ca="1" si="55"/>
        <v>0</v>
      </c>
      <c r="CJ46" s="138">
        <f t="shared" ca="1" si="55"/>
        <v>0</v>
      </c>
      <c r="CK46" s="138">
        <f t="shared" ref="CK46:CZ55" ca="1" si="56">OFFSET(INDIRECT("'"&amp;Opt_alt&amp;"'!H12"),$A46,CK$5)*$DF46</f>
        <v>0</v>
      </c>
      <c r="CL46" s="138">
        <f t="shared" ca="1" si="56"/>
        <v>0</v>
      </c>
      <c r="CM46" s="138">
        <f t="shared" ca="1" si="56"/>
        <v>0</v>
      </c>
      <c r="CN46" s="138">
        <f t="shared" ca="1" si="56"/>
        <v>0</v>
      </c>
      <c r="CO46" s="138">
        <f t="shared" ca="1" si="56"/>
        <v>0</v>
      </c>
      <c r="CP46" s="138">
        <f t="shared" ca="1" si="56"/>
        <v>0</v>
      </c>
      <c r="CQ46" s="138">
        <f t="shared" ca="1" si="56"/>
        <v>0</v>
      </c>
      <c r="CR46" s="138">
        <f t="shared" ca="1" si="56"/>
        <v>0</v>
      </c>
      <c r="CS46" s="138">
        <f t="shared" ca="1" si="56"/>
        <v>0</v>
      </c>
      <c r="CT46" s="138">
        <f t="shared" ca="1" si="56"/>
        <v>0</v>
      </c>
      <c r="CU46" s="138">
        <f t="shared" ca="1" si="56"/>
        <v>0</v>
      </c>
      <c r="CV46" s="138">
        <f t="shared" ca="1" si="56"/>
        <v>0</v>
      </c>
      <c r="CW46" s="138">
        <f t="shared" ca="1" si="56"/>
        <v>0</v>
      </c>
      <c r="CX46" s="138">
        <f t="shared" ca="1" si="56"/>
        <v>0</v>
      </c>
      <c r="CY46" s="138">
        <f t="shared" ca="1" si="56"/>
        <v>0</v>
      </c>
      <c r="CZ46" s="138">
        <f t="shared" ca="1" si="56"/>
        <v>0</v>
      </c>
      <c r="DA46" s="138">
        <f t="shared" ref="DA46:DC55" ca="1" si="57">OFFSET(INDIRECT("'"&amp;Opt_alt&amp;"'!H12"),$A46,DA$5)*$DF46</f>
        <v>0</v>
      </c>
      <c r="DB46" s="138">
        <f t="shared" ca="1" si="57"/>
        <v>0</v>
      </c>
      <c r="DC46" s="138">
        <f t="shared" ca="1" si="57"/>
        <v>0</v>
      </c>
      <c r="DE46" s="254" t="str">
        <f t="shared" ca="1" si="24"/>
        <v>E.1.1.</v>
      </c>
      <c r="DF46">
        <f t="shared" ref="DF46:DF55" ca="1" si="58">VLOOKUP(DE46,scenarijai,$DF$6,FALSE)</f>
        <v>1</v>
      </c>
      <c r="DG46">
        <f t="shared" ref="DG46:DG55" ca="1" si="59">OFFSET(INDIRECT("'"&amp;Opt_alt&amp;"'!H12"),$A46,DG$5)</f>
        <v>0</v>
      </c>
      <c r="DH46">
        <v>0</v>
      </c>
    </row>
    <row r="47" spans="1:112" hidden="1">
      <c r="A47" s="124">
        <v>35</v>
      </c>
      <c r="B47" s="205" t="str">
        <f t="shared" ca="1" si="12"/>
        <v>E.1.2.</v>
      </c>
      <c r="C47" s="129" t="str">
        <f t="shared" ca="1" si="13"/>
        <v>Ambasadų kitose užsienio valstybėse įsteigimas (politinės/ekonominės svarbos scenarijus)</v>
      </c>
      <c r="D47" s="144"/>
      <c r="E47" s="148">
        <f t="shared" ca="1" si="14"/>
        <v>0</v>
      </c>
      <c r="F47" s="139">
        <f ca="1">H47+NPV(FD,I47:INDEX(I47:DC47,PAL))</f>
        <v>6807710.7988165673</v>
      </c>
      <c r="G47" s="140">
        <f ca="1">SUMIF($H$5:$DC$5,"&lt;="&amp;PAL,$H47:$DC47)</f>
        <v>7350800</v>
      </c>
      <c r="H47" s="138">
        <f t="shared" ref="H47:Q55" ca="1" si="60">OFFSET(INDIRECT("'"&amp;Opt_alt&amp;"'!H12"),$A47,H$5)*$DF47</f>
        <v>0</v>
      </c>
      <c r="I47" s="138">
        <f t="shared" ca="1" si="60"/>
        <v>3120500</v>
      </c>
      <c r="J47" s="138">
        <f t="shared" ca="1" si="60"/>
        <v>1307900</v>
      </c>
      <c r="K47" s="138">
        <f t="shared" ca="1" si="60"/>
        <v>2922399.9999999995</v>
      </c>
      <c r="L47" s="138">
        <f t="shared" ca="1" si="60"/>
        <v>0</v>
      </c>
      <c r="M47" s="138">
        <f t="shared" ca="1" si="60"/>
        <v>0</v>
      </c>
      <c r="N47" s="138">
        <f t="shared" ca="1" si="60"/>
        <v>0</v>
      </c>
      <c r="O47" s="138">
        <f t="shared" ca="1" si="60"/>
        <v>0</v>
      </c>
      <c r="P47" s="138">
        <f t="shared" ca="1" si="60"/>
        <v>0</v>
      </c>
      <c r="Q47" s="138">
        <f t="shared" ca="1" si="60"/>
        <v>0</v>
      </c>
      <c r="R47" s="138">
        <f t="shared" ref="R47:X55" ca="1" si="61">OFFSET(INDIRECT("'"&amp;Opt_alt&amp;"'!H12"),$A47,R$5)*$DF47</f>
        <v>0</v>
      </c>
      <c r="S47" s="138">
        <f t="shared" ca="1" si="61"/>
        <v>0</v>
      </c>
      <c r="T47" s="138">
        <f t="shared" ca="1" si="61"/>
        <v>0</v>
      </c>
      <c r="U47" s="138">
        <f t="shared" ca="1" si="61"/>
        <v>0</v>
      </c>
      <c r="V47" s="138">
        <f t="shared" ca="1" si="61"/>
        <v>0</v>
      </c>
      <c r="W47" s="138">
        <f t="shared" ca="1" si="61"/>
        <v>0</v>
      </c>
      <c r="X47" s="138">
        <f t="shared" ca="1" si="61"/>
        <v>0</v>
      </c>
      <c r="Y47" s="138">
        <f t="shared" ca="1" si="52"/>
        <v>0</v>
      </c>
      <c r="Z47" s="138">
        <f t="shared" ca="1" si="52"/>
        <v>0</v>
      </c>
      <c r="AA47" s="138">
        <f t="shared" ca="1" si="52"/>
        <v>0</v>
      </c>
      <c r="AB47" s="138">
        <f t="shared" ca="1" si="52"/>
        <v>0</v>
      </c>
      <c r="AC47" s="138">
        <f t="shared" ca="1" si="52"/>
        <v>0</v>
      </c>
      <c r="AD47" s="138">
        <f t="shared" ca="1" si="52"/>
        <v>0</v>
      </c>
      <c r="AE47" s="138">
        <f t="shared" ca="1" si="52"/>
        <v>0</v>
      </c>
      <c r="AF47" s="138">
        <f t="shared" ca="1" si="52"/>
        <v>0</v>
      </c>
      <c r="AG47" s="138">
        <f t="shared" ca="1" si="52"/>
        <v>0</v>
      </c>
      <c r="AH47" s="138">
        <f t="shared" ca="1" si="52"/>
        <v>0</v>
      </c>
      <c r="AI47" s="138">
        <f t="shared" ca="1" si="52"/>
        <v>0</v>
      </c>
      <c r="AJ47" s="138">
        <f t="shared" ca="1" si="52"/>
        <v>0</v>
      </c>
      <c r="AK47" s="138">
        <f t="shared" ca="1" si="52"/>
        <v>0</v>
      </c>
      <c r="AL47" s="138">
        <f t="shared" ca="1" si="52"/>
        <v>0</v>
      </c>
      <c r="AM47" s="138">
        <f t="shared" ca="1" si="52"/>
        <v>0</v>
      </c>
      <c r="AN47" s="138">
        <f t="shared" ca="1" si="52"/>
        <v>0</v>
      </c>
      <c r="AO47" s="138">
        <f t="shared" ca="1" si="53"/>
        <v>0</v>
      </c>
      <c r="AP47" s="138">
        <f t="shared" ca="1" si="53"/>
        <v>0</v>
      </c>
      <c r="AQ47" s="138">
        <f t="shared" ca="1" si="53"/>
        <v>0</v>
      </c>
      <c r="AR47" s="138">
        <f t="shared" ca="1" si="53"/>
        <v>0</v>
      </c>
      <c r="AS47" s="138">
        <f t="shared" ca="1" si="53"/>
        <v>0</v>
      </c>
      <c r="AT47" s="138">
        <f t="shared" ca="1" si="53"/>
        <v>0</v>
      </c>
      <c r="AU47" s="138">
        <f t="shared" ca="1" si="53"/>
        <v>0</v>
      </c>
      <c r="AV47" s="138">
        <f t="shared" ca="1" si="53"/>
        <v>0</v>
      </c>
      <c r="AW47" s="138">
        <f t="shared" ca="1" si="53"/>
        <v>0</v>
      </c>
      <c r="AX47" s="138">
        <f t="shared" ca="1" si="53"/>
        <v>0</v>
      </c>
      <c r="AY47" s="138">
        <f t="shared" ca="1" si="53"/>
        <v>0</v>
      </c>
      <c r="AZ47" s="138">
        <f t="shared" ca="1" si="53"/>
        <v>0</v>
      </c>
      <c r="BA47" s="138">
        <f t="shared" ca="1" si="53"/>
        <v>0</v>
      </c>
      <c r="BB47" s="138">
        <f t="shared" ca="1" si="53"/>
        <v>0</v>
      </c>
      <c r="BC47" s="138">
        <f t="shared" ca="1" si="53"/>
        <v>0</v>
      </c>
      <c r="BD47" s="138">
        <f t="shared" ca="1" si="53"/>
        <v>0</v>
      </c>
      <c r="BE47" s="138">
        <f t="shared" ca="1" si="54"/>
        <v>0</v>
      </c>
      <c r="BF47" s="138">
        <f t="shared" ca="1" si="54"/>
        <v>0</v>
      </c>
      <c r="BG47" s="138">
        <f t="shared" ca="1" si="54"/>
        <v>0</v>
      </c>
      <c r="BH47" s="138">
        <f t="shared" ca="1" si="54"/>
        <v>0</v>
      </c>
      <c r="BI47" s="138">
        <f t="shared" ca="1" si="54"/>
        <v>0</v>
      </c>
      <c r="BJ47" s="138">
        <f t="shared" ca="1" si="54"/>
        <v>0</v>
      </c>
      <c r="BK47" s="138">
        <f t="shared" ca="1" si="54"/>
        <v>0</v>
      </c>
      <c r="BL47" s="138">
        <f t="shared" ca="1" si="54"/>
        <v>0</v>
      </c>
      <c r="BM47" s="138">
        <f t="shared" ca="1" si="54"/>
        <v>0</v>
      </c>
      <c r="BN47" s="138">
        <f t="shared" ca="1" si="54"/>
        <v>0</v>
      </c>
      <c r="BO47" s="138">
        <f t="shared" ca="1" si="54"/>
        <v>0</v>
      </c>
      <c r="BP47" s="138">
        <f t="shared" ca="1" si="54"/>
        <v>0</v>
      </c>
      <c r="BQ47" s="138">
        <f t="shared" ca="1" si="54"/>
        <v>0</v>
      </c>
      <c r="BR47" s="138">
        <f t="shared" ca="1" si="54"/>
        <v>0</v>
      </c>
      <c r="BS47" s="138">
        <f t="shared" ca="1" si="54"/>
        <v>0</v>
      </c>
      <c r="BT47" s="138">
        <f t="shared" ca="1" si="54"/>
        <v>0</v>
      </c>
      <c r="BU47" s="138">
        <f t="shared" ca="1" si="55"/>
        <v>0</v>
      </c>
      <c r="BV47" s="138">
        <f t="shared" ca="1" si="55"/>
        <v>0</v>
      </c>
      <c r="BW47" s="138">
        <f t="shared" ca="1" si="55"/>
        <v>0</v>
      </c>
      <c r="BX47" s="138">
        <f t="shared" ca="1" si="55"/>
        <v>0</v>
      </c>
      <c r="BY47" s="138">
        <f t="shared" ca="1" si="55"/>
        <v>0</v>
      </c>
      <c r="BZ47" s="138">
        <f t="shared" ca="1" si="55"/>
        <v>0</v>
      </c>
      <c r="CA47" s="138">
        <f t="shared" ca="1" si="55"/>
        <v>0</v>
      </c>
      <c r="CB47" s="138">
        <f t="shared" ca="1" si="55"/>
        <v>0</v>
      </c>
      <c r="CC47" s="138">
        <f t="shared" ca="1" si="55"/>
        <v>0</v>
      </c>
      <c r="CD47" s="138">
        <f t="shared" ca="1" si="55"/>
        <v>0</v>
      </c>
      <c r="CE47" s="138">
        <f t="shared" ca="1" si="55"/>
        <v>0</v>
      </c>
      <c r="CF47" s="138">
        <f t="shared" ca="1" si="55"/>
        <v>0</v>
      </c>
      <c r="CG47" s="138">
        <f t="shared" ca="1" si="55"/>
        <v>0</v>
      </c>
      <c r="CH47" s="138">
        <f t="shared" ca="1" si="55"/>
        <v>0</v>
      </c>
      <c r="CI47" s="138">
        <f t="shared" ca="1" si="55"/>
        <v>0</v>
      </c>
      <c r="CJ47" s="138">
        <f t="shared" ca="1" si="55"/>
        <v>0</v>
      </c>
      <c r="CK47" s="138">
        <f t="shared" ca="1" si="56"/>
        <v>0</v>
      </c>
      <c r="CL47" s="138">
        <f t="shared" ca="1" si="56"/>
        <v>0</v>
      </c>
      <c r="CM47" s="138">
        <f t="shared" ca="1" si="56"/>
        <v>0</v>
      </c>
      <c r="CN47" s="138">
        <f t="shared" ca="1" si="56"/>
        <v>0</v>
      </c>
      <c r="CO47" s="138">
        <f t="shared" ca="1" si="56"/>
        <v>0</v>
      </c>
      <c r="CP47" s="138">
        <f t="shared" ca="1" si="56"/>
        <v>0</v>
      </c>
      <c r="CQ47" s="138">
        <f t="shared" ca="1" si="56"/>
        <v>0</v>
      </c>
      <c r="CR47" s="138">
        <f t="shared" ca="1" si="56"/>
        <v>0</v>
      </c>
      <c r="CS47" s="138">
        <f t="shared" ca="1" si="56"/>
        <v>0</v>
      </c>
      <c r="CT47" s="138">
        <f t="shared" ca="1" si="56"/>
        <v>0</v>
      </c>
      <c r="CU47" s="138">
        <f t="shared" ca="1" si="56"/>
        <v>0</v>
      </c>
      <c r="CV47" s="138">
        <f t="shared" ca="1" si="56"/>
        <v>0</v>
      </c>
      <c r="CW47" s="138">
        <f t="shared" ca="1" si="56"/>
        <v>0</v>
      </c>
      <c r="CX47" s="138">
        <f t="shared" ca="1" si="56"/>
        <v>0</v>
      </c>
      <c r="CY47" s="138">
        <f t="shared" ca="1" si="56"/>
        <v>0</v>
      </c>
      <c r="CZ47" s="138">
        <f t="shared" ca="1" si="56"/>
        <v>0</v>
      </c>
      <c r="DA47" s="138">
        <f t="shared" ca="1" si="57"/>
        <v>0</v>
      </c>
      <c r="DB47" s="138">
        <f t="shared" ca="1" si="57"/>
        <v>0</v>
      </c>
      <c r="DC47" s="138">
        <f t="shared" ca="1" si="57"/>
        <v>0</v>
      </c>
      <c r="DE47" s="254" t="str">
        <f t="shared" ca="1" si="24"/>
        <v>E.1.2.</v>
      </c>
      <c r="DF47">
        <f t="shared" ca="1" si="58"/>
        <v>1</v>
      </c>
      <c r="DG47">
        <f t="shared" ca="1" si="59"/>
        <v>0</v>
      </c>
      <c r="DH47">
        <v>0</v>
      </c>
    </row>
    <row r="48" spans="1:112" ht="28.8" hidden="1">
      <c r="A48" s="124">
        <v>36</v>
      </c>
      <c r="B48" s="205" t="str">
        <f t="shared" ca="1" si="12"/>
        <v>E.1.3.</v>
      </c>
      <c r="C48" s="129" t="str">
        <f t="shared" ca="1" si="13"/>
        <v>Valstybės veiklos tarptautinėse organizacijose pozicijų derinimo, stebėsenos sistemos sukūrimas</v>
      </c>
      <c r="D48" s="144"/>
      <c r="E48" s="148">
        <f t="shared" ca="1" si="14"/>
        <v>0.21</v>
      </c>
      <c r="F48" s="139">
        <f ca="1">H48+NPV(FD,I48:INDEX(I48:DC48,PAL))</f>
        <v>555516.04460628121</v>
      </c>
      <c r="G48" s="140">
        <f ca="1">SUMIF($H$5:$DC$5,"&lt;="&amp;PAL,$H48:$DC48)</f>
        <v>600000</v>
      </c>
      <c r="H48" s="138">
        <f t="shared" ca="1" si="60"/>
        <v>0</v>
      </c>
      <c r="I48" s="138">
        <f t="shared" ca="1" si="60"/>
        <v>50000</v>
      </c>
      <c r="J48" s="138">
        <f t="shared" ca="1" si="60"/>
        <v>520000</v>
      </c>
      <c r="K48" s="138">
        <f t="shared" ca="1" si="60"/>
        <v>30000</v>
      </c>
      <c r="L48" s="138">
        <f t="shared" ca="1" si="60"/>
        <v>0</v>
      </c>
      <c r="M48" s="138">
        <f t="shared" ca="1" si="60"/>
        <v>0</v>
      </c>
      <c r="N48" s="138">
        <f t="shared" ca="1" si="60"/>
        <v>0</v>
      </c>
      <c r="O48" s="138">
        <f t="shared" ca="1" si="60"/>
        <v>0</v>
      </c>
      <c r="P48" s="138">
        <f t="shared" ca="1" si="60"/>
        <v>0</v>
      </c>
      <c r="Q48" s="138">
        <f t="shared" ca="1" si="60"/>
        <v>0</v>
      </c>
      <c r="R48" s="138">
        <f t="shared" ca="1" si="61"/>
        <v>0</v>
      </c>
      <c r="S48" s="138">
        <f t="shared" ca="1" si="61"/>
        <v>0</v>
      </c>
      <c r="T48" s="138">
        <f t="shared" ca="1" si="61"/>
        <v>0</v>
      </c>
      <c r="U48" s="138">
        <f t="shared" ca="1" si="61"/>
        <v>0</v>
      </c>
      <c r="V48" s="138">
        <f t="shared" ca="1" si="61"/>
        <v>0</v>
      </c>
      <c r="W48" s="138">
        <f t="shared" ca="1" si="61"/>
        <v>0</v>
      </c>
      <c r="X48" s="138">
        <f t="shared" ca="1" si="61"/>
        <v>0</v>
      </c>
      <c r="Y48" s="138">
        <f t="shared" ca="1" si="52"/>
        <v>0</v>
      </c>
      <c r="Z48" s="138">
        <f t="shared" ca="1" si="52"/>
        <v>0</v>
      </c>
      <c r="AA48" s="138">
        <f t="shared" ca="1" si="52"/>
        <v>0</v>
      </c>
      <c r="AB48" s="138">
        <f t="shared" ca="1" si="52"/>
        <v>0</v>
      </c>
      <c r="AC48" s="138">
        <f t="shared" ca="1" si="52"/>
        <v>0</v>
      </c>
      <c r="AD48" s="138">
        <f t="shared" ca="1" si="52"/>
        <v>0</v>
      </c>
      <c r="AE48" s="138">
        <f t="shared" ca="1" si="52"/>
        <v>0</v>
      </c>
      <c r="AF48" s="138">
        <f t="shared" ca="1" si="52"/>
        <v>0</v>
      </c>
      <c r="AG48" s="138">
        <f t="shared" ca="1" si="52"/>
        <v>0</v>
      </c>
      <c r="AH48" s="138">
        <f t="shared" ca="1" si="52"/>
        <v>0</v>
      </c>
      <c r="AI48" s="138">
        <f t="shared" ca="1" si="52"/>
        <v>0</v>
      </c>
      <c r="AJ48" s="138">
        <f t="shared" ca="1" si="52"/>
        <v>0</v>
      </c>
      <c r="AK48" s="138">
        <f t="shared" ca="1" si="52"/>
        <v>0</v>
      </c>
      <c r="AL48" s="138">
        <f t="shared" ca="1" si="52"/>
        <v>0</v>
      </c>
      <c r="AM48" s="138">
        <f t="shared" ca="1" si="52"/>
        <v>0</v>
      </c>
      <c r="AN48" s="138">
        <f t="shared" ca="1" si="52"/>
        <v>0</v>
      </c>
      <c r="AO48" s="138">
        <f t="shared" ca="1" si="53"/>
        <v>0</v>
      </c>
      <c r="AP48" s="138">
        <f t="shared" ca="1" si="53"/>
        <v>0</v>
      </c>
      <c r="AQ48" s="138">
        <f t="shared" ca="1" si="53"/>
        <v>0</v>
      </c>
      <c r="AR48" s="138">
        <f t="shared" ca="1" si="53"/>
        <v>0</v>
      </c>
      <c r="AS48" s="138">
        <f t="shared" ca="1" si="53"/>
        <v>0</v>
      </c>
      <c r="AT48" s="138">
        <f t="shared" ca="1" si="53"/>
        <v>0</v>
      </c>
      <c r="AU48" s="138">
        <f t="shared" ca="1" si="53"/>
        <v>0</v>
      </c>
      <c r="AV48" s="138">
        <f t="shared" ca="1" si="53"/>
        <v>0</v>
      </c>
      <c r="AW48" s="138">
        <f t="shared" ca="1" si="53"/>
        <v>0</v>
      </c>
      <c r="AX48" s="138">
        <f t="shared" ca="1" si="53"/>
        <v>0</v>
      </c>
      <c r="AY48" s="138">
        <f t="shared" ca="1" si="53"/>
        <v>0</v>
      </c>
      <c r="AZ48" s="138">
        <f t="shared" ca="1" si="53"/>
        <v>0</v>
      </c>
      <c r="BA48" s="138">
        <f t="shared" ca="1" si="53"/>
        <v>0</v>
      </c>
      <c r="BB48" s="138">
        <f t="shared" ca="1" si="53"/>
        <v>0</v>
      </c>
      <c r="BC48" s="138">
        <f t="shared" ca="1" si="53"/>
        <v>0</v>
      </c>
      <c r="BD48" s="138">
        <f t="shared" ca="1" si="53"/>
        <v>0</v>
      </c>
      <c r="BE48" s="138">
        <f t="shared" ca="1" si="54"/>
        <v>0</v>
      </c>
      <c r="BF48" s="138">
        <f t="shared" ca="1" si="54"/>
        <v>0</v>
      </c>
      <c r="BG48" s="138">
        <f t="shared" ca="1" si="54"/>
        <v>0</v>
      </c>
      <c r="BH48" s="138">
        <f t="shared" ca="1" si="54"/>
        <v>0</v>
      </c>
      <c r="BI48" s="138">
        <f t="shared" ca="1" si="54"/>
        <v>0</v>
      </c>
      <c r="BJ48" s="138">
        <f t="shared" ca="1" si="54"/>
        <v>0</v>
      </c>
      <c r="BK48" s="138">
        <f t="shared" ca="1" si="54"/>
        <v>0</v>
      </c>
      <c r="BL48" s="138">
        <f t="shared" ca="1" si="54"/>
        <v>0</v>
      </c>
      <c r="BM48" s="138">
        <f t="shared" ca="1" si="54"/>
        <v>0</v>
      </c>
      <c r="BN48" s="138">
        <f t="shared" ca="1" si="54"/>
        <v>0</v>
      </c>
      <c r="BO48" s="138">
        <f t="shared" ca="1" si="54"/>
        <v>0</v>
      </c>
      <c r="BP48" s="138">
        <f t="shared" ca="1" si="54"/>
        <v>0</v>
      </c>
      <c r="BQ48" s="138">
        <f t="shared" ca="1" si="54"/>
        <v>0</v>
      </c>
      <c r="BR48" s="138">
        <f t="shared" ca="1" si="54"/>
        <v>0</v>
      </c>
      <c r="BS48" s="138">
        <f t="shared" ca="1" si="54"/>
        <v>0</v>
      </c>
      <c r="BT48" s="138">
        <f t="shared" ca="1" si="54"/>
        <v>0</v>
      </c>
      <c r="BU48" s="138">
        <f t="shared" ca="1" si="55"/>
        <v>0</v>
      </c>
      <c r="BV48" s="138">
        <f t="shared" ca="1" si="55"/>
        <v>0</v>
      </c>
      <c r="BW48" s="138">
        <f t="shared" ca="1" si="55"/>
        <v>0</v>
      </c>
      <c r="BX48" s="138">
        <f t="shared" ca="1" si="55"/>
        <v>0</v>
      </c>
      <c r="BY48" s="138">
        <f t="shared" ca="1" si="55"/>
        <v>0</v>
      </c>
      <c r="BZ48" s="138">
        <f t="shared" ca="1" si="55"/>
        <v>0</v>
      </c>
      <c r="CA48" s="138">
        <f t="shared" ca="1" si="55"/>
        <v>0</v>
      </c>
      <c r="CB48" s="138">
        <f t="shared" ca="1" si="55"/>
        <v>0</v>
      </c>
      <c r="CC48" s="138">
        <f t="shared" ca="1" si="55"/>
        <v>0</v>
      </c>
      <c r="CD48" s="138">
        <f t="shared" ca="1" si="55"/>
        <v>0</v>
      </c>
      <c r="CE48" s="138">
        <f t="shared" ca="1" si="55"/>
        <v>0</v>
      </c>
      <c r="CF48" s="138">
        <f t="shared" ca="1" si="55"/>
        <v>0</v>
      </c>
      <c r="CG48" s="138">
        <f t="shared" ca="1" si="55"/>
        <v>0</v>
      </c>
      <c r="CH48" s="138">
        <f t="shared" ca="1" si="55"/>
        <v>0</v>
      </c>
      <c r="CI48" s="138">
        <f t="shared" ca="1" si="55"/>
        <v>0</v>
      </c>
      <c r="CJ48" s="138">
        <f t="shared" ca="1" si="55"/>
        <v>0</v>
      </c>
      <c r="CK48" s="138">
        <f t="shared" ca="1" si="56"/>
        <v>0</v>
      </c>
      <c r="CL48" s="138">
        <f t="shared" ca="1" si="56"/>
        <v>0</v>
      </c>
      <c r="CM48" s="138">
        <f t="shared" ca="1" si="56"/>
        <v>0</v>
      </c>
      <c r="CN48" s="138">
        <f t="shared" ca="1" si="56"/>
        <v>0</v>
      </c>
      <c r="CO48" s="138">
        <f t="shared" ca="1" si="56"/>
        <v>0</v>
      </c>
      <c r="CP48" s="138">
        <f t="shared" ca="1" si="56"/>
        <v>0</v>
      </c>
      <c r="CQ48" s="138">
        <f t="shared" ca="1" si="56"/>
        <v>0</v>
      </c>
      <c r="CR48" s="138">
        <f t="shared" ca="1" si="56"/>
        <v>0</v>
      </c>
      <c r="CS48" s="138">
        <f t="shared" ca="1" si="56"/>
        <v>0</v>
      </c>
      <c r="CT48" s="138">
        <f t="shared" ca="1" si="56"/>
        <v>0</v>
      </c>
      <c r="CU48" s="138">
        <f t="shared" ca="1" si="56"/>
        <v>0</v>
      </c>
      <c r="CV48" s="138">
        <f t="shared" ca="1" si="56"/>
        <v>0</v>
      </c>
      <c r="CW48" s="138">
        <f t="shared" ca="1" si="56"/>
        <v>0</v>
      </c>
      <c r="CX48" s="138">
        <f t="shared" ca="1" si="56"/>
        <v>0</v>
      </c>
      <c r="CY48" s="138">
        <f t="shared" ca="1" si="56"/>
        <v>0</v>
      </c>
      <c r="CZ48" s="138">
        <f t="shared" ca="1" si="56"/>
        <v>0</v>
      </c>
      <c r="DA48" s="138">
        <f t="shared" ca="1" si="57"/>
        <v>0</v>
      </c>
      <c r="DB48" s="138">
        <f t="shared" ca="1" si="57"/>
        <v>0</v>
      </c>
      <c r="DC48" s="138">
        <f t="shared" ca="1" si="57"/>
        <v>0</v>
      </c>
      <c r="DE48" s="254" t="str">
        <f t="shared" ca="1" si="24"/>
        <v>E.1.3.</v>
      </c>
      <c r="DF48">
        <f t="shared" ca="1" si="58"/>
        <v>1</v>
      </c>
      <c r="DG48">
        <f t="shared" ca="1" si="59"/>
        <v>21</v>
      </c>
      <c r="DH48">
        <v>0</v>
      </c>
    </row>
    <row r="49" spans="1:112" hidden="1">
      <c r="A49" s="124">
        <v>37</v>
      </c>
      <c r="B49" s="205" t="str">
        <f t="shared" ca="1" si="12"/>
        <v>E.1.4.</v>
      </c>
      <c r="C49" s="129" t="str">
        <f t="shared" ca="1" si="13"/>
        <v/>
      </c>
      <c r="D49" s="144"/>
      <c r="E49" s="148">
        <f t="shared" ca="1" si="14"/>
        <v>0.21</v>
      </c>
      <c r="F49" s="139">
        <f ca="1">H49+NPV(FD,I49:INDEX(I49:DC49,PAL))</f>
        <v>0</v>
      </c>
      <c r="G49" s="140">
        <f ca="1">SUMIF($H$5:$DC$5,"&lt;="&amp;PAL,$H49:$DC49)</f>
        <v>0</v>
      </c>
      <c r="H49" s="138">
        <f t="shared" ca="1" si="60"/>
        <v>0</v>
      </c>
      <c r="I49" s="138">
        <f t="shared" ca="1" si="60"/>
        <v>0</v>
      </c>
      <c r="J49" s="138">
        <f t="shared" ca="1" si="60"/>
        <v>0</v>
      </c>
      <c r="K49" s="138">
        <f t="shared" ca="1" si="60"/>
        <v>0</v>
      </c>
      <c r="L49" s="138">
        <f t="shared" ca="1" si="60"/>
        <v>0</v>
      </c>
      <c r="M49" s="138">
        <f t="shared" ca="1" si="60"/>
        <v>0</v>
      </c>
      <c r="N49" s="138">
        <f t="shared" ca="1" si="60"/>
        <v>0</v>
      </c>
      <c r="O49" s="138">
        <f t="shared" ca="1" si="60"/>
        <v>0</v>
      </c>
      <c r="P49" s="138">
        <f t="shared" ca="1" si="60"/>
        <v>0</v>
      </c>
      <c r="Q49" s="138">
        <f t="shared" ca="1" si="60"/>
        <v>0</v>
      </c>
      <c r="R49" s="138">
        <f t="shared" ca="1" si="61"/>
        <v>0</v>
      </c>
      <c r="S49" s="138">
        <f t="shared" ca="1" si="61"/>
        <v>0</v>
      </c>
      <c r="T49" s="138">
        <f t="shared" ca="1" si="61"/>
        <v>0</v>
      </c>
      <c r="U49" s="138">
        <f t="shared" ca="1" si="61"/>
        <v>0</v>
      </c>
      <c r="V49" s="138">
        <f t="shared" ca="1" si="61"/>
        <v>0</v>
      </c>
      <c r="W49" s="138">
        <f t="shared" ca="1" si="61"/>
        <v>0</v>
      </c>
      <c r="X49" s="138">
        <f t="shared" ca="1" si="61"/>
        <v>0</v>
      </c>
      <c r="Y49" s="138">
        <f t="shared" ca="1" si="52"/>
        <v>0</v>
      </c>
      <c r="Z49" s="138">
        <f t="shared" ca="1" si="52"/>
        <v>0</v>
      </c>
      <c r="AA49" s="138">
        <f t="shared" ca="1" si="52"/>
        <v>0</v>
      </c>
      <c r="AB49" s="138">
        <f t="shared" ca="1" si="52"/>
        <v>0</v>
      </c>
      <c r="AC49" s="138">
        <f t="shared" ca="1" si="52"/>
        <v>0</v>
      </c>
      <c r="AD49" s="138">
        <f t="shared" ca="1" si="52"/>
        <v>0</v>
      </c>
      <c r="AE49" s="138">
        <f t="shared" ca="1" si="52"/>
        <v>0</v>
      </c>
      <c r="AF49" s="138">
        <f t="shared" ca="1" si="52"/>
        <v>0</v>
      </c>
      <c r="AG49" s="138">
        <f t="shared" ca="1" si="52"/>
        <v>0</v>
      </c>
      <c r="AH49" s="138">
        <f t="shared" ca="1" si="52"/>
        <v>0</v>
      </c>
      <c r="AI49" s="138">
        <f t="shared" ca="1" si="52"/>
        <v>0</v>
      </c>
      <c r="AJ49" s="138">
        <f t="shared" ca="1" si="52"/>
        <v>0</v>
      </c>
      <c r="AK49" s="138">
        <f t="shared" ca="1" si="52"/>
        <v>0</v>
      </c>
      <c r="AL49" s="138">
        <f t="shared" ca="1" si="52"/>
        <v>0</v>
      </c>
      <c r="AM49" s="138">
        <f t="shared" ca="1" si="52"/>
        <v>0</v>
      </c>
      <c r="AN49" s="138">
        <f t="shared" ca="1" si="52"/>
        <v>0</v>
      </c>
      <c r="AO49" s="138">
        <f t="shared" ca="1" si="53"/>
        <v>0</v>
      </c>
      <c r="AP49" s="138">
        <f t="shared" ca="1" si="53"/>
        <v>0</v>
      </c>
      <c r="AQ49" s="138">
        <f t="shared" ca="1" si="53"/>
        <v>0</v>
      </c>
      <c r="AR49" s="138">
        <f t="shared" ca="1" si="53"/>
        <v>0</v>
      </c>
      <c r="AS49" s="138">
        <f t="shared" ca="1" si="53"/>
        <v>0</v>
      </c>
      <c r="AT49" s="138">
        <f t="shared" ca="1" si="53"/>
        <v>0</v>
      </c>
      <c r="AU49" s="138">
        <f t="shared" ca="1" si="53"/>
        <v>0</v>
      </c>
      <c r="AV49" s="138">
        <f t="shared" ca="1" si="53"/>
        <v>0</v>
      </c>
      <c r="AW49" s="138">
        <f t="shared" ca="1" si="53"/>
        <v>0</v>
      </c>
      <c r="AX49" s="138">
        <f t="shared" ca="1" si="53"/>
        <v>0</v>
      </c>
      <c r="AY49" s="138">
        <f t="shared" ca="1" si="53"/>
        <v>0</v>
      </c>
      <c r="AZ49" s="138">
        <f t="shared" ca="1" si="53"/>
        <v>0</v>
      </c>
      <c r="BA49" s="138">
        <f t="shared" ca="1" si="53"/>
        <v>0</v>
      </c>
      <c r="BB49" s="138">
        <f t="shared" ca="1" si="53"/>
        <v>0</v>
      </c>
      <c r="BC49" s="138">
        <f t="shared" ca="1" si="53"/>
        <v>0</v>
      </c>
      <c r="BD49" s="138">
        <f t="shared" ca="1" si="53"/>
        <v>0</v>
      </c>
      <c r="BE49" s="138">
        <f t="shared" ca="1" si="54"/>
        <v>0</v>
      </c>
      <c r="BF49" s="138">
        <f t="shared" ca="1" si="54"/>
        <v>0</v>
      </c>
      <c r="BG49" s="138">
        <f t="shared" ca="1" si="54"/>
        <v>0</v>
      </c>
      <c r="BH49" s="138">
        <f t="shared" ca="1" si="54"/>
        <v>0</v>
      </c>
      <c r="BI49" s="138">
        <f t="shared" ca="1" si="54"/>
        <v>0</v>
      </c>
      <c r="BJ49" s="138">
        <f t="shared" ca="1" si="54"/>
        <v>0</v>
      </c>
      <c r="BK49" s="138">
        <f t="shared" ca="1" si="54"/>
        <v>0</v>
      </c>
      <c r="BL49" s="138">
        <f t="shared" ca="1" si="54"/>
        <v>0</v>
      </c>
      <c r="BM49" s="138">
        <f t="shared" ca="1" si="54"/>
        <v>0</v>
      </c>
      <c r="BN49" s="138">
        <f t="shared" ca="1" si="54"/>
        <v>0</v>
      </c>
      <c r="BO49" s="138">
        <f t="shared" ca="1" si="54"/>
        <v>0</v>
      </c>
      <c r="BP49" s="138">
        <f t="shared" ca="1" si="54"/>
        <v>0</v>
      </c>
      <c r="BQ49" s="138">
        <f t="shared" ca="1" si="54"/>
        <v>0</v>
      </c>
      <c r="BR49" s="138">
        <f t="shared" ca="1" si="54"/>
        <v>0</v>
      </c>
      <c r="BS49" s="138">
        <f t="shared" ca="1" si="54"/>
        <v>0</v>
      </c>
      <c r="BT49" s="138">
        <f t="shared" ca="1" si="54"/>
        <v>0</v>
      </c>
      <c r="BU49" s="138">
        <f t="shared" ca="1" si="55"/>
        <v>0</v>
      </c>
      <c r="BV49" s="138">
        <f t="shared" ca="1" si="55"/>
        <v>0</v>
      </c>
      <c r="BW49" s="138">
        <f t="shared" ca="1" si="55"/>
        <v>0</v>
      </c>
      <c r="BX49" s="138">
        <f t="shared" ca="1" si="55"/>
        <v>0</v>
      </c>
      <c r="BY49" s="138">
        <f t="shared" ca="1" si="55"/>
        <v>0</v>
      </c>
      <c r="BZ49" s="138">
        <f t="shared" ca="1" si="55"/>
        <v>0</v>
      </c>
      <c r="CA49" s="138">
        <f t="shared" ca="1" si="55"/>
        <v>0</v>
      </c>
      <c r="CB49" s="138">
        <f t="shared" ca="1" si="55"/>
        <v>0</v>
      </c>
      <c r="CC49" s="138">
        <f t="shared" ca="1" si="55"/>
        <v>0</v>
      </c>
      <c r="CD49" s="138">
        <f t="shared" ca="1" si="55"/>
        <v>0</v>
      </c>
      <c r="CE49" s="138">
        <f t="shared" ca="1" si="55"/>
        <v>0</v>
      </c>
      <c r="CF49" s="138">
        <f t="shared" ca="1" si="55"/>
        <v>0</v>
      </c>
      <c r="CG49" s="138">
        <f t="shared" ca="1" si="55"/>
        <v>0</v>
      </c>
      <c r="CH49" s="138">
        <f t="shared" ca="1" si="55"/>
        <v>0</v>
      </c>
      <c r="CI49" s="138">
        <f t="shared" ca="1" si="55"/>
        <v>0</v>
      </c>
      <c r="CJ49" s="138">
        <f t="shared" ca="1" si="55"/>
        <v>0</v>
      </c>
      <c r="CK49" s="138">
        <f t="shared" ca="1" si="56"/>
        <v>0</v>
      </c>
      <c r="CL49" s="138">
        <f t="shared" ca="1" si="56"/>
        <v>0</v>
      </c>
      <c r="CM49" s="138">
        <f t="shared" ca="1" si="56"/>
        <v>0</v>
      </c>
      <c r="CN49" s="138">
        <f t="shared" ca="1" si="56"/>
        <v>0</v>
      </c>
      <c r="CO49" s="138">
        <f t="shared" ca="1" si="56"/>
        <v>0</v>
      </c>
      <c r="CP49" s="138">
        <f t="shared" ca="1" si="56"/>
        <v>0</v>
      </c>
      <c r="CQ49" s="138">
        <f t="shared" ca="1" si="56"/>
        <v>0</v>
      </c>
      <c r="CR49" s="138">
        <f t="shared" ca="1" si="56"/>
        <v>0</v>
      </c>
      <c r="CS49" s="138">
        <f t="shared" ca="1" si="56"/>
        <v>0</v>
      </c>
      <c r="CT49" s="138">
        <f t="shared" ca="1" si="56"/>
        <v>0</v>
      </c>
      <c r="CU49" s="138">
        <f t="shared" ca="1" si="56"/>
        <v>0</v>
      </c>
      <c r="CV49" s="138">
        <f t="shared" ca="1" si="56"/>
        <v>0</v>
      </c>
      <c r="CW49" s="138">
        <f t="shared" ca="1" si="56"/>
        <v>0</v>
      </c>
      <c r="CX49" s="138">
        <f t="shared" ca="1" si="56"/>
        <v>0</v>
      </c>
      <c r="CY49" s="138">
        <f t="shared" ca="1" si="56"/>
        <v>0</v>
      </c>
      <c r="CZ49" s="138">
        <f t="shared" ca="1" si="56"/>
        <v>0</v>
      </c>
      <c r="DA49" s="138">
        <f t="shared" ca="1" si="57"/>
        <v>0</v>
      </c>
      <c r="DB49" s="138">
        <f t="shared" ca="1" si="57"/>
        <v>0</v>
      </c>
      <c r="DC49" s="138">
        <f t="shared" ca="1" si="57"/>
        <v>0</v>
      </c>
      <c r="DE49" s="254" t="str">
        <f t="shared" ca="1" si="24"/>
        <v>E.1.4.</v>
      </c>
      <c r="DF49">
        <f t="shared" ca="1" si="58"/>
        <v>1</v>
      </c>
      <c r="DG49">
        <f t="shared" ca="1" si="59"/>
        <v>21</v>
      </c>
      <c r="DH49">
        <v>0</v>
      </c>
    </row>
    <row r="50" spans="1:112" hidden="1">
      <c r="A50" s="124">
        <v>38</v>
      </c>
      <c r="B50" s="205" t="str">
        <f t="shared" ca="1" si="12"/>
        <v>E.1.5.</v>
      </c>
      <c r="C50" s="129" t="str">
        <f t="shared" ca="1" si="13"/>
        <v/>
      </c>
      <c r="D50" s="144"/>
      <c r="E50" s="148">
        <f t="shared" ca="1" si="14"/>
        <v>0</v>
      </c>
      <c r="F50" s="139">
        <f ca="1">H50+NPV(FD,I50:INDEX(I50:DC50,PAL))</f>
        <v>0</v>
      </c>
      <c r="G50" s="140">
        <f ca="1">SUMIF($H$5:$DC$5,"&lt;="&amp;PAL,$H50:$DC50)</f>
        <v>0</v>
      </c>
      <c r="H50" s="138">
        <f t="shared" ca="1" si="60"/>
        <v>0</v>
      </c>
      <c r="I50" s="138">
        <f t="shared" ca="1" si="60"/>
        <v>0</v>
      </c>
      <c r="J50" s="138">
        <f t="shared" ca="1" si="60"/>
        <v>0</v>
      </c>
      <c r="K50" s="138">
        <f t="shared" ca="1" si="60"/>
        <v>0</v>
      </c>
      <c r="L50" s="138">
        <f t="shared" ca="1" si="60"/>
        <v>0</v>
      </c>
      <c r="M50" s="138">
        <f t="shared" ca="1" si="60"/>
        <v>0</v>
      </c>
      <c r="N50" s="138">
        <f t="shared" ca="1" si="60"/>
        <v>0</v>
      </c>
      <c r="O50" s="138">
        <f t="shared" ca="1" si="60"/>
        <v>0</v>
      </c>
      <c r="P50" s="138">
        <f t="shared" ca="1" si="60"/>
        <v>0</v>
      </c>
      <c r="Q50" s="138">
        <f t="shared" ca="1" si="60"/>
        <v>0</v>
      </c>
      <c r="R50" s="138">
        <f t="shared" ca="1" si="61"/>
        <v>0</v>
      </c>
      <c r="S50" s="138">
        <f t="shared" ca="1" si="61"/>
        <v>0</v>
      </c>
      <c r="T50" s="138">
        <f t="shared" ca="1" si="61"/>
        <v>0</v>
      </c>
      <c r="U50" s="138">
        <f t="shared" ca="1" si="61"/>
        <v>0</v>
      </c>
      <c r="V50" s="138">
        <f t="shared" ca="1" si="61"/>
        <v>0</v>
      </c>
      <c r="W50" s="138">
        <f t="shared" ca="1" si="61"/>
        <v>0</v>
      </c>
      <c r="X50" s="138">
        <f t="shared" ca="1" si="61"/>
        <v>0</v>
      </c>
      <c r="Y50" s="138">
        <f t="shared" ca="1" si="52"/>
        <v>0</v>
      </c>
      <c r="Z50" s="138">
        <f t="shared" ca="1" si="52"/>
        <v>0</v>
      </c>
      <c r="AA50" s="138">
        <f t="shared" ca="1" si="52"/>
        <v>0</v>
      </c>
      <c r="AB50" s="138">
        <f t="shared" ca="1" si="52"/>
        <v>0</v>
      </c>
      <c r="AC50" s="138">
        <f t="shared" ca="1" si="52"/>
        <v>0</v>
      </c>
      <c r="AD50" s="138">
        <f t="shared" ca="1" si="52"/>
        <v>0</v>
      </c>
      <c r="AE50" s="138">
        <f t="shared" ca="1" si="52"/>
        <v>0</v>
      </c>
      <c r="AF50" s="138">
        <f t="shared" ca="1" si="52"/>
        <v>0</v>
      </c>
      <c r="AG50" s="138">
        <f t="shared" ca="1" si="52"/>
        <v>0</v>
      </c>
      <c r="AH50" s="138">
        <f t="shared" ca="1" si="52"/>
        <v>0</v>
      </c>
      <c r="AI50" s="138">
        <f t="shared" ca="1" si="52"/>
        <v>0</v>
      </c>
      <c r="AJ50" s="138">
        <f t="shared" ca="1" si="52"/>
        <v>0</v>
      </c>
      <c r="AK50" s="138">
        <f t="shared" ca="1" si="52"/>
        <v>0</v>
      </c>
      <c r="AL50" s="138">
        <f t="shared" ca="1" si="52"/>
        <v>0</v>
      </c>
      <c r="AM50" s="138">
        <f t="shared" ca="1" si="52"/>
        <v>0</v>
      </c>
      <c r="AN50" s="138">
        <f t="shared" ca="1" si="52"/>
        <v>0</v>
      </c>
      <c r="AO50" s="138">
        <f t="shared" ca="1" si="53"/>
        <v>0</v>
      </c>
      <c r="AP50" s="138">
        <f t="shared" ca="1" si="53"/>
        <v>0</v>
      </c>
      <c r="AQ50" s="138">
        <f t="shared" ca="1" si="53"/>
        <v>0</v>
      </c>
      <c r="AR50" s="138">
        <f t="shared" ca="1" si="53"/>
        <v>0</v>
      </c>
      <c r="AS50" s="138">
        <f t="shared" ca="1" si="53"/>
        <v>0</v>
      </c>
      <c r="AT50" s="138">
        <f t="shared" ca="1" si="53"/>
        <v>0</v>
      </c>
      <c r="AU50" s="138">
        <f t="shared" ca="1" si="53"/>
        <v>0</v>
      </c>
      <c r="AV50" s="138">
        <f t="shared" ca="1" si="53"/>
        <v>0</v>
      </c>
      <c r="AW50" s="138">
        <f t="shared" ca="1" si="53"/>
        <v>0</v>
      </c>
      <c r="AX50" s="138">
        <f t="shared" ca="1" si="53"/>
        <v>0</v>
      </c>
      <c r="AY50" s="138">
        <f t="shared" ca="1" si="53"/>
        <v>0</v>
      </c>
      <c r="AZ50" s="138">
        <f t="shared" ca="1" si="53"/>
        <v>0</v>
      </c>
      <c r="BA50" s="138">
        <f t="shared" ca="1" si="53"/>
        <v>0</v>
      </c>
      <c r="BB50" s="138">
        <f t="shared" ca="1" si="53"/>
        <v>0</v>
      </c>
      <c r="BC50" s="138">
        <f t="shared" ca="1" si="53"/>
        <v>0</v>
      </c>
      <c r="BD50" s="138">
        <f t="shared" ca="1" si="53"/>
        <v>0</v>
      </c>
      <c r="BE50" s="138">
        <f t="shared" ca="1" si="54"/>
        <v>0</v>
      </c>
      <c r="BF50" s="138">
        <f t="shared" ca="1" si="54"/>
        <v>0</v>
      </c>
      <c r="BG50" s="138">
        <f t="shared" ca="1" si="54"/>
        <v>0</v>
      </c>
      <c r="BH50" s="138">
        <f t="shared" ca="1" si="54"/>
        <v>0</v>
      </c>
      <c r="BI50" s="138">
        <f t="shared" ca="1" si="54"/>
        <v>0</v>
      </c>
      <c r="BJ50" s="138">
        <f t="shared" ca="1" si="54"/>
        <v>0</v>
      </c>
      <c r="BK50" s="138">
        <f t="shared" ca="1" si="54"/>
        <v>0</v>
      </c>
      <c r="BL50" s="138">
        <f t="shared" ca="1" si="54"/>
        <v>0</v>
      </c>
      <c r="BM50" s="138">
        <f t="shared" ca="1" si="54"/>
        <v>0</v>
      </c>
      <c r="BN50" s="138">
        <f t="shared" ca="1" si="54"/>
        <v>0</v>
      </c>
      <c r="BO50" s="138">
        <f t="shared" ca="1" si="54"/>
        <v>0</v>
      </c>
      <c r="BP50" s="138">
        <f t="shared" ca="1" si="54"/>
        <v>0</v>
      </c>
      <c r="BQ50" s="138">
        <f t="shared" ca="1" si="54"/>
        <v>0</v>
      </c>
      <c r="BR50" s="138">
        <f t="shared" ca="1" si="54"/>
        <v>0</v>
      </c>
      <c r="BS50" s="138">
        <f t="shared" ca="1" si="54"/>
        <v>0</v>
      </c>
      <c r="BT50" s="138">
        <f t="shared" ca="1" si="54"/>
        <v>0</v>
      </c>
      <c r="BU50" s="138">
        <f t="shared" ca="1" si="55"/>
        <v>0</v>
      </c>
      <c r="BV50" s="138">
        <f t="shared" ca="1" si="55"/>
        <v>0</v>
      </c>
      <c r="BW50" s="138">
        <f t="shared" ca="1" si="55"/>
        <v>0</v>
      </c>
      <c r="BX50" s="138">
        <f t="shared" ca="1" si="55"/>
        <v>0</v>
      </c>
      <c r="BY50" s="138">
        <f t="shared" ca="1" si="55"/>
        <v>0</v>
      </c>
      <c r="BZ50" s="138">
        <f t="shared" ca="1" si="55"/>
        <v>0</v>
      </c>
      <c r="CA50" s="138">
        <f t="shared" ca="1" si="55"/>
        <v>0</v>
      </c>
      <c r="CB50" s="138">
        <f t="shared" ca="1" si="55"/>
        <v>0</v>
      </c>
      <c r="CC50" s="138">
        <f t="shared" ca="1" si="55"/>
        <v>0</v>
      </c>
      <c r="CD50" s="138">
        <f t="shared" ca="1" si="55"/>
        <v>0</v>
      </c>
      <c r="CE50" s="138">
        <f t="shared" ca="1" si="55"/>
        <v>0</v>
      </c>
      <c r="CF50" s="138">
        <f t="shared" ca="1" si="55"/>
        <v>0</v>
      </c>
      <c r="CG50" s="138">
        <f t="shared" ca="1" si="55"/>
        <v>0</v>
      </c>
      <c r="CH50" s="138">
        <f t="shared" ca="1" si="55"/>
        <v>0</v>
      </c>
      <c r="CI50" s="138">
        <f t="shared" ca="1" si="55"/>
        <v>0</v>
      </c>
      <c r="CJ50" s="138">
        <f t="shared" ca="1" si="55"/>
        <v>0</v>
      </c>
      <c r="CK50" s="138">
        <f t="shared" ca="1" si="56"/>
        <v>0</v>
      </c>
      <c r="CL50" s="138">
        <f t="shared" ca="1" si="56"/>
        <v>0</v>
      </c>
      <c r="CM50" s="138">
        <f t="shared" ca="1" si="56"/>
        <v>0</v>
      </c>
      <c r="CN50" s="138">
        <f t="shared" ca="1" si="56"/>
        <v>0</v>
      </c>
      <c r="CO50" s="138">
        <f t="shared" ca="1" si="56"/>
        <v>0</v>
      </c>
      <c r="CP50" s="138">
        <f t="shared" ca="1" si="56"/>
        <v>0</v>
      </c>
      <c r="CQ50" s="138">
        <f t="shared" ca="1" si="56"/>
        <v>0</v>
      </c>
      <c r="CR50" s="138">
        <f t="shared" ca="1" si="56"/>
        <v>0</v>
      </c>
      <c r="CS50" s="138">
        <f t="shared" ca="1" si="56"/>
        <v>0</v>
      </c>
      <c r="CT50" s="138">
        <f t="shared" ca="1" si="56"/>
        <v>0</v>
      </c>
      <c r="CU50" s="138">
        <f t="shared" ca="1" si="56"/>
        <v>0</v>
      </c>
      <c r="CV50" s="138">
        <f t="shared" ca="1" si="56"/>
        <v>0</v>
      </c>
      <c r="CW50" s="138">
        <f t="shared" ca="1" si="56"/>
        <v>0</v>
      </c>
      <c r="CX50" s="138">
        <f t="shared" ca="1" si="56"/>
        <v>0</v>
      </c>
      <c r="CY50" s="138">
        <f t="shared" ca="1" si="56"/>
        <v>0</v>
      </c>
      <c r="CZ50" s="138">
        <f t="shared" ca="1" si="56"/>
        <v>0</v>
      </c>
      <c r="DA50" s="138">
        <f t="shared" ca="1" si="57"/>
        <v>0</v>
      </c>
      <c r="DB50" s="138">
        <f t="shared" ca="1" si="57"/>
        <v>0</v>
      </c>
      <c r="DC50" s="138">
        <f t="shared" ca="1" si="57"/>
        <v>0</v>
      </c>
      <c r="DE50" s="254" t="str">
        <f t="shared" ca="1" si="24"/>
        <v>E.1.5.</v>
      </c>
      <c r="DF50">
        <f t="shared" ca="1" si="58"/>
        <v>1</v>
      </c>
      <c r="DG50">
        <f t="shared" ca="1" si="59"/>
        <v>0</v>
      </c>
      <c r="DH50">
        <v>0</v>
      </c>
    </row>
    <row r="51" spans="1:112" hidden="1">
      <c r="A51" s="124">
        <v>39</v>
      </c>
      <c r="B51" s="205" t="str">
        <f t="shared" ca="1" si="12"/>
        <v>E.1.6.</v>
      </c>
      <c r="C51" s="129" t="str">
        <f t="shared" ca="1" si="13"/>
        <v/>
      </c>
      <c r="D51" s="144"/>
      <c r="E51" s="148">
        <f t="shared" ca="1" si="14"/>
        <v>0</v>
      </c>
      <c r="F51" s="139">
        <f ca="1">H51+NPV(FD,I51:INDEX(I51:DC51,PAL))</f>
        <v>0</v>
      </c>
      <c r="G51" s="140">
        <f ca="1">SUMIF($H$5:$DC$5,"&lt;="&amp;PAL,$H51:$DC51)</f>
        <v>0</v>
      </c>
      <c r="H51" s="138">
        <f t="shared" ca="1" si="60"/>
        <v>0</v>
      </c>
      <c r="I51" s="138">
        <f t="shared" ca="1" si="60"/>
        <v>0</v>
      </c>
      <c r="J51" s="138">
        <f t="shared" ca="1" si="60"/>
        <v>0</v>
      </c>
      <c r="K51" s="138">
        <f t="shared" ca="1" si="60"/>
        <v>0</v>
      </c>
      <c r="L51" s="138">
        <f t="shared" ca="1" si="60"/>
        <v>0</v>
      </c>
      <c r="M51" s="138">
        <f t="shared" ca="1" si="60"/>
        <v>0</v>
      </c>
      <c r="N51" s="138">
        <f t="shared" ca="1" si="60"/>
        <v>0</v>
      </c>
      <c r="O51" s="138">
        <f t="shared" ca="1" si="60"/>
        <v>0</v>
      </c>
      <c r="P51" s="138">
        <f t="shared" ca="1" si="60"/>
        <v>0</v>
      </c>
      <c r="Q51" s="138">
        <f t="shared" ca="1" si="60"/>
        <v>0</v>
      </c>
      <c r="R51" s="138">
        <f t="shared" ca="1" si="61"/>
        <v>0</v>
      </c>
      <c r="S51" s="138">
        <f t="shared" ca="1" si="61"/>
        <v>0</v>
      </c>
      <c r="T51" s="138">
        <f t="shared" ca="1" si="61"/>
        <v>0</v>
      </c>
      <c r="U51" s="138">
        <f t="shared" ca="1" si="61"/>
        <v>0</v>
      </c>
      <c r="V51" s="138">
        <f t="shared" ca="1" si="61"/>
        <v>0</v>
      </c>
      <c r="W51" s="138">
        <f t="shared" ca="1" si="61"/>
        <v>0</v>
      </c>
      <c r="X51" s="138">
        <f t="shared" ca="1" si="61"/>
        <v>0</v>
      </c>
      <c r="Y51" s="138">
        <f t="shared" ca="1" si="52"/>
        <v>0</v>
      </c>
      <c r="Z51" s="138">
        <f t="shared" ca="1" si="52"/>
        <v>0</v>
      </c>
      <c r="AA51" s="138">
        <f t="shared" ca="1" si="52"/>
        <v>0</v>
      </c>
      <c r="AB51" s="138">
        <f t="shared" ca="1" si="52"/>
        <v>0</v>
      </c>
      <c r="AC51" s="138">
        <f t="shared" ca="1" si="52"/>
        <v>0</v>
      </c>
      <c r="AD51" s="138">
        <f t="shared" ca="1" si="52"/>
        <v>0</v>
      </c>
      <c r="AE51" s="138">
        <f t="shared" ca="1" si="52"/>
        <v>0</v>
      </c>
      <c r="AF51" s="138">
        <f t="shared" ca="1" si="52"/>
        <v>0</v>
      </c>
      <c r="AG51" s="138">
        <f t="shared" ca="1" si="52"/>
        <v>0</v>
      </c>
      <c r="AH51" s="138">
        <f t="shared" ca="1" si="52"/>
        <v>0</v>
      </c>
      <c r="AI51" s="138">
        <f t="shared" ca="1" si="52"/>
        <v>0</v>
      </c>
      <c r="AJ51" s="138">
        <f t="shared" ca="1" si="52"/>
        <v>0</v>
      </c>
      <c r="AK51" s="138">
        <f t="shared" ca="1" si="52"/>
        <v>0</v>
      </c>
      <c r="AL51" s="138">
        <f t="shared" ca="1" si="52"/>
        <v>0</v>
      </c>
      <c r="AM51" s="138">
        <f t="shared" ca="1" si="52"/>
        <v>0</v>
      </c>
      <c r="AN51" s="138">
        <f t="shared" ca="1" si="52"/>
        <v>0</v>
      </c>
      <c r="AO51" s="138">
        <f t="shared" ca="1" si="53"/>
        <v>0</v>
      </c>
      <c r="AP51" s="138">
        <f t="shared" ca="1" si="53"/>
        <v>0</v>
      </c>
      <c r="AQ51" s="138">
        <f t="shared" ca="1" si="53"/>
        <v>0</v>
      </c>
      <c r="AR51" s="138">
        <f t="shared" ca="1" si="53"/>
        <v>0</v>
      </c>
      <c r="AS51" s="138">
        <f t="shared" ca="1" si="53"/>
        <v>0</v>
      </c>
      <c r="AT51" s="138">
        <f t="shared" ca="1" si="53"/>
        <v>0</v>
      </c>
      <c r="AU51" s="138">
        <f t="shared" ca="1" si="53"/>
        <v>0</v>
      </c>
      <c r="AV51" s="138">
        <f t="shared" ca="1" si="53"/>
        <v>0</v>
      </c>
      <c r="AW51" s="138">
        <f t="shared" ca="1" si="53"/>
        <v>0</v>
      </c>
      <c r="AX51" s="138">
        <f t="shared" ca="1" si="53"/>
        <v>0</v>
      </c>
      <c r="AY51" s="138">
        <f t="shared" ca="1" si="53"/>
        <v>0</v>
      </c>
      <c r="AZ51" s="138">
        <f t="shared" ca="1" si="53"/>
        <v>0</v>
      </c>
      <c r="BA51" s="138">
        <f t="shared" ca="1" si="53"/>
        <v>0</v>
      </c>
      <c r="BB51" s="138">
        <f t="shared" ca="1" si="53"/>
        <v>0</v>
      </c>
      <c r="BC51" s="138">
        <f t="shared" ca="1" si="53"/>
        <v>0</v>
      </c>
      <c r="BD51" s="138">
        <f t="shared" ca="1" si="53"/>
        <v>0</v>
      </c>
      <c r="BE51" s="138">
        <f t="shared" ca="1" si="54"/>
        <v>0</v>
      </c>
      <c r="BF51" s="138">
        <f t="shared" ca="1" si="54"/>
        <v>0</v>
      </c>
      <c r="BG51" s="138">
        <f t="shared" ca="1" si="54"/>
        <v>0</v>
      </c>
      <c r="BH51" s="138">
        <f t="shared" ca="1" si="54"/>
        <v>0</v>
      </c>
      <c r="BI51" s="138">
        <f t="shared" ca="1" si="54"/>
        <v>0</v>
      </c>
      <c r="BJ51" s="138">
        <f t="shared" ca="1" si="54"/>
        <v>0</v>
      </c>
      <c r="BK51" s="138">
        <f t="shared" ca="1" si="54"/>
        <v>0</v>
      </c>
      <c r="BL51" s="138">
        <f t="shared" ca="1" si="54"/>
        <v>0</v>
      </c>
      <c r="BM51" s="138">
        <f t="shared" ca="1" si="54"/>
        <v>0</v>
      </c>
      <c r="BN51" s="138">
        <f t="shared" ca="1" si="54"/>
        <v>0</v>
      </c>
      <c r="BO51" s="138">
        <f t="shared" ca="1" si="54"/>
        <v>0</v>
      </c>
      <c r="BP51" s="138">
        <f t="shared" ca="1" si="54"/>
        <v>0</v>
      </c>
      <c r="BQ51" s="138">
        <f t="shared" ca="1" si="54"/>
        <v>0</v>
      </c>
      <c r="BR51" s="138">
        <f t="shared" ca="1" si="54"/>
        <v>0</v>
      </c>
      <c r="BS51" s="138">
        <f t="shared" ca="1" si="54"/>
        <v>0</v>
      </c>
      <c r="BT51" s="138">
        <f t="shared" ca="1" si="54"/>
        <v>0</v>
      </c>
      <c r="BU51" s="138">
        <f t="shared" ca="1" si="55"/>
        <v>0</v>
      </c>
      <c r="BV51" s="138">
        <f t="shared" ca="1" si="55"/>
        <v>0</v>
      </c>
      <c r="BW51" s="138">
        <f t="shared" ca="1" si="55"/>
        <v>0</v>
      </c>
      <c r="BX51" s="138">
        <f t="shared" ca="1" si="55"/>
        <v>0</v>
      </c>
      <c r="BY51" s="138">
        <f t="shared" ca="1" si="55"/>
        <v>0</v>
      </c>
      <c r="BZ51" s="138">
        <f t="shared" ca="1" si="55"/>
        <v>0</v>
      </c>
      <c r="CA51" s="138">
        <f t="shared" ca="1" si="55"/>
        <v>0</v>
      </c>
      <c r="CB51" s="138">
        <f t="shared" ca="1" si="55"/>
        <v>0</v>
      </c>
      <c r="CC51" s="138">
        <f t="shared" ca="1" si="55"/>
        <v>0</v>
      </c>
      <c r="CD51" s="138">
        <f t="shared" ca="1" si="55"/>
        <v>0</v>
      </c>
      <c r="CE51" s="138">
        <f t="shared" ca="1" si="55"/>
        <v>0</v>
      </c>
      <c r="CF51" s="138">
        <f t="shared" ca="1" si="55"/>
        <v>0</v>
      </c>
      <c r="CG51" s="138">
        <f t="shared" ca="1" si="55"/>
        <v>0</v>
      </c>
      <c r="CH51" s="138">
        <f t="shared" ca="1" si="55"/>
        <v>0</v>
      </c>
      <c r="CI51" s="138">
        <f t="shared" ca="1" si="55"/>
        <v>0</v>
      </c>
      <c r="CJ51" s="138">
        <f t="shared" ca="1" si="55"/>
        <v>0</v>
      </c>
      <c r="CK51" s="138">
        <f t="shared" ca="1" si="56"/>
        <v>0</v>
      </c>
      <c r="CL51" s="138">
        <f t="shared" ca="1" si="56"/>
        <v>0</v>
      </c>
      <c r="CM51" s="138">
        <f t="shared" ca="1" si="56"/>
        <v>0</v>
      </c>
      <c r="CN51" s="138">
        <f t="shared" ca="1" si="56"/>
        <v>0</v>
      </c>
      <c r="CO51" s="138">
        <f t="shared" ca="1" si="56"/>
        <v>0</v>
      </c>
      <c r="CP51" s="138">
        <f t="shared" ca="1" si="56"/>
        <v>0</v>
      </c>
      <c r="CQ51" s="138">
        <f t="shared" ca="1" si="56"/>
        <v>0</v>
      </c>
      <c r="CR51" s="138">
        <f t="shared" ca="1" si="56"/>
        <v>0</v>
      </c>
      <c r="CS51" s="138">
        <f t="shared" ca="1" si="56"/>
        <v>0</v>
      </c>
      <c r="CT51" s="138">
        <f t="shared" ca="1" si="56"/>
        <v>0</v>
      </c>
      <c r="CU51" s="138">
        <f t="shared" ca="1" si="56"/>
        <v>0</v>
      </c>
      <c r="CV51" s="138">
        <f t="shared" ca="1" si="56"/>
        <v>0</v>
      </c>
      <c r="CW51" s="138">
        <f t="shared" ca="1" si="56"/>
        <v>0</v>
      </c>
      <c r="CX51" s="138">
        <f t="shared" ca="1" si="56"/>
        <v>0</v>
      </c>
      <c r="CY51" s="138">
        <f t="shared" ca="1" si="56"/>
        <v>0</v>
      </c>
      <c r="CZ51" s="138">
        <f t="shared" ca="1" si="56"/>
        <v>0</v>
      </c>
      <c r="DA51" s="138">
        <f t="shared" ca="1" si="57"/>
        <v>0</v>
      </c>
      <c r="DB51" s="138">
        <f t="shared" ca="1" si="57"/>
        <v>0</v>
      </c>
      <c r="DC51" s="138">
        <f t="shared" ca="1" si="57"/>
        <v>0</v>
      </c>
      <c r="DE51" s="254" t="str">
        <f t="shared" ca="1" si="24"/>
        <v>E.1.6.</v>
      </c>
      <c r="DF51">
        <f t="shared" ca="1" si="58"/>
        <v>1</v>
      </c>
      <c r="DG51">
        <f t="shared" ca="1" si="59"/>
        <v>0</v>
      </c>
      <c r="DH51">
        <v>0</v>
      </c>
    </row>
    <row r="52" spans="1:112" hidden="1">
      <c r="A52" s="124">
        <v>40</v>
      </c>
      <c r="B52" s="205" t="str">
        <f t="shared" ca="1" si="12"/>
        <v>E.1.7.</v>
      </c>
      <c r="C52" s="129" t="str">
        <f t="shared" ca="1" si="13"/>
        <v/>
      </c>
      <c r="D52" s="144"/>
      <c r="E52" s="148">
        <f t="shared" ca="1" si="14"/>
        <v>0</v>
      </c>
      <c r="F52" s="139">
        <f ca="1">H52+NPV(FD,I52:INDEX(I52:DC52,PAL))</f>
        <v>0</v>
      </c>
      <c r="G52" s="140">
        <f ca="1">SUMIF($H$5:$DC$5,"&lt;="&amp;PAL,$H52:$DC52)</f>
        <v>0</v>
      </c>
      <c r="H52" s="138">
        <f t="shared" ca="1" si="60"/>
        <v>0</v>
      </c>
      <c r="I52" s="138">
        <f t="shared" ca="1" si="60"/>
        <v>0</v>
      </c>
      <c r="J52" s="138">
        <f t="shared" ca="1" si="60"/>
        <v>0</v>
      </c>
      <c r="K52" s="138">
        <f t="shared" ca="1" si="60"/>
        <v>0</v>
      </c>
      <c r="L52" s="138">
        <f t="shared" ca="1" si="60"/>
        <v>0</v>
      </c>
      <c r="M52" s="138">
        <f t="shared" ca="1" si="60"/>
        <v>0</v>
      </c>
      <c r="N52" s="138">
        <f t="shared" ca="1" si="60"/>
        <v>0</v>
      </c>
      <c r="O52" s="138">
        <f t="shared" ca="1" si="60"/>
        <v>0</v>
      </c>
      <c r="P52" s="138">
        <f t="shared" ca="1" si="60"/>
        <v>0</v>
      </c>
      <c r="Q52" s="138">
        <f t="shared" ca="1" si="60"/>
        <v>0</v>
      </c>
      <c r="R52" s="138">
        <f t="shared" ca="1" si="61"/>
        <v>0</v>
      </c>
      <c r="S52" s="138">
        <f t="shared" ca="1" si="61"/>
        <v>0</v>
      </c>
      <c r="T52" s="138">
        <f t="shared" ca="1" si="61"/>
        <v>0</v>
      </c>
      <c r="U52" s="138">
        <f t="shared" ca="1" si="61"/>
        <v>0</v>
      </c>
      <c r="V52" s="138">
        <f t="shared" ca="1" si="61"/>
        <v>0</v>
      </c>
      <c r="W52" s="138">
        <f t="shared" ca="1" si="61"/>
        <v>0</v>
      </c>
      <c r="X52" s="138">
        <f t="shared" ca="1" si="61"/>
        <v>0</v>
      </c>
      <c r="Y52" s="138">
        <f t="shared" ca="1" si="52"/>
        <v>0</v>
      </c>
      <c r="Z52" s="138">
        <f t="shared" ca="1" si="52"/>
        <v>0</v>
      </c>
      <c r="AA52" s="138">
        <f t="shared" ca="1" si="52"/>
        <v>0</v>
      </c>
      <c r="AB52" s="138">
        <f t="shared" ca="1" si="52"/>
        <v>0</v>
      </c>
      <c r="AC52" s="138">
        <f t="shared" ca="1" si="52"/>
        <v>0</v>
      </c>
      <c r="AD52" s="138">
        <f t="shared" ca="1" si="52"/>
        <v>0</v>
      </c>
      <c r="AE52" s="138">
        <f t="shared" ca="1" si="52"/>
        <v>0</v>
      </c>
      <c r="AF52" s="138">
        <f t="shared" ca="1" si="52"/>
        <v>0</v>
      </c>
      <c r="AG52" s="138">
        <f t="shared" ca="1" si="52"/>
        <v>0</v>
      </c>
      <c r="AH52" s="138">
        <f t="shared" ca="1" si="52"/>
        <v>0</v>
      </c>
      <c r="AI52" s="138">
        <f t="shared" ca="1" si="52"/>
        <v>0</v>
      </c>
      <c r="AJ52" s="138">
        <f t="shared" ca="1" si="52"/>
        <v>0</v>
      </c>
      <c r="AK52" s="138">
        <f t="shared" ca="1" si="52"/>
        <v>0</v>
      </c>
      <c r="AL52" s="138">
        <f t="shared" ca="1" si="52"/>
        <v>0</v>
      </c>
      <c r="AM52" s="138">
        <f t="shared" ca="1" si="52"/>
        <v>0</v>
      </c>
      <c r="AN52" s="138">
        <f t="shared" ca="1" si="52"/>
        <v>0</v>
      </c>
      <c r="AO52" s="138">
        <f t="shared" ca="1" si="53"/>
        <v>0</v>
      </c>
      <c r="AP52" s="138">
        <f t="shared" ca="1" si="53"/>
        <v>0</v>
      </c>
      <c r="AQ52" s="138">
        <f t="shared" ca="1" si="53"/>
        <v>0</v>
      </c>
      <c r="AR52" s="138">
        <f t="shared" ca="1" si="53"/>
        <v>0</v>
      </c>
      <c r="AS52" s="138">
        <f t="shared" ca="1" si="53"/>
        <v>0</v>
      </c>
      <c r="AT52" s="138">
        <f t="shared" ca="1" si="53"/>
        <v>0</v>
      </c>
      <c r="AU52" s="138">
        <f t="shared" ca="1" si="53"/>
        <v>0</v>
      </c>
      <c r="AV52" s="138">
        <f t="shared" ca="1" si="53"/>
        <v>0</v>
      </c>
      <c r="AW52" s="138">
        <f t="shared" ca="1" si="53"/>
        <v>0</v>
      </c>
      <c r="AX52" s="138">
        <f t="shared" ca="1" si="53"/>
        <v>0</v>
      </c>
      <c r="AY52" s="138">
        <f t="shared" ca="1" si="53"/>
        <v>0</v>
      </c>
      <c r="AZ52" s="138">
        <f t="shared" ca="1" si="53"/>
        <v>0</v>
      </c>
      <c r="BA52" s="138">
        <f t="shared" ca="1" si="53"/>
        <v>0</v>
      </c>
      <c r="BB52" s="138">
        <f t="shared" ca="1" si="53"/>
        <v>0</v>
      </c>
      <c r="BC52" s="138">
        <f t="shared" ca="1" si="53"/>
        <v>0</v>
      </c>
      <c r="BD52" s="138">
        <f t="shared" ca="1" si="53"/>
        <v>0</v>
      </c>
      <c r="BE52" s="138">
        <f t="shared" ca="1" si="54"/>
        <v>0</v>
      </c>
      <c r="BF52" s="138">
        <f t="shared" ca="1" si="54"/>
        <v>0</v>
      </c>
      <c r="BG52" s="138">
        <f t="shared" ca="1" si="54"/>
        <v>0</v>
      </c>
      <c r="BH52" s="138">
        <f t="shared" ca="1" si="54"/>
        <v>0</v>
      </c>
      <c r="BI52" s="138">
        <f t="shared" ca="1" si="54"/>
        <v>0</v>
      </c>
      <c r="BJ52" s="138">
        <f t="shared" ca="1" si="54"/>
        <v>0</v>
      </c>
      <c r="BK52" s="138">
        <f t="shared" ca="1" si="54"/>
        <v>0</v>
      </c>
      <c r="BL52" s="138">
        <f t="shared" ca="1" si="54"/>
        <v>0</v>
      </c>
      <c r="BM52" s="138">
        <f t="shared" ca="1" si="54"/>
        <v>0</v>
      </c>
      <c r="BN52" s="138">
        <f t="shared" ca="1" si="54"/>
        <v>0</v>
      </c>
      <c r="BO52" s="138">
        <f t="shared" ca="1" si="54"/>
        <v>0</v>
      </c>
      <c r="BP52" s="138">
        <f t="shared" ca="1" si="54"/>
        <v>0</v>
      </c>
      <c r="BQ52" s="138">
        <f t="shared" ca="1" si="54"/>
        <v>0</v>
      </c>
      <c r="BR52" s="138">
        <f t="shared" ca="1" si="54"/>
        <v>0</v>
      </c>
      <c r="BS52" s="138">
        <f t="shared" ca="1" si="54"/>
        <v>0</v>
      </c>
      <c r="BT52" s="138">
        <f t="shared" ca="1" si="54"/>
        <v>0</v>
      </c>
      <c r="BU52" s="138">
        <f t="shared" ca="1" si="55"/>
        <v>0</v>
      </c>
      <c r="BV52" s="138">
        <f t="shared" ca="1" si="55"/>
        <v>0</v>
      </c>
      <c r="BW52" s="138">
        <f t="shared" ca="1" si="55"/>
        <v>0</v>
      </c>
      <c r="BX52" s="138">
        <f t="shared" ca="1" si="55"/>
        <v>0</v>
      </c>
      <c r="BY52" s="138">
        <f t="shared" ca="1" si="55"/>
        <v>0</v>
      </c>
      <c r="BZ52" s="138">
        <f t="shared" ca="1" si="55"/>
        <v>0</v>
      </c>
      <c r="CA52" s="138">
        <f t="shared" ca="1" si="55"/>
        <v>0</v>
      </c>
      <c r="CB52" s="138">
        <f t="shared" ca="1" si="55"/>
        <v>0</v>
      </c>
      <c r="CC52" s="138">
        <f t="shared" ca="1" si="55"/>
        <v>0</v>
      </c>
      <c r="CD52" s="138">
        <f t="shared" ca="1" si="55"/>
        <v>0</v>
      </c>
      <c r="CE52" s="138">
        <f t="shared" ca="1" si="55"/>
        <v>0</v>
      </c>
      <c r="CF52" s="138">
        <f t="shared" ca="1" si="55"/>
        <v>0</v>
      </c>
      <c r="CG52" s="138">
        <f t="shared" ca="1" si="55"/>
        <v>0</v>
      </c>
      <c r="CH52" s="138">
        <f t="shared" ca="1" si="55"/>
        <v>0</v>
      </c>
      <c r="CI52" s="138">
        <f t="shared" ca="1" si="55"/>
        <v>0</v>
      </c>
      <c r="CJ52" s="138">
        <f t="shared" ca="1" si="55"/>
        <v>0</v>
      </c>
      <c r="CK52" s="138">
        <f t="shared" ca="1" si="56"/>
        <v>0</v>
      </c>
      <c r="CL52" s="138">
        <f t="shared" ca="1" si="56"/>
        <v>0</v>
      </c>
      <c r="CM52" s="138">
        <f t="shared" ca="1" si="56"/>
        <v>0</v>
      </c>
      <c r="CN52" s="138">
        <f t="shared" ca="1" si="56"/>
        <v>0</v>
      </c>
      <c r="CO52" s="138">
        <f t="shared" ca="1" si="56"/>
        <v>0</v>
      </c>
      <c r="CP52" s="138">
        <f t="shared" ca="1" si="56"/>
        <v>0</v>
      </c>
      <c r="CQ52" s="138">
        <f t="shared" ca="1" si="56"/>
        <v>0</v>
      </c>
      <c r="CR52" s="138">
        <f t="shared" ca="1" si="56"/>
        <v>0</v>
      </c>
      <c r="CS52" s="138">
        <f t="shared" ca="1" si="56"/>
        <v>0</v>
      </c>
      <c r="CT52" s="138">
        <f t="shared" ca="1" si="56"/>
        <v>0</v>
      </c>
      <c r="CU52" s="138">
        <f t="shared" ca="1" si="56"/>
        <v>0</v>
      </c>
      <c r="CV52" s="138">
        <f t="shared" ca="1" si="56"/>
        <v>0</v>
      </c>
      <c r="CW52" s="138">
        <f t="shared" ca="1" si="56"/>
        <v>0</v>
      </c>
      <c r="CX52" s="138">
        <f t="shared" ca="1" si="56"/>
        <v>0</v>
      </c>
      <c r="CY52" s="138">
        <f t="shared" ca="1" si="56"/>
        <v>0</v>
      </c>
      <c r="CZ52" s="138">
        <f t="shared" ca="1" si="56"/>
        <v>0</v>
      </c>
      <c r="DA52" s="138">
        <f t="shared" ca="1" si="57"/>
        <v>0</v>
      </c>
      <c r="DB52" s="138">
        <f t="shared" ca="1" si="57"/>
        <v>0</v>
      </c>
      <c r="DC52" s="138">
        <f t="shared" ca="1" si="57"/>
        <v>0</v>
      </c>
      <c r="DE52" s="254" t="str">
        <f t="shared" ca="1" si="24"/>
        <v>E.1.7.</v>
      </c>
      <c r="DF52">
        <f t="shared" ca="1" si="58"/>
        <v>1</v>
      </c>
      <c r="DG52">
        <f t="shared" ca="1" si="59"/>
        <v>0</v>
      </c>
      <c r="DH52">
        <v>0</v>
      </c>
    </row>
    <row r="53" spans="1:112" hidden="1">
      <c r="A53" s="124">
        <v>41</v>
      </c>
      <c r="B53" s="205" t="str">
        <f t="shared" ca="1" si="12"/>
        <v>E.1.8.</v>
      </c>
      <c r="C53" s="129" t="str">
        <f t="shared" ca="1" si="13"/>
        <v>Veikla</v>
      </c>
      <c r="D53" s="144"/>
      <c r="E53" s="148">
        <f t="shared" ca="1" si="14"/>
        <v>0.21</v>
      </c>
      <c r="F53" s="139">
        <f ca="1">H53+NPV(FD,I53:INDEX(I53:DC53,PAL))</f>
        <v>0</v>
      </c>
      <c r="G53" s="140">
        <f ca="1">SUMIF($H$5:$DC$5,"&lt;="&amp;PAL,$H53:$DC53)</f>
        <v>0</v>
      </c>
      <c r="H53" s="138">
        <f t="shared" ca="1" si="60"/>
        <v>0</v>
      </c>
      <c r="I53" s="138">
        <f t="shared" ca="1" si="60"/>
        <v>0</v>
      </c>
      <c r="J53" s="138">
        <f t="shared" ca="1" si="60"/>
        <v>0</v>
      </c>
      <c r="K53" s="138">
        <f t="shared" ca="1" si="60"/>
        <v>0</v>
      </c>
      <c r="L53" s="138">
        <f t="shared" ca="1" si="60"/>
        <v>0</v>
      </c>
      <c r="M53" s="138">
        <f t="shared" ca="1" si="60"/>
        <v>0</v>
      </c>
      <c r="N53" s="138">
        <f t="shared" ca="1" si="60"/>
        <v>0</v>
      </c>
      <c r="O53" s="138">
        <f t="shared" ca="1" si="60"/>
        <v>0</v>
      </c>
      <c r="P53" s="138">
        <f t="shared" ca="1" si="60"/>
        <v>0</v>
      </c>
      <c r="Q53" s="138">
        <f t="shared" ca="1" si="60"/>
        <v>0</v>
      </c>
      <c r="R53" s="138">
        <f t="shared" ca="1" si="61"/>
        <v>0</v>
      </c>
      <c r="S53" s="138">
        <f t="shared" ca="1" si="61"/>
        <v>0</v>
      </c>
      <c r="T53" s="138">
        <f t="shared" ca="1" si="61"/>
        <v>0</v>
      </c>
      <c r="U53" s="138">
        <f t="shared" ca="1" si="61"/>
        <v>0</v>
      </c>
      <c r="V53" s="138">
        <f t="shared" ca="1" si="61"/>
        <v>0</v>
      </c>
      <c r="W53" s="138">
        <f t="shared" ca="1" si="61"/>
        <v>0</v>
      </c>
      <c r="X53" s="138">
        <f t="shared" ca="1" si="61"/>
        <v>0</v>
      </c>
      <c r="Y53" s="138">
        <f t="shared" ca="1" si="52"/>
        <v>0</v>
      </c>
      <c r="Z53" s="138">
        <f t="shared" ca="1" si="52"/>
        <v>0</v>
      </c>
      <c r="AA53" s="138">
        <f t="shared" ca="1" si="52"/>
        <v>0</v>
      </c>
      <c r="AB53" s="138">
        <f t="shared" ca="1" si="52"/>
        <v>0</v>
      </c>
      <c r="AC53" s="138">
        <f t="shared" ca="1" si="52"/>
        <v>0</v>
      </c>
      <c r="AD53" s="138">
        <f t="shared" ca="1" si="52"/>
        <v>0</v>
      </c>
      <c r="AE53" s="138">
        <f t="shared" ca="1" si="52"/>
        <v>0</v>
      </c>
      <c r="AF53" s="138">
        <f t="shared" ca="1" si="52"/>
        <v>0</v>
      </c>
      <c r="AG53" s="138">
        <f t="shared" ca="1" si="52"/>
        <v>0</v>
      </c>
      <c r="AH53" s="138">
        <f t="shared" ca="1" si="52"/>
        <v>0</v>
      </c>
      <c r="AI53" s="138">
        <f t="shared" ca="1" si="52"/>
        <v>0</v>
      </c>
      <c r="AJ53" s="138">
        <f t="shared" ca="1" si="52"/>
        <v>0</v>
      </c>
      <c r="AK53" s="138">
        <f t="shared" ca="1" si="52"/>
        <v>0</v>
      </c>
      <c r="AL53" s="138">
        <f t="shared" ca="1" si="52"/>
        <v>0</v>
      </c>
      <c r="AM53" s="138">
        <f t="shared" ca="1" si="52"/>
        <v>0</v>
      </c>
      <c r="AN53" s="138">
        <f t="shared" ca="1" si="52"/>
        <v>0</v>
      </c>
      <c r="AO53" s="138">
        <f t="shared" ca="1" si="53"/>
        <v>0</v>
      </c>
      <c r="AP53" s="138">
        <f t="shared" ca="1" si="53"/>
        <v>0</v>
      </c>
      <c r="AQ53" s="138">
        <f t="shared" ca="1" si="53"/>
        <v>0</v>
      </c>
      <c r="AR53" s="138">
        <f t="shared" ca="1" si="53"/>
        <v>0</v>
      </c>
      <c r="AS53" s="138">
        <f t="shared" ca="1" si="53"/>
        <v>0</v>
      </c>
      <c r="AT53" s="138">
        <f t="shared" ca="1" si="53"/>
        <v>0</v>
      </c>
      <c r="AU53" s="138">
        <f t="shared" ca="1" si="53"/>
        <v>0</v>
      </c>
      <c r="AV53" s="138">
        <f t="shared" ca="1" si="53"/>
        <v>0</v>
      </c>
      <c r="AW53" s="138">
        <f t="shared" ca="1" si="53"/>
        <v>0</v>
      </c>
      <c r="AX53" s="138">
        <f t="shared" ca="1" si="53"/>
        <v>0</v>
      </c>
      <c r="AY53" s="138">
        <f t="shared" ca="1" si="53"/>
        <v>0</v>
      </c>
      <c r="AZ53" s="138">
        <f t="shared" ca="1" si="53"/>
        <v>0</v>
      </c>
      <c r="BA53" s="138">
        <f t="shared" ca="1" si="53"/>
        <v>0</v>
      </c>
      <c r="BB53" s="138">
        <f t="shared" ca="1" si="53"/>
        <v>0</v>
      </c>
      <c r="BC53" s="138">
        <f t="shared" ca="1" si="53"/>
        <v>0</v>
      </c>
      <c r="BD53" s="138">
        <f t="shared" ca="1" si="53"/>
        <v>0</v>
      </c>
      <c r="BE53" s="138">
        <f t="shared" ca="1" si="54"/>
        <v>0</v>
      </c>
      <c r="BF53" s="138">
        <f t="shared" ca="1" si="54"/>
        <v>0</v>
      </c>
      <c r="BG53" s="138">
        <f t="shared" ca="1" si="54"/>
        <v>0</v>
      </c>
      <c r="BH53" s="138">
        <f t="shared" ca="1" si="54"/>
        <v>0</v>
      </c>
      <c r="BI53" s="138">
        <f t="shared" ca="1" si="54"/>
        <v>0</v>
      </c>
      <c r="BJ53" s="138">
        <f t="shared" ca="1" si="54"/>
        <v>0</v>
      </c>
      <c r="BK53" s="138">
        <f t="shared" ca="1" si="54"/>
        <v>0</v>
      </c>
      <c r="BL53" s="138">
        <f t="shared" ca="1" si="54"/>
        <v>0</v>
      </c>
      <c r="BM53" s="138">
        <f t="shared" ca="1" si="54"/>
        <v>0</v>
      </c>
      <c r="BN53" s="138">
        <f t="shared" ca="1" si="54"/>
        <v>0</v>
      </c>
      <c r="BO53" s="138">
        <f t="shared" ca="1" si="54"/>
        <v>0</v>
      </c>
      <c r="BP53" s="138">
        <f t="shared" ca="1" si="54"/>
        <v>0</v>
      </c>
      <c r="BQ53" s="138">
        <f t="shared" ca="1" si="54"/>
        <v>0</v>
      </c>
      <c r="BR53" s="138">
        <f t="shared" ca="1" si="54"/>
        <v>0</v>
      </c>
      <c r="BS53" s="138">
        <f t="shared" ca="1" si="54"/>
        <v>0</v>
      </c>
      <c r="BT53" s="138">
        <f t="shared" ca="1" si="54"/>
        <v>0</v>
      </c>
      <c r="BU53" s="138">
        <f t="shared" ca="1" si="55"/>
        <v>0</v>
      </c>
      <c r="BV53" s="138">
        <f t="shared" ca="1" si="55"/>
        <v>0</v>
      </c>
      <c r="BW53" s="138">
        <f t="shared" ca="1" si="55"/>
        <v>0</v>
      </c>
      <c r="BX53" s="138">
        <f t="shared" ca="1" si="55"/>
        <v>0</v>
      </c>
      <c r="BY53" s="138">
        <f t="shared" ca="1" si="55"/>
        <v>0</v>
      </c>
      <c r="BZ53" s="138">
        <f t="shared" ca="1" si="55"/>
        <v>0</v>
      </c>
      <c r="CA53" s="138">
        <f t="shared" ca="1" si="55"/>
        <v>0</v>
      </c>
      <c r="CB53" s="138">
        <f t="shared" ca="1" si="55"/>
        <v>0</v>
      </c>
      <c r="CC53" s="138">
        <f t="shared" ca="1" si="55"/>
        <v>0</v>
      </c>
      <c r="CD53" s="138">
        <f t="shared" ca="1" si="55"/>
        <v>0</v>
      </c>
      <c r="CE53" s="138">
        <f t="shared" ca="1" si="55"/>
        <v>0</v>
      </c>
      <c r="CF53" s="138">
        <f t="shared" ca="1" si="55"/>
        <v>0</v>
      </c>
      <c r="CG53" s="138">
        <f t="shared" ca="1" si="55"/>
        <v>0</v>
      </c>
      <c r="CH53" s="138">
        <f t="shared" ca="1" si="55"/>
        <v>0</v>
      </c>
      <c r="CI53" s="138">
        <f t="shared" ca="1" si="55"/>
        <v>0</v>
      </c>
      <c r="CJ53" s="138">
        <f t="shared" ca="1" si="55"/>
        <v>0</v>
      </c>
      <c r="CK53" s="138">
        <f t="shared" ca="1" si="56"/>
        <v>0</v>
      </c>
      <c r="CL53" s="138">
        <f t="shared" ca="1" si="56"/>
        <v>0</v>
      </c>
      <c r="CM53" s="138">
        <f t="shared" ca="1" si="56"/>
        <v>0</v>
      </c>
      <c r="CN53" s="138">
        <f t="shared" ca="1" si="56"/>
        <v>0</v>
      </c>
      <c r="CO53" s="138">
        <f t="shared" ca="1" si="56"/>
        <v>0</v>
      </c>
      <c r="CP53" s="138">
        <f t="shared" ca="1" si="56"/>
        <v>0</v>
      </c>
      <c r="CQ53" s="138">
        <f t="shared" ca="1" si="56"/>
        <v>0</v>
      </c>
      <c r="CR53" s="138">
        <f t="shared" ca="1" si="56"/>
        <v>0</v>
      </c>
      <c r="CS53" s="138">
        <f t="shared" ca="1" si="56"/>
        <v>0</v>
      </c>
      <c r="CT53" s="138">
        <f t="shared" ca="1" si="56"/>
        <v>0</v>
      </c>
      <c r="CU53" s="138">
        <f t="shared" ca="1" si="56"/>
        <v>0</v>
      </c>
      <c r="CV53" s="138">
        <f t="shared" ca="1" si="56"/>
        <v>0</v>
      </c>
      <c r="CW53" s="138">
        <f t="shared" ca="1" si="56"/>
        <v>0</v>
      </c>
      <c r="CX53" s="138">
        <f t="shared" ca="1" si="56"/>
        <v>0</v>
      </c>
      <c r="CY53" s="138">
        <f t="shared" ca="1" si="56"/>
        <v>0</v>
      </c>
      <c r="CZ53" s="138">
        <f t="shared" ca="1" si="56"/>
        <v>0</v>
      </c>
      <c r="DA53" s="138">
        <f t="shared" ca="1" si="57"/>
        <v>0</v>
      </c>
      <c r="DB53" s="138">
        <f t="shared" ca="1" si="57"/>
        <v>0</v>
      </c>
      <c r="DC53" s="138">
        <f t="shared" ca="1" si="57"/>
        <v>0</v>
      </c>
      <c r="DE53" s="254" t="str">
        <f t="shared" ca="1" si="24"/>
        <v>E.1.8.</v>
      </c>
      <c r="DF53">
        <f t="shared" ca="1" si="58"/>
        <v>1</v>
      </c>
      <c r="DG53">
        <f t="shared" ca="1" si="59"/>
        <v>21</v>
      </c>
      <c r="DH53">
        <v>0</v>
      </c>
    </row>
    <row r="54" spans="1:112" hidden="1">
      <c r="A54" s="124">
        <v>42</v>
      </c>
      <c r="B54" s="205" t="str">
        <f t="shared" ca="1" si="12"/>
        <v>E.1.9.</v>
      </c>
      <c r="C54" s="129" t="str">
        <f t="shared" ca="1" si="13"/>
        <v>Reinvesticijos (po priemonės įgyvendinimo)</v>
      </c>
      <c r="D54" s="114"/>
      <c r="E54" s="148">
        <f t="shared" ca="1" si="14"/>
        <v>0.21</v>
      </c>
      <c r="F54" s="139">
        <f ca="1">H54+NPV(FD,I54:INDEX(I54:DC54,PAL))</f>
        <v>456056.55045621062</v>
      </c>
      <c r="G54" s="140">
        <f ca="1">SUMIF($H$5:$DC$5,"&lt;="&amp;PAL,$H54:$DC54)</f>
        <v>720000</v>
      </c>
      <c r="H54" s="138">
        <f t="shared" ca="1" si="60"/>
        <v>0</v>
      </c>
      <c r="I54" s="138">
        <f t="shared" ca="1" si="60"/>
        <v>0</v>
      </c>
      <c r="J54" s="138">
        <f t="shared" ca="1" si="60"/>
        <v>0</v>
      </c>
      <c r="K54" s="138">
        <f t="shared" ca="1" si="60"/>
        <v>0</v>
      </c>
      <c r="L54" s="138">
        <f t="shared" ca="1" si="60"/>
        <v>0</v>
      </c>
      <c r="M54" s="138">
        <f t="shared" ca="1" si="60"/>
        <v>0</v>
      </c>
      <c r="N54" s="138">
        <f t="shared" ca="1" si="60"/>
        <v>0</v>
      </c>
      <c r="O54" s="138">
        <f t="shared" ca="1" si="60"/>
        <v>0</v>
      </c>
      <c r="P54" s="138">
        <f t="shared" ca="1" si="60"/>
        <v>0</v>
      </c>
      <c r="Q54" s="138">
        <f t="shared" ca="1" si="60"/>
        <v>0</v>
      </c>
      <c r="R54" s="138">
        <f t="shared" ca="1" si="61"/>
        <v>120000</v>
      </c>
      <c r="S54" s="138">
        <f t="shared" ca="1" si="61"/>
        <v>240000</v>
      </c>
      <c r="T54" s="138">
        <f t="shared" ca="1" si="61"/>
        <v>120000</v>
      </c>
      <c r="U54" s="138">
        <f t="shared" ca="1" si="61"/>
        <v>240000</v>
      </c>
      <c r="V54" s="138">
        <f t="shared" ca="1" si="61"/>
        <v>0</v>
      </c>
      <c r="W54" s="138">
        <f t="shared" ca="1" si="61"/>
        <v>0</v>
      </c>
      <c r="X54" s="138">
        <f t="shared" ca="1" si="61"/>
        <v>0</v>
      </c>
      <c r="Y54" s="138">
        <f t="shared" ca="1" si="52"/>
        <v>0</v>
      </c>
      <c r="Z54" s="138">
        <f t="shared" ca="1" si="52"/>
        <v>0</v>
      </c>
      <c r="AA54" s="138">
        <f t="shared" ca="1" si="52"/>
        <v>0</v>
      </c>
      <c r="AB54" s="138">
        <f t="shared" ca="1" si="52"/>
        <v>0</v>
      </c>
      <c r="AC54" s="138">
        <f t="shared" ca="1" si="52"/>
        <v>0</v>
      </c>
      <c r="AD54" s="138">
        <f t="shared" ca="1" si="52"/>
        <v>0</v>
      </c>
      <c r="AE54" s="138">
        <f t="shared" ca="1" si="52"/>
        <v>0</v>
      </c>
      <c r="AF54" s="138">
        <f t="shared" ca="1" si="52"/>
        <v>0</v>
      </c>
      <c r="AG54" s="138">
        <f t="shared" ca="1" si="52"/>
        <v>0</v>
      </c>
      <c r="AH54" s="138">
        <f t="shared" ca="1" si="52"/>
        <v>0</v>
      </c>
      <c r="AI54" s="138">
        <f t="shared" ca="1" si="52"/>
        <v>0</v>
      </c>
      <c r="AJ54" s="138">
        <f t="shared" ca="1" si="52"/>
        <v>0</v>
      </c>
      <c r="AK54" s="138">
        <f t="shared" ca="1" si="52"/>
        <v>0</v>
      </c>
      <c r="AL54" s="138">
        <f t="shared" ca="1" si="52"/>
        <v>0</v>
      </c>
      <c r="AM54" s="138">
        <f t="shared" ca="1" si="52"/>
        <v>0</v>
      </c>
      <c r="AN54" s="138">
        <f t="shared" ca="1" si="52"/>
        <v>0</v>
      </c>
      <c r="AO54" s="138">
        <f t="shared" ca="1" si="53"/>
        <v>0</v>
      </c>
      <c r="AP54" s="138">
        <f t="shared" ca="1" si="53"/>
        <v>0</v>
      </c>
      <c r="AQ54" s="138">
        <f t="shared" ca="1" si="53"/>
        <v>0</v>
      </c>
      <c r="AR54" s="138">
        <f t="shared" ca="1" si="53"/>
        <v>0</v>
      </c>
      <c r="AS54" s="138">
        <f t="shared" ca="1" si="53"/>
        <v>0</v>
      </c>
      <c r="AT54" s="138">
        <f t="shared" ca="1" si="53"/>
        <v>0</v>
      </c>
      <c r="AU54" s="138">
        <f t="shared" ca="1" si="53"/>
        <v>0</v>
      </c>
      <c r="AV54" s="138">
        <f t="shared" ca="1" si="53"/>
        <v>0</v>
      </c>
      <c r="AW54" s="138">
        <f t="shared" ca="1" si="53"/>
        <v>0</v>
      </c>
      <c r="AX54" s="138">
        <f t="shared" ca="1" si="53"/>
        <v>0</v>
      </c>
      <c r="AY54" s="138">
        <f t="shared" ca="1" si="53"/>
        <v>0</v>
      </c>
      <c r="AZ54" s="138">
        <f t="shared" ca="1" si="53"/>
        <v>0</v>
      </c>
      <c r="BA54" s="138">
        <f t="shared" ca="1" si="53"/>
        <v>0</v>
      </c>
      <c r="BB54" s="138">
        <f t="shared" ca="1" si="53"/>
        <v>0</v>
      </c>
      <c r="BC54" s="138">
        <f t="shared" ca="1" si="53"/>
        <v>0</v>
      </c>
      <c r="BD54" s="138">
        <f t="shared" ca="1" si="53"/>
        <v>0</v>
      </c>
      <c r="BE54" s="138">
        <f t="shared" ca="1" si="54"/>
        <v>0</v>
      </c>
      <c r="BF54" s="138">
        <f t="shared" ca="1" si="54"/>
        <v>0</v>
      </c>
      <c r="BG54" s="138">
        <f t="shared" ca="1" si="54"/>
        <v>0</v>
      </c>
      <c r="BH54" s="138">
        <f t="shared" ca="1" si="54"/>
        <v>0</v>
      </c>
      <c r="BI54" s="138">
        <f t="shared" ca="1" si="54"/>
        <v>0</v>
      </c>
      <c r="BJ54" s="138">
        <f t="shared" ca="1" si="54"/>
        <v>0</v>
      </c>
      <c r="BK54" s="138">
        <f t="shared" ca="1" si="54"/>
        <v>0</v>
      </c>
      <c r="BL54" s="138">
        <f t="shared" ca="1" si="54"/>
        <v>0</v>
      </c>
      <c r="BM54" s="138">
        <f t="shared" ca="1" si="54"/>
        <v>0</v>
      </c>
      <c r="BN54" s="138">
        <f t="shared" ca="1" si="54"/>
        <v>0</v>
      </c>
      <c r="BO54" s="138">
        <f t="shared" ca="1" si="54"/>
        <v>0</v>
      </c>
      <c r="BP54" s="138">
        <f t="shared" ca="1" si="54"/>
        <v>0</v>
      </c>
      <c r="BQ54" s="138">
        <f t="shared" ca="1" si="54"/>
        <v>0</v>
      </c>
      <c r="BR54" s="138">
        <f t="shared" ca="1" si="54"/>
        <v>0</v>
      </c>
      <c r="BS54" s="138">
        <f t="shared" ca="1" si="54"/>
        <v>0</v>
      </c>
      <c r="BT54" s="138">
        <f t="shared" ca="1" si="54"/>
        <v>0</v>
      </c>
      <c r="BU54" s="138">
        <f t="shared" ca="1" si="55"/>
        <v>0</v>
      </c>
      <c r="BV54" s="138">
        <f t="shared" ca="1" si="55"/>
        <v>0</v>
      </c>
      <c r="BW54" s="138">
        <f t="shared" ca="1" si="55"/>
        <v>0</v>
      </c>
      <c r="BX54" s="138">
        <f t="shared" ca="1" si="55"/>
        <v>0</v>
      </c>
      <c r="BY54" s="138">
        <f t="shared" ca="1" si="55"/>
        <v>0</v>
      </c>
      <c r="BZ54" s="138">
        <f t="shared" ca="1" si="55"/>
        <v>0</v>
      </c>
      <c r="CA54" s="138">
        <f t="shared" ca="1" si="55"/>
        <v>0</v>
      </c>
      <c r="CB54" s="138">
        <f t="shared" ca="1" si="55"/>
        <v>0</v>
      </c>
      <c r="CC54" s="138">
        <f t="shared" ca="1" si="55"/>
        <v>0</v>
      </c>
      <c r="CD54" s="138">
        <f t="shared" ca="1" si="55"/>
        <v>0</v>
      </c>
      <c r="CE54" s="138">
        <f t="shared" ca="1" si="55"/>
        <v>0</v>
      </c>
      <c r="CF54" s="138">
        <f t="shared" ca="1" si="55"/>
        <v>0</v>
      </c>
      <c r="CG54" s="138">
        <f t="shared" ca="1" si="55"/>
        <v>0</v>
      </c>
      <c r="CH54" s="138">
        <f t="shared" ca="1" si="55"/>
        <v>0</v>
      </c>
      <c r="CI54" s="138">
        <f t="shared" ca="1" si="55"/>
        <v>0</v>
      </c>
      <c r="CJ54" s="138">
        <f t="shared" ca="1" si="55"/>
        <v>0</v>
      </c>
      <c r="CK54" s="138">
        <f t="shared" ca="1" si="56"/>
        <v>0</v>
      </c>
      <c r="CL54" s="138">
        <f t="shared" ca="1" si="56"/>
        <v>0</v>
      </c>
      <c r="CM54" s="138">
        <f t="shared" ca="1" si="56"/>
        <v>0</v>
      </c>
      <c r="CN54" s="138">
        <f t="shared" ca="1" si="56"/>
        <v>0</v>
      </c>
      <c r="CO54" s="138">
        <f t="shared" ca="1" si="56"/>
        <v>0</v>
      </c>
      <c r="CP54" s="138">
        <f t="shared" ca="1" si="56"/>
        <v>0</v>
      </c>
      <c r="CQ54" s="138">
        <f t="shared" ca="1" si="56"/>
        <v>0</v>
      </c>
      <c r="CR54" s="138">
        <f t="shared" ca="1" si="56"/>
        <v>0</v>
      </c>
      <c r="CS54" s="138">
        <f t="shared" ca="1" si="56"/>
        <v>0</v>
      </c>
      <c r="CT54" s="138">
        <f t="shared" ca="1" si="56"/>
        <v>0</v>
      </c>
      <c r="CU54" s="138">
        <f t="shared" ca="1" si="56"/>
        <v>0</v>
      </c>
      <c r="CV54" s="138">
        <f t="shared" ca="1" si="56"/>
        <v>0</v>
      </c>
      <c r="CW54" s="138">
        <f t="shared" ca="1" si="56"/>
        <v>0</v>
      </c>
      <c r="CX54" s="138">
        <f t="shared" ca="1" si="56"/>
        <v>0</v>
      </c>
      <c r="CY54" s="138">
        <f t="shared" ca="1" si="56"/>
        <v>0</v>
      </c>
      <c r="CZ54" s="138">
        <f t="shared" ca="1" si="56"/>
        <v>0</v>
      </c>
      <c r="DA54" s="138">
        <f t="shared" ca="1" si="57"/>
        <v>0</v>
      </c>
      <c r="DB54" s="138">
        <f t="shared" ca="1" si="57"/>
        <v>0</v>
      </c>
      <c r="DC54" s="138">
        <f t="shared" ca="1" si="57"/>
        <v>0</v>
      </c>
      <c r="DE54" s="254" t="str">
        <f t="shared" ca="1" si="24"/>
        <v>E.1.9.</v>
      </c>
      <c r="DF54">
        <f t="shared" ca="1" si="58"/>
        <v>1</v>
      </c>
      <c r="DG54">
        <f t="shared" ca="1" si="59"/>
        <v>21</v>
      </c>
      <c r="DH54">
        <v>0</v>
      </c>
    </row>
    <row r="55" spans="1:112" hidden="1">
      <c r="A55" s="124">
        <v>43</v>
      </c>
      <c r="B55" s="205" t="str">
        <f t="shared" ca="1" si="12"/>
        <v>E.1.L.</v>
      </c>
      <c r="C55" s="129" t="str">
        <f t="shared" ca="1" si="13"/>
        <v>Likutinė vertė</v>
      </c>
      <c r="D55" s="114"/>
      <c r="E55" s="148">
        <f t="shared" ca="1" si="14"/>
        <v>0.21</v>
      </c>
      <c r="F55" s="139">
        <f ca="1">H55+NPV(FD,I55:INDEX(I55:DC55,PAL))</f>
        <v>0</v>
      </c>
      <c r="G55" s="140">
        <f ca="1">SUMIF($H$5:$DC$5,"&lt;="&amp;PAL,$H55:$DC55)</f>
        <v>0</v>
      </c>
      <c r="H55" s="138">
        <f t="shared" ca="1" si="60"/>
        <v>0</v>
      </c>
      <c r="I55" s="138">
        <f t="shared" ca="1" si="60"/>
        <v>0</v>
      </c>
      <c r="J55" s="138">
        <f t="shared" ca="1" si="60"/>
        <v>0</v>
      </c>
      <c r="K55" s="138">
        <f t="shared" ca="1" si="60"/>
        <v>0</v>
      </c>
      <c r="L55" s="138">
        <f t="shared" ca="1" si="60"/>
        <v>0</v>
      </c>
      <c r="M55" s="138">
        <f t="shared" ca="1" si="60"/>
        <v>0</v>
      </c>
      <c r="N55" s="138">
        <f t="shared" ca="1" si="60"/>
        <v>0</v>
      </c>
      <c r="O55" s="138">
        <f t="shared" ca="1" si="60"/>
        <v>0</v>
      </c>
      <c r="P55" s="138">
        <f t="shared" ca="1" si="60"/>
        <v>0</v>
      </c>
      <c r="Q55" s="138">
        <f t="shared" ca="1" si="60"/>
        <v>0</v>
      </c>
      <c r="R55" s="138">
        <f t="shared" ca="1" si="61"/>
        <v>0</v>
      </c>
      <c r="S55" s="138">
        <f t="shared" ca="1" si="61"/>
        <v>0</v>
      </c>
      <c r="T55" s="138">
        <f t="shared" ca="1" si="61"/>
        <v>0</v>
      </c>
      <c r="U55" s="138">
        <f t="shared" ca="1" si="61"/>
        <v>0</v>
      </c>
      <c r="V55" s="138">
        <f t="shared" ca="1" si="61"/>
        <v>0</v>
      </c>
      <c r="W55" s="138">
        <f t="shared" ca="1" si="61"/>
        <v>0</v>
      </c>
      <c r="X55" s="138">
        <f t="shared" ca="1" si="61"/>
        <v>0</v>
      </c>
      <c r="Y55" s="138">
        <f t="shared" ca="1" si="52"/>
        <v>0</v>
      </c>
      <c r="Z55" s="138">
        <f t="shared" ca="1" si="52"/>
        <v>0</v>
      </c>
      <c r="AA55" s="138">
        <f t="shared" ca="1" si="52"/>
        <v>0</v>
      </c>
      <c r="AB55" s="138">
        <f t="shared" ca="1" si="52"/>
        <v>0</v>
      </c>
      <c r="AC55" s="138">
        <f t="shared" ca="1" si="52"/>
        <v>0</v>
      </c>
      <c r="AD55" s="138">
        <f t="shared" ca="1" si="52"/>
        <v>0</v>
      </c>
      <c r="AE55" s="138">
        <f t="shared" ca="1" si="52"/>
        <v>0</v>
      </c>
      <c r="AF55" s="138">
        <f t="shared" ca="1" si="52"/>
        <v>0</v>
      </c>
      <c r="AG55" s="138">
        <f t="shared" ca="1" si="52"/>
        <v>0</v>
      </c>
      <c r="AH55" s="138">
        <f t="shared" ca="1" si="52"/>
        <v>0</v>
      </c>
      <c r="AI55" s="138">
        <f t="shared" ca="1" si="52"/>
        <v>0</v>
      </c>
      <c r="AJ55" s="138">
        <f t="shared" ca="1" si="52"/>
        <v>0</v>
      </c>
      <c r="AK55" s="138">
        <f t="shared" ca="1" si="52"/>
        <v>0</v>
      </c>
      <c r="AL55" s="138">
        <f t="shared" ca="1" si="52"/>
        <v>0</v>
      </c>
      <c r="AM55" s="138">
        <f t="shared" ca="1" si="52"/>
        <v>0</v>
      </c>
      <c r="AN55" s="138">
        <f t="shared" ca="1" si="52"/>
        <v>0</v>
      </c>
      <c r="AO55" s="138">
        <f t="shared" ca="1" si="53"/>
        <v>0</v>
      </c>
      <c r="AP55" s="138">
        <f t="shared" ca="1" si="53"/>
        <v>0</v>
      </c>
      <c r="AQ55" s="138">
        <f t="shared" ca="1" si="53"/>
        <v>0</v>
      </c>
      <c r="AR55" s="138">
        <f t="shared" ca="1" si="53"/>
        <v>0</v>
      </c>
      <c r="AS55" s="138">
        <f t="shared" ca="1" si="53"/>
        <v>0</v>
      </c>
      <c r="AT55" s="138">
        <f t="shared" ca="1" si="53"/>
        <v>0</v>
      </c>
      <c r="AU55" s="138">
        <f t="shared" ca="1" si="53"/>
        <v>0</v>
      </c>
      <c r="AV55" s="138">
        <f t="shared" ca="1" si="53"/>
        <v>0</v>
      </c>
      <c r="AW55" s="138">
        <f t="shared" ca="1" si="53"/>
        <v>0</v>
      </c>
      <c r="AX55" s="138">
        <f t="shared" ca="1" si="53"/>
        <v>0</v>
      </c>
      <c r="AY55" s="138">
        <f t="shared" ca="1" si="53"/>
        <v>0</v>
      </c>
      <c r="AZ55" s="138">
        <f t="shared" ca="1" si="53"/>
        <v>0</v>
      </c>
      <c r="BA55" s="138">
        <f t="shared" ca="1" si="53"/>
        <v>0</v>
      </c>
      <c r="BB55" s="138">
        <f t="shared" ca="1" si="53"/>
        <v>0</v>
      </c>
      <c r="BC55" s="138">
        <f t="shared" ca="1" si="53"/>
        <v>0</v>
      </c>
      <c r="BD55" s="138">
        <f t="shared" ca="1" si="53"/>
        <v>0</v>
      </c>
      <c r="BE55" s="138">
        <f t="shared" ca="1" si="54"/>
        <v>0</v>
      </c>
      <c r="BF55" s="138">
        <f t="shared" ca="1" si="54"/>
        <v>0</v>
      </c>
      <c r="BG55" s="138">
        <f t="shared" ca="1" si="54"/>
        <v>0</v>
      </c>
      <c r="BH55" s="138">
        <f t="shared" ca="1" si="54"/>
        <v>0</v>
      </c>
      <c r="BI55" s="138">
        <f t="shared" ca="1" si="54"/>
        <v>0</v>
      </c>
      <c r="BJ55" s="138">
        <f t="shared" ca="1" si="54"/>
        <v>0</v>
      </c>
      <c r="BK55" s="138">
        <f t="shared" ca="1" si="54"/>
        <v>0</v>
      </c>
      <c r="BL55" s="138">
        <f t="shared" ca="1" si="54"/>
        <v>0</v>
      </c>
      <c r="BM55" s="138">
        <f t="shared" ca="1" si="54"/>
        <v>0</v>
      </c>
      <c r="BN55" s="138">
        <f t="shared" ca="1" si="54"/>
        <v>0</v>
      </c>
      <c r="BO55" s="138">
        <f t="shared" ca="1" si="54"/>
        <v>0</v>
      </c>
      <c r="BP55" s="138">
        <f t="shared" ca="1" si="54"/>
        <v>0</v>
      </c>
      <c r="BQ55" s="138">
        <f t="shared" ca="1" si="54"/>
        <v>0</v>
      </c>
      <c r="BR55" s="138">
        <f t="shared" ca="1" si="54"/>
        <v>0</v>
      </c>
      <c r="BS55" s="138">
        <f t="shared" ca="1" si="54"/>
        <v>0</v>
      </c>
      <c r="BT55" s="138">
        <f t="shared" ca="1" si="54"/>
        <v>0</v>
      </c>
      <c r="BU55" s="138">
        <f t="shared" ca="1" si="55"/>
        <v>0</v>
      </c>
      <c r="BV55" s="138">
        <f t="shared" ca="1" si="55"/>
        <v>0</v>
      </c>
      <c r="BW55" s="138">
        <f t="shared" ca="1" si="55"/>
        <v>0</v>
      </c>
      <c r="BX55" s="138">
        <f t="shared" ca="1" si="55"/>
        <v>0</v>
      </c>
      <c r="BY55" s="138">
        <f t="shared" ca="1" si="55"/>
        <v>0</v>
      </c>
      <c r="BZ55" s="138">
        <f t="shared" ca="1" si="55"/>
        <v>0</v>
      </c>
      <c r="CA55" s="138">
        <f t="shared" ca="1" si="55"/>
        <v>0</v>
      </c>
      <c r="CB55" s="138">
        <f t="shared" ca="1" si="55"/>
        <v>0</v>
      </c>
      <c r="CC55" s="138">
        <f t="shared" ca="1" si="55"/>
        <v>0</v>
      </c>
      <c r="CD55" s="138">
        <f t="shared" ca="1" si="55"/>
        <v>0</v>
      </c>
      <c r="CE55" s="138">
        <f t="shared" ca="1" si="55"/>
        <v>0</v>
      </c>
      <c r="CF55" s="138">
        <f t="shared" ca="1" si="55"/>
        <v>0</v>
      </c>
      <c r="CG55" s="138">
        <f t="shared" ca="1" si="55"/>
        <v>0</v>
      </c>
      <c r="CH55" s="138">
        <f t="shared" ca="1" si="55"/>
        <v>0</v>
      </c>
      <c r="CI55" s="138">
        <f t="shared" ca="1" si="55"/>
        <v>0</v>
      </c>
      <c r="CJ55" s="138">
        <f t="shared" ca="1" si="55"/>
        <v>0</v>
      </c>
      <c r="CK55" s="138">
        <f t="shared" ca="1" si="56"/>
        <v>0</v>
      </c>
      <c r="CL55" s="138">
        <f t="shared" ca="1" si="56"/>
        <v>0</v>
      </c>
      <c r="CM55" s="138">
        <f t="shared" ca="1" si="56"/>
        <v>0</v>
      </c>
      <c r="CN55" s="138">
        <f t="shared" ca="1" si="56"/>
        <v>0</v>
      </c>
      <c r="CO55" s="138">
        <f t="shared" ca="1" si="56"/>
        <v>0</v>
      </c>
      <c r="CP55" s="138">
        <f t="shared" ca="1" si="56"/>
        <v>0</v>
      </c>
      <c r="CQ55" s="138">
        <f t="shared" ca="1" si="56"/>
        <v>0</v>
      </c>
      <c r="CR55" s="138">
        <f t="shared" ca="1" si="56"/>
        <v>0</v>
      </c>
      <c r="CS55" s="138">
        <f t="shared" ca="1" si="56"/>
        <v>0</v>
      </c>
      <c r="CT55" s="138">
        <f t="shared" ca="1" si="56"/>
        <v>0</v>
      </c>
      <c r="CU55" s="138">
        <f t="shared" ca="1" si="56"/>
        <v>0</v>
      </c>
      <c r="CV55" s="138">
        <f t="shared" ca="1" si="56"/>
        <v>0</v>
      </c>
      <c r="CW55" s="138">
        <f t="shared" ca="1" si="56"/>
        <v>0</v>
      </c>
      <c r="CX55" s="138">
        <f t="shared" ca="1" si="56"/>
        <v>0</v>
      </c>
      <c r="CY55" s="138">
        <f t="shared" ca="1" si="56"/>
        <v>0</v>
      </c>
      <c r="CZ55" s="138">
        <f t="shared" ca="1" si="56"/>
        <v>0</v>
      </c>
      <c r="DA55" s="138">
        <f t="shared" ca="1" si="57"/>
        <v>0</v>
      </c>
      <c r="DB55" s="138">
        <f t="shared" ca="1" si="57"/>
        <v>0</v>
      </c>
      <c r="DC55" s="138">
        <f t="shared" ca="1" si="57"/>
        <v>0</v>
      </c>
      <c r="DE55" s="254" t="str">
        <f t="shared" ca="1" si="24"/>
        <v>E.1.L.</v>
      </c>
      <c r="DF55">
        <f t="shared" ca="1" si="58"/>
        <v>1</v>
      </c>
      <c r="DG55">
        <f t="shared" ca="1" si="59"/>
        <v>21</v>
      </c>
      <c r="DH55">
        <f ca="1">DG55/(100+DG55)</f>
        <v>0.17355371900826447</v>
      </c>
    </row>
    <row r="56" spans="1:112" hidden="1">
      <c r="A56" s="124">
        <v>44</v>
      </c>
      <c r="B56" s="205" t="str">
        <f t="shared" ca="1" si="12"/>
        <v>E.2.</v>
      </c>
      <c r="C56" s="197" t="str">
        <f t="shared" ca="1" si="13"/>
        <v>Paslaugų teikimas</v>
      </c>
      <c r="D56" s="132"/>
      <c r="E56" s="233" t="str">
        <f t="shared" ca="1" si="14"/>
        <v/>
      </c>
      <c r="F56" s="141">
        <f ca="1">SUM(F57:F64)+F65</f>
        <v>29267.18041748699</v>
      </c>
      <c r="G56" s="140">
        <f ca="1">SUMIF($H$5:$DC$5,"&lt;="&amp;PAL,$H56:$DC56)</f>
        <v>35000</v>
      </c>
      <c r="H56" s="234">
        <f ca="1">SUM(H57:H65)</f>
        <v>0</v>
      </c>
      <c r="I56" s="234">
        <f t="shared" ref="I56:BT56" ca="1" si="62">SUM(I57:I65)</f>
        <v>0</v>
      </c>
      <c r="J56" s="234">
        <f t="shared" ca="1" si="62"/>
        <v>0</v>
      </c>
      <c r="K56" s="234">
        <f t="shared" ca="1" si="62"/>
        <v>5000</v>
      </c>
      <c r="L56" s="234">
        <f t="shared" ca="1" si="62"/>
        <v>5000</v>
      </c>
      <c r="M56" s="234">
        <f t="shared" ca="1" si="62"/>
        <v>25000</v>
      </c>
      <c r="N56" s="234">
        <f t="shared" ca="1" si="62"/>
        <v>0</v>
      </c>
      <c r="O56" s="234">
        <f t="shared" ca="1" si="62"/>
        <v>0</v>
      </c>
      <c r="P56" s="234">
        <f t="shared" ca="1" si="62"/>
        <v>0</v>
      </c>
      <c r="Q56" s="234">
        <f t="shared" ca="1" si="62"/>
        <v>0</v>
      </c>
      <c r="R56" s="234">
        <f t="shared" ca="1" si="62"/>
        <v>0</v>
      </c>
      <c r="S56" s="234">
        <f t="shared" ca="1" si="62"/>
        <v>0</v>
      </c>
      <c r="T56" s="234">
        <f t="shared" ca="1" si="62"/>
        <v>0</v>
      </c>
      <c r="U56" s="234">
        <f t="shared" ca="1" si="62"/>
        <v>0</v>
      </c>
      <c r="V56" s="234">
        <f t="shared" ca="1" si="62"/>
        <v>0</v>
      </c>
      <c r="W56" s="234">
        <f t="shared" ca="1" si="62"/>
        <v>0</v>
      </c>
      <c r="X56" s="234">
        <f t="shared" ca="1" si="62"/>
        <v>0</v>
      </c>
      <c r="Y56" s="234">
        <f t="shared" ca="1" si="62"/>
        <v>0</v>
      </c>
      <c r="Z56" s="234">
        <f t="shared" ca="1" si="62"/>
        <v>0</v>
      </c>
      <c r="AA56" s="234">
        <f t="shared" ca="1" si="62"/>
        <v>0</v>
      </c>
      <c r="AB56" s="234">
        <f t="shared" ca="1" si="62"/>
        <v>0</v>
      </c>
      <c r="AC56" s="234">
        <f t="shared" ca="1" si="62"/>
        <v>0</v>
      </c>
      <c r="AD56" s="234">
        <f t="shared" ca="1" si="62"/>
        <v>0</v>
      </c>
      <c r="AE56" s="234">
        <f t="shared" ca="1" si="62"/>
        <v>0</v>
      </c>
      <c r="AF56" s="234">
        <f t="shared" ca="1" si="62"/>
        <v>0</v>
      </c>
      <c r="AG56" s="234">
        <f t="shared" ca="1" si="62"/>
        <v>0</v>
      </c>
      <c r="AH56" s="234">
        <f t="shared" ca="1" si="62"/>
        <v>0</v>
      </c>
      <c r="AI56" s="234">
        <f t="shared" ca="1" si="62"/>
        <v>0</v>
      </c>
      <c r="AJ56" s="234">
        <f t="shared" ca="1" si="62"/>
        <v>0</v>
      </c>
      <c r="AK56" s="234">
        <f t="shared" ca="1" si="62"/>
        <v>0</v>
      </c>
      <c r="AL56" s="234">
        <f t="shared" ca="1" si="62"/>
        <v>0</v>
      </c>
      <c r="AM56" s="234">
        <f t="shared" ca="1" si="62"/>
        <v>0</v>
      </c>
      <c r="AN56" s="234">
        <f t="shared" ca="1" si="62"/>
        <v>0</v>
      </c>
      <c r="AO56" s="234">
        <f t="shared" ca="1" si="62"/>
        <v>0</v>
      </c>
      <c r="AP56" s="234">
        <f t="shared" ca="1" si="62"/>
        <v>0</v>
      </c>
      <c r="AQ56" s="234">
        <f t="shared" ca="1" si="62"/>
        <v>0</v>
      </c>
      <c r="AR56" s="234">
        <f t="shared" ca="1" si="62"/>
        <v>0</v>
      </c>
      <c r="AS56" s="234">
        <f t="shared" ca="1" si="62"/>
        <v>0</v>
      </c>
      <c r="AT56" s="234">
        <f t="shared" ca="1" si="62"/>
        <v>0</v>
      </c>
      <c r="AU56" s="234">
        <f t="shared" ca="1" si="62"/>
        <v>0</v>
      </c>
      <c r="AV56" s="234">
        <f t="shared" ca="1" si="62"/>
        <v>0</v>
      </c>
      <c r="AW56" s="234">
        <f t="shared" ca="1" si="62"/>
        <v>0</v>
      </c>
      <c r="AX56" s="234">
        <f t="shared" ca="1" si="62"/>
        <v>0</v>
      </c>
      <c r="AY56" s="234">
        <f t="shared" ca="1" si="62"/>
        <v>0</v>
      </c>
      <c r="AZ56" s="234">
        <f t="shared" ca="1" si="62"/>
        <v>0</v>
      </c>
      <c r="BA56" s="234">
        <f t="shared" ca="1" si="62"/>
        <v>0</v>
      </c>
      <c r="BB56" s="234">
        <f t="shared" ca="1" si="62"/>
        <v>0</v>
      </c>
      <c r="BC56" s="234">
        <f t="shared" ca="1" si="62"/>
        <v>0</v>
      </c>
      <c r="BD56" s="234">
        <f t="shared" ca="1" si="62"/>
        <v>0</v>
      </c>
      <c r="BE56" s="234">
        <f t="shared" ca="1" si="62"/>
        <v>0</v>
      </c>
      <c r="BF56" s="234">
        <f t="shared" ca="1" si="62"/>
        <v>0</v>
      </c>
      <c r="BG56" s="234">
        <f t="shared" ca="1" si="62"/>
        <v>0</v>
      </c>
      <c r="BH56" s="234">
        <f t="shared" ca="1" si="62"/>
        <v>0</v>
      </c>
      <c r="BI56" s="234">
        <f t="shared" ca="1" si="62"/>
        <v>0</v>
      </c>
      <c r="BJ56" s="234">
        <f t="shared" ca="1" si="62"/>
        <v>0</v>
      </c>
      <c r="BK56" s="234">
        <f t="shared" ca="1" si="62"/>
        <v>0</v>
      </c>
      <c r="BL56" s="234">
        <f t="shared" ca="1" si="62"/>
        <v>0</v>
      </c>
      <c r="BM56" s="234">
        <f t="shared" ca="1" si="62"/>
        <v>0</v>
      </c>
      <c r="BN56" s="234">
        <f t="shared" ca="1" si="62"/>
        <v>0</v>
      </c>
      <c r="BO56" s="234">
        <f t="shared" ca="1" si="62"/>
        <v>0</v>
      </c>
      <c r="BP56" s="234">
        <f t="shared" ca="1" si="62"/>
        <v>0</v>
      </c>
      <c r="BQ56" s="234">
        <f t="shared" ca="1" si="62"/>
        <v>0</v>
      </c>
      <c r="BR56" s="234">
        <f t="shared" ca="1" si="62"/>
        <v>0</v>
      </c>
      <c r="BS56" s="234">
        <f t="shared" ca="1" si="62"/>
        <v>0</v>
      </c>
      <c r="BT56" s="234">
        <f t="shared" ca="1" si="62"/>
        <v>0</v>
      </c>
      <c r="BU56" s="234">
        <f t="shared" ref="BU56:DC56" ca="1" si="63">SUM(BU57:BU65)</f>
        <v>0</v>
      </c>
      <c r="BV56" s="234">
        <f t="shared" ca="1" si="63"/>
        <v>0</v>
      </c>
      <c r="BW56" s="234">
        <f t="shared" ca="1" si="63"/>
        <v>0</v>
      </c>
      <c r="BX56" s="234">
        <f t="shared" ca="1" si="63"/>
        <v>0</v>
      </c>
      <c r="BY56" s="234">
        <f t="shared" ca="1" si="63"/>
        <v>0</v>
      </c>
      <c r="BZ56" s="234">
        <f t="shared" ca="1" si="63"/>
        <v>0</v>
      </c>
      <c r="CA56" s="234">
        <f t="shared" ca="1" si="63"/>
        <v>0</v>
      </c>
      <c r="CB56" s="234">
        <f t="shared" ca="1" si="63"/>
        <v>0</v>
      </c>
      <c r="CC56" s="234">
        <f t="shared" ca="1" si="63"/>
        <v>0</v>
      </c>
      <c r="CD56" s="234">
        <f t="shared" ca="1" si="63"/>
        <v>0</v>
      </c>
      <c r="CE56" s="234">
        <f t="shared" ca="1" si="63"/>
        <v>0</v>
      </c>
      <c r="CF56" s="234">
        <f t="shared" ca="1" si="63"/>
        <v>0</v>
      </c>
      <c r="CG56" s="234">
        <f t="shared" ca="1" si="63"/>
        <v>0</v>
      </c>
      <c r="CH56" s="234">
        <f t="shared" ca="1" si="63"/>
        <v>0</v>
      </c>
      <c r="CI56" s="234">
        <f t="shared" ca="1" si="63"/>
        <v>0</v>
      </c>
      <c r="CJ56" s="234">
        <f t="shared" ca="1" si="63"/>
        <v>0</v>
      </c>
      <c r="CK56" s="234">
        <f t="shared" ca="1" si="63"/>
        <v>0</v>
      </c>
      <c r="CL56" s="234">
        <f t="shared" ca="1" si="63"/>
        <v>0</v>
      </c>
      <c r="CM56" s="234">
        <f t="shared" ca="1" si="63"/>
        <v>0</v>
      </c>
      <c r="CN56" s="234">
        <f t="shared" ca="1" si="63"/>
        <v>0</v>
      </c>
      <c r="CO56" s="234">
        <f t="shared" ca="1" si="63"/>
        <v>0</v>
      </c>
      <c r="CP56" s="234">
        <f t="shared" ca="1" si="63"/>
        <v>0</v>
      </c>
      <c r="CQ56" s="234">
        <f t="shared" ca="1" si="63"/>
        <v>0</v>
      </c>
      <c r="CR56" s="234">
        <f t="shared" ca="1" si="63"/>
        <v>0</v>
      </c>
      <c r="CS56" s="234">
        <f t="shared" ca="1" si="63"/>
        <v>0</v>
      </c>
      <c r="CT56" s="234">
        <f t="shared" ca="1" si="63"/>
        <v>0</v>
      </c>
      <c r="CU56" s="234">
        <f t="shared" ca="1" si="63"/>
        <v>0</v>
      </c>
      <c r="CV56" s="234">
        <f t="shared" ca="1" si="63"/>
        <v>0</v>
      </c>
      <c r="CW56" s="234">
        <f t="shared" ca="1" si="63"/>
        <v>0</v>
      </c>
      <c r="CX56" s="234">
        <f t="shared" ca="1" si="63"/>
        <v>0</v>
      </c>
      <c r="CY56" s="234">
        <f t="shared" ca="1" si="63"/>
        <v>0</v>
      </c>
      <c r="CZ56" s="234">
        <f t="shared" ca="1" si="63"/>
        <v>0</v>
      </c>
      <c r="DA56" s="234">
        <f t="shared" ca="1" si="63"/>
        <v>0</v>
      </c>
      <c r="DB56" s="234">
        <f t="shared" ca="1" si="63"/>
        <v>0</v>
      </c>
      <c r="DC56" s="234">
        <f t="shared" ca="1" si="63"/>
        <v>0</v>
      </c>
      <c r="DE56" s="254"/>
    </row>
    <row r="57" spans="1:112" ht="28.8" hidden="1">
      <c r="A57" s="124">
        <v>45</v>
      </c>
      <c r="B57" s="205" t="str">
        <f t="shared" ca="1" si="12"/>
        <v>E.2.1.</v>
      </c>
      <c r="C57" s="129" t="str">
        <f t="shared" ca="1" si="13"/>
        <v>Indijos–Ramiojo vandenynų regiono politikos studijų programos/-ų parengimas Lietuvos universitetuose</v>
      </c>
      <c r="D57" s="144"/>
      <c r="E57" s="148">
        <f t="shared" ca="1" si="14"/>
        <v>0.21</v>
      </c>
      <c r="F57" s="139">
        <f ca="1">H57+NPV(FD,I57:INDEX(I57:DC57,PAL))</f>
        <v>29267.18041748699</v>
      </c>
      <c r="G57" s="140">
        <f ca="1">SUMIF($H$5:$DC$5,"&lt;="&amp;PAL,$H57:$DC57)</f>
        <v>35000</v>
      </c>
      <c r="H57" s="138">
        <f t="shared" ref="H57:W66" ca="1" si="64">OFFSET(INDIRECT("'"&amp;Opt_alt&amp;"'!H12"),$A57,H$5)*$DF57</f>
        <v>0</v>
      </c>
      <c r="I57" s="138">
        <f t="shared" ca="1" si="64"/>
        <v>0</v>
      </c>
      <c r="J57" s="138">
        <f t="shared" ca="1" si="64"/>
        <v>0</v>
      </c>
      <c r="K57" s="138">
        <f t="shared" ca="1" si="64"/>
        <v>5000</v>
      </c>
      <c r="L57" s="138">
        <f t="shared" ca="1" si="64"/>
        <v>5000</v>
      </c>
      <c r="M57" s="138">
        <f t="shared" ca="1" si="64"/>
        <v>25000</v>
      </c>
      <c r="N57" s="138">
        <f t="shared" ca="1" si="64"/>
        <v>0</v>
      </c>
      <c r="O57" s="138">
        <f t="shared" ca="1" si="64"/>
        <v>0</v>
      </c>
      <c r="P57" s="138">
        <f t="shared" ca="1" si="64"/>
        <v>0</v>
      </c>
      <c r="Q57" s="138">
        <f t="shared" ca="1" si="64"/>
        <v>0</v>
      </c>
      <c r="R57" s="138">
        <f t="shared" ca="1" si="64"/>
        <v>0</v>
      </c>
      <c r="S57" s="138">
        <f t="shared" ca="1" si="64"/>
        <v>0</v>
      </c>
      <c r="T57" s="138">
        <f t="shared" ca="1" si="64"/>
        <v>0</v>
      </c>
      <c r="U57" s="138">
        <f t="shared" ca="1" si="64"/>
        <v>0</v>
      </c>
      <c r="V57" s="138">
        <f t="shared" ca="1" si="64"/>
        <v>0</v>
      </c>
      <c r="W57" s="138">
        <f t="shared" ca="1" si="64"/>
        <v>0</v>
      </c>
      <c r="X57" s="138">
        <f t="shared" ref="X57:AM66" ca="1" si="65">OFFSET(INDIRECT("'"&amp;Opt_alt&amp;"'!H12"),$A57,X$5)*$DF57</f>
        <v>0</v>
      </c>
      <c r="Y57" s="138">
        <f t="shared" ca="1" si="65"/>
        <v>0</v>
      </c>
      <c r="Z57" s="138">
        <f t="shared" ca="1" si="65"/>
        <v>0</v>
      </c>
      <c r="AA57" s="138">
        <f t="shared" ca="1" si="65"/>
        <v>0</v>
      </c>
      <c r="AB57" s="138">
        <f t="shared" ca="1" si="65"/>
        <v>0</v>
      </c>
      <c r="AC57" s="138">
        <f t="shared" ca="1" si="65"/>
        <v>0</v>
      </c>
      <c r="AD57" s="138">
        <f t="shared" ca="1" si="65"/>
        <v>0</v>
      </c>
      <c r="AE57" s="138">
        <f t="shared" ca="1" si="65"/>
        <v>0</v>
      </c>
      <c r="AF57" s="138">
        <f t="shared" ca="1" si="65"/>
        <v>0</v>
      </c>
      <c r="AG57" s="138">
        <f t="shared" ca="1" si="65"/>
        <v>0</v>
      </c>
      <c r="AH57" s="138">
        <f t="shared" ca="1" si="65"/>
        <v>0</v>
      </c>
      <c r="AI57" s="138">
        <f t="shared" ca="1" si="65"/>
        <v>0</v>
      </c>
      <c r="AJ57" s="138">
        <f t="shared" ca="1" si="65"/>
        <v>0</v>
      </c>
      <c r="AK57" s="138">
        <f t="shared" ca="1" si="65"/>
        <v>0</v>
      </c>
      <c r="AL57" s="138">
        <f t="shared" ca="1" si="65"/>
        <v>0</v>
      </c>
      <c r="AM57" s="138">
        <f t="shared" ca="1" si="65"/>
        <v>0</v>
      </c>
      <c r="AN57" s="138">
        <f t="shared" ref="AN57:BC66" ca="1" si="66">OFFSET(INDIRECT("'"&amp;Opt_alt&amp;"'!H12"),$A57,AN$5)*$DF57</f>
        <v>0</v>
      </c>
      <c r="AO57" s="138">
        <f t="shared" ca="1" si="66"/>
        <v>0</v>
      </c>
      <c r="AP57" s="138">
        <f t="shared" ca="1" si="66"/>
        <v>0</v>
      </c>
      <c r="AQ57" s="138">
        <f t="shared" ca="1" si="66"/>
        <v>0</v>
      </c>
      <c r="AR57" s="138">
        <f t="shared" ca="1" si="66"/>
        <v>0</v>
      </c>
      <c r="AS57" s="138">
        <f t="shared" ca="1" si="66"/>
        <v>0</v>
      </c>
      <c r="AT57" s="138">
        <f t="shared" ca="1" si="66"/>
        <v>0</v>
      </c>
      <c r="AU57" s="138">
        <f t="shared" ca="1" si="66"/>
        <v>0</v>
      </c>
      <c r="AV57" s="138">
        <f t="shared" ca="1" si="66"/>
        <v>0</v>
      </c>
      <c r="AW57" s="138">
        <f t="shared" ca="1" si="66"/>
        <v>0</v>
      </c>
      <c r="AX57" s="138">
        <f t="shared" ca="1" si="66"/>
        <v>0</v>
      </c>
      <c r="AY57" s="138">
        <f t="shared" ca="1" si="66"/>
        <v>0</v>
      </c>
      <c r="AZ57" s="138">
        <f t="shared" ca="1" si="66"/>
        <v>0</v>
      </c>
      <c r="BA57" s="138">
        <f t="shared" ca="1" si="66"/>
        <v>0</v>
      </c>
      <c r="BB57" s="138">
        <f t="shared" ca="1" si="66"/>
        <v>0</v>
      </c>
      <c r="BC57" s="138">
        <f t="shared" ca="1" si="66"/>
        <v>0</v>
      </c>
      <c r="BD57" s="138">
        <f t="shared" ref="BD57:BS66" ca="1" si="67">OFFSET(INDIRECT("'"&amp;Opt_alt&amp;"'!H12"),$A57,BD$5)*$DF57</f>
        <v>0</v>
      </c>
      <c r="BE57" s="138">
        <f t="shared" ca="1" si="67"/>
        <v>0</v>
      </c>
      <c r="BF57" s="138">
        <f t="shared" ca="1" si="67"/>
        <v>0</v>
      </c>
      <c r="BG57" s="138">
        <f t="shared" ca="1" si="67"/>
        <v>0</v>
      </c>
      <c r="BH57" s="138">
        <f t="shared" ca="1" si="67"/>
        <v>0</v>
      </c>
      <c r="BI57" s="138">
        <f t="shared" ca="1" si="67"/>
        <v>0</v>
      </c>
      <c r="BJ57" s="138">
        <f t="shared" ca="1" si="67"/>
        <v>0</v>
      </c>
      <c r="BK57" s="138">
        <f t="shared" ca="1" si="67"/>
        <v>0</v>
      </c>
      <c r="BL57" s="138">
        <f t="shared" ca="1" si="67"/>
        <v>0</v>
      </c>
      <c r="BM57" s="138">
        <f t="shared" ca="1" si="67"/>
        <v>0</v>
      </c>
      <c r="BN57" s="138">
        <f t="shared" ca="1" si="67"/>
        <v>0</v>
      </c>
      <c r="BO57" s="138">
        <f t="shared" ca="1" si="67"/>
        <v>0</v>
      </c>
      <c r="BP57" s="138">
        <f t="shared" ca="1" si="67"/>
        <v>0</v>
      </c>
      <c r="BQ57" s="138">
        <f t="shared" ca="1" si="67"/>
        <v>0</v>
      </c>
      <c r="BR57" s="138">
        <f t="shared" ca="1" si="67"/>
        <v>0</v>
      </c>
      <c r="BS57" s="138">
        <f t="shared" ca="1" si="67"/>
        <v>0</v>
      </c>
      <c r="BT57" s="138">
        <f t="shared" ref="BT57:CI66" ca="1" si="68">OFFSET(INDIRECT("'"&amp;Opt_alt&amp;"'!H12"),$A57,BT$5)*$DF57</f>
        <v>0</v>
      </c>
      <c r="BU57" s="138">
        <f t="shared" ca="1" si="68"/>
        <v>0</v>
      </c>
      <c r="BV57" s="138">
        <f t="shared" ca="1" si="68"/>
        <v>0</v>
      </c>
      <c r="BW57" s="138">
        <f t="shared" ca="1" si="68"/>
        <v>0</v>
      </c>
      <c r="BX57" s="138">
        <f t="shared" ca="1" si="68"/>
        <v>0</v>
      </c>
      <c r="BY57" s="138">
        <f t="shared" ca="1" si="68"/>
        <v>0</v>
      </c>
      <c r="BZ57" s="138">
        <f t="shared" ca="1" si="68"/>
        <v>0</v>
      </c>
      <c r="CA57" s="138">
        <f t="shared" ca="1" si="68"/>
        <v>0</v>
      </c>
      <c r="CB57" s="138">
        <f t="shared" ca="1" si="68"/>
        <v>0</v>
      </c>
      <c r="CC57" s="138">
        <f t="shared" ca="1" si="68"/>
        <v>0</v>
      </c>
      <c r="CD57" s="138">
        <f t="shared" ca="1" si="68"/>
        <v>0</v>
      </c>
      <c r="CE57" s="138">
        <f t="shared" ca="1" si="68"/>
        <v>0</v>
      </c>
      <c r="CF57" s="138">
        <f t="shared" ca="1" si="68"/>
        <v>0</v>
      </c>
      <c r="CG57" s="138">
        <f t="shared" ca="1" si="68"/>
        <v>0</v>
      </c>
      <c r="CH57" s="138">
        <f t="shared" ca="1" si="68"/>
        <v>0</v>
      </c>
      <c r="CI57" s="138">
        <f t="shared" ca="1" si="68"/>
        <v>0</v>
      </c>
      <c r="CJ57" s="138">
        <f t="shared" ref="CJ57:CY66" ca="1" si="69">OFFSET(INDIRECT("'"&amp;Opt_alt&amp;"'!H12"),$A57,CJ$5)*$DF57</f>
        <v>0</v>
      </c>
      <c r="CK57" s="138">
        <f t="shared" ca="1" si="69"/>
        <v>0</v>
      </c>
      <c r="CL57" s="138">
        <f t="shared" ca="1" si="69"/>
        <v>0</v>
      </c>
      <c r="CM57" s="138">
        <f t="shared" ca="1" si="69"/>
        <v>0</v>
      </c>
      <c r="CN57" s="138">
        <f t="shared" ca="1" si="69"/>
        <v>0</v>
      </c>
      <c r="CO57" s="138">
        <f t="shared" ca="1" si="69"/>
        <v>0</v>
      </c>
      <c r="CP57" s="138">
        <f t="shared" ca="1" si="69"/>
        <v>0</v>
      </c>
      <c r="CQ57" s="138">
        <f t="shared" ca="1" si="69"/>
        <v>0</v>
      </c>
      <c r="CR57" s="138">
        <f t="shared" ca="1" si="69"/>
        <v>0</v>
      </c>
      <c r="CS57" s="138">
        <f t="shared" ca="1" si="69"/>
        <v>0</v>
      </c>
      <c r="CT57" s="138">
        <f t="shared" ca="1" si="69"/>
        <v>0</v>
      </c>
      <c r="CU57" s="138">
        <f t="shared" ca="1" si="69"/>
        <v>0</v>
      </c>
      <c r="CV57" s="138">
        <f t="shared" ca="1" si="69"/>
        <v>0</v>
      </c>
      <c r="CW57" s="138">
        <f t="shared" ca="1" si="69"/>
        <v>0</v>
      </c>
      <c r="CX57" s="138">
        <f t="shared" ca="1" si="69"/>
        <v>0</v>
      </c>
      <c r="CY57" s="138">
        <f t="shared" ca="1" si="69"/>
        <v>0</v>
      </c>
      <c r="CZ57" s="138">
        <f t="shared" ref="CT57:DC66" ca="1" si="70">OFFSET(INDIRECT("'"&amp;Opt_alt&amp;"'!H12"),$A57,CZ$5)*$DF57</f>
        <v>0</v>
      </c>
      <c r="DA57" s="138">
        <f t="shared" ca="1" si="70"/>
        <v>0</v>
      </c>
      <c r="DB57" s="138">
        <f t="shared" ca="1" si="70"/>
        <v>0</v>
      </c>
      <c r="DC57" s="138">
        <f t="shared" ca="1" si="70"/>
        <v>0</v>
      </c>
      <c r="DE57" s="254" t="str">
        <f t="shared" ca="1" si="24"/>
        <v>E.2.1.</v>
      </c>
      <c r="DF57">
        <f t="shared" ref="DF57:DF66" ca="1" si="71">VLOOKUP(DE57,scenarijai,$DF$6,FALSE)</f>
        <v>1</v>
      </c>
      <c r="DG57">
        <f t="shared" ref="DG57:DG66" ca="1" si="72">OFFSET(INDIRECT("'"&amp;Opt_alt&amp;"'!H12"),$A57,DG$5)</f>
        <v>21</v>
      </c>
      <c r="DH57">
        <v>0</v>
      </c>
    </row>
    <row r="58" spans="1:112" hidden="1">
      <c r="A58" s="124">
        <v>46</v>
      </c>
      <c r="B58" s="205" t="str">
        <f t="shared" ca="1" si="12"/>
        <v>E.2.2.</v>
      </c>
      <c r="C58" s="129" t="str">
        <f t="shared" ca="1" si="13"/>
        <v>Veikla</v>
      </c>
      <c r="D58" s="144"/>
      <c r="E58" s="148">
        <f t="shared" ca="1" si="14"/>
        <v>0.21</v>
      </c>
      <c r="F58" s="139">
        <f ca="1">H58+NPV(FD,I58:INDEX(I58:DC58,PAL))</f>
        <v>0</v>
      </c>
      <c r="G58" s="140">
        <f ca="1">SUMIF($H$5:$DC$5,"&lt;="&amp;PAL,$H58:$DC58)</f>
        <v>0</v>
      </c>
      <c r="H58" s="138">
        <f t="shared" ca="1" si="64"/>
        <v>0</v>
      </c>
      <c r="I58" s="138">
        <f t="shared" ca="1" si="64"/>
        <v>0</v>
      </c>
      <c r="J58" s="138">
        <f t="shared" ca="1" si="64"/>
        <v>0</v>
      </c>
      <c r="K58" s="138">
        <f t="shared" ca="1" si="64"/>
        <v>0</v>
      </c>
      <c r="L58" s="138">
        <f t="shared" ca="1" si="64"/>
        <v>0</v>
      </c>
      <c r="M58" s="138">
        <f t="shared" ca="1" si="64"/>
        <v>0</v>
      </c>
      <c r="N58" s="138">
        <f t="shared" ca="1" si="64"/>
        <v>0</v>
      </c>
      <c r="O58" s="138">
        <f t="shared" ca="1" si="64"/>
        <v>0</v>
      </c>
      <c r="P58" s="138">
        <f t="shared" ca="1" si="64"/>
        <v>0</v>
      </c>
      <c r="Q58" s="138">
        <f t="shared" ca="1" si="64"/>
        <v>0</v>
      </c>
      <c r="R58" s="138">
        <f t="shared" ca="1" si="64"/>
        <v>0</v>
      </c>
      <c r="S58" s="138">
        <f t="shared" ca="1" si="64"/>
        <v>0</v>
      </c>
      <c r="T58" s="138">
        <f t="shared" ca="1" si="64"/>
        <v>0</v>
      </c>
      <c r="U58" s="138">
        <f t="shared" ca="1" si="64"/>
        <v>0</v>
      </c>
      <c r="V58" s="138">
        <f t="shared" ca="1" si="64"/>
        <v>0</v>
      </c>
      <c r="W58" s="138">
        <f t="shared" ca="1" si="64"/>
        <v>0</v>
      </c>
      <c r="X58" s="138">
        <f t="shared" ca="1" si="65"/>
        <v>0</v>
      </c>
      <c r="Y58" s="138">
        <f t="shared" ca="1" si="65"/>
        <v>0</v>
      </c>
      <c r="Z58" s="138">
        <f t="shared" ca="1" si="65"/>
        <v>0</v>
      </c>
      <c r="AA58" s="138">
        <f t="shared" ca="1" si="65"/>
        <v>0</v>
      </c>
      <c r="AB58" s="138">
        <f t="shared" ca="1" si="65"/>
        <v>0</v>
      </c>
      <c r="AC58" s="138">
        <f t="shared" ca="1" si="65"/>
        <v>0</v>
      </c>
      <c r="AD58" s="138">
        <f t="shared" ca="1" si="65"/>
        <v>0</v>
      </c>
      <c r="AE58" s="138">
        <f t="shared" ca="1" si="65"/>
        <v>0</v>
      </c>
      <c r="AF58" s="138">
        <f t="shared" ca="1" si="65"/>
        <v>0</v>
      </c>
      <c r="AG58" s="138">
        <f t="shared" ca="1" si="65"/>
        <v>0</v>
      </c>
      <c r="AH58" s="138">
        <f t="shared" ca="1" si="65"/>
        <v>0</v>
      </c>
      <c r="AI58" s="138">
        <f t="shared" ca="1" si="65"/>
        <v>0</v>
      </c>
      <c r="AJ58" s="138">
        <f t="shared" ca="1" si="65"/>
        <v>0</v>
      </c>
      <c r="AK58" s="138">
        <f t="shared" ca="1" si="65"/>
        <v>0</v>
      </c>
      <c r="AL58" s="138">
        <f t="shared" ca="1" si="65"/>
        <v>0</v>
      </c>
      <c r="AM58" s="138">
        <f t="shared" ca="1" si="65"/>
        <v>0</v>
      </c>
      <c r="AN58" s="138">
        <f t="shared" ca="1" si="66"/>
        <v>0</v>
      </c>
      <c r="AO58" s="138">
        <f t="shared" ca="1" si="66"/>
        <v>0</v>
      </c>
      <c r="AP58" s="138">
        <f t="shared" ca="1" si="66"/>
        <v>0</v>
      </c>
      <c r="AQ58" s="138">
        <f t="shared" ca="1" si="66"/>
        <v>0</v>
      </c>
      <c r="AR58" s="138">
        <f t="shared" ca="1" si="66"/>
        <v>0</v>
      </c>
      <c r="AS58" s="138">
        <f t="shared" ca="1" si="66"/>
        <v>0</v>
      </c>
      <c r="AT58" s="138">
        <f t="shared" ca="1" si="66"/>
        <v>0</v>
      </c>
      <c r="AU58" s="138">
        <f t="shared" ca="1" si="66"/>
        <v>0</v>
      </c>
      <c r="AV58" s="138">
        <f t="shared" ca="1" si="66"/>
        <v>0</v>
      </c>
      <c r="AW58" s="138">
        <f t="shared" ca="1" si="66"/>
        <v>0</v>
      </c>
      <c r="AX58" s="138">
        <f t="shared" ca="1" si="66"/>
        <v>0</v>
      </c>
      <c r="AY58" s="138">
        <f t="shared" ca="1" si="66"/>
        <v>0</v>
      </c>
      <c r="AZ58" s="138">
        <f t="shared" ca="1" si="66"/>
        <v>0</v>
      </c>
      <c r="BA58" s="138">
        <f t="shared" ca="1" si="66"/>
        <v>0</v>
      </c>
      <c r="BB58" s="138">
        <f t="shared" ca="1" si="66"/>
        <v>0</v>
      </c>
      <c r="BC58" s="138">
        <f t="shared" ca="1" si="66"/>
        <v>0</v>
      </c>
      <c r="BD58" s="138">
        <f t="shared" ca="1" si="67"/>
        <v>0</v>
      </c>
      <c r="BE58" s="138">
        <f t="shared" ca="1" si="67"/>
        <v>0</v>
      </c>
      <c r="BF58" s="138">
        <f t="shared" ca="1" si="67"/>
        <v>0</v>
      </c>
      <c r="BG58" s="138">
        <f t="shared" ca="1" si="67"/>
        <v>0</v>
      </c>
      <c r="BH58" s="138">
        <f t="shared" ca="1" si="67"/>
        <v>0</v>
      </c>
      <c r="BI58" s="138">
        <f t="shared" ca="1" si="67"/>
        <v>0</v>
      </c>
      <c r="BJ58" s="138">
        <f t="shared" ca="1" si="67"/>
        <v>0</v>
      </c>
      <c r="BK58" s="138">
        <f t="shared" ca="1" si="67"/>
        <v>0</v>
      </c>
      <c r="BL58" s="138">
        <f t="shared" ca="1" si="67"/>
        <v>0</v>
      </c>
      <c r="BM58" s="138">
        <f t="shared" ca="1" si="67"/>
        <v>0</v>
      </c>
      <c r="BN58" s="138">
        <f t="shared" ca="1" si="67"/>
        <v>0</v>
      </c>
      <c r="BO58" s="138">
        <f t="shared" ca="1" si="67"/>
        <v>0</v>
      </c>
      <c r="BP58" s="138">
        <f t="shared" ca="1" si="67"/>
        <v>0</v>
      </c>
      <c r="BQ58" s="138">
        <f t="shared" ca="1" si="67"/>
        <v>0</v>
      </c>
      <c r="BR58" s="138">
        <f t="shared" ca="1" si="67"/>
        <v>0</v>
      </c>
      <c r="BS58" s="138">
        <f t="shared" ca="1" si="67"/>
        <v>0</v>
      </c>
      <c r="BT58" s="138">
        <f t="shared" ca="1" si="68"/>
        <v>0</v>
      </c>
      <c r="BU58" s="138">
        <f t="shared" ca="1" si="68"/>
        <v>0</v>
      </c>
      <c r="BV58" s="138">
        <f t="shared" ca="1" si="68"/>
        <v>0</v>
      </c>
      <c r="BW58" s="138">
        <f t="shared" ca="1" si="68"/>
        <v>0</v>
      </c>
      <c r="BX58" s="138">
        <f t="shared" ca="1" si="68"/>
        <v>0</v>
      </c>
      <c r="BY58" s="138">
        <f t="shared" ca="1" si="68"/>
        <v>0</v>
      </c>
      <c r="BZ58" s="138">
        <f t="shared" ca="1" si="68"/>
        <v>0</v>
      </c>
      <c r="CA58" s="138">
        <f t="shared" ca="1" si="68"/>
        <v>0</v>
      </c>
      <c r="CB58" s="138">
        <f t="shared" ca="1" si="68"/>
        <v>0</v>
      </c>
      <c r="CC58" s="138">
        <f t="shared" ca="1" si="68"/>
        <v>0</v>
      </c>
      <c r="CD58" s="138">
        <f t="shared" ca="1" si="68"/>
        <v>0</v>
      </c>
      <c r="CE58" s="138">
        <f t="shared" ca="1" si="68"/>
        <v>0</v>
      </c>
      <c r="CF58" s="138">
        <f t="shared" ca="1" si="68"/>
        <v>0</v>
      </c>
      <c r="CG58" s="138">
        <f t="shared" ca="1" si="68"/>
        <v>0</v>
      </c>
      <c r="CH58" s="138">
        <f t="shared" ca="1" si="68"/>
        <v>0</v>
      </c>
      <c r="CI58" s="138">
        <f t="shared" ca="1" si="68"/>
        <v>0</v>
      </c>
      <c r="CJ58" s="138">
        <f t="shared" ca="1" si="69"/>
        <v>0</v>
      </c>
      <c r="CK58" s="138">
        <f t="shared" ca="1" si="69"/>
        <v>0</v>
      </c>
      <c r="CL58" s="138">
        <f t="shared" ca="1" si="69"/>
        <v>0</v>
      </c>
      <c r="CM58" s="138">
        <f t="shared" ca="1" si="69"/>
        <v>0</v>
      </c>
      <c r="CN58" s="138">
        <f t="shared" ca="1" si="69"/>
        <v>0</v>
      </c>
      <c r="CO58" s="138">
        <f t="shared" ca="1" si="69"/>
        <v>0</v>
      </c>
      <c r="CP58" s="138">
        <f t="shared" ca="1" si="69"/>
        <v>0</v>
      </c>
      <c r="CQ58" s="138">
        <f t="shared" ca="1" si="69"/>
        <v>0</v>
      </c>
      <c r="CR58" s="138">
        <f t="shared" ca="1" si="69"/>
        <v>0</v>
      </c>
      <c r="CS58" s="138">
        <f t="shared" ca="1" si="69"/>
        <v>0</v>
      </c>
      <c r="CT58" s="138">
        <f t="shared" ca="1" si="70"/>
        <v>0</v>
      </c>
      <c r="CU58" s="138">
        <f t="shared" ca="1" si="70"/>
        <v>0</v>
      </c>
      <c r="CV58" s="138">
        <f t="shared" ca="1" si="70"/>
        <v>0</v>
      </c>
      <c r="CW58" s="138">
        <f t="shared" ca="1" si="70"/>
        <v>0</v>
      </c>
      <c r="CX58" s="138">
        <f t="shared" ca="1" si="70"/>
        <v>0</v>
      </c>
      <c r="CY58" s="138">
        <f t="shared" ca="1" si="70"/>
        <v>0</v>
      </c>
      <c r="CZ58" s="138">
        <f t="shared" ca="1" si="70"/>
        <v>0</v>
      </c>
      <c r="DA58" s="138">
        <f t="shared" ca="1" si="70"/>
        <v>0</v>
      </c>
      <c r="DB58" s="138">
        <f t="shared" ca="1" si="70"/>
        <v>0</v>
      </c>
      <c r="DC58" s="138">
        <f t="shared" ca="1" si="70"/>
        <v>0</v>
      </c>
      <c r="DE58" s="254" t="str">
        <f t="shared" ca="1" si="24"/>
        <v>E.2.2.</v>
      </c>
      <c r="DF58">
        <f t="shared" ca="1" si="71"/>
        <v>1</v>
      </c>
      <c r="DG58">
        <f t="shared" ca="1" si="72"/>
        <v>21</v>
      </c>
      <c r="DH58">
        <v>0</v>
      </c>
    </row>
    <row r="59" spans="1:112" hidden="1">
      <c r="A59" s="124">
        <v>47</v>
      </c>
      <c r="B59" s="205" t="str">
        <f t="shared" ca="1" si="12"/>
        <v>E.2.3.</v>
      </c>
      <c r="C59" s="129" t="str">
        <f t="shared" ca="1" si="13"/>
        <v>Veikla</v>
      </c>
      <c r="D59" s="144"/>
      <c r="E59" s="148">
        <f t="shared" ca="1" si="14"/>
        <v>0.21</v>
      </c>
      <c r="F59" s="139">
        <f ca="1">H59+NPV(FD,I59:INDEX(I59:DC59,PAL))</f>
        <v>0</v>
      </c>
      <c r="G59" s="140">
        <f ca="1">SUMIF($H$5:$DC$5,"&lt;="&amp;PAL,$H59:$DC59)</f>
        <v>0</v>
      </c>
      <c r="H59" s="138">
        <f t="shared" ca="1" si="64"/>
        <v>0</v>
      </c>
      <c r="I59" s="138">
        <f t="shared" ca="1" si="64"/>
        <v>0</v>
      </c>
      <c r="J59" s="138">
        <f t="shared" ca="1" si="64"/>
        <v>0</v>
      </c>
      <c r="K59" s="138">
        <f t="shared" ca="1" si="64"/>
        <v>0</v>
      </c>
      <c r="L59" s="138">
        <f t="shared" ca="1" si="64"/>
        <v>0</v>
      </c>
      <c r="M59" s="138">
        <f t="shared" ca="1" si="64"/>
        <v>0</v>
      </c>
      <c r="N59" s="138">
        <f t="shared" ca="1" si="64"/>
        <v>0</v>
      </c>
      <c r="O59" s="138">
        <f t="shared" ca="1" si="64"/>
        <v>0</v>
      </c>
      <c r="P59" s="138">
        <f t="shared" ca="1" si="64"/>
        <v>0</v>
      </c>
      <c r="Q59" s="138">
        <f t="shared" ca="1" si="64"/>
        <v>0</v>
      </c>
      <c r="R59" s="138">
        <f t="shared" ca="1" si="64"/>
        <v>0</v>
      </c>
      <c r="S59" s="138">
        <f t="shared" ca="1" si="64"/>
        <v>0</v>
      </c>
      <c r="T59" s="138">
        <f t="shared" ca="1" si="64"/>
        <v>0</v>
      </c>
      <c r="U59" s="138">
        <f t="shared" ca="1" si="64"/>
        <v>0</v>
      </c>
      <c r="V59" s="138">
        <f t="shared" ca="1" si="64"/>
        <v>0</v>
      </c>
      <c r="W59" s="138">
        <f t="shared" ca="1" si="64"/>
        <v>0</v>
      </c>
      <c r="X59" s="138">
        <f t="shared" ca="1" si="65"/>
        <v>0</v>
      </c>
      <c r="Y59" s="138">
        <f t="shared" ca="1" si="65"/>
        <v>0</v>
      </c>
      <c r="Z59" s="138">
        <f t="shared" ca="1" si="65"/>
        <v>0</v>
      </c>
      <c r="AA59" s="138">
        <f t="shared" ca="1" si="65"/>
        <v>0</v>
      </c>
      <c r="AB59" s="138">
        <f t="shared" ca="1" si="65"/>
        <v>0</v>
      </c>
      <c r="AC59" s="138">
        <f t="shared" ca="1" si="65"/>
        <v>0</v>
      </c>
      <c r="AD59" s="138">
        <f t="shared" ca="1" si="65"/>
        <v>0</v>
      </c>
      <c r="AE59" s="138">
        <f t="shared" ca="1" si="65"/>
        <v>0</v>
      </c>
      <c r="AF59" s="138">
        <f t="shared" ca="1" si="65"/>
        <v>0</v>
      </c>
      <c r="AG59" s="138">
        <f t="shared" ca="1" si="65"/>
        <v>0</v>
      </c>
      <c r="AH59" s="138">
        <f t="shared" ca="1" si="65"/>
        <v>0</v>
      </c>
      <c r="AI59" s="138">
        <f t="shared" ca="1" si="65"/>
        <v>0</v>
      </c>
      <c r="AJ59" s="138">
        <f t="shared" ca="1" si="65"/>
        <v>0</v>
      </c>
      <c r="AK59" s="138">
        <f t="shared" ca="1" si="65"/>
        <v>0</v>
      </c>
      <c r="AL59" s="138">
        <f t="shared" ca="1" si="65"/>
        <v>0</v>
      </c>
      <c r="AM59" s="138">
        <f t="shared" ca="1" si="65"/>
        <v>0</v>
      </c>
      <c r="AN59" s="138">
        <f t="shared" ca="1" si="66"/>
        <v>0</v>
      </c>
      <c r="AO59" s="138">
        <f t="shared" ca="1" si="66"/>
        <v>0</v>
      </c>
      <c r="AP59" s="138">
        <f t="shared" ca="1" si="66"/>
        <v>0</v>
      </c>
      <c r="AQ59" s="138">
        <f t="shared" ca="1" si="66"/>
        <v>0</v>
      </c>
      <c r="AR59" s="138">
        <f t="shared" ca="1" si="66"/>
        <v>0</v>
      </c>
      <c r="AS59" s="138">
        <f t="shared" ca="1" si="66"/>
        <v>0</v>
      </c>
      <c r="AT59" s="138">
        <f t="shared" ca="1" si="66"/>
        <v>0</v>
      </c>
      <c r="AU59" s="138">
        <f t="shared" ca="1" si="66"/>
        <v>0</v>
      </c>
      <c r="AV59" s="138">
        <f t="shared" ca="1" si="66"/>
        <v>0</v>
      </c>
      <c r="AW59" s="138">
        <f t="shared" ca="1" si="66"/>
        <v>0</v>
      </c>
      <c r="AX59" s="138">
        <f t="shared" ca="1" si="66"/>
        <v>0</v>
      </c>
      <c r="AY59" s="138">
        <f t="shared" ca="1" si="66"/>
        <v>0</v>
      </c>
      <c r="AZ59" s="138">
        <f t="shared" ca="1" si="66"/>
        <v>0</v>
      </c>
      <c r="BA59" s="138">
        <f t="shared" ca="1" si="66"/>
        <v>0</v>
      </c>
      <c r="BB59" s="138">
        <f t="shared" ca="1" si="66"/>
        <v>0</v>
      </c>
      <c r="BC59" s="138">
        <f t="shared" ca="1" si="66"/>
        <v>0</v>
      </c>
      <c r="BD59" s="138">
        <f t="shared" ca="1" si="67"/>
        <v>0</v>
      </c>
      <c r="BE59" s="138">
        <f t="shared" ca="1" si="67"/>
        <v>0</v>
      </c>
      <c r="BF59" s="138">
        <f t="shared" ca="1" si="67"/>
        <v>0</v>
      </c>
      <c r="BG59" s="138">
        <f t="shared" ca="1" si="67"/>
        <v>0</v>
      </c>
      <c r="BH59" s="138">
        <f t="shared" ca="1" si="67"/>
        <v>0</v>
      </c>
      <c r="BI59" s="138">
        <f t="shared" ca="1" si="67"/>
        <v>0</v>
      </c>
      <c r="BJ59" s="138">
        <f t="shared" ca="1" si="67"/>
        <v>0</v>
      </c>
      <c r="BK59" s="138">
        <f t="shared" ca="1" si="67"/>
        <v>0</v>
      </c>
      <c r="BL59" s="138">
        <f t="shared" ca="1" si="67"/>
        <v>0</v>
      </c>
      <c r="BM59" s="138">
        <f t="shared" ca="1" si="67"/>
        <v>0</v>
      </c>
      <c r="BN59" s="138">
        <f t="shared" ca="1" si="67"/>
        <v>0</v>
      </c>
      <c r="BO59" s="138">
        <f t="shared" ca="1" si="67"/>
        <v>0</v>
      </c>
      <c r="BP59" s="138">
        <f t="shared" ca="1" si="67"/>
        <v>0</v>
      </c>
      <c r="BQ59" s="138">
        <f t="shared" ca="1" si="67"/>
        <v>0</v>
      </c>
      <c r="BR59" s="138">
        <f t="shared" ca="1" si="67"/>
        <v>0</v>
      </c>
      <c r="BS59" s="138">
        <f t="shared" ca="1" si="67"/>
        <v>0</v>
      </c>
      <c r="BT59" s="138">
        <f t="shared" ca="1" si="68"/>
        <v>0</v>
      </c>
      <c r="BU59" s="138">
        <f t="shared" ca="1" si="68"/>
        <v>0</v>
      </c>
      <c r="BV59" s="138">
        <f t="shared" ca="1" si="68"/>
        <v>0</v>
      </c>
      <c r="BW59" s="138">
        <f t="shared" ca="1" si="68"/>
        <v>0</v>
      </c>
      <c r="BX59" s="138">
        <f t="shared" ca="1" si="68"/>
        <v>0</v>
      </c>
      <c r="BY59" s="138">
        <f t="shared" ca="1" si="68"/>
        <v>0</v>
      </c>
      <c r="BZ59" s="138">
        <f t="shared" ca="1" si="68"/>
        <v>0</v>
      </c>
      <c r="CA59" s="138">
        <f t="shared" ca="1" si="68"/>
        <v>0</v>
      </c>
      <c r="CB59" s="138">
        <f t="shared" ca="1" si="68"/>
        <v>0</v>
      </c>
      <c r="CC59" s="138">
        <f t="shared" ca="1" si="68"/>
        <v>0</v>
      </c>
      <c r="CD59" s="138">
        <f t="shared" ca="1" si="68"/>
        <v>0</v>
      </c>
      <c r="CE59" s="138">
        <f t="shared" ca="1" si="68"/>
        <v>0</v>
      </c>
      <c r="CF59" s="138">
        <f t="shared" ca="1" si="68"/>
        <v>0</v>
      </c>
      <c r="CG59" s="138">
        <f t="shared" ca="1" si="68"/>
        <v>0</v>
      </c>
      <c r="CH59" s="138">
        <f t="shared" ca="1" si="68"/>
        <v>0</v>
      </c>
      <c r="CI59" s="138">
        <f t="shared" ca="1" si="68"/>
        <v>0</v>
      </c>
      <c r="CJ59" s="138">
        <f t="shared" ca="1" si="69"/>
        <v>0</v>
      </c>
      <c r="CK59" s="138">
        <f t="shared" ca="1" si="69"/>
        <v>0</v>
      </c>
      <c r="CL59" s="138">
        <f t="shared" ca="1" si="69"/>
        <v>0</v>
      </c>
      <c r="CM59" s="138">
        <f t="shared" ca="1" si="69"/>
        <v>0</v>
      </c>
      <c r="CN59" s="138">
        <f t="shared" ca="1" si="69"/>
        <v>0</v>
      </c>
      <c r="CO59" s="138">
        <f t="shared" ca="1" si="69"/>
        <v>0</v>
      </c>
      <c r="CP59" s="138">
        <f t="shared" ca="1" si="69"/>
        <v>0</v>
      </c>
      <c r="CQ59" s="138">
        <f t="shared" ca="1" si="69"/>
        <v>0</v>
      </c>
      <c r="CR59" s="138">
        <f t="shared" ca="1" si="69"/>
        <v>0</v>
      </c>
      <c r="CS59" s="138">
        <f t="shared" ca="1" si="69"/>
        <v>0</v>
      </c>
      <c r="CT59" s="138">
        <f t="shared" ca="1" si="70"/>
        <v>0</v>
      </c>
      <c r="CU59" s="138">
        <f t="shared" ca="1" si="70"/>
        <v>0</v>
      </c>
      <c r="CV59" s="138">
        <f t="shared" ca="1" si="70"/>
        <v>0</v>
      </c>
      <c r="CW59" s="138">
        <f t="shared" ca="1" si="70"/>
        <v>0</v>
      </c>
      <c r="CX59" s="138">
        <f t="shared" ca="1" si="70"/>
        <v>0</v>
      </c>
      <c r="CY59" s="138">
        <f t="shared" ca="1" si="70"/>
        <v>0</v>
      </c>
      <c r="CZ59" s="138">
        <f t="shared" ca="1" si="70"/>
        <v>0</v>
      </c>
      <c r="DA59" s="138">
        <f t="shared" ca="1" si="70"/>
        <v>0</v>
      </c>
      <c r="DB59" s="138">
        <f t="shared" ca="1" si="70"/>
        <v>0</v>
      </c>
      <c r="DC59" s="138">
        <f t="shared" ca="1" si="70"/>
        <v>0</v>
      </c>
      <c r="DE59" s="254" t="str">
        <f t="shared" ca="1" si="24"/>
        <v>E.2.3.</v>
      </c>
      <c r="DF59">
        <f t="shared" ca="1" si="71"/>
        <v>1</v>
      </c>
      <c r="DG59">
        <f t="shared" ca="1" si="72"/>
        <v>21</v>
      </c>
      <c r="DH59">
        <v>0</v>
      </c>
    </row>
    <row r="60" spans="1:112" hidden="1">
      <c r="A60" s="124">
        <v>48</v>
      </c>
      <c r="B60" s="205" t="str">
        <f t="shared" ca="1" si="12"/>
        <v>E.2.4.</v>
      </c>
      <c r="C60" s="129" t="str">
        <f t="shared" ca="1" si="13"/>
        <v>Veikla</v>
      </c>
      <c r="D60" s="144"/>
      <c r="E60" s="148">
        <f t="shared" ca="1" si="14"/>
        <v>0.21</v>
      </c>
      <c r="F60" s="139">
        <f ca="1">H60+NPV(FD,I60:INDEX(I60:DC60,PAL))</f>
        <v>0</v>
      </c>
      <c r="G60" s="140">
        <f ca="1">SUMIF($H$5:$DC$5,"&lt;="&amp;PAL,$H60:$DC60)</f>
        <v>0</v>
      </c>
      <c r="H60" s="138">
        <f t="shared" ca="1" si="64"/>
        <v>0</v>
      </c>
      <c r="I60" s="138">
        <f t="shared" ca="1" si="64"/>
        <v>0</v>
      </c>
      <c r="J60" s="138">
        <f t="shared" ca="1" si="64"/>
        <v>0</v>
      </c>
      <c r="K60" s="138">
        <f t="shared" ca="1" si="64"/>
        <v>0</v>
      </c>
      <c r="L60" s="138">
        <f t="shared" ca="1" si="64"/>
        <v>0</v>
      </c>
      <c r="M60" s="138">
        <f t="shared" ca="1" si="64"/>
        <v>0</v>
      </c>
      <c r="N60" s="138">
        <f t="shared" ca="1" si="64"/>
        <v>0</v>
      </c>
      <c r="O60" s="138">
        <f t="shared" ca="1" si="64"/>
        <v>0</v>
      </c>
      <c r="P60" s="138">
        <f t="shared" ca="1" si="64"/>
        <v>0</v>
      </c>
      <c r="Q60" s="138">
        <f t="shared" ca="1" si="64"/>
        <v>0</v>
      </c>
      <c r="R60" s="138">
        <f t="shared" ca="1" si="64"/>
        <v>0</v>
      </c>
      <c r="S60" s="138">
        <f t="shared" ca="1" si="64"/>
        <v>0</v>
      </c>
      <c r="T60" s="138">
        <f t="shared" ca="1" si="64"/>
        <v>0</v>
      </c>
      <c r="U60" s="138">
        <f t="shared" ca="1" si="64"/>
        <v>0</v>
      </c>
      <c r="V60" s="138">
        <f t="shared" ca="1" si="64"/>
        <v>0</v>
      </c>
      <c r="W60" s="138">
        <f t="shared" ca="1" si="64"/>
        <v>0</v>
      </c>
      <c r="X60" s="138">
        <f t="shared" ca="1" si="65"/>
        <v>0</v>
      </c>
      <c r="Y60" s="138">
        <f t="shared" ca="1" si="65"/>
        <v>0</v>
      </c>
      <c r="Z60" s="138">
        <f t="shared" ca="1" si="65"/>
        <v>0</v>
      </c>
      <c r="AA60" s="138">
        <f t="shared" ca="1" si="65"/>
        <v>0</v>
      </c>
      <c r="AB60" s="138">
        <f t="shared" ca="1" si="65"/>
        <v>0</v>
      </c>
      <c r="AC60" s="138">
        <f t="shared" ca="1" si="65"/>
        <v>0</v>
      </c>
      <c r="AD60" s="138">
        <f t="shared" ca="1" si="65"/>
        <v>0</v>
      </c>
      <c r="AE60" s="138">
        <f t="shared" ca="1" si="65"/>
        <v>0</v>
      </c>
      <c r="AF60" s="138">
        <f t="shared" ca="1" si="65"/>
        <v>0</v>
      </c>
      <c r="AG60" s="138">
        <f t="shared" ca="1" si="65"/>
        <v>0</v>
      </c>
      <c r="AH60" s="138">
        <f t="shared" ca="1" si="65"/>
        <v>0</v>
      </c>
      <c r="AI60" s="138">
        <f t="shared" ca="1" si="65"/>
        <v>0</v>
      </c>
      <c r="AJ60" s="138">
        <f t="shared" ca="1" si="65"/>
        <v>0</v>
      </c>
      <c r="AK60" s="138">
        <f t="shared" ca="1" si="65"/>
        <v>0</v>
      </c>
      <c r="AL60" s="138">
        <f t="shared" ca="1" si="65"/>
        <v>0</v>
      </c>
      <c r="AM60" s="138">
        <f t="shared" ca="1" si="65"/>
        <v>0</v>
      </c>
      <c r="AN60" s="138">
        <f t="shared" ca="1" si="66"/>
        <v>0</v>
      </c>
      <c r="AO60" s="138">
        <f t="shared" ca="1" si="66"/>
        <v>0</v>
      </c>
      <c r="AP60" s="138">
        <f t="shared" ca="1" si="66"/>
        <v>0</v>
      </c>
      <c r="AQ60" s="138">
        <f t="shared" ca="1" si="66"/>
        <v>0</v>
      </c>
      <c r="AR60" s="138">
        <f t="shared" ca="1" si="66"/>
        <v>0</v>
      </c>
      <c r="AS60" s="138">
        <f t="shared" ca="1" si="66"/>
        <v>0</v>
      </c>
      <c r="AT60" s="138">
        <f t="shared" ca="1" si="66"/>
        <v>0</v>
      </c>
      <c r="AU60" s="138">
        <f t="shared" ca="1" si="66"/>
        <v>0</v>
      </c>
      <c r="AV60" s="138">
        <f t="shared" ca="1" si="66"/>
        <v>0</v>
      </c>
      <c r="AW60" s="138">
        <f t="shared" ca="1" si="66"/>
        <v>0</v>
      </c>
      <c r="AX60" s="138">
        <f t="shared" ca="1" si="66"/>
        <v>0</v>
      </c>
      <c r="AY60" s="138">
        <f t="shared" ca="1" si="66"/>
        <v>0</v>
      </c>
      <c r="AZ60" s="138">
        <f t="shared" ca="1" si="66"/>
        <v>0</v>
      </c>
      <c r="BA60" s="138">
        <f t="shared" ca="1" si="66"/>
        <v>0</v>
      </c>
      <c r="BB60" s="138">
        <f t="shared" ca="1" si="66"/>
        <v>0</v>
      </c>
      <c r="BC60" s="138">
        <f t="shared" ca="1" si="66"/>
        <v>0</v>
      </c>
      <c r="BD60" s="138">
        <f t="shared" ca="1" si="67"/>
        <v>0</v>
      </c>
      <c r="BE60" s="138">
        <f t="shared" ca="1" si="67"/>
        <v>0</v>
      </c>
      <c r="BF60" s="138">
        <f t="shared" ca="1" si="67"/>
        <v>0</v>
      </c>
      <c r="BG60" s="138">
        <f t="shared" ca="1" si="67"/>
        <v>0</v>
      </c>
      <c r="BH60" s="138">
        <f t="shared" ca="1" si="67"/>
        <v>0</v>
      </c>
      <c r="BI60" s="138">
        <f t="shared" ca="1" si="67"/>
        <v>0</v>
      </c>
      <c r="BJ60" s="138">
        <f t="shared" ca="1" si="67"/>
        <v>0</v>
      </c>
      <c r="BK60" s="138">
        <f t="shared" ca="1" si="67"/>
        <v>0</v>
      </c>
      <c r="BL60" s="138">
        <f t="shared" ca="1" si="67"/>
        <v>0</v>
      </c>
      <c r="BM60" s="138">
        <f t="shared" ca="1" si="67"/>
        <v>0</v>
      </c>
      <c r="BN60" s="138">
        <f t="shared" ca="1" si="67"/>
        <v>0</v>
      </c>
      <c r="BO60" s="138">
        <f t="shared" ca="1" si="67"/>
        <v>0</v>
      </c>
      <c r="BP60" s="138">
        <f t="shared" ca="1" si="67"/>
        <v>0</v>
      </c>
      <c r="BQ60" s="138">
        <f t="shared" ca="1" si="67"/>
        <v>0</v>
      </c>
      <c r="BR60" s="138">
        <f t="shared" ca="1" si="67"/>
        <v>0</v>
      </c>
      <c r="BS60" s="138">
        <f t="shared" ca="1" si="67"/>
        <v>0</v>
      </c>
      <c r="BT60" s="138">
        <f t="shared" ca="1" si="68"/>
        <v>0</v>
      </c>
      <c r="BU60" s="138">
        <f t="shared" ca="1" si="68"/>
        <v>0</v>
      </c>
      <c r="BV60" s="138">
        <f t="shared" ca="1" si="68"/>
        <v>0</v>
      </c>
      <c r="BW60" s="138">
        <f t="shared" ca="1" si="68"/>
        <v>0</v>
      </c>
      <c r="BX60" s="138">
        <f t="shared" ca="1" si="68"/>
        <v>0</v>
      </c>
      <c r="BY60" s="138">
        <f t="shared" ca="1" si="68"/>
        <v>0</v>
      </c>
      <c r="BZ60" s="138">
        <f t="shared" ca="1" si="68"/>
        <v>0</v>
      </c>
      <c r="CA60" s="138">
        <f t="shared" ca="1" si="68"/>
        <v>0</v>
      </c>
      <c r="CB60" s="138">
        <f t="shared" ca="1" si="68"/>
        <v>0</v>
      </c>
      <c r="CC60" s="138">
        <f t="shared" ca="1" si="68"/>
        <v>0</v>
      </c>
      <c r="CD60" s="138">
        <f t="shared" ca="1" si="68"/>
        <v>0</v>
      </c>
      <c r="CE60" s="138">
        <f t="shared" ca="1" si="68"/>
        <v>0</v>
      </c>
      <c r="CF60" s="138">
        <f t="shared" ca="1" si="68"/>
        <v>0</v>
      </c>
      <c r="CG60" s="138">
        <f t="shared" ca="1" si="68"/>
        <v>0</v>
      </c>
      <c r="CH60" s="138">
        <f t="shared" ca="1" si="68"/>
        <v>0</v>
      </c>
      <c r="CI60" s="138">
        <f t="shared" ca="1" si="68"/>
        <v>0</v>
      </c>
      <c r="CJ60" s="138">
        <f t="shared" ca="1" si="69"/>
        <v>0</v>
      </c>
      <c r="CK60" s="138">
        <f t="shared" ca="1" si="69"/>
        <v>0</v>
      </c>
      <c r="CL60" s="138">
        <f t="shared" ca="1" si="69"/>
        <v>0</v>
      </c>
      <c r="CM60" s="138">
        <f t="shared" ca="1" si="69"/>
        <v>0</v>
      </c>
      <c r="CN60" s="138">
        <f t="shared" ca="1" si="69"/>
        <v>0</v>
      </c>
      <c r="CO60" s="138">
        <f t="shared" ca="1" si="69"/>
        <v>0</v>
      </c>
      <c r="CP60" s="138">
        <f t="shared" ca="1" si="69"/>
        <v>0</v>
      </c>
      <c r="CQ60" s="138">
        <f t="shared" ca="1" si="69"/>
        <v>0</v>
      </c>
      <c r="CR60" s="138">
        <f t="shared" ca="1" si="69"/>
        <v>0</v>
      </c>
      <c r="CS60" s="138">
        <f t="shared" ca="1" si="69"/>
        <v>0</v>
      </c>
      <c r="CT60" s="138">
        <f t="shared" ca="1" si="70"/>
        <v>0</v>
      </c>
      <c r="CU60" s="138">
        <f t="shared" ca="1" si="70"/>
        <v>0</v>
      </c>
      <c r="CV60" s="138">
        <f t="shared" ca="1" si="70"/>
        <v>0</v>
      </c>
      <c r="CW60" s="138">
        <f t="shared" ca="1" si="70"/>
        <v>0</v>
      </c>
      <c r="CX60" s="138">
        <f t="shared" ca="1" si="70"/>
        <v>0</v>
      </c>
      <c r="CY60" s="138">
        <f t="shared" ca="1" si="70"/>
        <v>0</v>
      </c>
      <c r="CZ60" s="138">
        <f t="shared" ca="1" si="70"/>
        <v>0</v>
      </c>
      <c r="DA60" s="138">
        <f t="shared" ca="1" si="70"/>
        <v>0</v>
      </c>
      <c r="DB60" s="138">
        <f t="shared" ca="1" si="70"/>
        <v>0</v>
      </c>
      <c r="DC60" s="138">
        <f t="shared" ca="1" si="70"/>
        <v>0</v>
      </c>
      <c r="DE60" s="254" t="str">
        <f t="shared" ca="1" si="24"/>
        <v>E.2.4.</v>
      </c>
      <c r="DF60">
        <f t="shared" ca="1" si="71"/>
        <v>1</v>
      </c>
      <c r="DG60">
        <f t="shared" ca="1" si="72"/>
        <v>21</v>
      </c>
      <c r="DH60">
        <v>0</v>
      </c>
    </row>
    <row r="61" spans="1:112" hidden="1">
      <c r="A61" s="124">
        <v>49</v>
      </c>
      <c r="B61" s="205" t="str">
        <f t="shared" ca="1" si="12"/>
        <v>E.2.5.</v>
      </c>
      <c r="C61" s="129" t="str">
        <f t="shared" ca="1" si="13"/>
        <v>Veikla</v>
      </c>
      <c r="D61" s="144"/>
      <c r="E61" s="148">
        <f t="shared" ca="1" si="14"/>
        <v>0.21</v>
      </c>
      <c r="F61" s="139">
        <f ca="1">H61+NPV(FD,I61:INDEX(I61:DC61,PAL))</f>
        <v>0</v>
      </c>
      <c r="G61" s="140">
        <f ca="1">SUMIF($H$5:$DC$5,"&lt;="&amp;PAL,$H61:$DC61)</f>
        <v>0</v>
      </c>
      <c r="H61" s="138">
        <f t="shared" ca="1" si="64"/>
        <v>0</v>
      </c>
      <c r="I61" s="138">
        <f t="shared" ca="1" si="64"/>
        <v>0</v>
      </c>
      <c r="J61" s="138">
        <f t="shared" ca="1" si="64"/>
        <v>0</v>
      </c>
      <c r="K61" s="138">
        <f t="shared" ca="1" si="64"/>
        <v>0</v>
      </c>
      <c r="L61" s="138">
        <f t="shared" ca="1" si="64"/>
        <v>0</v>
      </c>
      <c r="M61" s="138">
        <f t="shared" ca="1" si="64"/>
        <v>0</v>
      </c>
      <c r="N61" s="138">
        <f t="shared" ca="1" si="64"/>
        <v>0</v>
      </c>
      <c r="O61" s="138">
        <f t="shared" ca="1" si="64"/>
        <v>0</v>
      </c>
      <c r="P61" s="138">
        <f t="shared" ca="1" si="64"/>
        <v>0</v>
      </c>
      <c r="Q61" s="138">
        <f t="shared" ca="1" si="64"/>
        <v>0</v>
      </c>
      <c r="R61" s="138">
        <f t="shared" ca="1" si="64"/>
        <v>0</v>
      </c>
      <c r="S61" s="138">
        <f t="shared" ca="1" si="64"/>
        <v>0</v>
      </c>
      <c r="T61" s="138">
        <f t="shared" ca="1" si="64"/>
        <v>0</v>
      </c>
      <c r="U61" s="138">
        <f t="shared" ca="1" si="64"/>
        <v>0</v>
      </c>
      <c r="V61" s="138">
        <f t="shared" ca="1" si="64"/>
        <v>0</v>
      </c>
      <c r="W61" s="138">
        <f t="shared" ca="1" si="64"/>
        <v>0</v>
      </c>
      <c r="X61" s="138">
        <f t="shared" ca="1" si="65"/>
        <v>0</v>
      </c>
      <c r="Y61" s="138">
        <f t="shared" ca="1" si="65"/>
        <v>0</v>
      </c>
      <c r="Z61" s="138">
        <f t="shared" ca="1" si="65"/>
        <v>0</v>
      </c>
      <c r="AA61" s="138">
        <f t="shared" ca="1" si="65"/>
        <v>0</v>
      </c>
      <c r="AB61" s="138">
        <f t="shared" ca="1" si="65"/>
        <v>0</v>
      </c>
      <c r="AC61" s="138">
        <f t="shared" ca="1" si="65"/>
        <v>0</v>
      </c>
      <c r="AD61" s="138">
        <f t="shared" ca="1" si="65"/>
        <v>0</v>
      </c>
      <c r="AE61" s="138">
        <f t="shared" ca="1" si="65"/>
        <v>0</v>
      </c>
      <c r="AF61" s="138">
        <f t="shared" ca="1" si="65"/>
        <v>0</v>
      </c>
      <c r="AG61" s="138">
        <f t="shared" ca="1" si="65"/>
        <v>0</v>
      </c>
      <c r="AH61" s="138">
        <f t="shared" ca="1" si="65"/>
        <v>0</v>
      </c>
      <c r="AI61" s="138">
        <f t="shared" ca="1" si="65"/>
        <v>0</v>
      </c>
      <c r="AJ61" s="138">
        <f t="shared" ca="1" si="65"/>
        <v>0</v>
      </c>
      <c r="AK61" s="138">
        <f t="shared" ca="1" si="65"/>
        <v>0</v>
      </c>
      <c r="AL61" s="138">
        <f t="shared" ca="1" si="65"/>
        <v>0</v>
      </c>
      <c r="AM61" s="138">
        <f t="shared" ca="1" si="65"/>
        <v>0</v>
      </c>
      <c r="AN61" s="138">
        <f t="shared" ca="1" si="66"/>
        <v>0</v>
      </c>
      <c r="AO61" s="138">
        <f t="shared" ca="1" si="66"/>
        <v>0</v>
      </c>
      <c r="AP61" s="138">
        <f t="shared" ca="1" si="66"/>
        <v>0</v>
      </c>
      <c r="AQ61" s="138">
        <f t="shared" ca="1" si="66"/>
        <v>0</v>
      </c>
      <c r="AR61" s="138">
        <f t="shared" ca="1" si="66"/>
        <v>0</v>
      </c>
      <c r="AS61" s="138">
        <f t="shared" ca="1" si="66"/>
        <v>0</v>
      </c>
      <c r="AT61" s="138">
        <f t="shared" ca="1" si="66"/>
        <v>0</v>
      </c>
      <c r="AU61" s="138">
        <f t="shared" ca="1" si="66"/>
        <v>0</v>
      </c>
      <c r="AV61" s="138">
        <f t="shared" ca="1" si="66"/>
        <v>0</v>
      </c>
      <c r="AW61" s="138">
        <f t="shared" ca="1" si="66"/>
        <v>0</v>
      </c>
      <c r="AX61" s="138">
        <f t="shared" ca="1" si="66"/>
        <v>0</v>
      </c>
      <c r="AY61" s="138">
        <f t="shared" ca="1" si="66"/>
        <v>0</v>
      </c>
      <c r="AZ61" s="138">
        <f t="shared" ca="1" si="66"/>
        <v>0</v>
      </c>
      <c r="BA61" s="138">
        <f t="shared" ca="1" si="66"/>
        <v>0</v>
      </c>
      <c r="BB61" s="138">
        <f t="shared" ca="1" si="66"/>
        <v>0</v>
      </c>
      <c r="BC61" s="138">
        <f t="shared" ca="1" si="66"/>
        <v>0</v>
      </c>
      <c r="BD61" s="138">
        <f t="shared" ca="1" si="67"/>
        <v>0</v>
      </c>
      <c r="BE61" s="138">
        <f t="shared" ca="1" si="67"/>
        <v>0</v>
      </c>
      <c r="BF61" s="138">
        <f t="shared" ca="1" si="67"/>
        <v>0</v>
      </c>
      <c r="BG61" s="138">
        <f t="shared" ca="1" si="67"/>
        <v>0</v>
      </c>
      <c r="BH61" s="138">
        <f t="shared" ca="1" si="67"/>
        <v>0</v>
      </c>
      <c r="BI61" s="138">
        <f t="shared" ca="1" si="67"/>
        <v>0</v>
      </c>
      <c r="BJ61" s="138">
        <f t="shared" ca="1" si="67"/>
        <v>0</v>
      </c>
      <c r="BK61" s="138">
        <f t="shared" ca="1" si="67"/>
        <v>0</v>
      </c>
      <c r="BL61" s="138">
        <f t="shared" ca="1" si="67"/>
        <v>0</v>
      </c>
      <c r="BM61" s="138">
        <f t="shared" ca="1" si="67"/>
        <v>0</v>
      </c>
      <c r="BN61" s="138">
        <f t="shared" ca="1" si="67"/>
        <v>0</v>
      </c>
      <c r="BO61" s="138">
        <f t="shared" ca="1" si="67"/>
        <v>0</v>
      </c>
      <c r="BP61" s="138">
        <f t="shared" ca="1" si="67"/>
        <v>0</v>
      </c>
      <c r="BQ61" s="138">
        <f t="shared" ca="1" si="67"/>
        <v>0</v>
      </c>
      <c r="BR61" s="138">
        <f t="shared" ca="1" si="67"/>
        <v>0</v>
      </c>
      <c r="BS61" s="138">
        <f t="shared" ca="1" si="67"/>
        <v>0</v>
      </c>
      <c r="BT61" s="138">
        <f t="shared" ca="1" si="68"/>
        <v>0</v>
      </c>
      <c r="BU61" s="138">
        <f t="shared" ca="1" si="68"/>
        <v>0</v>
      </c>
      <c r="BV61" s="138">
        <f t="shared" ca="1" si="68"/>
        <v>0</v>
      </c>
      <c r="BW61" s="138">
        <f t="shared" ca="1" si="68"/>
        <v>0</v>
      </c>
      <c r="BX61" s="138">
        <f t="shared" ca="1" si="68"/>
        <v>0</v>
      </c>
      <c r="BY61" s="138">
        <f t="shared" ca="1" si="68"/>
        <v>0</v>
      </c>
      <c r="BZ61" s="138">
        <f t="shared" ca="1" si="68"/>
        <v>0</v>
      </c>
      <c r="CA61" s="138">
        <f t="shared" ca="1" si="68"/>
        <v>0</v>
      </c>
      <c r="CB61" s="138">
        <f t="shared" ca="1" si="68"/>
        <v>0</v>
      </c>
      <c r="CC61" s="138">
        <f t="shared" ca="1" si="68"/>
        <v>0</v>
      </c>
      <c r="CD61" s="138">
        <f t="shared" ca="1" si="68"/>
        <v>0</v>
      </c>
      <c r="CE61" s="138">
        <f t="shared" ca="1" si="68"/>
        <v>0</v>
      </c>
      <c r="CF61" s="138">
        <f t="shared" ca="1" si="68"/>
        <v>0</v>
      </c>
      <c r="CG61" s="138">
        <f t="shared" ca="1" si="68"/>
        <v>0</v>
      </c>
      <c r="CH61" s="138">
        <f t="shared" ca="1" si="68"/>
        <v>0</v>
      </c>
      <c r="CI61" s="138">
        <f t="shared" ca="1" si="68"/>
        <v>0</v>
      </c>
      <c r="CJ61" s="138">
        <f t="shared" ca="1" si="69"/>
        <v>0</v>
      </c>
      <c r="CK61" s="138">
        <f t="shared" ca="1" si="69"/>
        <v>0</v>
      </c>
      <c r="CL61" s="138">
        <f t="shared" ca="1" si="69"/>
        <v>0</v>
      </c>
      <c r="CM61" s="138">
        <f t="shared" ca="1" si="69"/>
        <v>0</v>
      </c>
      <c r="CN61" s="138">
        <f t="shared" ca="1" si="69"/>
        <v>0</v>
      </c>
      <c r="CO61" s="138">
        <f t="shared" ca="1" si="69"/>
        <v>0</v>
      </c>
      <c r="CP61" s="138">
        <f t="shared" ca="1" si="69"/>
        <v>0</v>
      </c>
      <c r="CQ61" s="138">
        <f t="shared" ca="1" si="69"/>
        <v>0</v>
      </c>
      <c r="CR61" s="138">
        <f t="shared" ca="1" si="69"/>
        <v>0</v>
      </c>
      <c r="CS61" s="138">
        <f t="shared" ca="1" si="69"/>
        <v>0</v>
      </c>
      <c r="CT61" s="138">
        <f t="shared" ca="1" si="70"/>
        <v>0</v>
      </c>
      <c r="CU61" s="138">
        <f t="shared" ca="1" si="70"/>
        <v>0</v>
      </c>
      <c r="CV61" s="138">
        <f t="shared" ca="1" si="70"/>
        <v>0</v>
      </c>
      <c r="CW61" s="138">
        <f t="shared" ca="1" si="70"/>
        <v>0</v>
      </c>
      <c r="CX61" s="138">
        <f t="shared" ca="1" si="70"/>
        <v>0</v>
      </c>
      <c r="CY61" s="138">
        <f t="shared" ca="1" si="70"/>
        <v>0</v>
      </c>
      <c r="CZ61" s="138">
        <f t="shared" ca="1" si="70"/>
        <v>0</v>
      </c>
      <c r="DA61" s="138">
        <f t="shared" ca="1" si="70"/>
        <v>0</v>
      </c>
      <c r="DB61" s="138">
        <f t="shared" ca="1" si="70"/>
        <v>0</v>
      </c>
      <c r="DC61" s="138">
        <f t="shared" ca="1" si="70"/>
        <v>0</v>
      </c>
      <c r="DE61" s="254" t="str">
        <f t="shared" ca="1" si="24"/>
        <v>E.2.5.</v>
      </c>
      <c r="DF61">
        <f t="shared" ca="1" si="71"/>
        <v>1</v>
      </c>
      <c r="DG61">
        <f t="shared" ca="1" si="72"/>
        <v>21</v>
      </c>
      <c r="DH61">
        <v>0</v>
      </c>
    </row>
    <row r="62" spans="1:112" hidden="1">
      <c r="A62" s="124">
        <v>50</v>
      </c>
      <c r="B62" s="205" t="str">
        <f t="shared" ca="1" si="12"/>
        <v>E.2.6.</v>
      </c>
      <c r="C62" s="129" t="str">
        <f t="shared" ca="1" si="13"/>
        <v>Veikla</v>
      </c>
      <c r="D62" s="144"/>
      <c r="E62" s="148">
        <f t="shared" ca="1" si="14"/>
        <v>0.21</v>
      </c>
      <c r="F62" s="139">
        <f ca="1">H62+NPV(FD,I62:INDEX(I62:DC62,PAL))</f>
        <v>0</v>
      </c>
      <c r="G62" s="140">
        <f ca="1">SUMIF($H$5:$DC$5,"&lt;="&amp;PAL,$H62:$DC62)</f>
        <v>0</v>
      </c>
      <c r="H62" s="138">
        <f t="shared" ca="1" si="64"/>
        <v>0</v>
      </c>
      <c r="I62" s="138">
        <f t="shared" ca="1" si="64"/>
        <v>0</v>
      </c>
      <c r="J62" s="138">
        <f t="shared" ca="1" si="64"/>
        <v>0</v>
      </c>
      <c r="K62" s="138">
        <f t="shared" ca="1" si="64"/>
        <v>0</v>
      </c>
      <c r="L62" s="138">
        <f t="shared" ca="1" si="64"/>
        <v>0</v>
      </c>
      <c r="M62" s="138">
        <f t="shared" ca="1" si="64"/>
        <v>0</v>
      </c>
      <c r="N62" s="138">
        <f t="shared" ca="1" si="64"/>
        <v>0</v>
      </c>
      <c r="O62" s="138">
        <f t="shared" ca="1" si="64"/>
        <v>0</v>
      </c>
      <c r="P62" s="138">
        <f t="shared" ca="1" si="64"/>
        <v>0</v>
      </c>
      <c r="Q62" s="138">
        <f t="shared" ca="1" si="64"/>
        <v>0</v>
      </c>
      <c r="R62" s="138">
        <f t="shared" ca="1" si="64"/>
        <v>0</v>
      </c>
      <c r="S62" s="138">
        <f t="shared" ca="1" si="64"/>
        <v>0</v>
      </c>
      <c r="T62" s="138">
        <f t="shared" ca="1" si="64"/>
        <v>0</v>
      </c>
      <c r="U62" s="138">
        <f t="shared" ca="1" si="64"/>
        <v>0</v>
      </c>
      <c r="V62" s="138">
        <f t="shared" ca="1" si="64"/>
        <v>0</v>
      </c>
      <c r="W62" s="138">
        <f t="shared" ca="1" si="64"/>
        <v>0</v>
      </c>
      <c r="X62" s="138">
        <f t="shared" ca="1" si="65"/>
        <v>0</v>
      </c>
      <c r="Y62" s="138">
        <f t="shared" ca="1" si="65"/>
        <v>0</v>
      </c>
      <c r="Z62" s="138">
        <f t="shared" ca="1" si="65"/>
        <v>0</v>
      </c>
      <c r="AA62" s="138">
        <f t="shared" ca="1" si="65"/>
        <v>0</v>
      </c>
      <c r="AB62" s="138">
        <f t="shared" ca="1" si="65"/>
        <v>0</v>
      </c>
      <c r="AC62" s="138">
        <f t="shared" ca="1" si="65"/>
        <v>0</v>
      </c>
      <c r="AD62" s="138">
        <f t="shared" ca="1" si="65"/>
        <v>0</v>
      </c>
      <c r="AE62" s="138">
        <f t="shared" ca="1" si="65"/>
        <v>0</v>
      </c>
      <c r="AF62" s="138">
        <f t="shared" ca="1" si="65"/>
        <v>0</v>
      </c>
      <c r="AG62" s="138">
        <f t="shared" ca="1" si="65"/>
        <v>0</v>
      </c>
      <c r="AH62" s="138">
        <f t="shared" ca="1" si="65"/>
        <v>0</v>
      </c>
      <c r="AI62" s="138">
        <f t="shared" ca="1" si="65"/>
        <v>0</v>
      </c>
      <c r="AJ62" s="138">
        <f t="shared" ca="1" si="65"/>
        <v>0</v>
      </c>
      <c r="AK62" s="138">
        <f t="shared" ca="1" si="65"/>
        <v>0</v>
      </c>
      <c r="AL62" s="138">
        <f t="shared" ca="1" si="65"/>
        <v>0</v>
      </c>
      <c r="AM62" s="138">
        <f t="shared" ca="1" si="65"/>
        <v>0</v>
      </c>
      <c r="AN62" s="138">
        <f t="shared" ca="1" si="66"/>
        <v>0</v>
      </c>
      <c r="AO62" s="138">
        <f t="shared" ca="1" si="66"/>
        <v>0</v>
      </c>
      <c r="AP62" s="138">
        <f t="shared" ca="1" si="66"/>
        <v>0</v>
      </c>
      <c r="AQ62" s="138">
        <f t="shared" ca="1" si="66"/>
        <v>0</v>
      </c>
      <c r="AR62" s="138">
        <f t="shared" ca="1" si="66"/>
        <v>0</v>
      </c>
      <c r="AS62" s="138">
        <f t="shared" ca="1" si="66"/>
        <v>0</v>
      </c>
      <c r="AT62" s="138">
        <f t="shared" ca="1" si="66"/>
        <v>0</v>
      </c>
      <c r="AU62" s="138">
        <f t="shared" ca="1" si="66"/>
        <v>0</v>
      </c>
      <c r="AV62" s="138">
        <f t="shared" ca="1" si="66"/>
        <v>0</v>
      </c>
      <c r="AW62" s="138">
        <f t="shared" ca="1" si="66"/>
        <v>0</v>
      </c>
      <c r="AX62" s="138">
        <f t="shared" ca="1" si="66"/>
        <v>0</v>
      </c>
      <c r="AY62" s="138">
        <f t="shared" ca="1" si="66"/>
        <v>0</v>
      </c>
      <c r="AZ62" s="138">
        <f t="shared" ca="1" si="66"/>
        <v>0</v>
      </c>
      <c r="BA62" s="138">
        <f t="shared" ca="1" si="66"/>
        <v>0</v>
      </c>
      <c r="BB62" s="138">
        <f t="shared" ca="1" si="66"/>
        <v>0</v>
      </c>
      <c r="BC62" s="138">
        <f t="shared" ca="1" si="66"/>
        <v>0</v>
      </c>
      <c r="BD62" s="138">
        <f t="shared" ca="1" si="67"/>
        <v>0</v>
      </c>
      <c r="BE62" s="138">
        <f t="shared" ca="1" si="67"/>
        <v>0</v>
      </c>
      <c r="BF62" s="138">
        <f t="shared" ca="1" si="67"/>
        <v>0</v>
      </c>
      <c r="BG62" s="138">
        <f t="shared" ca="1" si="67"/>
        <v>0</v>
      </c>
      <c r="BH62" s="138">
        <f t="shared" ca="1" si="67"/>
        <v>0</v>
      </c>
      <c r="BI62" s="138">
        <f t="shared" ca="1" si="67"/>
        <v>0</v>
      </c>
      <c r="BJ62" s="138">
        <f t="shared" ca="1" si="67"/>
        <v>0</v>
      </c>
      <c r="BK62" s="138">
        <f t="shared" ca="1" si="67"/>
        <v>0</v>
      </c>
      <c r="BL62" s="138">
        <f t="shared" ca="1" si="67"/>
        <v>0</v>
      </c>
      <c r="BM62" s="138">
        <f t="shared" ca="1" si="67"/>
        <v>0</v>
      </c>
      <c r="BN62" s="138">
        <f t="shared" ca="1" si="67"/>
        <v>0</v>
      </c>
      <c r="BO62" s="138">
        <f t="shared" ca="1" si="67"/>
        <v>0</v>
      </c>
      <c r="BP62" s="138">
        <f t="shared" ca="1" si="67"/>
        <v>0</v>
      </c>
      <c r="BQ62" s="138">
        <f t="shared" ca="1" si="67"/>
        <v>0</v>
      </c>
      <c r="BR62" s="138">
        <f t="shared" ca="1" si="67"/>
        <v>0</v>
      </c>
      <c r="BS62" s="138">
        <f t="shared" ca="1" si="67"/>
        <v>0</v>
      </c>
      <c r="BT62" s="138">
        <f t="shared" ca="1" si="68"/>
        <v>0</v>
      </c>
      <c r="BU62" s="138">
        <f t="shared" ca="1" si="68"/>
        <v>0</v>
      </c>
      <c r="BV62" s="138">
        <f t="shared" ca="1" si="68"/>
        <v>0</v>
      </c>
      <c r="BW62" s="138">
        <f t="shared" ca="1" si="68"/>
        <v>0</v>
      </c>
      <c r="BX62" s="138">
        <f t="shared" ca="1" si="68"/>
        <v>0</v>
      </c>
      <c r="BY62" s="138">
        <f t="shared" ca="1" si="68"/>
        <v>0</v>
      </c>
      <c r="BZ62" s="138">
        <f t="shared" ca="1" si="68"/>
        <v>0</v>
      </c>
      <c r="CA62" s="138">
        <f t="shared" ca="1" si="68"/>
        <v>0</v>
      </c>
      <c r="CB62" s="138">
        <f t="shared" ca="1" si="68"/>
        <v>0</v>
      </c>
      <c r="CC62" s="138">
        <f t="shared" ca="1" si="68"/>
        <v>0</v>
      </c>
      <c r="CD62" s="138">
        <f t="shared" ca="1" si="68"/>
        <v>0</v>
      </c>
      <c r="CE62" s="138">
        <f t="shared" ca="1" si="68"/>
        <v>0</v>
      </c>
      <c r="CF62" s="138">
        <f t="shared" ca="1" si="68"/>
        <v>0</v>
      </c>
      <c r="CG62" s="138">
        <f t="shared" ca="1" si="68"/>
        <v>0</v>
      </c>
      <c r="CH62" s="138">
        <f t="shared" ca="1" si="68"/>
        <v>0</v>
      </c>
      <c r="CI62" s="138">
        <f t="shared" ca="1" si="68"/>
        <v>0</v>
      </c>
      <c r="CJ62" s="138">
        <f t="shared" ca="1" si="69"/>
        <v>0</v>
      </c>
      <c r="CK62" s="138">
        <f t="shared" ca="1" si="69"/>
        <v>0</v>
      </c>
      <c r="CL62" s="138">
        <f t="shared" ca="1" si="69"/>
        <v>0</v>
      </c>
      <c r="CM62" s="138">
        <f t="shared" ca="1" si="69"/>
        <v>0</v>
      </c>
      <c r="CN62" s="138">
        <f t="shared" ca="1" si="69"/>
        <v>0</v>
      </c>
      <c r="CO62" s="138">
        <f t="shared" ca="1" si="69"/>
        <v>0</v>
      </c>
      <c r="CP62" s="138">
        <f t="shared" ca="1" si="69"/>
        <v>0</v>
      </c>
      <c r="CQ62" s="138">
        <f t="shared" ca="1" si="69"/>
        <v>0</v>
      </c>
      <c r="CR62" s="138">
        <f t="shared" ca="1" si="69"/>
        <v>0</v>
      </c>
      <c r="CS62" s="138">
        <f t="shared" ca="1" si="69"/>
        <v>0</v>
      </c>
      <c r="CT62" s="138">
        <f t="shared" ca="1" si="70"/>
        <v>0</v>
      </c>
      <c r="CU62" s="138">
        <f t="shared" ca="1" si="70"/>
        <v>0</v>
      </c>
      <c r="CV62" s="138">
        <f t="shared" ca="1" si="70"/>
        <v>0</v>
      </c>
      <c r="CW62" s="138">
        <f t="shared" ca="1" si="70"/>
        <v>0</v>
      </c>
      <c r="CX62" s="138">
        <f t="shared" ca="1" si="70"/>
        <v>0</v>
      </c>
      <c r="CY62" s="138">
        <f t="shared" ca="1" si="70"/>
        <v>0</v>
      </c>
      <c r="CZ62" s="138">
        <f t="shared" ca="1" si="70"/>
        <v>0</v>
      </c>
      <c r="DA62" s="138">
        <f t="shared" ca="1" si="70"/>
        <v>0</v>
      </c>
      <c r="DB62" s="138">
        <f t="shared" ca="1" si="70"/>
        <v>0</v>
      </c>
      <c r="DC62" s="138">
        <f t="shared" ca="1" si="70"/>
        <v>0</v>
      </c>
      <c r="DE62" s="254" t="str">
        <f t="shared" ca="1" si="24"/>
        <v>E.2.6.</v>
      </c>
      <c r="DF62">
        <f t="shared" ca="1" si="71"/>
        <v>1</v>
      </c>
      <c r="DG62">
        <f t="shared" ca="1" si="72"/>
        <v>21</v>
      </c>
      <c r="DH62">
        <v>0</v>
      </c>
    </row>
    <row r="63" spans="1:112" hidden="1">
      <c r="A63" s="124">
        <v>51</v>
      </c>
      <c r="B63" s="205" t="str">
        <f t="shared" ca="1" si="12"/>
        <v>E.2.7.</v>
      </c>
      <c r="C63" s="129" t="str">
        <f t="shared" ca="1" si="13"/>
        <v>Veikla</v>
      </c>
      <c r="D63" s="144"/>
      <c r="E63" s="148">
        <f t="shared" ca="1" si="14"/>
        <v>0.21</v>
      </c>
      <c r="F63" s="139">
        <f ca="1">H63+NPV(FD,I63:INDEX(I63:DC63,PAL))</f>
        <v>0</v>
      </c>
      <c r="G63" s="140">
        <f ca="1">SUMIF($H$5:$DC$5,"&lt;="&amp;PAL,$H63:$DC63)</f>
        <v>0</v>
      </c>
      <c r="H63" s="138">
        <f t="shared" ca="1" si="64"/>
        <v>0</v>
      </c>
      <c r="I63" s="138">
        <f t="shared" ca="1" si="64"/>
        <v>0</v>
      </c>
      <c r="J63" s="138">
        <f t="shared" ca="1" si="64"/>
        <v>0</v>
      </c>
      <c r="K63" s="138">
        <f t="shared" ca="1" si="64"/>
        <v>0</v>
      </c>
      <c r="L63" s="138">
        <f t="shared" ca="1" si="64"/>
        <v>0</v>
      </c>
      <c r="M63" s="138">
        <f t="shared" ca="1" si="64"/>
        <v>0</v>
      </c>
      <c r="N63" s="138">
        <f t="shared" ca="1" si="64"/>
        <v>0</v>
      </c>
      <c r="O63" s="138">
        <f t="shared" ca="1" si="64"/>
        <v>0</v>
      </c>
      <c r="P63" s="138">
        <f t="shared" ca="1" si="64"/>
        <v>0</v>
      </c>
      <c r="Q63" s="138">
        <f t="shared" ca="1" si="64"/>
        <v>0</v>
      </c>
      <c r="R63" s="138">
        <f t="shared" ca="1" si="64"/>
        <v>0</v>
      </c>
      <c r="S63" s="138">
        <f t="shared" ca="1" si="64"/>
        <v>0</v>
      </c>
      <c r="T63" s="138">
        <f t="shared" ca="1" si="64"/>
        <v>0</v>
      </c>
      <c r="U63" s="138">
        <f t="shared" ca="1" si="64"/>
        <v>0</v>
      </c>
      <c r="V63" s="138">
        <f t="shared" ca="1" si="64"/>
        <v>0</v>
      </c>
      <c r="W63" s="138">
        <f t="shared" ca="1" si="64"/>
        <v>0</v>
      </c>
      <c r="X63" s="138">
        <f t="shared" ca="1" si="65"/>
        <v>0</v>
      </c>
      <c r="Y63" s="138">
        <f t="shared" ca="1" si="65"/>
        <v>0</v>
      </c>
      <c r="Z63" s="138">
        <f t="shared" ca="1" si="65"/>
        <v>0</v>
      </c>
      <c r="AA63" s="138">
        <f t="shared" ca="1" si="65"/>
        <v>0</v>
      </c>
      <c r="AB63" s="138">
        <f t="shared" ca="1" si="65"/>
        <v>0</v>
      </c>
      <c r="AC63" s="138">
        <f t="shared" ca="1" si="65"/>
        <v>0</v>
      </c>
      <c r="AD63" s="138">
        <f t="shared" ca="1" si="65"/>
        <v>0</v>
      </c>
      <c r="AE63" s="138">
        <f t="shared" ca="1" si="65"/>
        <v>0</v>
      </c>
      <c r="AF63" s="138">
        <f t="shared" ca="1" si="65"/>
        <v>0</v>
      </c>
      <c r="AG63" s="138">
        <f t="shared" ca="1" si="65"/>
        <v>0</v>
      </c>
      <c r="AH63" s="138">
        <f t="shared" ca="1" si="65"/>
        <v>0</v>
      </c>
      <c r="AI63" s="138">
        <f t="shared" ca="1" si="65"/>
        <v>0</v>
      </c>
      <c r="AJ63" s="138">
        <f t="shared" ca="1" si="65"/>
        <v>0</v>
      </c>
      <c r="AK63" s="138">
        <f t="shared" ca="1" si="65"/>
        <v>0</v>
      </c>
      <c r="AL63" s="138">
        <f t="shared" ca="1" si="65"/>
        <v>0</v>
      </c>
      <c r="AM63" s="138">
        <f t="shared" ca="1" si="65"/>
        <v>0</v>
      </c>
      <c r="AN63" s="138">
        <f t="shared" ca="1" si="66"/>
        <v>0</v>
      </c>
      <c r="AO63" s="138">
        <f t="shared" ca="1" si="66"/>
        <v>0</v>
      </c>
      <c r="AP63" s="138">
        <f t="shared" ca="1" si="66"/>
        <v>0</v>
      </c>
      <c r="AQ63" s="138">
        <f t="shared" ca="1" si="66"/>
        <v>0</v>
      </c>
      <c r="AR63" s="138">
        <f t="shared" ca="1" si="66"/>
        <v>0</v>
      </c>
      <c r="AS63" s="138">
        <f t="shared" ca="1" si="66"/>
        <v>0</v>
      </c>
      <c r="AT63" s="138">
        <f t="shared" ca="1" si="66"/>
        <v>0</v>
      </c>
      <c r="AU63" s="138">
        <f t="shared" ca="1" si="66"/>
        <v>0</v>
      </c>
      <c r="AV63" s="138">
        <f t="shared" ca="1" si="66"/>
        <v>0</v>
      </c>
      <c r="AW63" s="138">
        <f t="shared" ca="1" si="66"/>
        <v>0</v>
      </c>
      <c r="AX63" s="138">
        <f t="shared" ca="1" si="66"/>
        <v>0</v>
      </c>
      <c r="AY63" s="138">
        <f t="shared" ca="1" si="66"/>
        <v>0</v>
      </c>
      <c r="AZ63" s="138">
        <f t="shared" ca="1" si="66"/>
        <v>0</v>
      </c>
      <c r="BA63" s="138">
        <f t="shared" ca="1" si="66"/>
        <v>0</v>
      </c>
      <c r="BB63" s="138">
        <f t="shared" ca="1" si="66"/>
        <v>0</v>
      </c>
      <c r="BC63" s="138">
        <f t="shared" ca="1" si="66"/>
        <v>0</v>
      </c>
      <c r="BD63" s="138">
        <f t="shared" ca="1" si="67"/>
        <v>0</v>
      </c>
      <c r="BE63" s="138">
        <f t="shared" ca="1" si="67"/>
        <v>0</v>
      </c>
      <c r="BF63" s="138">
        <f t="shared" ca="1" si="67"/>
        <v>0</v>
      </c>
      <c r="BG63" s="138">
        <f t="shared" ca="1" si="67"/>
        <v>0</v>
      </c>
      <c r="BH63" s="138">
        <f t="shared" ca="1" si="67"/>
        <v>0</v>
      </c>
      <c r="BI63" s="138">
        <f t="shared" ca="1" si="67"/>
        <v>0</v>
      </c>
      <c r="BJ63" s="138">
        <f t="shared" ca="1" si="67"/>
        <v>0</v>
      </c>
      <c r="BK63" s="138">
        <f t="shared" ca="1" si="67"/>
        <v>0</v>
      </c>
      <c r="BL63" s="138">
        <f t="shared" ca="1" si="67"/>
        <v>0</v>
      </c>
      <c r="BM63" s="138">
        <f t="shared" ca="1" si="67"/>
        <v>0</v>
      </c>
      <c r="BN63" s="138">
        <f t="shared" ca="1" si="67"/>
        <v>0</v>
      </c>
      <c r="BO63" s="138">
        <f t="shared" ca="1" si="67"/>
        <v>0</v>
      </c>
      <c r="BP63" s="138">
        <f t="shared" ca="1" si="67"/>
        <v>0</v>
      </c>
      <c r="BQ63" s="138">
        <f t="shared" ca="1" si="67"/>
        <v>0</v>
      </c>
      <c r="BR63" s="138">
        <f t="shared" ca="1" si="67"/>
        <v>0</v>
      </c>
      <c r="BS63" s="138">
        <f t="shared" ca="1" si="67"/>
        <v>0</v>
      </c>
      <c r="BT63" s="138">
        <f t="shared" ca="1" si="68"/>
        <v>0</v>
      </c>
      <c r="BU63" s="138">
        <f t="shared" ca="1" si="68"/>
        <v>0</v>
      </c>
      <c r="BV63" s="138">
        <f t="shared" ca="1" si="68"/>
        <v>0</v>
      </c>
      <c r="BW63" s="138">
        <f t="shared" ca="1" si="68"/>
        <v>0</v>
      </c>
      <c r="BX63" s="138">
        <f t="shared" ca="1" si="68"/>
        <v>0</v>
      </c>
      <c r="BY63" s="138">
        <f t="shared" ca="1" si="68"/>
        <v>0</v>
      </c>
      <c r="BZ63" s="138">
        <f t="shared" ca="1" si="68"/>
        <v>0</v>
      </c>
      <c r="CA63" s="138">
        <f t="shared" ca="1" si="68"/>
        <v>0</v>
      </c>
      <c r="CB63" s="138">
        <f t="shared" ca="1" si="68"/>
        <v>0</v>
      </c>
      <c r="CC63" s="138">
        <f t="shared" ca="1" si="68"/>
        <v>0</v>
      </c>
      <c r="CD63" s="138">
        <f t="shared" ca="1" si="68"/>
        <v>0</v>
      </c>
      <c r="CE63" s="138">
        <f t="shared" ca="1" si="68"/>
        <v>0</v>
      </c>
      <c r="CF63" s="138">
        <f t="shared" ca="1" si="68"/>
        <v>0</v>
      </c>
      <c r="CG63" s="138">
        <f t="shared" ca="1" si="68"/>
        <v>0</v>
      </c>
      <c r="CH63" s="138">
        <f t="shared" ca="1" si="68"/>
        <v>0</v>
      </c>
      <c r="CI63" s="138">
        <f t="shared" ca="1" si="68"/>
        <v>0</v>
      </c>
      <c r="CJ63" s="138">
        <f t="shared" ca="1" si="69"/>
        <v>0</v>
      </c>
      <c r="CK63" s="138">
        <f t="shared" ca="1" si="69"/>
        <v>0</v>
      </c>
      <c r="CL63" s="138">
        <f t="shared" ca="1" si="69"/>
        <v>0</v>
      </c>
      <c r="CM63" s="138">
        <f t="shared" ca="1" si="69"/>
        <v>0</v>
      </c>
      <c r="CN63" s="138">
        <f t="shared" ca="1" si="69"/>
        <v>0</v>
      </c>
      <c r="CO63" s="138">
        <f t="shared" ca="1" si="69"/>
        <v>0</v>
      </c>
      <c r="CP63" s="138">
        <f t="shared" ca="1" si="69"/>
        <v>0</v>
      </c>
      <c r="CQ63" s="138">
        <f t="shared" ca="1" si="69"/>
        <v>0</v>
      </c>
      <c r="CR63" s="138">
        <f t="shared" ca="1" si="69"/>
        <v>0</v>
      </c>
      <c r="CS63" s="138">
        <f t="shared" ca="1" si="69"/>
        <v>0</v>
      </c>
      <c r="CT63" s="138">
        <f t="shared" ca="1" si="70"/>
        <v>0</v>
      </c>
      <c r="CU63" s="138">
        <f t="shared" ca="1" si="70"/>
        <v>0</v>
      </c>
      <c r="CV63" s="138">
        <f t="shared" ca="1" si="70"/>
        <v>0</v>
      </c>
      <c r="CW63" s="138">
        <f t="shared" ca="1" si="70"/>
        <v>0</v>
      </c>
      <c r="CX63" s="138">
        <f t="shared" ca="1" si="70"/>
        <v>0</v>
      </c>
      <c r="CY63" s="138">
        <f t="shared" ca="1" si="70"/>
        <v>0</v>
      </c>
      <c r="CZ63" s="138">
        <f t="shared" ca="1" si="70"/>
        <v>0</v>
      </c>
      <c r="DA63" s="138">
        <f t="shared" ca="1" si="70"/>
        <v>0</v>
      </c>
      <c r="DB63" s="138">
        <f t="shared" ca="1" si="70"/>
        <v>0</v>
      </c>
      <c r="DC63" s="138">
        <f t="shared" ca="1" si="70"/>
        <v>0</v>
      </c>
      <c r="DE63" s="254" t="str">
        <f t="shared" ca="1" si="24"/>
        <v>E.2.7.</v>
      </c>
      <c r="DF63">
        <f t="shared" ca="1" si="71"/>
        <v>1</v>
      </c>
      <c r="DG63">
        <f t="shared" ca="1" si="72"/>
        <v>21</v>
      </c>
      <c r="DH63">
        <v>0</v>
      </c>
    </row>
    <row r="64" spans="1:112" hidden="1">
      <c r="A64" s="124">
        <v>52</v>
      </c>
      <c r="B64" s="205" t="str">
        <f t="shared" ca="1" si="12"/>
        <v>E.2.8.</v>
      </c>
      <c r="C64" s="129" t="str">
        <f t="shared" ca="1" si="13"/>
        <v>Veikla</v>
      </c>
      <c r="D64" s="144"/>
      <c r="E64" s="148">
        <f t="shared" ca="1" si="14"/>
        <v>0.21</v>
      </c>
      <c r="F64" s="139">
        <f ca="1">H64+NPV(FD,I64:INDEX(I64:DC64,PAL))</f>
        <v>0</v>
      </c>
      <c r="G64" s="140">
        <f ca="1">SUMIF($H$5:$DC$5,"&lt;="&amp;PAL,$H64:$DC64)</f>
        <v>0</v>
      </c>
      <c r="H64" s="138">
        <f t="shared" ca="1" si="64"/>
        <v>0</v>
      </c>
      <c r="I64" s="138">
        <f t="shared" ca="1" si="64"/>
        <v>0</v>
      </c>
      <c r="J64" s="138">
        <f t="shared" ca="1" si="64"/>
        <v>0</v>
      </c>
      <c r="K64" s="138">
        <f t="shared" ca="1" si="64"/>
        <v>0</v>
      </c>
      <c r="L64" s="138">
        <f t="shared" ca="1" si="64"/>
        <v>0</v>
      </c>
      <c r="M64" s="138">
        <f t="shared" ca="1" si="64"/>
        <v>0</v>
      </c>
      <c r="N64" s="138">
        <f t="shared" ca="1" si="64"/>
        <v>0</v>
      </c>
      <c r="O64" s="138">
        <f t="shared" ca="1" si="64"/>
        <v>0</v>
      </c>
      <c r="P64" s="138">
        <f t="shared" ca="1" si="64"/>
        <v>0</v>
      </c>
      <c r="Q64" s="138">
        <f t="shared" ca="1" si="64"/>
        <v>0</v>
      </c>
      <c r="R64" s="138">
        <f t="shared" ca="1" si="64"/>
        <v>0</v>
      </c>
      <c r="S64" s="138">
        <f t="shared" ca="1" si="64"/>
        <v>0</v>
      </c>
      <c r="T64" s="138">
        <f t="shared" ca="1" si="64"/>
        <v>0</v>
      </c>
      <c r="U64" s="138">
        <f t="shared" ca="1" si="64"/>
        <v>0</v>
      </c>
      <c r="V64" s="138">
        <f t="shared" ca="1" si="64"/>
        <v>0</v>
      </c>
      <c r="W64" s="138">
        <f t="shared" ca="1" si="64"/>
        <v>0</v>
      </c>
      <c r="X64" s="138">
        <f t="shared" ca="1" si="65"/>
        <v>0</v>
      </c>
      <c r="Y64" s="138">
        <f t="shared" ca="1" si="65"/>
        <v>0</v>
      </c>
      <c r="Z64" s="138">
        <f t="shared" ca="1" si="65"/>
        <v>0</v>
      </c>
      <c r="AA64" s="138">
        <f t="shared" ca="1" si="65"/>
        <v>0</v>
      </c>
      <c r="AB64" s="138">
        <f t="shared" ca="1" si="65"/>
        <v>0</v>
      </c>
      <c r="AC64" s="138">
        <f t="shared" ca="1" si="65"/>
        <v>0</v>
      </c>
      <c r="AD64" s="138">
        <f t="shared" ca="1" si="65"/>
        <v>0</v>
      </c>
      <c r="AE64" s="138">
        <f t="shared" ca="1" si="65"/>
        <v>0</v>
      </c>
      <c r="AF64" s="138">
        <f t="shared" ca="1" si="65"/>
        <v>0</v>
      </c>
      <c r="AG64" s="138">
        <f t="shared" ca="1" si="65"/>
        <v>0</v>
      </c>
      <c r="AH64" s="138">
        <f t="shared" ca="1" si="65"/>
        <v>0</v>
      </c>
      <c r="AI64" s="138">
        <f t="shared" ca="1" si="65"/>
        <v>0</v>
      </c>
      <c r="AJ64" s="138">
        <f t="shared" ca="1" si="65"/>
        <v>0</v>
      </c>
      <c r="AK64" s="138">
        <f t="shared" ca="1" si="65"/>
        <v>0</v>
      </c>
      <c r="AL64" s="138">
        <f t="shared" ca="1" si="65"/>
        <v>0</v>
      </c>
      <c r="AM64" s="138">
        <f t="shared" ca="1" si="65"/>
        <v>0</v>
      </c>
      <c r="AN64" s="138">
        <f t="shared" ca="1" si="66"/>
        <v>0</v>
      </c>
      <c r="AO64" s="138">
        <f t="shared" ca="1" si="66"/>
        <v>0</v>
      </c>
      <c r="AP64" s="138">
        <f t="shared" ca="1" si="66"/>
        <v>0</v>
      </c>
      <c r="AQ64" s="138">
        <f t="shared" ca="1" si="66"/>
        <v>0</v>
      </c>
      <c r="AR64" s="138">
        <f t="shared" ca="1" si="66"/>
        <v>0</v>
      </c>
      <c r="AS64" s="138">
        <f t="shared" ca="1" si="66"/>
        <v>0</v>
      </c>
      <c r="AT64" s="138">
        <f t="shared" ca="1" si="66"/>
        <v>0</v>
      </c>
      <c r="AU64" s="138">
        <f t="shared" ca="1" si="66"/>
        <v>0</v>
      </c>
      <c r="AV64" s="138">
        <f t="shared" ca="1" si="66"/>
        <v>0</v>
      </c>
      <c r="AW64" s="138">
        <f t="shared" ca="1" si="66"/>
        <v>0</v>
      </c>
      <c r="AX64" s="138">
        <f t="shared" ca="1" si="66"/>
        <v>0</v>
      </c>
      <c r="AY64" s="138">
        <f t="shared" ca="1" si="66"/>
        <v>0</v>
      </c>
      <c r="AZ64" s="138">
        <f t="shared" ca="1" si="66"/>
        <v>0</v>
      </c>
      <c r="BA64" s="138">
        <f t="shared" ca="1" si="66"/>
        <v>0</v>
      </c>
      <c r="BB64" s="138">
        <f t="shared" ca="1" si="66"/>
        <v>0</v>
      </c>
      <c r="BC64" s="138">
        <f t="shared" ca="1" si="66"/>
        <v>0</v>
      </c>
      <c r="BD64" s="138">
        <f t="shared" ca="1" si="67"/>
        <v>0</v>
      </c>
      <c r="BE64" s="138">
        <f t="shared" ca="1" si="67"/>
        <v>0</v>
      </c>
      <c r="BF64" s="138">
        <f t="shared" ca="1" si="67"/>
        <v>0</v>
      </c>
      <c r="BG64" s="138">
        <f t="shared" ca="1" si="67"/>
        <v>0</v>
      </c>
      <c r="BH64" s="138">
        <f t="shared" ca="1" si="67"/>
        <v>0</v>
      </c>
      <c r="BI64" s="138">
        <f t="shared" ca="1" si="67"/>
        <v>0</v>
      </c>
      <c r="BJ64" s="138">
        <f t="shared" ca="1" si="67"/>
        <v>0</v>
      </c>
      <c r="BK64" s="138">
        <f t="shared" ca="1" si="67"/>
        <v>0</v>
      </c>
      <c r="BL64" s="138">
        <f t="shared" ca="1" si="67"/>
        <v>0</v>
      </c>
      <c r="BM64" s="138">
        <f t="shared" ca="1" si="67"/>
        <v>0</v>
      </c>
      <c r="BN64" s="138">
        <f t="shared" ca="1" si="67"/>
        <v>0</v>
      </c>
      <c r="BO64" s="138">
        <f t="shared" ca="1" si="67"/>
        <v>0</v>
      </c>
      <c r="BP64" s="138">
        <f t="shared" ca="1" si="67"/>
        <v>0</v>
      </c>
      <c r="BQ64" s="138">
        <f t="shared" ca="1" si="67"/>
        <v>0</v>
      </c>
      <c r="BR64" s="138">
        <f t="shared" ca="1" si="67"/>
        <v>0</v>
      </c>
      <c r="BS64" s="138">
        <f t="shared" ca="1" si="67"/>
        <v>0</v>
      </c>
      <c r="BT64" s="138">
        <f t="shared" ca="1" si="68"/>
        <v>0</v>
      </c>
      <c r="BU64" s="138">
        <f t="shared" ca="1" si="68"/>
        <v>0</v>
      </c>
      <c r="BV64" s="138">
        <f t="shared" ca="1" si="68"/>
        <v>0</v>
      </c>
      <c r="BW64" s="138">
        <f t="shared" ca="1" si="68"/>
        <v>0</v>
      </c>
      <c r="BX64" s="138">
        <f t="shared" ca="1" si="68"/>
        <v>0</v>
      </c>
      <c r="BY64" s="138">
        <f t="shared" ca="1" si="68"/>
        <v>0</v>
      </c>
      <c r="BZ64" s="138">
        <f t="shared" ca="1" si="68"/>
        <v>0</v>
      </c>
      <c r="CA64" s="138">
        <f t="shared" ca="1" si="68"/>
        <v>0</v>
      </c>
      <c r="CB64" s="138">
        <f t="shared" ca="1" si="68"/>
        <v>0</v>
      </c>
      <c r="CC64" s="138">
        <f t="shared" ca="1" si="68"/>
        <v>0</v>
      </c>
      <c r="CD64" s="138">
        <f t="shared" ca="1" si="68"/>
        <v>0</v>
      </c>
      <c r="CE64" s="138">
        <f t="shared" ca="1" si="68"/>
        <v>0</v>
      </c>
      <c r="CF64" s="138">
        <f t="shared" ca="1" si="68"/>
        <v>0</v>
      </c>
      <c r="CG64" s="138">
        <f t="shared" ca="1" si="68"/>
        <v>0</v>
      </c>
      <c r="CH64" s="138">
        <f t="shared" ca="1" si="68"/>
        <v>0</v>
      </c>
      <c r="CI64" s="138">
        <f t="shared" ca="1" si="68"/>
        <v>0</v>
      </c>
      <c r="CJ64" s="138">
        <f t="shared" ca="1" si="69"/>
        <v>0</v>
      </c>
      <c r="CK64" s="138">
        <f t="shared" ca="1" si="69"/>
        <v>0</v>
      </c>
      <c r="CL64" s="138">
        <f t="shared" ca="1" si="69"/>
        <v>0</v>
      </c>
      <c r="CM64" s="138">
        <f t="shared" ca="1" si="69"/>
        <v>0</v>
      </c>
      <c r="CN64" s="138">
        <f t="shared" ca="1" si="69"/>
        <v>0</v>
      </c>
      <c r="CO64" s="138">
        <f t="shared" ca="1" si="69"/>
        <v>0</v>
      </c>
      <c r="CP64" s="138">
        <f t="shared" ca="1" si="69"/>
        <v>0</v>
      </c>
      <c r="CQ64" s="138">
        <f t="shared" ca="1" si="69"/>
        <v>0</v>
      </c>
      <c r="CR64" s="138">
        <f t="shared" ca="1" si="69"/>
        <v>0</v>
      </c>
      <c r="CS64" s="138">
        <f t="shared" ca="1" si="69"/>
        <v>0</v>
      </c>
      <c r="CT64" s="138">
        <f t="shared" ca="1" si="70"/>
        <v>0</v>
      </c>
      <c r="CU64" s="138">
        <f t="shared" ca="1" si="70"/>
        <v>0</v>
      </c>
      <c r="CV64" s="138">
        <f t="shared" ca="1" si="70"/>
        <v>0</v>
      </c>
      <c r="CW64" s="138">
        <f t="shared" ca="1" si="70"/>
        <v>0</v>
      </c>
      <c r="CX64" s="138">
        <f t="shared" ca="1" si="70"/>
        <v>0</v>
      </c>
      <c r="CY64" s="138">
        <f t="shared" ca="1" si="70"/>
        <v>0</v>
      </c>
      <c r="CZ64" s="138">
        <f t="shared" ca="1" si="70"/>
        <v>0</v>
      </c>
      <c r="DA64" s="138">
        <f t="shared" ca="1" si="70"/>
        <v>0</v>
      </c>
      <c r="DB64" s="138">
        <f t="shared" ca="1" si="70"/>
        <v>0</v>
      </c>
      <c r="DC64" s="138">
        <f t="shared" ca="1" si="70"/>
        <v>0</v>
      </c>
      <c r="DE64" s="254" t="str">
        <f t="shared" ca="1" si="24"/>
        <v>E.2.8.</v>
      </c>
      <c r="DF64">
        <f t="shared" ca="1" si="71"/>
        <v>1</v>
      </c>
      <c r="DG64">
        <f t="shared" ca="1" si="72"/>
        <v>21</v>
      </c>
      <c r="DH64">
        <v>0</v>
      </c>
    </row>
    <row r="65" spans="1:112" hidden="1">
      <c r="A65" s="124">
        <v>53</v>
      </c>
      <c r="B65" s="205" t="str">
        <f t="shared" ca="1" si="12"/>
        <v>E.2.9.</v>
      </c>
      <c r="C65" s="129" t="str">
        <f t="shared" ca="1" si="13"/>
        <v>Reinvesticijos (po priemonės įgyvendinimo)</v>
      </c>
      <c r="D65" s="114"/>
      <c r="E65" s="148">
        <f t="shared" ca="1" si="14"/>
        <v>0.21</v>
      </c>
      <c r="F65" s="139">
        <f ca="1">H65+NPV(FD,I65:INDEX(I65:DC65,PAL))</f>
        <v>0</v>
      </c>
      <c r="G65" s="140">
        <f ca="1">SUMIF($H$5:$DC$5,"&lt;="&amp;PAL,$H65:$DC65)</f>
        <v>0</v>
      </c>
      <c r="H65" s="138">
        <f t="shared" ca="1" si="64"/>
        <v>0</v>
      </c>
      <c r="I65" s="138">
        <f t="shared" ca="1" si="64"/>
        <v>0</v>
      </c>
      <c r="J65" s="138">
        <f t="shared" ca="1" si="64"/>
        <v>0</v>
      </c>
      <c r="K65" s="138">
        <f t="shared" ca="1" si="64"/>
        <v>0</v>
      </c>
      <c r="L65" s="138">
        <f t="shared" ca="1" si="64"/>
        <v>0</v>
      </c>
      <c r="M65" s="138">
        <f t="shared" ca="1" si="64"/>
        <v>0</v>
      </c>
      <c r="N65" s="138">
        <f t="shared" ca="1" si="64"/>
        <v>0</v>
      </c>
      <c r="O65" s="138">
        <f t="shared" ca="1" si="64"/>
        <v>0</v>
      </c>
      <c r="P65" s="138">
        <f t="shared" ca="1" si="64"/>
        <v>0</v>
      </c>
      <c r="Q65" s="138">
        <f t="shared" ca="1" si="64"/>
        <v>0</v>
      </c>
      <c r="R65" s="138">
        <f t="shared" ca="1" si="64"/>
        <v>0</v>
      </c>
      <c r="S65" s="138">
        <f t="shared" ca="1" si="64"/>
        <v>0</v>
      </c>
      <c r="T65" s="138">
        <f t="shared" ca="1" si="64"/>
        <v>0</v>
      </c>
      <c r="U65" s="138">
        <f t="shared" ca="1" si="64"/>
        <v>0</v>
      </c>
      <c r="V65" s="138">
        <f t="shared" ca="1" si="64"/>
        <v>0</v>
      </c>
      <c r="W65" s="138">
        <f t="shared" ca="1" si="64"/>
        <v>0</v>
      </c>
      <c r="X65" s="138">
        <f t="shared" ca="1" si="65"/>
        <v>0</v>
      </c>
      <c r="Y65" s="138">
        <f t="shared" ca="1" si="65"/>
        <v>0</v>
      </c>
      <c r="Z65" s="138">
        <f t="shared" ca="1" si="65"/>
        <v>0</v>
      </c>
      <c r="AA65" s="138">
        <f t="shared" ca="1" si="65"/>
        <v>0</v>
      </c>
      <c r="AB65" s="138">
        <f t="shared" ca="1" si="65"/>
        <v>0</v>
      </c>
      <c r="AC65" s="138">
        <f t="shared" ca="1" si="65"/>
        <v>0</v>
      </c>
      <c r="AD65" s="138">
        <f t="shared" ca="1" si="65"/>
        <v>0</v>
      </c>
      <c r="AE65" s="138">
        <f t="shared" ca="1" si="65"/>
        <v>0</v>
      </c>
      <c r="AF65" s="138">
        <f t="shared" ca="1" si="65"/>
        <v>0</v>
      </c>
      <c r="AG65" s="138">
        <f t="shared" ca="1" si="65"/>
        <v>0</v>
      </c>
      <c r="AH65" s="138">
        <f t="shared" ca="1" si="65"/>
        <v>0</v>
      </c>
      <c r="AI65" s="138">
        <f t="shared" ca="1" si="65"/>
        <v>0</v>
      </c>
      <c r="AJ65" s="138">
        <f t="shared" ca="1" si="65"/>
        <v>0</v>
      </c>
      <c r="AK65" s="138">
        <f t="shared" ca="1" si="65"/>
        <v>0</v>
      </c>
      <c r="AL65" s="138">
        <f t="shared" ca="1" si="65"/>
        <v>0</v>
      </c>
      <c r="AM65" s="138">
        <f t="shared" ca="1" si="65"/>
        <v>0</v>
      </c>
      <c r="AN65" s="138">
        <f t="shared" ca="1" si="66"/>
        <v>0</v>
      </c>
      <c r="AO65" s="138">
        <f t="shared" ca="1" si="66"/>
        <v>0</v>
      </c>
      <c r="AP65" s="138">
        <f t="shared" ca="1" si="66"/>
        <v>0</v>
      </c>
      <c r="AQ65" s="138">
        <f t="shared" ca="1" si="66"/>
        <v>0</v>
      </c>
      <c r="AR65" s="138">
        <f t="shared" ca="1" si="66"/>
        <v>0</v>
      </c>
      <c r="AS65" s="138">
        <f t="shared" ca="1" si="66"/>
        <v>0</v>
      </c>
      <c r="AT65" s="138">
        <f t="shared" ca="1" si="66"/>
        <v>0</v>
      </c>
      <c r="AU65" s="138">
        <f t="shared" ca="1" si="66"/>
        <v>0</v>
      </c>
      <c r="AV65" s="138">
        <f t="shared" ca="1" si="66"/>
        <v>0</v>
      </c>
      <c r="AW65" s="138">
        <f t="shared" ca="1" si="66"/>
        <v>0</v>
      </c>
      <c r="AX65" s="138">
        <f t="shared" ca="1" si="66"/>
        <v>0</v>
      </c>
      <c r="AY65" s="138">
        <f t="shared" ca="1" si="66"/>
        <v>0</v>
      </c>
      <c r="AZ65" s="138">
        <f t="shared" ca="1" si="66"/>
        <v>0</v>
      </c>
      <c r="BA65" s="138">
        <f t="shared" ca="1" si="66"/>
        <v>0</v>
      </c>
      <c r="BB65" s="138">
        <f t="shared" ca="1" si="66"/>
        <v>0</v>
      </c>
      <c r="BC65" s="138">
        <f t="shared" ca="1" si="66"/>
        <v>0</v>
      </c>
      <c r="BD65" s="138">
        <f t="shared" ca="1" si="67"/>
        <v>0</v>
      </c>
      <c r="BE65" s="138">
        <f t="shared" ca="1" si="67"/>
        <v>0</v>
      </c>
      <c r="BF65" s="138">
        <f t="shared" ca="1" si="67"/>
        <v>0</v>
      </c>
      <c r="BG65" s="138">
        <f t="shared" ca="1" si="67"/>
        <v>0</v>
      </c>
      <c r="BH65" s="138">
        <f t="shared" ca="1" si="67"/>
        <v>0</v>
      </c>
      <c r="BI65" s="138">
        <f t="shared" ca="1" si="67"/>
        <v>0</v>
      </c>
      <c r="BJ65" s="138">
        <f t="shared" ca="1" si="67"/>
        <v>0</v>
      </c>
      <c r="BK65" s="138">
        <f t="shared" ca="1" si="67"/>
        <v>0</v>
      </c>
      <c r="BL65" s="138">
        <f t="shared" ca="1" si="67"/>
        <v>0</v>
      </c>
      <c r="BM65" s="138">
        <f t="shared" ca="1" si="67"/>
        <v>0</v>
      </c>
      <c r="BN65" s="138">
        <f t="shared" ca="1" si="67"/>
        <v>0</v>
      </c>
      <c r="BO65" s="138">
        <f t="shared" ca="1" si="67"/>
        <v>0</v>
      </c>
      <c r="BP65" s="138">
        <f t="shared" ca="1" si="67"/>
        <v>0</v>
      </c>
      <c r="BQ65" s="138">
        <f t="shared" ca="1" si="67"/>
        <v>0</v>
      </c>
      <c r="BR65" s="138">
        <f t="shared" ca="1" si="67"/>
        <v>0</v>
      </c>
      <c r="BS65" s="138">
        <f t="shared" ca="1" si="67"/>
        <v>0</v>
      </c>
      <c r="BT65" s="138">
        <f t="shared" ca="1" si="68"/>
        <v>0</v>
      </c>
      <c r="BU65" s="138">
        <f t="shared" ca="1" si="68"/>
        <v>0</v>
      </c>
      <c r="BV65" s="138">
        <f t="shared" ca="1" si="68"/>
        <v>0</v>
      </c>
      <c r="BW65" s="138">
        <f t="shared" ca="1" si="68"/>
        <v>0</v>
      </c>
      <c r="BX65" s="138">
        <f t="shared" ca="1" si="68"/>
        <v>0</v>
      </c>
      <c r="BY65" s="138">
        <f t="shared" ca="1" si="68"/>
        <v>0</v>
      </c>
      <c r="BZ65" s="138">
        <f t="shared" ca="1" si="68"/>
        <v>0</v>
      </c>
      <c r="CA65" s="138">
        <f t="shared" ca="1" si="68"/>
        <v>0</v>
      </c>
      <c r="CB65" s="138">
        <f t="shared" ca="1" si="68"/>
        <v>0</v>
      </c>
      <c r="CC65" s="138">
        <f t="shared" ca="1" si="68"/>
        <v>0</v>
      </c>
      <c r="CD65" s="138">
        <f t="shared" ca="1" si="68"/>
        <v>0</v>
      </c>
      <c r="CE65" s="138">
        <f t="shared" ca="1" si="68"/>
        <v>0</v>
      </c>
      <c r="CF65" s="138">
        <f t="shared" ca="1" si="68"/>
        <v>0</v>
      </c>
      <c r="CG65" s="138">
        <f t="shared" ca="1" si="68"/>
        <v>0</v>
      </c>
      <c r="CH65" s="138">
        <f t="shared" ca="1" si="68"/>
        <v>0</v>
      </c>
      <c r="CI65" s="138">
        <f t="shared" ca="1" si="68"/>
        <v>0</v>
      </c>
      <c r="CJ65" s="138">
        <f t="shared" ca="1" si="69"/>
        <v>0</v>
      </c>
      <c r="CK65" s="138">
        <f t="shared" ca="1" si="69"/>
        <v>0</v>
      </c>
      <c r="CL65" s="138">
        <f t="shared" ca="1" si="69"/>
        <v>0</v>
      </c>
      <c r="CM65" s="138">
        <f t="shared" ca="1" si="69"/>
        <v>0</v>
      </c>
      <c r="CN65" s="138">
        <f t="shared" ca="1" si="69"/>
        <v>0</v>
      </c>
      <c r="CO65" s="138">
        <f t="shared" ca="1" si="69"/>
        <v>0</v>
      </c>
      <c r="CP65" s="138">
        <f t="shared" ca="1" si="69"/>
        <v>0</v>
      </c>
      <c r="CQ65" s="138">
        <f t="shared" ca="1" si="69"/>
        <v>0</v>
      </c>
      <c r="CR65" s="138">
        <f t="shared" ca="1" si="69"/>
        <v>0</v>
      </c>
      <c r="CS65" s="138">
        <f t="shared" ca="1" si="69"/>
        <v>0</v>
      </c>
      <c r="CT65" s="138">
        <f t="shared" ca="1" si="70"/>
        <v>0</v>
      </c>
      <c r="CU65" s="138">
        <f t="shared" ca="1" si="70"/>
        <v>0</v>
      </c>
      <c r="CV65" s="138">
        <f t="shared" ca="1" si="70"/>
        <v>0</v>
      </c>
      <c r="CW65" s="138">
        <f t="shared" ca="1" si="70"/>
        <v>0</v>
      </c>
      <c r="CX65" s="138">
        <f t="shared" ca="1" si="70"/>
        <v>0</v>
      </c>
      <c r="CY65" s="138">
        <f t="shared" ca="1" si="70"/>
        <v>0</v>
      </c>
      <c r="CZ65" s="138">
        <f t="shared" ca="1" si="70"/>
        <v>0</v>
      </c>
      <c r="DA65" s="138">
        <f t="shared" ca="1" si="70"/>
        <v>0</v>
      </c>
      <c r="DB65" s="138">
        <f t="shared" ca="1" si="70"/>
        <v>0</v>
      </c>
      <c r="DC65" s="138">
        <f t="shared" ca="1" si="70"/>
        <v>0</v>
      </c>
      <c r="DE65" s="254" t="str">
        <f t="shared" ca="1" si="24"/>
        <v>E.2.9.</v>
      </c>
      <c r="DF65">
        <f t="shared" ca="1" si="71"/>
        <v>1</v>
      </c>
      <c r="DG65">
        <f t="shared" ca="1" si="72"/>
        <v>21</v>
      </c>
      <c r="DH65">
        <v>0</v>
      </c>
    </row>
    <row r="66" spans="1:112" hidden="1">
      <c r="A66" s="124">
        <v>54</v>
      </c>
      <c r="B66" s="205" t="str">
        <f t="shared" ca="1" si="12"/>
        <v>E.2.L.</v>
      </c>
      <c r="C66" s="129" t="str">
        <f t="shared" ca="1" si="13"/>
        <v>Likutinė vertė</v>
      </c>
      <c r="D66" s="114"/>
      <c r="E66" s="148">
        <f t="shared" ca="1" si="14"/>
        <v>0.21</v>
      </c>
      <c r="F66" s="139">
        <f ca="1">H66+NPV(FD,I66:INDEX(I66:DC66,PAL))</f>
        <v>0</v>
      </c>
      <c r="G66" s="140">
        <f ca="1">SUMIF($H$5:$DC$5,"&lt;="&amp;PAL,$H66:$DC66)</f>
        <v>0</v>
      </c>
      <c r="H66" s="138">
        <f t="shared" ca="1" si="64"/>
        <v>0</v>
      </c>
      <c r="I66" s="138">
        <f t="shared" ca="1" si="64"/>
        <v>0</v>
      </c>
      <c r="J66" s="138">
        <f t="shared" ca="1" si="64"/>
        <v>0</v>
      </c>
      <c r="K66" s="138">
        <f t="shared" ca="1" si="64"/>
        <v>0</v>
      </c>
      <c r="L66" s="138">
        <f t="shared" ca="1" si="64"/>
        <v>0</v>
      </c>
      <c r="M66" s="138">
        <f t="shared" ca="1" si="64"/>
        <v>0</v>
      </c>
      <c r="N66" s="138">
        <f t="shared" ca="1" si="64"/>
        <v>0</v>
      </c>
      <c r="O66" s="138">
        <f t="shared" ca="1" si="64"/>
        <v>0</v>
      </c>
      <c r="P66" s="138">
        <f t="shared" ca="1" si="64"/>
        <v>0</v>
      </c>
      <c r="Q66" s="138">
        <f t="shared" ca="1" si="64"/>
        <v>0</v>
      </c>
      <c r="R66" s="138">
        <f t="shared" ca="1" si="64"/>
        <v>0</v>
      </c>
      <c r="S66" s="138">
        <f t="shared" ca="1" si="64"/>
        <v>0</v>
      </c>
      <c r="T66" s="138">
        <f t="shared" ca="1" si="64"/>
        <v>0</v>
      </c>
      <c r="U66" s="138">
        <f t="shared" ca="1" si="64"/>
        <v>0</v>
      </c>
      <c r="V66" s="138">
        <f t="shared" ca="1" si="64"/>
        <v>0</v>
      </c>
      <c r="W66" s="138">
        <f t="shared" ca="1" si="64"/>
        <v>0</v>
      </c>
      <c r="X66" s="138">
        <f t="shared" ca="1" si="65"/>
        <v>0</v>
      </c>
      <c r="Y66" s="138">
        <f t="shared" ca="1" si="65"/>
        <v>0</v>
      </c>
      <c r="Z66" s="138">
        <f t="shared" ca="1" si="65"/>
        <v>0</v>
      </c>
      <c r="AA66" s="138">
        <f t="shared" ca="1" si="65"/>
        <v>0</v>
      </c>
      <c r="AB66" s="138">
        <f t="shared" ca="1" si="65"/>
        <v>0</v>
      </c>
      <c r="AC66" s="138">
        <f t="shared" ca="1" si="65"/>
        <v>0</v>
      </c>
      <c r="AD66" s="138">
        <f t="shared" ca="1" si="65"/>
        <v>0</v>
      </c>
      <c r="AE66" s="138">
        <f t="shared" ca="1" si="65"/>
        <v>0</v>
      </c>
      <c r="AF66" s="138">
        <f t="shared" ca="1" si="65"/>
        <v>0</v>
      </c>
      <c r="AG66" s="138">
        <f t="shared" ca="1" si="65"/>
        <v>0</v>
      </c>
      <c r="AH66" s="138">
        <f t="shared" ca="1" si="65"/>
        <v>0</v>
      </c>
      <c r="AI66" s="138">
        <f t="shared" ca="1" si="65"/>
        <v>0</v>
      </c>
      <c r="AJ66" s="138">
        <f t="shared" ca="1" si="65"/>
        <v>0</v>
      </c>
      <c r="AK66" s="138">
        <f t="shared" ca="1" si="65"/>
        <v>0</v>
      </c>
      <c r="AL66" s="138">
        <f t="shared" ca="1" si="65"/>
        <v>0</v>
      </c>
      <c r="AM66" s="138">
        <f t="shared" ca="1" si="65"/>
        <v>0</v>
      </c>
      <c r="AN66" s="138">
        <f t="shared" ca="1" si="66"/>
        <v>0</v>
      </c>
      <c r="AO66" s="138">
        <f t="shared" ca="1" si="66"/>
        <v>0</v>
      </c>
      <c r="AP66" s="138">
        <f t="shared" ca="1" si="66"/>
        <v>0</v>
      </c>
      <c r="AQ66" s="138">
        <f t="shared" ca="1" si="66"/>
        <v>0</v>
      </c>
      <c r="AR66" s="138">
        <f t="shared" ca="1" si="66"/>
        <v>0</v>
      </c>
      <c r="AS66" s="138">
        <f t="shared" ca="1" si="66"/>
        <v>0</v>
      </c>
      <c r="AT66" s="138">
        <f t="shared" ca="1" si="66"/>
        <v>0</v>
      </c>
      <c r="AU66" s="138">
        <f t="shared" ca="1" si="66"/>
        <v>0</v>
      </c>
      <c r="AV66" s="138">
        <f t="shared" ca="1" si="66"/>
        <v>0</v>
      </c>
      <c r="AW66" s="138">
        <f t="shared" ca="1" si="66"/>
        <v>0</v>
      </c>
      <c r="AX66" s="138">
        <f t="shared" ca="1" si="66"/>
        <v>0</v>
      </c>
      <c r="AY66" s="138">
        <f t="shared" ca="1" si="66"/>
        <v>0</v>
      </c>
      <c r="AZ66" s="138">
        <f t="shared" ca="1" si="66"/>
        <v>0</v>
      </c>
      <c r="BA66" s="138">
        <f t="shared" ca="1" si="66"/>
        <v>0</v>
      </c>
      <c r="BB66" s="138">
        <f t="shared" ca="1" si="66"/>
        <v>0</v>
      </c>
      <c r="BC66" s="138">
        <f t="shared" ca="1" si="66"/>
        <v>0</v>
      </c>
      <c r="BD66" s="138">
        <f t="shared" ca="1" si="67"/>
        <v>0</v>
      </c>
      <c r="BE66" s="138">
        <f t="shared" ca="1" si="67"/>
        <v>0</v>
      </c>
      <c r="BF66" s="138">
        <f t="shared" ca="1" si="67"/>
        <v>0</v>
      </c>
      <c r="BG66" s="138">
        <f t="shared" ca="1" si="67"/>
        <v>0</v>
      </c>
      <c r="BH66" s="138">
        <f t="shared" ca="1" si="67"/>
        <v>0</v>
      </c>
      <c r="BI66" s="138">
        <f t="shared" ca="1" si="67"/>
        <v>0</v>
      </c>
      <c r="BJ66" s="138">
        <f t="shared" ca="1" si="67"/>
        <v>0</v>
      </c>
      <c r="BK66" s="138">
        <f t="shared" ca="1" si="67"/>
        <v>0</v>
      </c>
      <c r="BL66" s="138">
        <f t="shared" ca="1" si="67"/>
        <v>0</v>
      </c>
      <c r="BM66" s="138">
        <f t="shared" ca="1" si="67"/>
        <v>0</v>
      </c>
      <c r="BN66" s="138">
        <f t="shared" ca="1" si="67"/>
        <v>0</v>
      </c>
      <c r="BO66" s="138">
        <f t="shared" ca="1" si="67"/>
        <v>0</v>
      </c>
      <c r="BP66" s="138">
        <f t="shared" ca="1" si="67"/>
        <v>0</v>
      </c>
      <c r="BQ66" s="138">
        <f t="shared" ca="1" si="67"/>
        <v>0</v>
      </c>
      <c r="BR66" s="138">
        <f t="shared" ca="1" si="67"/>
        <v>0</v>
      </c>
      <c r="BS66" s="138">
        <f t="shared" ca="1" si="67"/>
        <v>0</v>
      </c>
      <c r="BT66" s="138">
        <f t="shared" ca="1" si="68"/>
        <v>0</v>
      </c>
      <c r="BU66" s="138">
        <f t="shared" ca="1" si="68"/>
        <v>0</v>
      </c>
      <c r="BV66" s="138">
        <f t="shared" ca="1" si="68"/>
        <v>0</v>
      </c>
      <c r="BW66" s="138">
        <f t="shared" ca="1" si="68"/>
        <v>0</v>
      </c>
      <c r="BX66" s="138">
        <f t="shared" ca="1" si="68"/>
        <v>0</v>
      </c>
      <c r="BY66" s="138">
        <f t="shared" ca="1" si="68"/>
        <v>0</v>
      </c>
      <c r="BZ66" s="138">
        <f t="shared" ca="1" si="68"/>
        <v>0</v>
      </c>
      <c r="CA66" s="138">
        <f t="shared" ca="1" si="68"/>
        <v>0</v>
      </c>
      <c r="CB66" s="138">
        <f t="shared" ca="1" si="68"/>
        <v>0</v>
      </c>
      <c r="CC66" s="138">
        <f t="shared" ca="1" si="68"/>
        <v>0</v>
      </c>
      <c r="CD66" s="138">
        <f t="shared" ca="1" si="68"/>
        <v>0</v>
      </c>
      <c r="CE66" s="138">
        <f t="shared" ca="1" si="68"/>
        <v>0</v>
      </c>
      <c r="CF66" s="138">
        <f t="shared" ca="1" si="68"/>
        <v>0</v>
      </c>
      <c r="CG66" s="138">
        <f t="shared" ca="1" si="68"/>
        <v>0</v>
      </c>
      <c r="CH66" s="138">
        <f t="shared" ca="1" si="68"/>
        <v>0</v>
      </c>
      <c r="CI66" s="138">
        <f t="shared" ca="1" si="68"/>
        <v>0</v>
      </c>
      <c r="CJ66" s="138">
        <f t="shared" ca="1" si="69"/>
        <v>0</v>
      </c>
      <c r="CK66" s="138">
        <f t="shared" ca="1" si="69"/>
        <v>0</v>
      </c>
      <c r="CL66" s="138">
        <f t="shared" ca="1" si="69"/>
        <v>0</v>
      </c>
      <c r="CM66" s="138">
        <f t="shared" ca="1" si="69"/>
        <v>0</v>
      </c>
      <c r="CN66" s="138">
        <f t="shared" ca="1" si="69"/>
        <v>0</v>
      </c>
      <c r="CO66" s="138">
        <f t="shared" ca="1" si="69"/>
        <v>0</v>
      </c>
      <c r="CP66" s="138">
        <f t="shared" ca="1" si="69"/>
        <v>0</v>
      </c>
      <c r="CQ66" s="138">
        <f t="shared" ca="1" si="69"/>
        <v>0</v>
      </c>
      <c r="CR66" s="138">
        <f t="shared" ca="1" si="69"/>
        <v>0</v>
      </c>
      <c r="CS66" s="138">
        <f t="shared" ca="1" si="69"/>
        <v>0</v>
      </c>
      <c r="CT66" s="138">
        <f t="shared" ca="1" si="70"/>
        <v>0</v>
      </c>
      <c r="CU66" s="138">
        <f t="shared" ca="1" si="70"/>
        <v>0</v>
      </c>
      <c r="CV66" s="138">
        <f t="shared" ca="1" si="70"/>
        <v>0</v>
      </c>
      <c r="CW66" s="138">
        <f t="shared" ca="1" si="70"/>
        <v>0</v>
      </c>
      <c r="CX66" s="138">
        <f t="shared" ca="1" si="70"/>
        <v>0</v>
      </c>
      <c r="CY66" s="138">
        <f t="shared" ca="1" si="70"/>
        <v>0</v>
      </c>
      <c r="CZ66" s="138">
        <f t="shared" ca="1" si="70"/>
        <v>0</v>
      </c>
      <c r="DA66" s="138">
        <f t="shared" ca="1" si="70"/>
        <v>0</v>
      </c>
      <c r="DB66" s="138">
        <f t="shared" ca="1" si="70"/>
        <v>0</v>
      </c>
      <c r="DC66" s="138">
        <f t="shared" ca="1" si="70"/>
        <v>0</v>
      </c>
      <c r="DE66" s="254" t="str">
        <f t="shared" ca="1" si="24"/>
        <v>E.2.L.</v>
      </c>
      <c r="DF66">
        <f t="shared" ca="1" si="71"/>
        <v>1</v>
      </c>
      <c r="DG66">
        <f t="shared" ca="1" si="72"/>
        <v>21</v>
      </c>
      <c r="DH66">
        <f ca="1">DG66/(100+DG66)</f>
        <v>0.17355371900826447</v>
      </c>
    </row>
    <row r="67" spans="1:112" hidden="1">
      <c r="A67" s="124">
        <v>55</v>
      </c>
      <c r="B67" s="205" t="str">
        <f t="shared" ca="1" si="12"/>
        <v>E.3.</v>
      </c>
      <c r="C67" s="197" t="str">
        <f t="shared" ca="1" si="13"/>
        <v>Investicijos į žinias ir žmogiškuosius išteklius</v>
      </c>
      <c r="D67" s="132"/>
      <c r="E67" s="233" t="str">
        <f t="shared" ca="1" si="14"/>
        <v/>
      </c>
      <c r="F67" s="141">
        <f ca="1">SUM(F68:F75)+F76</f>
        <v>2759783.0387513479</v>
      </c>
      <c r="G67" s="140">
        <f ca="1">SUMIF($H$5:$DC$5,"&lt;="&amp;PAL,$H67:$DC67)</f>
        <v>3025140.4630431999</v>
      </c>
      <c r="H67" s="234">
        <f ca="1">SUM(H68:H76)</f>
        <v>0</v>
      </c>
      <c r="I67" s="234">
        <f t="shared" ref="I67:BT67" ca="1" si="73">SUM(I68:I76)</f>
        <v>217480.76753200003</v>
      </c>
      <c r="J67" s="234">
        <f t="shared" ca="1" si="73"/>
        <v>1549830.2703541333</v>
      </c>
      <c r="K67" s="234">
        <f t="shared" ca="1" si="73"/>
        <v>1253329.4251570667</v>
      </c>
      <c r="L67" s="234">
        <f t="shared" ca="1" si="73"/>
        <v>0</v>
      </c>
      <c r="M67" s="234">
        <f t="shared" ca="1" si="73"/>
        <v>0</v>
      </c>
      <c r="N67" s="234">
        <f t="shared" ca="1" si="73"/>
        <v>4500</v>
      </c>
      <c r="O67" s="234">
        <f t="shared" ca="1" si="73"/>
        <v>0</v>
      </c>
      <c r="P67" s="234">
        <f t="shared" ca="1" si="73"/>
        <v>0</v>
      </c>
      <c r="Q67" s="234">
        <f t="shared" ca="1" si="73"/>
        <v>0</v>
      </c>
      <c r="R67" s="234">
        <f t="shared" ca="1" si="73"/>
        <v>0</v>
      </c>
      <c r="S67" s="234">
        <f t="shared" ca="1" si="73"/>
        <v>0</v>
      </c>
      <c r="T67" s="234">
        <f t="shared" ca="1" si="73"/>
        <v>0</v>
      </c>
      <c r="U67" s="234">
        <f t="shared" ca="1" si="73"/>
        <v>0</v>
      </c>
      <c r="V67" s="234">
        <f t="shared" ca="1" si="73"/>
        <v>0</v>
      </c>
      <c r="W67" s="234">
        <f t="shared" ca="1" si="73"/>
        <v>0</v>
      </c>
      <c r="X67" s="234">
        <f t="shared" ca="1" si="73"/>
        <v>0</v>
      </c>
      <c r="Y67" s="234">
        <f t="shared" ca="1" si="73"/>
        <v>0</v>
      </c>
      <c r="Z67" s="234">
        <f t="shared" ca="1" si="73"/>
        <v>0</v>
      </c>
      <c r="AA67" s="234">
        <f t="shared" ca="1" si="73"/>
        <v>0</v>
      </c>
      <c r="AB67" s="234">
        <f t="shared" ca="1" si="73"/>
        <v>0</v>
      </c>
      <c r="AC67" s="234">
        <f t="shared" ca="1" si="73"/>
        <v>0</v>
      </c>
      <c r="AD67" s="234">
        <f t="shared" ca="1" si="73"/>
        <v>0</v>
      </c>
      <c r="AE67" s="234">
        <f t="shared" ca="1" si="73"/>
        <v>0</v>
      </c>
      <c r="AF67" s="234">
        <f t="shared" ca="1" si="73"/>
        <v>0</v>
      </c>
      <c r="AG67" s="234">
        <f t="shared" ca="1" si="73"/>
        <v>0</v>
      </c>
      <c r="AH67" s="234">
        <f t="shared" ca="1" si="73"/>
        <v>0</v>
      </c>
      <c r="AI67" s="234">
        <f t="shared" ca="1" si="73"/>
        <v>0</v>
      </c>
      <c r="AJ67" s="234">
        <f t="shared" ca="1" si="73"/>
        <v>0</v>
      </c>
      <c r="AK67" s="234">
        <f t="shared" ca="1" si="73"/>
        <v>0</v>
      </c>
      <c r="AL67" s="234">
        <f t="shared" ca="1" si="73"/>
        <v>0</v>
      </c>
      <c r="AM67" s="234">
        <f t="shared" ca="1" si="73"/>
        <v>0</v>
      </c>
      <c r="AN67" s="234">
        <f t="shared" ca="1" si="73"/>
        <v>0</v>
      </c>
      <c r="AO67" s="234">
        <f t="shared" ca="1" si="73"/>
        <v>0</v>
      </c>
      <c r="AP67" s="234">
        <f t="shared" ca="1" si="73"/>
        <v>0</v>
      </c>
      <c r="AQ67" s="234">
        <f t="shared" ca="1" si="73"/>
        <v>0</v>
      </c>
      <c r="AR67" s="234">
        <f t="shared" ca="1" si="73"/>
        <v>0</v>
      </c>
      <c r="AS67" s="234">
        <f t="shared" ca="1" si="73"/>
        <v>0</v>
      </c>
      <c r="AT67" s="234">
        <f t="shared" ca="1" si="73"/>
        <v>0</v>
      </c>
      <c r="AU67" s="234">
        <f t="shared" ca="1" si="73"/>
        <v>0</v>
      </c>
      <c r="AV67" s="234">
        <f t="shared" ca="1" si="73"/>
        <v>0</v>
      </c>
      <c r="AW67" s="234">
        <f t="shared" ca="1" si="73"/>
        <v>0</v>
      </c>
      <c r="AX67" s="234">
        <f t="shared" ca="1" si="73"/>
        <v>0</v>
      </c>
      <c r="AY67" s="234">
        <f t="shared" ca="1" si="73"/>
        <v>0</v>
      </c>
      <c r="AZ67" s="234">
        <f t="shared" ca="1" si="73"/>
        <v>0</v>
      </c>
      <c r="BA67" s="234">
        <f t="shared" ca="1" si="73"/>
        <v>0</v>
      </c>
      <c r="BB67" s="234">
        <f t="shared" ca="1" si="73"/>
        <v>0</v>
      </c>
      <c r="BC67" s="234">
        <f t="shared" ca="1" si="73"/>
        <v>0</v>
      </c>
      <c r="BD67" s="234">
        <f t="shared" ca="1" si="73"/>
        <v>0</v>
      </c>
      <c r="BE67" s="234">
        <f t="shared" ca="1" si="73"/>
        <v>0</v>
      </c>
      <c r="BF67" s="234">
        <f t="shared" ca="1" si="73"/>
        <v>0</v>
      </c>
      <c r="BG67" s="234">
        <f t="shared" ca="1" si="73"/>
        <v>0</v>
      </c>
      <c r="BH67" s="234">
        <f t="shared" ca="1" si="73"/>
        <v>0</v>
      </c>
      <c r="BI67" s="234">
        <f t="shared" ca="1" si="73"/>
        <v>0</v>
      </c>
      <c r="BJ67" s="234">
        <f t="shared" ca="1" si="73"/>
        <v>0</v>
      </c>
      <c r="BK67" s="234">
        <f t="shared" ca="1" si="73"/>
        <v>0</v>
      </c>
      <c r="BL67" s="234">
        <f t="shared" ca="1" si="73"/>
        <v>0</v>
      </c>
      <c r="BM67" s="234">
        <f t="shared" ca="1" si="73"/>
        <v>0</v>
      </c>
      <c r="BN67" s="234">
        <f t="shared" ca="1" si="73"/>
        <v>0</v>
      </c>
      <c r="BO67" s="234">
        <f t="shared" ca="1" si="73"/>
        <v>0</v>
      </c>
      <c r="BP67" s="234">
        <f t="shared" ca="1" si="73"/>
        <v>0</v>
      </c>
      <c r="BQ67" s="234">
        <f t="shared" ca="1" si="73"/>
        <v>0</v>
      </c>
      <c r="BR67" s="234">
        <f t="shared" ca="1" si="73"/>
        <v>0</v>
      </c>
      <c r="BS67" s="234">
        <f t="shared" ca="1" si="73"/>
        <v>0</v>
      </c>
      <c r="BT67" s="234">
        <f t="shared" ca="1" si="73"/>
        <v>0</v>
      </c>
      <c r="BU67" s="234">
        <f t="shared" ref="BU67:DC67" ca="1" si="74">SUM(BU68:BU76)</f>
        <v>0</v>
      </c>
      <c r="BV67" s="234">
        <f t="shared" ca="1" si="74"/>
        <v>0</v>
      </c>
      <c r="BW67" s="234">
        <f t="shared" ca="1" si="74"/>
        <v>0</v>
      </c>
      <c r="BX67" s="234">
        <f t="shared" ca="1" si="74"/>
        <v>0</v>
      </c>
      <c r="BY67" s="234">
        <f t="shared" ca="1" si="74"/>
        <v>0</v>
      </c>
      <c r="BZ67" s="234">
        <f t="shared" ca="1" si="74"/>
        <v>0</v>
      </c>
      <c r="CA67" s="234">
        <f t="shared" ca="1" si="74"/>
        <v>0</v>
      </c>
      <c r="CB67" s="234">
        <f t="shared" ca="1" si="74"/>
        <v>0</v>
      </c>
      <c r="CC67" s="234">
        <f t="shared" ca="1" si="74"/>
        <v>0</v>
      </c>
      <c r="CD67" s="234">
        <f t="shared" ca="1" si="74"/>
        <v>0</v>
      </c>
      <c r="CE67" s="234">
        <f t="shared" ca="1" si="74"/>
        <v>0</v>
      </c>
      <c r="CF67" s="234">
        <f t="shared" ca="1" si="74"/>
        <v>0</v>
      </c>
      <c r="CG67" s="234">
        <f t="shared" ca="1" si="74"/>
        <v>0</v>
      </c>
      <c r="CH67" s="234">
        <f t="shared" ca="1" si="74"/>
        <v>0</v>
      </c>
      <c r="CI67" s="234">
        <f t="shared" ca="1" si="74"/>
        <v>0</v>
      </c>
      <c r="CJ67" s="234">
        <f t="shared" ca="1" si="74"/>
        <v>0</v>
      </c>
      <c r="CK67" s="234">
        <f t="shared" ca="1" si="74"/>
        <v>0</v>
      </c>
      <c r="CL67" s="234">
        <f t="shared" ca="1" si="74"/>
        <v>0</v>
      </c>
      <c r="CM67" s="234">
        <f t="shared" ca="1" si="74"/>
        <v>0</v>
      </c>
      <c r="CN67" s="234">
        <f t="shared" ca="1" si="74"/>
        <v>0</v>
      </c>
      <c r="CO67" s="234">
        <f t="shared" ca="1" si="74"/>
        <v>0</v>
      </c>
      <c r="CP67" s="234">
        <f t="shared" ca="1" si="74"/>
        <v>0</v>
      </c>
      <c r="CQ67" s="234">
        <f t="shared" ca="1" si="74"/>
        <v>0</v>
      </c>
      <c r="CR67" s="234">
        <f t="shared" ca="1" si="74"/>
        <v>0</v>
      </c>
      <c r="CS67" s="234">
        <f t="shared" ca="1" si="74"/>
        <v>0</v>
      </c>
      <c r="CT67" s="234">
        <f t="shared" ca="1" si="74"/>
        <v>0</v>
      </c>
      <c r="CU67" s="234">
        <f t="shared" ca="1" si="74"/>
        <v>0</v>
      </c>
      <c r="CV67" s="234">
        <f t="shared" ca="1" si="74"/>
        <v>0</v>
      </c>
      <c r="CW67" s="234">
        <f t="shared" ca="1" si="74"/>
        <v>0</v>
      </c>
      <c r="CX67" s="234">
        <f t="shared" ca="1" si="74"/>
        <v>0</v>
      </c>
      <c r="CY67" s="234">
        <f t="shared" ca="1" si="74"/>
        <v>0</v>
      </c>
      <c r="CZ67" s="234">
        <f t="shared" ca="1" si="74"/>
        <v>0</v>
      </c>
      <c r="DA67" s="234">
        <f t="shared" ca="1" si="74"/>
        <v>0</v>
      </c>
      <c r="DB67" s="234">
        <f t="shared" ca="1" si="74"/>
        <v>0</v>
      </c>
      <c r="DC67" s="234">
        <f t="shared" ca="1" si="74"/>
        <v>0</v>
      </c>
      <c r="DE67" s="254"/>
    </row>
    <row r="68" spans="1:112" hidden="1">
      <c r="A68" s="124">
        <v>56</v>
      </c>
      <c r="B68" s="205" t="str">
        <f t="shared" ca="1" si="12"/>
        <v>E.3.1.</v>
      </c>
      <c r="C68" s="129" t="str">
        <f t="shared" ca="1" si="13"/>
        <v>Ekonominės diplomatijos funkcijų stiprinimas</v>
      </c>
      <c r="D68" s="144"/>
      <c r="E68" s="148">
        <f t="shared" ca="1" si="14"/>
        <v>0</v>
      </c>
      <c r="F68" s="139">
        <f ca="1">H68+NPV(FD,I68:INDEX(I68:DC68,PAL))</f>
        <v>2040549.0925728057</v>
      </c>
      <c r="G68" s="140">
        <f ca="1">SUMIF($H$5:$DC$5,"&lt;="&amp;PAL,$H68:$DC68)</f>
        <v>2229976.3974496</v>
      </c>
      <c r="H68" s="138">
        <f t="shared" ref="H68:W77" ca="1" si="75">OFFSET(INDIRECT("'"&amp;Opt_alt&amp;"'!H12"),$A68,H$5)*$DF68</f>
        <v>0</v>
      </c>
      <c r="I68" s="138">
        <f t="shared" ca="1" si="75"/>
        <v>217480.76753200003</v>
      </c>
      <c r="J68" s="138">
        <f t="shared" ca="1" si="75"/>
        <v>1190434.6596901333</v>
      </c>
      <c r="K68" s="138">
        <f t="shared" ca="1" si="75"/>
        <v>822060.97022746666</v>
      </c>
      <c r="L68" s="138">
        <f t="shared" ca="1" si="75"/>
        <v>0</v>
      </c>
      <c r="M68" s="138">
        <f t="shared" ca="1" si="75"/>
        <v>0</v>
      </c>
      <c r="N68" s="138">
        <f t="shared" ca="1" si="75"/>
        <v>0</v>
      </c>
      <c r="O68" s="138">
        <f t="shared" ca="1" si="75"/>
        <v>0</v>
      </c>
      <c r="P68" s="138">
        <f t="shared" ca="1" si="75"/>
        <v>0</v>
      </c>
      <c r="Q68" s="138">
        <f t="shared" ca="1" si="75"/>
        <v>0</v>
      </c>
      <c r="R68" s="138">
        <f t="shared" ca="1" si="75"/>
        <v>0</v>
      </c>
      <c r="S68" s="138">
        <f t="shared" ca="1" si="75"/>
        <v>0</v>
      </c>
      <c r="T68" s="138">
        <f t="shared" ca="1" si="75"/>
        <v>0</v>
      </c>
      <c r="U68" s="138">
        <f t="shared" ca="1" si="75"/>
        <v>0</v>
      </c>
      <c r="V68" s="138">
        <f t="shared" ca="1" si="75"/>
        <v>0</v>
      </c>
      <c r="W68" s="138">
        <f t="shared" ca="1" si="75"/>
        <v>0</v>
      </c>
      <c r="X68" s="138">
        <f t="shared" ref="X68:AM77" ca="1" si="76">OFFSET(INDIRECT("'"&amp;Opt_alt&amp;"'!H12"),$A68,X$5)*$DF68</f>
        <v>0</v>
      </c>
      <c r="Y68" s="138">
        <f t="shared" ca="1" si="76"/>
        <v>0</v>
      </c>
      <c r="Z68" s="138">
        <f t="shared" ca="1" si="76"/>
        <v>0</v>
      </c>
      <c r="AA68" s="138">
        <f t="shared" ca="1" si="76"/>
        <v>0</v>
      </c>
      <c r="AB68" s="138">
        <f t="shared" ca="1" si="76"/>
        <v>0</v>
      </c>
      <c r="AC68" s="138">
        <f t="shared" ca="1" si="76"/>
        <v>0</v>
      </c>
      <c r="AD68" s="138">
        <f t="shared" ca="1" si="76"/>
        <v>0</v>
      </c>
      <c r="AE68" s="138">
        <f t="shared" ca="1" si="76"/>
        <v>0</v>
      </c>
      <c r="AF68" s="138">
        <f t="shared" ca="1" si="76"/>
        <v>0</v>
      </c>
      <c r="AG68" s="138">
        <f t="shared" ca="1" si="76"/>
        <v>0</v>
      </c>
      <c r="AH68" s="138">
        <f t="shared" ca="1" si="76"/>
        <v>0</v>
      </c>
      <c r="AI68" s="138">
        <f t="shared" ca="1" si="76"/>
        <v>0</v>
      </c>
      <c r="AJ68" s="138">
        <f t="shared" ca="1" si="76"/>
        <v>0</v>
      </c>
      <c r="AK68" s="138">
        <f t="shared" ca="1" si="76"/>
        <v>0</v>
      </c>
      <c r="AL68" s="138">
        <f t="shared" ca="1" si="76"/>
        <v>0</v>
      </c>
      <c r="AM68" s="138">
        <f t="shared" ca="1" si="76"/>
        <v>0</v>
      </c>
      <c r="AN68" s="138">
        <f t="shared" ref="AN68:BC77" ca="1" si="77">OFFSET(INDIRECT("'"&amp;Opt_alt&amp;"'!H12"),$A68,AN$5)*$DF68</f>
        <v>0</v>
      </c>
      <c r="AO68" s="138">
        <f t="shared" ca="1" si="77"/>
        <v>0</v>
      </c>
      <c r="AP68" s="138">
        <f t="shared" ca="1" si="77"/>
        <v>0</v>
      </c>
      <c r="AQ68" s="138">
        <f t="shared" ca="1" si="77"/>
        <v>0</v>
      </c>
      <c r="AR68" s="138">
        <f t="shared" ca="1" si="77"/>
        <v>0</v>
      </c>
      <c r="AS68" s="138">
        <f t="shared" ca="1" si="77"/>
        <v>0</v>
      </c>
      <c r="AT68" s="138">
        <f t="shared" ca="1" si="77"/>
        <v>0</v>
      </c>
      <c r="AU68" s="138">
        <f t="shared" ca="1" si="77"/>
        <v>0</v>
      </c>
      <c r="AV68" s="138">
        <f t="shared" ca="1" si="77"/>
        <v>0</v>
      </c>
      <c r="AW68" s="138">
        <f t="shared" ca="1" si="77"/>
        <v>0</v>
      </c>
      <c r="AX68" s="138">
        <f t="shared" ca="1" si="77"/>
        <v>0</v>
      </c>
      <c r="AY68" s="138">
        <f t="shared" ca="1" si="77"/>
        <v>0</v>
      </c>
      <c r="AZ68" s="138">
        <f t="shared" ca="1" si="77"/>
        <v>0</v>
      </c>
      <c r="BA68" s="138">
        <f t="shared" ca="1" si="77"/>
        <v>0</v>
      </c>
      <c r="BB68" s="138">
        <f t="shared" ca="1" si="77"/>
        <v>0</v>
      </c>
      <c r="BC68" s="138">
        <f t="shared" ca="1" si="77"/>
        <v>0</v>
      </c>
      <c r="BD68" s="138">
        <f t="shared" ref="BD68:BS77" ca="1" si="78">OFFSET(INDIRECT("'"&amp;Opt_alt&amp;"'!H12"),$A68,BD$5)*$DF68</f>
        <v>0</v>
      </c>
      <c r="BE68" s="138">
        <f t="shared" ca="1" si="78"/>
        <v>0</v>
      </c>
      <c r="BF68" s="138">
        <f t="shared" ca="1" si="78"/>
        <v>0</v>
      </c>
      <c r="BG68" s="138">
        <f t="shared" ca="1" si="78"/>
        <v>0</v>
      </c>
      <c r="BH68" s="138">
        <f t="shared" ca="1" si="78"/>
        <v>0</v>
      </c>
      <c r="BI68" s="138">
        <f t="shared" ca="1" si="78"/>
        <v>0</v>
      </c>
      <c r="BJ68" s="138">
        <f t="shared" ca="1" si="78"/>
        <v>0</v>
      </c>
      <c r="BK68" s="138">
        <f t="shared" ca="1" si="78"/>
        <v>0</v>
      </c>
      <c r="BL68" s="138">
        <f t="shared" ca="1" si="78"/>
        <v>0</v>
      </c>
      <c r="BM68" s="138">
        <f t="shared" ca="1" si="78"/>
        <v>0</v>
      </c>
      <c r="BN68" s="138">
        <f t="shared" ca="1" si="78"/>
        <v>0</v>
      </c>
      <c r="BO68" s="138">
        <f t="shared" ca="1" si="78"/>
        <v>0</v>
      </c>
      <c r="BP68" s="138">
        <f t="shared" ca="1" si="78"/>
        <v>0</v>
      </c>
      <c r="BQ68" s="138">
        <f t="shared" ca="1" si="78"/>
        <v>0</v>
      </c>
      <c r="BR68" s="138">
        <f t="shared" ca="1" si="78"/>
        <v>0</v>
      </c>
      <c r="BS68" s="138">
        <f t="shared" ca="1" si="78"/>
        <v>0</v>
      </c>
      <c r="BT68" s="138">
        <f t="shared" ref="BT68:CI77" ca="1" si="79">OFFSET(INDIRECT("'"&amp;Opt_alt&amp;"'!H12"),$A68,BT$5)*$DF68</f>
        <v>0</v>
      </c>
      <c r="BU68" s="138">
        <f t="shared" ca="1" si="79"/>
        <v>0</v>
      </c>
      <c r="BV68" s="138">
        <f t="shared" ca="1" si="79"/>
        <v>0</v>
      </c>
      <c r="BW68" s="138">
        <f t="shared" ca="1" si="79"/>
        <v>0</v>
      </c>
      <c r="BX68" s="138">
        <f t="shared" ca="1" si="79"/>
        <v>0</v>
      </c>
      <c r="BY68" s="138">
        <f t="shared" ca="1" si="79"/>
        <v>0</v>
      </c>
      <c r="BZ68" s="138">
        <f t="shared" ca="1" si="79"/>
        <v>0</v>
      </c>
      <c r="CA68" s="138">
        <f t="shared" ca="1" si="79"/>
        <v>0</v>
      </c>
      <c r="CB68" s="138">
        <f t="shared" ca="1" si="79"/>
        <v>0</v>
      </c>
      <c r="CC68" s="138">
        <f t="shared" ca="1" si="79"/>
        <v>0</v>
      </c>
      <c r="CD68" s="138">
        <f t="shared" ca="1" si="79"/>
        <v>0</v>
      </c>
      <c r="CE68" s="138">
        <f t="shared" ca="1" si="79"/>
        <v>0</v>
      </c>
      <c r="CF68" s="138">
        <f t="shared" ca="1" si="79"/>
        <v>0</v>
      </c>
      <c r="CG68" s="138">
        <f t="shared" ca="1" si="79"/>
        <v>0</v>
      </c>
      <c r="CH68" s="138">
        <f t="shared" ca="1" si="79"/>
        <v>0</v>
      </c>
      <c r="CI68" s="138">
        <f t="shared" ca="1" si="79"/>
        <v>0</v>
      </c>
      <c r="CJ68" s="138">
        <f t="shared" ref="CJ68:CY77" ca="1" si="80">OFFSET(INDIRECT("'"&amp;Opt_alt&amp;"'!H12"),$A68,CJ$5)*$DF68</f>
        <v>0</v>
      </c>
      <c r="CK68" s="138">
        <f t="shared" ca="1" si="80"/>
        <v>0</v>
      </c>
      <c r="CL68" s="138">
        <f t="shared" ca="1" si="80"/>
        <v>0</v>
      </c>
      <c r="CM68" s="138">
        <f t="shared" ca="1" si="80"/>
        <v>0</v>
      </c>
      <c r="CN68" s="138">
        <f t="shared" ca="1" si="80"/>
        <v>0</v>
      </c>
      <c r="CO68" s="138">
        <f t="shared" ca="1" si="80"/>
        <v>0</v>
      </c>
      <c r="CP68" s="138">
        <f t="shared" ca="1" si="80"/>
        <v>0</v>
      </c>
      <c r="CQ68" s="138">
        <f t="shared" ca="1" si="80"/>
        <v>0</v>
      </c>
      <c r="CR68" s="138">
        <f t="shared" ca="1" si="80"/>
        <v>0</v>
      </c>
      <c r="CS68" s="138">
        <f t="shared" ca="1" si="80"/>
        <v>0</v>
      </c>
      <c r="CT68" s="138">
        <f t="shared" ca="1" si="80"/>
        <v>0</v>
      </c>
      <c r="CU68" s="138">
        <f t="shared" ca="1" si="80"/>
        <v>0</v>
      </c>
      <c r="CV68" s="138">
        <f t="shared" ca="1" si="80"/>
        <v>0</v>
      </c>
      <c r="CW68" s="138">
        <f t="shared" ca="1" si="80"/>
        <v>0</v>
      </c>
      <c r="CX68" s="138">
        <f t="shared" ca="1" si="80"/>
        <v>0</v>
      </c>
      <c r="CY68" s="138">
        <f t="shared" ca="1" si="80"/>
        <v>0</v>
      </c>
      <c r="CZ68" s="138">
        <f t="shared" ref="CT68:DC77" ca="1" si="81">OFFSET(INDIRECT("'"&amp;Opt_alt&amp;"'!H12"),$A68,CZ$5)*$DF68</f>
        <v>0</v>
      </c>
      <c r="DA68" s="138">
        <f t="shared" ca="1" si="81"/>
        <v>0</v>
      </c>
      <c r="DB68" s="138">
        <f t="shared" ca="1" si="81"/>
        <v>0</v>
      </c>
      <c r="DC68" s="138">
        <f t="shared" ca="1" si="81"/>
        <v>0</v>
      </c>
      <c r="DE68" s="254" t="str">
        <f t="shared" ca="1" si="24"/>
        <v>E.3.1.</v>
      </c>
      <c r="DF68">
        <f t="shared" ref="DF68:DF77" ca="1" si="82">VLOOKUP(DE68,scenarijai,$DF$6,FALSE)</f>
        <v>1</v>
      </c>
      <c r="DG68">
        <f t="shared" ref="DG68:DG77" ca="1" si="83">OFFSET(INDIRECT("'"&amp;Opt_alt&amp;"'!H12"),$A68,DG$5)</f>
        <v>0</v>
      </c>
      <c r="DH68">
        <v>0</v>
      </c>
    </row>
    <row r="69" spans="1:112" hidden="1">
      <c r="A69" s="124">
        <v>57</v>
      </c>
      <c r="B69" s="205" t="str">
        <f t="shared" ca="1" si="12"/>
        <v>E.3.2.</v>
      </c>
      <c r="C69" s="129" t="str">
        <f t="shared" ca="1" si="13"/>
        <v>Darbo su diaspora funkcijų stiprinimas</v>
      </c>
      <c r="D69" s="144"/>
      <c r="E69" s="148">
        <f t="shared" ca="1" si="14"/>
        <v>0</v>
      </c>
      <c r="F69" s="139">
        <f ca="1">H69+NPV(FD,I69:INDEX(I69:DC69,PAL))</f>
        <v>693185.92293838179</v>
      </c>
      <c r="G69" s="140">
        <f ca="1">SUMIF($H$5:$DC$5,"&lt;="&amp;PAL,$H69:$DC69)</f>
        <v>766164.06559360004</v>
      </c>
      <c r="H69" s="138">
        <f t="shared" ca="1" si="75"/>
        <v>0</v>
      </c>
      <c r="I69" s="138">
        <f t="shared" ca="1" si="75"/>
        <v>0</v>
      </c>
      <c r="J69" s="138">
        <f t="shared" ca="1" si="75"/>
        <v>339395.61066400004</v>
      </c>
      <c r="K69" s="138">
        <f t="shared" ca="1" si="75"/>
        <v>426768.4549296</v>
      </c>
      <c r="L69" s="138">
        <f t="shared" ca="1" si="75"/>
        <v>0</v>
      </c>
      <c r="M69" s="138">
        <f t="shared" ca="1" si="75"/>
        <v>0</v>
      </c>
      <c r="N69" s="138">
        <f t="shared" ca="1" si="75"/>
        <v>0</v>
      </c>
      <c r="O69" s="138">
        <f t="shared" ca="1" si="75"/>
        <v>0</v>
      </c>
      <c r="P69" s="138">
        <f t="shared" ca="1" si="75"/>
        <v>0</v>
      </c>
      <c r="Q69" s="138">
        <f t="shared" ca="1" si="75"/>
        <v>0</v>
      </c>
      <c r="R69" s="138">
        <f t="shared" ca="1" si="75"/>
        <v>0</v>
      </c>
      <c r="S69" s="138">
        <f t="shared" ca="1" si="75"/>
        <v>0</v>
      </c>
      <c r="T69" s="138">
        <f t="shared" ca="1" si="75"/>
        <v>0</v>
      </c>
      <c r="U69" s="138">
        <f t="shared" ca="1" si="75"/>
        <v>0</v>
      </c>
      <c r="V69" s="138">
        <f t="shared" ca="1" si="75"/>
        <v>0</v>
      </c>
      <c r="W69" s="138">
        <f t="shared" ca="1" si="75"/>
        <v>0</v>
      </c>
      <c r="X69" s="138">
        <f t="shared" ca="1" si="76"/>
        <v>0</v>
      </c>
      <c r="Y69" s="138">
        <f t="shared" ca="1" si="76"/>
        <v>0</v>
      </c>
      <c r="Z69" s="138">
        <f t="shared" ca="1" si="76"/>
        <v>0</v>
      </c>
      <c r="AA69" s="138">
        <f t="shared" ca="1" si="76"/>
        <v>0</v>
      </c>
      <c r="AB69" s="138">
        <f t="shared" ca="1" si="76"/>
        <v>0</v>
      </c>
      <c r="AC69" s="138">
        <f t="shared" ca="1" si="76"/>
        <v>0</v>
      </c>
      <c r="AD69" s="138">
        <f t="shared" ca="1" si="76"/>
        <v>0</v>
      </c>
      <c r="AE69" s="138">
        <f t="shared" ca="1" si="76"/>
        <v>0</v>
      </c>
      <c r="AF69" s="138">
        <f t="shared" ca="1" si="76"/>
        <v>0</v>
      </c>
      <c r="AG69" s="138">
        <f t="shared" ca="1" si="76"/>
        <v>0</v>
      </c>
      <c r="AH69" s="138">
        <f t="shared" ca="1" si="76"/>
        <v>0</v>
      </c>
      <c r="AI69" s="138">
        <f t="shared" ca="1" si="76"/>
        <v>0</v>
      </c>
      <c r="AJ69" s="138">
        <f t="shared" ca="1" si="76"/>
        <v>0</v>
      </c>
      <c r="AK69" s="138">
        <f t="shared" ca="1" si="76"/>
        <v>0</v>
      </c>
      <c r="AL69" s="138">
        <f t="shared" ca="1" si="76"/>
        <v>0</v>
      </c>
      <c r="AM69" s="138">
        <f t="shared" ca="1" si="76"/>
        <v>0</v>
      </c>
      <c r="AN69" s="138">
        <f t="shared" ca="1" si="77"/>
        <v>0</v>
      </c>
      <c r="AO69" s="138">
        <f t="shared" ca="1" si="77"/>
        <v>0</v>
      </c>
      <c r="AP69" s="138">
        <f t="shared" ca="1" si="77"/>
        <v>0</v>
      </c>
      <c r="AQ69" s="138">
        <f t="shared" ca="1" si="77"/>
        <v>0</v>
      </c>
      <c r="AR69" s="138">
        <f t="shared" ca="1" si="77"/>
        <v>0</v>
      </c>
      <c r="AS69" s="138">
        <f t="shared" ca="1" si="77"/>
        <v>0</v>
      </c>
      <c r="AT69" s="138">
        <f t="shared" ca="1" si="77"/>
        <v>0</v>
      </c>
      <c r="AU69" s="138">
        <f t="shared" ca="1" si="77"/>
        <v>0</v>
      </c>
      <c r="AV69" s="138">
        <f t="shared" ca="1" si="77"/>
        <v>0</v>
      </c>
      <c r="AW69" s="138">
        <f t="shared" ca="1" si="77"/>
        <v>0</v>
      </c>
      <c r="AX69" s="138">
        <f t="shared" ca="1" si="77"/>
        <v>0</v>
      </c>
      <c r="AY69" s="138">
        <f t="shared" ca="1" si="77"/>
        <v>0</v>
      </c>
      <c r="AZ69" s="138">
        <f t="shared" ca="1" si="77"/>
        <v>0</v>
      </c>
      <c r="BA69" s="138">
        <f t="shared" ca="1" si="77"/>
        <v>0</v>
      </c>
      <c r="BB69" s="138">
        <f t="shared" ca="1" si="77"/>
        <v>0</v>
      </c>
      <c r="BC69" s="138">
        <f t="shared" ca="1" si="77"/>
        <v>0</v>
      </c>
      <c r="BD69" s="138">
        <f t="shared" ca="1" si="78"/>
        <v>0</v>
      </c>
      <c r="BE69" s="138">
        <f t="shared" ca="1" si="78"/>
        <v>0</v>
      </c>
      <c r="BF69" s="138">
        <f t="shared" ca="1" si="78"/>
        <v>0</v>
      </c>
      <c r="BG69" s="138">
        <f t="shared" ca="1" si="78"/>
        <v>0</v>
      </c>
      <c r="BH69" s="138">
        <f t="shared" ca="1" si="78"/>
        <v>0</v>
      </c>
      <c r="BI69" s="138">
        <f t="shared" ca="1" si="78"/>
        <v>0</v>
      </c>
      <c r="BJ69" s="138">
        <f t="shared" ca="1" si="78"/>
        <v>0</v>
      </c>
      <c r="BK69" s="138">
        <f t="shared" ca="1" si="78"/>
        <v>0</v>
      </c>
      <c r="BL69" s="138">
        <f t="shared" ca="1" si="78"/>
        <v>0</v>
      </c>
      <c r="BM69" s="138">
        <f t="shared" ca="1" si="78"/>
        <v>0</v>
      </c>
      <c r="BN69" s="138">
        <f t="shared" ca="1" si="78"/>
        <v>0</v>
      </c>
      <c r="BO69" s="138">
        <f t="shared" ca="1" si="78"/>
        <v>0</v>
      </c>
      <c r="BP69" s="138">
        <f t="shared" ca="1" si="78"/>
        <v>0</v>
      </c>
      <c r="BQ69" s="138">
        <f t="shared" ca="1" si="78"/>
        <v>0</v>
      </c>
      <c r="BR69" s="138">
        <f t="shared" ca="1" si="78"/>
        <v>0</v>
      </c>
      <c r="BS69" s="138">
        <f t="shared" ca="1" si="78"/>
        <v>0</v>
      </c>
      <c r="BT69" s="138">
        <f t="shared" ca="1" si="79"/>
        <v>0</v>
      </c>
      <c r="BU69" s="138">
        <f t="shared" ca="1" si="79"/>
        <v>0</v>
      </c>
      <c r="BV69" s="138">
        <f t="shared" ca="1" si="79"/>
        <v>0</v>
      </c>
      <c r="BW69" s="138">
        <f t="shared" ca="1" si="79"/>
        <v>0</v>
      </c>
      <c r="BX69" s="138">
        <f t="shared" ca="1" si="79"/>
        <v>0</v>
      </c>
      <c r="BY69" s="138">
        <f t="shared" ca="1" si="79"/>
        <v>0</v>
      </c>
      <c r="BZ69" s="138">
        <f t="shared" ca="1" si="79"/>
        <v>0</v>
      </c>
      <c r="CA69" s="138">
        <f t="shared" ca="1" si="79"/>
        <v>0</v>
      </c>
      <c r="CB69" s="138">
        <f t="shared" ca="1" si="79"/>
        <v>0</v>
      </c>
      <c r="CC69" s="138">
        <f t="shared" ca="1" si="79"/>
        <v>0</v>
      </c>
      <c r="CD69" s="138">
        <f t="shared" ca="1" si="79"/>
        <v>0</v>
      </c>
      <c r="CE69" s="138">
        <f t="shared" ca="1" si="79"/>
        <v>0</v>
      </c>
      <c r="CF69" s="138">
        <f t="shared" ca="1" si="79"/>
        <v>0</v>
      </c>
      <c r="CG69" s="138">
        <f t="shared" ca="1" si="79"/>
        <v>0</v>
      </c>
      <c r="CH69" s="138">
        <f t="shared" ca="1" si="79"/>
        <v>0</v>
      </c>
      <c r="CI69" s="138">
        <f t="shared" ca="1" si="79"/>
        <v>0</v>
      </c>
      <c r="CJ69" s="138">
        <f t="shared" ca="1" si="80"/>
        <v>0</v>
      </c>
      <c r="CK69" s="138">
        <f t="shared" ca="1" si="80"/>
        <v>0</v>
      </c>
      <c r="CL69" s="138">
        <f t="shared" ca="1" si="80"/>
        <v>0</v>
      </c>
      <c r="CM69" s="138">
        <f t="shared" ca="1" si="80"/>
        <v>0</v>
      </c>
      <c r="CN69" s="138">
        <f t="shared" ca="1" si="80"/>
        <v>0</v>
      </c>
      <c r="CO69" s="138">
        <f t="shared" ca="1" si="80"/>
        <v>0</v>
      </c>
      <c r="CP69" s="138">
        <f t="shared" ca="1" si="80"/>
        <v>0</v>
      </c>
      <c r="CQ69" s="138">
        <f t="shared" ca="1" si="80"/>
        <v>0</v>
      </c>
      <c r="CR69" s="138">
        <f t="shared" ca="1" si="80"/>
        <v>0</v>
      </c>
      <c r="CS69" s="138">
        <f t="shared" ca="1" si="80"/>
        <v>0</v>
      </c>
      <c r="CT69" s="138">
        <f t="shared" ca="1" si="81"/>
        <v>0</v>
      </c>
      <c r="CU69" s="138">
        <f t="shared" ca="1" si="81"/>
        <v>0</v>
      </c>
      <c r="CV69" s="138">
        <f t="shared" ca="1" si="81"/>
        <v>0</v>
      </c>
      <c r="CW69" s="138">
        <f t="shared" ca="1" si="81"/>
        <v>0</v>
      </c>
      <c r="CX69" s="138">
        <f t="shared" ca="1" si="81"/>
        <v>0</v>
      </c>
      <c r="CY69" s="138">
        <f t="shared" ca="1" si="81"/>
        <v>0</v>
      </c>
      <c r="CZ69" s="138">
        <f t="shared" ca="1" si="81"/>
        <v>0</v>
      </c>
      <c r="DA69" s="138">
        <f t="shared" ca="1" si="81"/>
        <v>0</v>
      </c>
      <c r="DB69" s="138">
        <f t="shared" ca="1" si="81"/>
        <v>0</v>
      </c>
      <c r="DC69" s="138">
        <f t="shared" ca="1" si="81"/>
        <v>0</v>
      </c>
      <c r="DE69" s="254" t="str">
        <f t="shared" ca="1" si="24"/>
        <v>E.3.2.</v>
      </c>
      <c r="DF69">
        <f t="shared" ca="1" si="82"/>
        <v>1</v>
      </c>
      <c r="DG69">
        <f t="shared" ca="1" si="83"/>
        <v>0</v>
      </c>
      <c r="DH69">
        <v>0</v>
      </c>
    </row>
    <row r="70" spans="1:112" hidden="1">
      <c r="A70" s="124">
        <v>58</v>
      </c>
      <c r="B70" s="205" t="str">
        <f t="shared" ca="1" si="12"/>
        <v>E.3.3.</v>
      </c>
      <c r="C70" s="129" t="str">
        <f t="shared" ca="1" si="13"/>
        <v xml:space="preserve">Kursai diplomatams, dirbantiems su fondas Indijos–Ramiojo vandenynų regionu </v>
      </c>
      <c r="D70" s="144"/>
      <c r="E70" s="148">
        <f t="shared" ca="1" si="14"/>
        <v>0</v>
      </c>
      <c r="F70" s="139">
        <f ca="1">H70+NPV(FD,I70:INDEX(I70:DC70,PAL))</f>
        <v>18491.124260355027</v>
      </c>
      <c r="G70" s="140">
        <f ca="1">SUMIF($H$5:$DC$5,"&lt;="&amp;PAL,$H70:$DC70)</f>
        <v>20000</v>
      </c>
      <c r="H70" s="138">
        <f t="shared" ca="1" si="75"/>
        <v>0</v>
      </c>
      <c r="I70" s="138">
        <f t="shared" ca="1" si="75"/>
        <v>0</v>
      </c>
      <c r="J70" s="138">
        <f t="shared" ca="1" si="75"/>
        <v>20000</v>
      </c>
      <c r="K70" s="138">
        <f t="shared" ca="1" si="75"/>
        <v>0</v>
      </c>
      <c r="L70" s="138">
        <f t="shared" ca="1" si="75"/>
        <v>0</v>
      </c>
      <c r="M70" s="138">
        <f t="shared" ca="1" si="75"/>
        <v>0</v>
      </c>
      <c r="N70" s="138">
        <f t="shared" ca="1" si="75"/>
        <v>0</v>
      </c>
      <c r="O70" s="138">
        <f t="shared" ca="1" si="75"/>
        <v>0</v>
      </c>
      <c r="P70" s="138">
        <f t="shared" ca="1" si="75"/>
        <v>0</v>
      </c>
      <c r="Q70" s="138">
        <f t="shared" ca="1" si="75"/>
        <v>0</v>
      </c>
      <c r="R70" s="138">
        <f t="shared" ca="1" si="75"/>
        <v>0</v>
      </c>
      <c r="S70" s="138">
        <f t="shared" ca="1" si="75"/>
        <v>0</v>
      </c>
      <c r="T70" s="138">
        <f t="shared" ca="1" si="75"/>
        <v>0</v>
      </c>
      <c r="U70" s="138">
        <f t="shared" ca="1" si="75"/>
        <v>0</v>
      </c>
      <c r="V70" s="138">
        <f t="shared" ca="1" si="75"/>
        <v>0</v>
      </c>
      <c r="W70" s="138">
        <f t="shared" ca="1" si="75"/>
        <v>0</v>
      </c>
      <c r="X70" s="138">
        <f t="shared" ca="1" si="76"/>
        <v>0</v>
      </c>
      <c r="Y70" s="138">
        <f t="shared" ca="1" si="76"/>
        <v>0</v>
      </c>
      <c r="Z70" s="138">
        <f t="shared" ca="1" si="76"/>
        <v>0</v>
      </c>
      <c r="AA70" s="138">
        <f t="shared" ca="1" si="76"/>
        <v>0</v>
      </c>
      <c r="AB70" s="138">
        <f t="shared" ca="1" si="76"/>
        <v>0</v>
      </c>
      <c r="AC70" s="138">
        <f t="shared" ca="1" si="76"/>
        <v>0</v>
      </c>
      <c r="AD70" s="138">
        <f t="shared" ca="1" si="76"/>
        <v>0</v>
      </c>
      <c r="AE70" s="138">
        <f t="shared" ca="1" si="76"/>
        <v>0</v>
      </c>
      <c r="AF70" s="138">
        <f t="shared" ca="1" si="76"/>
        <v>0</v>
      </c>
      <c r="AG70" s="138">
        <f t="shared" ca="1" si="76"/>
        <v>0</v>
      </c>
      <c r="AH70" s="138">
        <f t="shared" ca="1" si="76"/>
        <v>0</v>
      </c>
      <c r="AI70" s="138">
        <f t="shared" ca="1" si="76"/>
        <v>0</v>
      </c>
      <c r="AJ70" s="138">
        <f t="shared" ca="1" si="76"/>
        <v>0</v>
      </c>
      <c r="AK70" s="138">
        <f t="shared" ca="1" si="76"/>
        <v>0</v>
      </c>
      <c r="AL70" s="138">
        <f t="shared" ca="1" si="76"/>
        <v>0</v>
      </c>
      <c r="AM70" s="138">
        <f t="shared" ca="1" si="76"/>
        <v>0</v>
      </c>
      <c r="AN70" s="138">
        <f t="shared" ca="1" si="77"/>
        <v>0</v>
      </c>
      <c r="AO70" s="138">
        <f t="shared" ca="1" si="77"/>
        <v>0</v>
      </c>
      <c r="AP70" s="138">
        <f t="shared" ca="1" si="77"/>
        <v>0</v>
      </c>
      <c r="AQ70" s="138">
        <f t="shared" ca="1" si="77"/>
        <v>0</v>
      </c>
      <c r="AR70" s="138">
        <f t="shared" ca="1" si="77"/>
        <v>0</v>
      </c>
      <c r="AS70" s="138">
        <f t="shared" ca="1" si="77"/>
        <v>0</v>
      </c>
      <c r="AT70" s="138">
        <f t="shared" ca="1" si="77"/>
        <v>0</v>
      </c>
      <c r="AU70" s="138">
        <f t="shared" ca="1" si="77"/>
        <v>0</v>
      </c>
      <c r="AV70" s="138">
        <f t="shared" ca="1" si="77"/>
        <v>0</v>
      </c>
      <c r="AW70" s="138">
        <f t="shared" ca="1" si="77"/>
        <v>0</v>
      </c>
      <c r="AX70" s="138">
        <f t="shared" ca="1" si="77"/>
        <v>0</v>
      </c>
      <c r="AY70" s="138">
        <f t="shared" ca="1" si="77"/>
        <v>0</v>
      </c>
      <c r="AZ70" s="138">
        <f t="shared" ca="1" si="77"/>
        <v>0</v>
      </c>
      <c r="BA70" s="138">
        <f t="shared" ca="1" si="77"/>
        <v>0</v>
      </c>
      <c r="BB70" s="138">
        <f t="shared" ca="1" si="77"/>
        <v>0</v>
      </c>
      <c r="BC70" s="138">
        <f t="shared" ca="1" si="77"/>
        <v>0</v>
      </c>
      <c r="BD70" s="138">
        <f t="shared" ca="1" si="78"/>
        <v>0</v>
      </c>
      <c r="BE70" s="138">
        <f t="shared" ca="1" si="78"/>
        <v>0</v>
      </c>
      <c r="BF70" s="138">
        <f t="shared" ca="1" si="78"/>
        <v>0</v>
      </c>
      <c r="BG70" s="138">
        <f t="shared" ca="1" si="78"/>
        <v>0</v>
      </c>
      <c r="BH70" s="138">
        <f t="shared" ca="1" si="78"/>
        <v>0</v>
      </c>
      <c r="BI70" s="138">
        <f t="shared" ca="1" si="78"/>
        <v>0</v>
      </c>
      <c r="BJ70" s="138">
        <f t="shared" ca="1" si="78"/>
        <v>0</v>
      </c>
      <c r="BK70" s="138">
        <f t="shared" ca="1" si="78"/>
        <v>0</v>
      </c>
      <c r="BL70" s="138">
        <f t="shared" ca="1" si="78"/>
        <v>0</v>
      </c>
      <c r="BM70" s="138">
        <f t="shared" ca="1" si="78"/>
        <v>0</v>
      </c>
      <c r="BN70" s="138">
        <f t="shared" ca="1" si="78"/>
        <v>0</v>
      </c>
      <c r="BO70" s="138">
        <f t="shared" ca="1" si="78"/>
        <v>0</v>
      </c>
      <c r="BP70" s="138">
        <f t="shared" ca="1" si="78"/>
        <v>0</v>
      </c>
      <c r="BQ70" s="138">
        <f t="shared" ca="1" si="78"/>
        <v>0</v>
      </c>
      <c r="BR70" s="138">
        <f t="shared" ca="1" si="78"/>
        <v>0</v>
      </c>
      <c r="BS70" s="138">
        <f t="shared" ca="1" si="78"/>
        <v>0</v>
      </c>
      <c r="BT70" s="138">
        <f t="shared" ca="1" si="79"/>
        <v>0</v>
      </c>
      <c r="BU70" s="138">
        <f t="shared" ca="1" si="79"/>
        <v>0</v>
      </c>
      <c r="BV70" s="138">
        <f t="shared" ca="1" si="79"/>
        <v>0</v>
      </c>
      <c r="BW70" s="138">
        <f t="shared" ca="1" si="79"/>
        <v>0</v>
      </c>
      <c r="BX70" s="138">
        <f t="shared" ca="1" si="79"/>
        <v>0</v>
      </c>
      <c r="BY70" s="138">
        <f t="shared" ca="1" si="79"/>
        <v>0</v>
      </c>
      <c r="BZ70" s="138">
        <f t="shared" ca="1" si="79"/>
        <v>0</v>
      </c>
      <c r="CA70" s="138">
        <f t="shared" ca="1" si="79"/>
        <v>0</v>
      </c>
      <c r="CB70" s="138">
        <f t="shared" ca="1" si="79"/>
        <v>0</v>
      </c>
      <c r="CC70" s="138">
        <f t="shared" ca="1" si="79"/>
        <v>0</v>
      </c>
      <c r="CD70" s="138">
        <f t="shared" ca="1" si="79"/>
        <v>0</v>
      </c>
      <c r="CE70" s="138">
        <f t="shared" ca="1" si="79"/>
        <v>0</v>
      </c>
      <c r="CF70" s="138">
        <f t="shared" ca="1" si="79"/>
        <v>0</v>
      </c>
      <c r="CG70" s="138">
        <f t="shared" ca="1" si="79"/>
        <v>0</v>
      </c>
      <c r="CH70" s="138">
        <f t="shared" ca="1" si="79"/>
        <v>0</v>
      </c>
      <c r="CI70" s="138">
        <f t="shared" ca="1" si="79"/>
        <v>0</v>
      </c>
      <c r="CJ70" s="138">
        <f t="shared" ca="1" si="80"/>
        <v>0</v>
      </c>
      <c r="CK70" s="138">
        <f t="shared" ca="1" si="80"/>
        <v>0</v>
      </c>
      <c r="CL70" s="138">
        <f t="shared" ca="1" si="80"/>
        <v>0</v>
      </c>
      <c r="CM70" s="138">
        <f t="shared" ca="1" si="80"/>
        <v>0</v>
      </c>
      <c r="CN70" s="138">
        <f t="shared" ca="1" si="80"/>
        <v>0</v>
      </c>
      <c r="CO70" s="138">
        <f t="shared" ca="1" si="80"/>
        <v>0</v>
      </c>
      <c r="CP70" s="138">
        <f t="shared" ca="1" si="80"/>
        <v>0</v>
      </c>
      <c r="CQ70" s="138">
        <f t="shared" ca="1" si="80"/>
        <v>0</v>
      </c>
      <c r="CR70" s="138">
        <f t="shared" ca="1" si="80"/>
        <v>0</v>
      </c>
      <c r="CS70" s="138">
        <f t="shared" ca="1" si="80"/>
        <v>0</v>
      </c>
      <c r="CT70" s="138">
        <f t="shared" ca="1" si="81"/>
        <v>0</v>
      </c>
      <c r="CU70" s="138">
        <f t="shared" ca="1" si="81"/>
        <v>0</v>
      </c>
      <c r="CV70" s="138">
        <f t="shared" ca="1" si="81"/>
        <v>0</v>
      </c>
      <c r="CW70" s="138">
        <f t="shared" ca="1" si="81"/>
        <v>0</v>
      </c>
      <c r="CX70" s="138">
        <f t="shared" ca="1" si="81"/>
        <v>0</v>
      </c>
      <c r="CY70" s="138">
        <f t="shared" ca="1" si="81"/>
        <v>0</v>
      </c>
      <c r="CZ70" s="138">
        <f t="shared" ca="1" si="81"/>
        <v>0</v>
      </c>
      <c r="DA70" s="138">
        <f t="shared" ca="1" si="81"/>
        <v>0</v>
      </c>
      <c r="DB70" s="138">
        <f t="shared" ca="1" si="81"/>
        <v>0</v>
      </c>
      <c r="DC70" s="138">
        <f t="shared" ca="1" si="81"/>
        <v>0</v>
      </c>
      <c r="DE70" s="254" t="str">
        <f t="shared" ca="1" si="24"/>
        <v>E.3.3.</v>
      </c>
      <c r="DF70">
        <f t="shared" ca="1" si="82"/>
        <v>1</v>
      </c>
      <c r="DG70">
        <f t="shared" ca="1" si="83"/>
        <v>0</v>
      </c>
      <c r="DH70">
        <v>0</v>
      </c>
    </row>
    <row r="71" spans="1:112" hidden="1">
      <c r="A71" s="124">
        <v>59</v>
      </c>
      <c r="B71" s="205" t="str">
        <f t="shared" ca="1" si="12"/>
        <v>E.3.4.</v>
      </c>
      <c r="C71" s="129" t="str">
        <f t="shared" ca="1" si="13"/>
        <v>Stipendijų fondas Indijos–Ramiojo vandenynų regiono studijų studentams</v>
      </c>
      <c r="D71" s="144"/>
      <c r="E71" s="148">
        <f t="shared" ca="1" si="14"/>
        <v>0</v>
      </c>
      <c r="F71" s="139">
        <f ca="1">H71+NPV(FD,I71:INDEX(I71:DC71,PAL))</f>
        <v>7556.8989798047714</v>
      </c>
      <c r="G71" s="140">
        <f ca="1">SUMIF($H$5:$DC$5,"&lt;="&amp;PAL,$H71:$DC71)</f>
        <v>9000</v>
      </c>
      <c r="H71" s="138">
        <f t="shared" ca="1" si="75"/>
        <v>0</v>
      </c>
      <c r="I71" s="138">
        <f t="shared" ca="1" si="75"/>
        <v>0</v>
      </c>
      <c r="J71" s="138">
        <f t="shared" ca="1" si="75"/>
        <v>0</v>
      </c>
      <c r="K71" s="138">
        <f t="shared" ca="1" si="75"/>
        <v>4500</v>
      </c>
      <c r="L71" s="138">
        <f t="shared" ca="1" si="75"/>
        <v>0</v>
      </c>
      <c r="M71" s="138">
        <f t="shared" ca="1" si="75"/>
        <v>0</v>
      </c>
      <c r="N71" s="138">
        <f t="shared" ca="1" si="75"/>
        <v>4500</v>
      </c>
      <c r="O71" s="138">
        <f t="shared" ca="1" si="75"/>
        <v>0</v>
      </c>
      <c r="P71" s="138">
        <f t="shared" ca="1" si="75"/>
        <v>0</v>
      </c>
      <c r="Q71" s="138">
        <f t="shared" ca="1" si="75"/>
        <v>0</v>
      </c>
      <c r="R71" s="138">
        <f t="shared" ca="1" si="75"/>
        <v>0</v>
      </c>
      <c r="S71" s="138">
        <f t="shared" ca="1" si="75"/>
        <v>0</v>
      </c>
      <c r="T71" s="138">
        <f t="shared" ca="1" si="75"/>
        <v>0</v>
      </c>
      <c r="U71" s="138">
        <f t="shared" ca="1" si="75"/>
        <v>0</v>
      </c>
      <c r="V71" s="138">
        <f t="shared" ca="1" si="75"/>
        <v>0</v>
      </c>
      <c r="W71" s="138">
        <f t="shared" ca="1" si="75"/>
        <v>0</v>
      </c>
      <c r="X71" s="138">
        <f t="shared" ca="1" si="76"/>
        <v>0</v>
      </c>
      <c r="Y71" s="138">
        <f t="shared" ca="1" si="76"/>
        <v>0</v>
      </c>
      <c r="Z71" s="138">
        <f t="shared" ca="1" si="76"/>
        <v>0</v>
      </c>
      <c r="AA71" s="138">
        <f t="shared" ca="1" si="76"/>
        <v>0</v>
      </c>
      <c r="AB71" s="138">
        <f t="shared" ca="1" si="76"/>
        <v>0</v>
      </c>
      <c r="AC71" s="138">
        <f t="shared" ca="1" si="76"/>
        <v>0</v>
      </c>
      <c r="AD71" s="138">
        <f t="shared" ca="1" si="76"/>
        <v>0</v>
      </c>
      <c r="AE71" s="138">
        <f t="shared" ca="1" si="76"/>
        <v>0</v>
      </c>
      <c r="AF71" s="138">
        <f t="shared" ca="1" si="76"/>
        <v>0</v>
      </c>
      <c r="AG71" s="138">
        <f t="shared" ca="1" si="76"/>
        <v>0</v>
      </c>
      <c r="AH71" s="138">
        <f t="shared" ca="1" si="76"/>
        <v>0</v>
      </c>
      <c r="AI71" s="138">
        <f t="shared" ca="1" si="76"/>
        <v>0</v>
      </c>
      <c r="AJ71" s="138">
        <f t="shared" ca="1" si="76"/>
        <v>0</v>
      </c>
      <c r="AK71" s="138">
        <f t="shared" ca="1" si="76"/>
        <v>0</v>
      </c>
      <c r="AL71" s="138">
        <f t="shared" ca="1" si="76"/>
        <v>0</v>
      </c>
      <c r="AM71" s="138">
        <f t="shared" ca="1" si="76"/>
        <v>0</v>
      </c>
      <c r="AN71" s="138">
        <f t="shared" ca="1" si="77"/>
        <v>0</v>
      </c>
      <c r="AO71" s="138">
        <f t="shared" ca="1" si="77"/>
        <v>0</v>
      </c>
      <c r="AP71" s="138">
        <f t="shared" ca="1" si="77"/>
        <v>0</v>
      </c>
      <c r="AQ71" s="138">
        <f t="shared" ca="1" si="77"/>
        <v>0</v>
      </c>
      <c r="AR71" s="138">
        <f t="shared" ca="1" si="77"/>
        <v>0</v>
      </c>
      <c r="AS71" s="138">
        <f t="shared" ca="1" si="77"/>
        <v>0</v>
      </c>
      <c r="AT71" s="138">
        <f t="shared" ca="1" si="77"/>
        <v>0</v>
      </c>
      <c r="AU71" s="138">
        <f t="shared" ca="1" si="77"/>
        <v>0</v>
      </c>
      <c r="AV71" s="138">
        <f t="shared" ca="1" si="77"/>
        <v>0</v>
      </c>
      <c r="AW71" s="138">
        <f t="shared" ca="1" si="77"/>
        <v>0</v>
      </c>
      <c r="AX71" s="138">
        <f t="shared" ca="1" si="77"/>
        <v>0</v>
      </c>
      <c r="AY71" s="138">
        <f t="shared" ca="1" si="77"/>
        <v>0</v>
      </c>
      <c r="AZ71" s="138">
        <f t="shared" ca="1" si="77"/>
        <v>0</v>
      </c>
      <c r="BA71" s="138">
        <f t="shared" ca="1" si="77"/>
        <v>0</v>
      </c>
      <c r="BB71" s="138">
        <f t="shared" ca="1" si="77"/>
        <v>0</v>
      </c>
      <c r="BC71" s="138">
        <f t="shared" ca="1" si="77"/>
        <v>0</v>
      </c>
      <c r="BD71" s="138">
        <f t="shared" ca="1" si="78"/>
        <v>0</v>
      </c>
      <c r="BE71" s="138">
        <f t="shared" ca="1" si="78"/>
        <v>0</v>
      </c>
      <c r="BF71" s="138">
        <f t="shared" ca="1" si="78"/>
        <v>0</v>
      </c>
      <c r="BG71" s="138">
        <f t="shared" ca="1" si="78"/>
        <v>0</v>
      </c>
      <c r="BH71" s="138">
        <f t="shared" ca="1" si="78"/>
        <v>0</v>
      </c>
      <c r="BI71" s="138">
        <f t="shared" ca="1" si="78"/>
        <v>0</v>
      </c>
      <c r="BJ71" s="138">
        <f t="shared" ca="1" si="78"/>
        <v>0</v>
      </c>
      <c r="BK71" s="138">
        <f t="shared" ca="1" si="78"/>
        <v>0</v>
      </c>
      <c r="BL71" s="138">
        <f t="shared" ca="1" si="78"/>
        <v>0</v>
      </c>
      <c r="BM71" s="138">
        <f t="shared" ca="1" si="78"/>
        <v>0</v>
      </c>
      <c r="BN71" s="138">
        <f t="shared" ca="1" si="78"/>
        <v>0</v>
      </c>
      <c r="BO71" s="138">
        <f t="shared" ca="1" si="78"/>
        <v>0</v>
      </c>
      <c r="BP71" s="138">
        <f t="shared" ca="1" si="78"/>
        <v>0</v>
      </c>
      <c r="BQ71" s="138">
        <f t="shared" ca="1" si="78"/>
        <v>0</v>
      </c>
      <c r="BR71" s="138">
        <f t="shared" ca="1" si="78"/>
        <v>0</v>
      </c>
      <c r="BS71" s="138">
        <f t="shared" ca="1" si="78"/>
        <v>0</v>
      </c>
      <c r="BT71" s="138">
        <f t="shared" ca="1" si="79"/>
        <v>0</v>
      </c>
      <c r="BU71" s="138">
        <f t="shared" ca="1" si="79"/>
        <v>0</v>
      </c>
      <c r="BV71" s="138">
        <f t="shared" ca="1" si="79"/>
        <v>0</v>
      </c>
      <c r="BW71" s="138">
        <f t="shared" ca="1" si="79"/>
        <v>0</v>
      </c>
      <c r="BX71" s="138">
        <f t="shared" ca="1" si="79"/>
        <v>0</v>
      </c>
      <c r="BY71" s="138">
        <f t="shared" ca="1" si="79"/>
        <v>0</v>
      </c>
      <c r="BZ71" s="138">
        <f t="shared" ca="1" si="79"/>
        <v>0</v>
      </c>
      <c r="CA71" s="138">
        <f t="shared" ca="1" si="79"/>
        <v>0</v>
      </c>
      <c r="CB71" s="138">
        <f t="shared" ca="1" si="79"/>
        <v>0</v>
      </c>
      <c r="CC71" s="138">
        <f t="shared" ca="1" si="79"/>
        <v>0</v>
      </c>
      <c r="CD71" s="138">
        <f t="shared" ca="1" si="79"/>
        <v>0</v>
      </c>
      <c r="CE71" s="138">
        <f t="shared" ca="1" si="79"/>
        <v>0</v>
      </c>
      <c r="CF71" s="138">
        <f t="shared" ca="1" si="79"/>
        <v>0</v>
      </c>
      <c r="CG71" s="138">
        <f t="shared" ca="1" si="79"/>
        <v>0</v>
      </c>
      <c r="CH71" s="138">
        <f t="shared" ca="1" si="79"/>
        <v>0</v>
      </c>
      <c r="CI71" s="138">
        <f t="shared" ca="1" si="79"/>
        <v>0</v>
      </c>
      <c r="CJ71" s="138">
        <f t="shared" ca="1" si="80"/>
        <v>0</v>
      </c>
      <c r="CK71" s="138">
        <f t="shared" ca="1" si="80"/>
        <v>0</v>
      </c>
      <c r="CL71" s="138">
        <f t="shared" ca="1" si="80"/>
        <v>0</v>
      </c>
      <c r="CM71" s="138">
        <f t="shared" ca="1" si="80"/>
        <v>0</v>
      </c>
      <c r="CN71" s="138">
        <f t="shared" ca="1" si="80"/>
        <v>0</v>
      </c>
      <c r="CO71" s="138">
        <f t="shared" ca="1" si="80"/>
        <v>0</v>
      </c>
      <c r="CP71" s="138">
        <f t="shared" ca="1" si="80"/>
        <v>0</v>
      </c>
      <c r="CQ71" s="138">
        <f t="shared" ca="1" si="80"/>
        <v>0</v>
      </c>
      <c r="CR71" s="138">
        <f t="shared" ca="1" si="80"/>
        <v>0</v>
      </c>
      <c r="CS71" s="138">
        <f t="shared" ca="1" si="80"/>
        <v>0</v>
      </c>
      <c r="CT71" s="138">
        <f t="shared" ca="1" si="81"/>
        <v>0</v>
      </c>
      <c r="CU71" s="138">
        <f t="shared" ca="1" si="81"/>
        <v>0</v>
      </c>
      <c r="CV71" s="138">
        <f t="shared" ca="1" si="81"/>
        <v>0</v>
      </c>
      <c r="CW71" s="138">
        <f t="shared" ca="1" si="81"/>
        <v>0</v>
      </c>
      <c r="CX71" s="138">
        <f t="shared" ca="1" si="81"/>
        <v>0</v>
      </c>
      <c r="CY71" s="138">
        <f t="shared" ca="1" si="81"/>
        <v>0</v>
      </c>
      <c r="CZ71" s="138">
        <f t="shared" ca="1" si="81"/>
        <v>0</v>
      </c>
      <c r="DA71" s="138">
        <f t="shared" ca="1" si="81"/>
        <v>0</v>
      </c>
      <c r="DB71" s="138">
        <f t="shared" ca="1" si="81"/>
        <v>0</v>
      </c>
      <c r="DC71" s="138">
        <f t="shared" ca="1" si="81"/>
        <v>0</v>
      </c>
      <c r="DE71" s="254" t="str">
        <f t="shared" ca="1" si="24"/>
        <v>E.3.4.</v>
      </c>
      <c r="DF71">
        <f t="shared" ca="1" si="82"/>
        <v>1</v>
      </c>
      <c r="DG71">
        <f t="shared" ca="1" si="83"/>
        <v>0</v>
      </c>
      <c r="DH71">
        <v>0</v>
      </c>
    </row>
    <row r="72" spans="1:112" hidden="1">
      <c r="A72" s="124">
        <v>60</v>
      </c>
      <c r="B72" s="205" t="str">
        <f t="shared" ca="1" si="12"/>
        <v>E.3.5.</v>
      </c>
      <c r="C72" s="129" t="str">
        <f t="shared" ca="1" si="13"/>
        <v/>
      </c>
      <c r="D72" s="144"/>
      <c r="E72" s="148">
        <f t="shared" ca="1" si="14"/>
        <v>0.21</v>
      </c>
      <c r="F72" s="139">
        <f ca="1">H72+NPV(FD,I72:INDEX(I72:DC72,PAL))</f>
        <v>0</v>
      </c>
      <c r="G72" s="140">
        <f ca="1">SUMIF($H$5:$DC$5,"&lt;="&amp;PAL,$H72:$DC72)</f>
        <v>0</v>
      </c>
      <c r="H72" s="138">
        <f t="shared" ca="1" si="75"/>
        <v>0</v>
      </c>
      <c r="I72" s="138">
        <f t="shared" ca="1" si="75"/>
        <v>0</v>
      </c>
      <c r="J72" s="138">
        <f t="shared" ca="1" si="75"/>
        <v>0</v>
      </c>
      <c r="K72" s="138">
        <f t="shared" ca="1" si="75"/>
        <v>0</v>
      </c>
      <c r="L72" s="138">
        <f t="shared" ca="1" si="75"/>
        <v>0</v>
      </c>
      <c r="M72" s="138">
        <f t="shared" ca="1" si="75"/>
        <v>0</v>
      </c>
      <c r="N72" s="138">
        <f t="shared" ca="1" si="75"/>
        <v>0</v>
      </c>
      <c r="O72" s="138">
        <f t="shared" ca="1" si="75"/>
        <v>0</v>
      </c>
      <c r="P72" s="138">
        <f t="shared" ca="1" si="75"/>
        <v>0</v>
      </c>
      <c r="Q72" s="138">
        <f t="shared" ca="1" si="75"/>
        <v>0</v>
      </c>
      <c r="R72" s="138">
        <f t="shared" ca="1" si="75"/>
        <v>0</v>
      </c>
      <c r="S72" s="138">
        <f t="shared" ca="1" si="75"/>
        <v>0</v>
      </c>
      <c r="T72" s="138">
        <f t="shared" ca="1" si="75"/>
        <v>0</v>
      </c>
      <c r="U72" s="138">
        <f t="shared" ca="1" si="75"/>
        <v>0</v>
      </c>
      <c r="V72" s="138">
        <f t="shared" ca="1" si="75"/>
        <v>0</v>
      </c>
      <c r="W72" s="138">
        <f t="shared" ca="1" si="75"/>
        <v>0</v>
      </c>
      <c r="X72" s="138">
        <f t="shared" ca="1" si="76"/>
        <v>0</v>
      </c>
      <c r="Y72" s="138">
        <f t="shared" ca="1" si="76"/>
        <v>0</v>
      </c>
      <c r="Z72" s="138">
        <f t="shared" ca="1" si="76"/>
        <v>0</v>
      </c>
      <c r="AA72" s="138">
        <f t="shared" ca="1" si="76"/>
        <v>0</v>
      </c>
      <c r="AB72" s="138">
        <f t="shared" ca="1" si="76"/>
        <v>0</v>
      </c>
      <c r="AC72" s="138">
        <f t="shared" ca="1" si="76"/>
        <v>0</v>
      </c>
      <c r="AD72" s="138">
        <f t="shared" ca="1" si="76"/>
        <v>0</v>
      </c>
      <c r="AE72" s="138">
        <f t="shared" ca="1" si="76"/>
        <v>0</v>
      </c>
      <c r="AF72" s="138">
        <f t="shared" ca="1" si="76"/>
        <v>0</v>
      </c>
      <c r="AG72" s="138">
        <f t="shared" ca="1" si="76"/>
        <v>0</v>
      </c>
      <c r="AH72" s="138">
        <f t="shared" ca="1" si="76"/>
        <v>0</v>
      </c>
      <c r="AI72" s="138">
        <f t="shared" ca="1" si="76"/>
        <v>0</v>
      </c>
      <c r="AJ72" s="138">
        <f t="shared" ca="1" si="76"/>
        <v>0</v>
      </c>
      <c r="AK72" s="138">
        <f t="shared" ca="1" si="76"/>
        <v>0</v>
      </c>
      <c r="AL72" s="138">
        <f t="shared" ca="1" si="76"/>
        <v>0</v>
      </c>
      <c r="AM72" s="138">
        <f t="shared" ca="1" si="76"/>
        <v>0</v>
      </c>
      <c r="AN72" s="138">
        <f t="shared" ca="1" si="77"/>
        <v>0</v>
      </c>
      <c r="AO72" s="138">
        <f t="shared" ca="1" si="77"/>
        <v>0</v>
      </c>
      <c r="AP72" s="138">
        <f t="shared" ca="1" si="77"/>
        <v>0</v>
      </c>
      <c r="AQ72" s="138">
        <f t="shared" ca="1" si="77"/>
        <v>0</v>
      </c>
      <c r="AR72" s="138">
        <f t="shared" ca="1" si="77"/>
        <v>0</v>
      </c>
      <c r="AS72" s="138">
        <f t="shared" ca="1" si="77"/>
        <v>0</v>
      </c>
      <c r="AT72" s="138">
        <f t="shared" ca="1" si="77"/>
        <v>0</v>
      </c>
      <c r="AU72" s="138">
        <f t="shared" ca="1" si="77"/>
        <v>0</v>
      </c>
      <c r="AV72" s="138">
        <f t="shared" ca="1" si="77"/>
        <v>0</v>
      </c>
      <c r="AW72" s="138">
        <f t="shared" ca="1" si="77"/>
        <v>0</v>
      </c>
      <c r="AX72" s="138">
        <f t="shared" ca="1" si="77"/>
        <v>0</v>
      </c>
      <c r="AY72" s="138">
        <f t="shared" ca="1" si="77"/>
        <v>0</v>
      </c>
      <c r="AZ72" s="138">
        <f t="shared" ca="1" si="77"/>
        <v>0</v>
      </c>
      <c r="BA72" s="138">
        <f t="shared" ca="1" si="77"/>
        <v>0</v>
      </c>
      <c r="BB72" s="138">
        <f t="shared" ca="1" si="77"/>
        <v>0</v>
      </c>
      <c r="BC72" s="138">
        <f t="shared" ca="1" si="77"/>
        <v>0</v>
      </c>
      <c r="BD72" s="138">
        <f t="shared" ca="1" si="78"/>
        <v>0</v>
      </c>
      <c r="BE72" s="138">
        <f t="shared" ca="1" si="78"/>
        <v>0</v>
      </c>
      <c r="BF72" s="138">
        <f t="shared" ca="1" si="78"/>
        <v>0</v>
      </c>
      <c r="BG72" s="138">
        <f t="shared" ca="1" si="78"/>
        <v>0</v>
      </c>
      <c r="BH72" s="138">
        <f t="shared" ca="1" si="78"/>
        <v>0</v>
      </c>
      <c r="BI72" s="138">
        <f t="shared" ca="1" si="78"/>
        <v>0</v>
      </c>
      <c r="BJ72" s="138">
        <f t="shared" ca="1" si="78"/>
        <v>0</v>
      </c>
      <c r="BK72" s="138">
        <f t="shared" ca="1" si="78"/>
        <v>0</v>
      </c>
      <c r="BL72" s="138">
        <f t="shared" ca="1" si="78"/>
        <v>0</v>
      </c>
      <c r="BM72" s="138">
        <f t="shared" ca="1" si="78"/>
        <v>0</v>
      </c>
      <c r="BN72" s="138">
        <f t="shared" ca="1" si="78"/>
        <v>0</v>
      </c>
      <c r="BO72" s="138">
        <f t="shared" ca="1" si="78"/>
        <v>0</v>
      </c>
      <c r="BP72" s="138">
        <f t="shared" ca="1" si="78"/>
        <v>0</v>
      </c>
      <c r="BQ72" s="138">
        <f t="shared" ca="1" si="78"/>
        <v>0</v>
      </c>
      <c r="BR72" s="138">
        <f t="shared" ca="1" si="78"/>
        <v>0</v>
      </c>
      <c r="BS72" s="138">
        <f t="shared" ca="1" si="78"/>
        <v>0</v>
      </c>
      <c r="BT72" s="138">
        <f t="shared" ca="1" si="79"/>
        <v>0</v>
      </c>
      <c r="BU72" s="138">
        <f t="shared" ca="1" si="79"/>
        <v>0</v>
      </c>
      <c r="BV72" s="138">
        <f t="shared" ca="1" si="79"/>
        <v>0</v>
      </c>
      <c r="BW72" s="138">
        <f t="shared" ca="1" si="79"/>
        <v>0</v>
      </c>
      <c r="BX72" s="138">
        <f t="shared" ca="1" si="79"/>
        <v>0</v>
      </c>
      <c r="BY72" s="138">
        <f t="shared" ca="1" si="79"/>
        <v>0</v>
      </c>
      <c r="BZ72" s="138">
        <f t="shared" ca="1" si="79"/>
        <v>0</v>
      </c>
      <c r="CA72" s="138">
        <f t="shared" ca="1" si="79"/>
        <v>0</v>
      </c>
      <c r="CB72" s="138">
        <f t="shared" ca="1" si="79"/>
        <v>0</v>
      </c>
      <c r="CC72" s="138">
        <f t="shared" ca="1" si="79"/>
        <v>0</v>
      </c>
      <c r="CD72" s="138">
        <f t="shared" ca="1" si="79"/>
        <v>0</v>
      </c>
      <c r="CE72" s="138">
        <f t="shared" ca="1" si="79"/>
        <v>0</v>
      </c>
      <c r="CF72" s="138">
        <f t="shared" ca="1" si="79"/>
        <v>0</v>
      </c>
      <c r="CG72" s="138">
        <f t="shared" ca="1" si="79"/>
        <v>0</v>
      </c>
      <c r="CH72" s="138">
        <f t="shared" ca="1" si="79"/>
        <v>0</v>
      </c>
      <c r="CI72" s="138">
        <f t="shared" ca="1" si="79"/>
        <v>0</v>
      </c>
      <c r="CJ72" s="138">
        <f t="shared" ca="1" si="80"/>
        <v>0</v>
      </c>
      <c r="CK72" s="138">
        <f t="shared" ca="1" si="80"/>
        <v>0</v>
      </c>
      <c r="CL72" s="138">
        <f t="shared" ca="1" si="80"/>
        <v>0</v>
      </c>
      <c r="CM72" s="138">
        <f t="shared" ca="1" si="80"/>
        <v>0</v>
      </c>
      <c r="CN72" s="138">
        <f t="shared" ca="1" si="80"/>
        <v>0</v>
      </c>
      <c r="CO72" s="138">
        <f t="shared" ca="1" si="80"/>
        <v>0</v>
      </c>
      <c r="CP72" s="138">
        <f t="shared" ca="1" si="80"/>
        <v>0</v>
      </c>
      <c r="CQ72" s="138">
        <f t="shared" ca="1" si="80"/>
        <v>0</v>
      </c>
      <c r="CR72" s="138">
        <f t="shared" ca="1" si="80"/>
        <v>0</v>
      </c>
      <c r="CS72" s="138">
        <f t="shared" ca="1" si="80"/>
        <v>0</v>
      </c>
      <c r="CT72" s="138">
        <f t="shared" ca="1" si="81"/>
        <v>0</v>
      </c>
      <c r="CU72" s="138">
        <f t="shared" ca="1" si="81"/>
        <v>0</v>
      </c>
      <c r="CV72" s="138">
        <f t="shared" ca="1" si="81"/>
        <v>0</v>
      </c>
      <c r="CW72" s="138">
        <f t="shared" ca="1" si="81"/>
        <v>0</v>
      </c>
      <c r="CX72" s="138">
        <f t="shared" ca="1" si="81"/>
        <v>0</v>
      </c>
      <c r="CY72" s="138">
        <f t="shared" ca="1" si="81"/>
        <v>0</v>
      </c>
      <c r="CZ72" s="138">
        <f t="shared" ca="1" si="81"/>
        <v>0</v>
      </c>
      <c r="DA72" s="138">
        <f t="shared" ca="1" si="81"/>
        <v>0</v>
      </c>
      <c r="DB72" s="138">
        <f t="shared" ca="1" si="81"/>
        <v>0</v>
      </c>
      <c r="DC72" s="138">
        <f t="shared" ca="1" si="81"/>
        <v>0</v>
      </c>
      <c r="DE72" s="254" t="str">
        <f t="shared" ca="1" si="24"/>
        <v>E.3.5.</v>
      </c>
      <c r="DF72">
        <f t="shared" ca="1" si="82"/>
        <v>1</v>
      </c>
      <c r="DG72">
        <f t="shared" ca="1" si="83"/>
        <v>21</v>
      </c>
      <c r="DH72">
        <v>0</v>
      </c>
    </row>
    <row r="73" spans="1:112" hidden="1">
      <c r="A73" s="124">
        <v>61</v>
      </c>
      <c r="B73" s="205" t="str">
        <f t="shared" ca="1" si="12"/>
        <v>E.3.6.</v>
      </c>
      <c r="C73" s="129" t="str">
        <f t="shared" ca="1" si="13"/>
        <v/>
      </c>
      <c r="D73" s="144"/>
      <c r="E73" s="148">
        <f t="shared" ca="1" si="14"/>
        <v>0.21</v>
      </c>
      <c r="F73" s="139">
        <f ca="1">H73+NPV(FD,I73:INDEX(I73:DC73,PAL))</f>
        <v>0</v>
      </c>
      <c r="G73" s="140">
        <f ca="1">SUMIF($H$5:$DC$5,"&lt;="&amp;PAL,$H73:$DC73)</f>
        <v>0</v>
      </c>
      <c r="H73" s="138">
        <f t="shared" ca="1" si="75"/>
        <v>0</v>
      </c>
      <c r="I73" s="138">
        <f t="shared" ca="1" si="75"/>
        <v>0</v>
      </c>
      <c r="J73" s="138">
        <f t="shared" ca="1" si="75"/>
        <v>0</v>
      </c>
      <c r="K73" s="138">
        <f t="shared" ca="1" si="75"/>
        <v>0</v>
      </c>
      <c r="L73" s="138">
        <f t="shared" ca="1" si="75"/>
        <v>0</v>
      </c>
      <c r="M73" s="138">
        <f t="shared" ca="1" si="75"/>
        <v>0</v>
      </c>
      <c r="N73" s="138">
        <f t="shared" ca="1" si="75"/>
        <v>0</v>
      </c>
      <c r="O73" s="138">
        <f t="shared" ca="1" si="75"/>
        <v>0</v>
      </c>
      <c r="P73" s="138">
        <f t="shared" ca="1" si="75"/>
        <v>0</v>
      </c>
      <c r="Q73" s="138">
        <f t="shared" ca="1" si="75"/>
        <v>0</v>
      </c>
      <c r="R73" s="138">
        <f t="shared" ca="1" si="75"/>
        <v>0</v>
      </c>
      <c r="S73" s="138">
        <f t="shared" ca="1" si="75"/>
        <v>0</v>
      </c>
      <c r="T73" s="138">
        <f t="shared" ca="1" si="75"/>
        <v>0</v>
      </c>
      <c r="U73" s="138">
        <f t="shared" ca="1" si="75"/>
        <v>0</v>
      </c>
      <c r="V73" s="138">
        <f t="shared" ca="1" si="75"/>
        <v>0</v>
      </c>
      <c r="W73" s="138">
        <f t="shared" ca="1" si="75"/>
        <v>0</v>
      </c>
      <c r="X73" s="138">
        <f t="shared" ca="1" si="76"/>
        <v>0</v>
      </c>
      <c r="Y73" s="138">
        <f t="shared" ca="1" si="76"/>
        <v>0</v>
      </c>
      <c r="Z73" s="138">
        <f t="shared" ca="1" si="76"/>
        <v>0</v>
      </c>
      <c r="AA73" s="138">
        <f t="shared" ca="1" si="76"/>
        <v>0</v>
      </c>
      <c r="AB73" s="138">
        <f t="shared" ca="1" si="76"/>
        <v>0</v>
      </c>
      <c r="AC73" s="138">
        <f t="shared" ca="1" si="76"/>
        <v>0</v>
      </c>
      <c r="AD73" s="138">
        <f t="shared" ca="1" si="76"/>
        <v>0</v>
      </c>
      <c r="AE73" s="138">
        <f t="shared" ca="1" si="76"/>
        <v>0</v>
      </c>
      <c r="AF73" s="138">
        <f t="shared" ca="1" si="76"/>
        <v>0</v>
      </c>
      <c r="AG73" s="138">
        <f t="shared" ca="1" si="76"/>
        <v>0</v>
      </c>
      <c r="AH73" s="138">
        <f t="shared" ca="1" si="76"/>
        <v>0</v>
      </c>
      <c r="AI73" s="138">
        <f t="shared" ca="1" si="76"/>
        <v>0</v>
      </c>
      <c r="AJ73" s="138">
        <f t="shared" ca="1" si="76"/>
        <v>0</v>
      </c>
      <c r="AK73" s="138">
        <f t="shared" ca="1" si="76"/>
        <v>0</v>
      </c>
      <c r="AL73" s="138">
        <f t="shared" ca="1" si="76"/>
        <v>0</v>
      </c>
      <c r="AM73" s="138">
        <f t="shared" ca="1" si="76"/>
        <v>0</v>
      </c>
      <c r="AN73" s="138">
        <f t="shared" ca="1" si="77"/>
        <v>0</v>
      </c>
      <c r="AO73" s="138">
        <f t="shared" ca="1" si="77"/>
        <v>0</v>
      </c>
      <c r="AP73" s="138">
        <f t="shared" ca="1" si="77"/>
        <v>0</v>
      </c>
      <c r="AQ73" s="138">
        <f t="shared" ca="1" si="77"/>
        <v>0</v>
      </c>
      <c r="AR73" s="138">
        <f t="shared" ca="1" si="77"/>
        <v>0</v>
      </c>
      <c r="AS73" s="138">
        <f t="shared" ca="1" si="77"/>
        <v>0</v>
      </c>
      <c r="AT73" s="138">
        <f t="shared" ca="1" si="77"/>
        <v>0</v>
      </c>
      <c r="AU73" s="138">
        <f t="shared" ca="1" si="77"/>
        <v>0</v>
      </c>
      <c r="AV73" s="138">
        <f t="shared" ca="1" si="77"/>
        <v>0</v>
      </c>
      <c r="AW73" s="138">
        <f t="shared" ca="1" si="77"/>
        <v>0</v>
      </c>
      <c r="AX73" s="138">
        <f t="shared" ca="1" si="77"/>
        <v>0</v>
      </c>
      <c r="AY73" s="138">
        <f t="shared" ca="1" si="77"/>
        <v>0</v>
      </c>
      <c r="AZ73" s="138">
        <f t="shared" ca="1" si="77"/>
        <v>0</v>
      </c>
      <c r="BA73" s="138">
        <f t="shared" ca="1" si="77"/>
        <v>0</v>
      </c>
      <c r="BB73" s="138">
        <f t="shared" ca="1" si="77"/>
        <v>0</v>
      </c>
      <c r="BC73" s="138">
        <f t="shared" ca="1" si="77"/>
        <v>0</v>
      </c>
      <c r="BD73" s="138">
        <f t="shared" ca="1" si="78"/>
        <v>0</v>
      </c>
      <c r="BE73" s="138">
        <f t="shared" ca="1" si="78"/>
        <v>0</v>
      </c>
      <c r="BF73" s="138">
        <f t="shared" ca="1" si="78"/>
        <v>0</v>
      </c>
      <c r="BG73" s="138">
        <f t="shared" ca="1" si="78"/>
        <v>0</v>
      </c>
      <c r="BH73" s="138">
        <f t="shared" ca="1" si="78"/>
        <v>0</v>
      </c>
      <c r="BI73" s="138">
        <f t="shared" ca="1" si="78"/>
        <v>0</v>
      </c>
      <c r="BJ73" s="138">
        <f t="shared" ca="1" si="78"/>
        <v>0</v>
      </c>
      <c r="BK73" s="138">
        <f t="shared" ca="1" si="78"/>
        <v>0</v>
      </c>
      <c r="BL73" s="138">
        <f t="shared" ca="1" si="78"/>
        <v>0</v>
      </c>
      <c r="BM73" s="138">
        <f t="shared" ca="1" si="78"/>
        <v>0</v>
      </c>
      <c r="BN73" s="138">
        <f t="shared" ca="1" si="78"/>
        <v>0</v>
      </c>
      <c r="BO73" s="138">
        <f t="shared" ca="1" si="78"/>
        <v>0</v>
      </c>
      <c r="BP73" s="138">
        <f t="shared" ca="1" si="78"/>
        <v>0</v>
      </c>
      <c r="BQ73" s="138">
        <f t="shared" ca="1" si="78"/>
        <v>0</v>
      </c>
      <c r="BR73" s="138">
        <f t="shared" ca="1" si="78"/>
        <v>0</v>
      </c>
      <c r="BS73" s="138">
        <f t="shared" ca="1" si="78"/>
        <v>0</v>
      </c>
      <c r="BT73" s="138">
        <f t="shared" ca="1" si="79"/>
        <v>0</v>
      </c>
      <c r="BU73" s="138">
        <f t="shared" ca="1" si="79"/>
        <v>0</v>
      </c>
      <c r="BV73" s="138">
        <f t="shared" ca="1" si="79"/>
        <v>0</v>
      </c>
      <c r="BW73" s="138">
        <f t="shared" ca="1" si="79"/>
        <v>0</v>
      </c>
      <c r="BX73" s="138">
        <f t="shared" ca="1" si="79"/>
        <v>0</v>
      </c>
      <c r="BY73" s="138">
        <f t="shared" ca="1" si="79"/>
        <v>0</v>
      </c>
      <c r="BZ73" s="138">
        <f t="shared" ca="1" si="79"/>
        <v>0</v>
      </c>
      <c r="CA73" s="138">
        <f t="shared" ca="1" si="79"/>
        <v>0</v>
      </c>
      <c r="CB73" s="138">
        <f t="shared" ca="1" si="79"/>
        <v>0</v>
      </c>
      <c r="CC73" s="138">
        <f t="shared" ca="1" si="79"/>
        <v>0</v>
      </c>
      <c r="CD73" s="138">
        <f t="shared" ca="1" si="79"/>
        <v>0</v>
      </c>
      <c r="CE73" s="138">
        <f t="shared" ca="1" si="79"/>
        <v>0</v>
      </c>
      <c r="CF73" s="138">
        <f t="shared" ca="1" si="79"/>
        <v>0</v>
      </c>
      <c r="CG73" s="138">
        <f t="shared" ca="1" si="79"/>
        <v>0</v>
      </c>
      <c r="CH73" s="138">
        <f t="shared" ca="1" si="79"/>
        <v>0</v>
      </c>
      <c r="CI73" s="138">
        <f t="shared" ca="1" si="79"/>
        <v>0</v>
      </c>
      <c r="CJ73" s="138">
        <f t="shared" ca="1" si="80"/>
        <v>0</v>
      </c>
      <c r="CK73" s="138">
        <f t="shared" ca="1" si="80"/>
        <v>0</v>
      </c>
      <c r="CL73" s="138">
        <f t="shared" ca="1" si="80"/>
        <v>0</v>
      </c>
      <c r="CM73" s="138">
        <f t="shared" ca="1" si="80"/>
        <v>0</v>
      </c>
      <c r="CN73" s="138">
        <f t="shared" ca="1" si="80"/>
        <v>0</v>
      </c>
      <c r="CO73" s="138">
        <f t="shared" ca="1" si="80"/>
        <v>0</v>
      </c>
      <c r="CP73" s="138">
        <f t="shared" ca="1" si="80"/>
        <v>0</v>
      </c>
      <c r="CQ73" s="138">
        <f t="shared" ca="1" si="80"/>
        <v>0</v>
      </c>
      <c r="CR73" s="138">
        <f t="shared" ca="1" si="80"/>
        <v>0</v>
      </c>
      <c r="CS73" s="138">
        <f t="shared" ca="1" si="80"/>
        <v>0</v>
      </c>
      <c r="CT73" s="138">
        <f t="shared" ca="1" si="81"/>
        <v>0</v>
      </c>
      <c r="CU73" s="138">
        <f t="shared" ca="1" si="81"/>
        <v>0</v>
      </c>
      <c r="CV73" s="138">
        <f t="shared" ca="1" si="81"/>
        <v>0</v>
      </c>
      <c r="CW73" s="138">
        <f t="shared" ca="1" si="81"/>
        <v>0</v>
      </c>
      <c r="CX73" s="138">
        <f t="shared" ca="1" si="81"/>
        <v>0</v>
      </c>
      <c r="CY73" s="138">
        <f t="shared" ca="1" si="81"/>
        <v>0</v>
      </c>
      <c r="CZ73" s="138">
        <f t="shared" ca="1" si="81"/>
        <v>0</v>
      </c>
      <c r="DA73" s="138">
        <f t="shared" ca="1" si="81"/>
        <v>0</v>
      </c>
      <c r="DB73" s="138">
        <f t="shared" ca="1" si="81"/>
        <v>0</v>
      </c>
      <c r="DC73" s="138">
        <f t="shared" ca="1" si="81"/>
        <v>0</v>
      </c>
      <c r="DE73" s="254" t="str">
        <f t="shared" ca="1" si="24"/>
        <v>E.3.6.</v>
      </c>
      <c r="DF73">
        <f t="shared" ca="1" si="82"/>
        <v>1</v>
      </c>
      <c r="DG73">
        <f t="shared" ca="1" si="83"/>
        <v>21</v>
      </c>
      <c r="DH73">
        <v>0</v>
      </c>
    </row>
    <row r="74" spans="1:112" hidden="1">
      <c r="A74" s="124">
        <v>62</v>
      </c>
      <c r="B74" s="205" t="str">
        <f t="shared" ca="1" si="12"/>
        <v>E.3.7.</v>
      </c>
      <c r="C74" s="129" t="str">
        <f t="shared" ca="1" si="13"/>
        <v/>
      </c>
      <c r="D74" s="144"/>
      <c r="E74" s="148">
        <f t="shared" ca="1" si="14"/>
        <v>0.21</v>
      </c>
      <c r="F74" s="139">
        <f ca="1">H74+NPV(FD,I74:INDEX(I74:DC74,PAL))</f>
        <v>0</v>
      </c>
      <c r="G74" s="140">
        <f ca="1">SUMIF($H$5:$DC$5,"&lt;="&amp;PAL,$H74:$DC74)</f>
        <v>0</v>
      </c>
      <c r="H74" s="138">
        <f t="shared" ca="1" si="75"/>
        <v>0</v>
      </c>
      <c r="I74" s="138">
        <f t="shared" ca="1" si="75"/>
        <v>0</v>
      </c>
      <c r="J74" s="138">
        <f t="shared" ca="1" si="75"/>
        <v>0</v>
      </c>
      <c r="K74" s="138">
        <f t="shared" ca="1" si="75"/>
        <v>0</v>
      </c>
      <c r="L74" s="138">
        <f t="shared" ca="1" si="75"/>
        <v>0</v>
      </c>
      <c r="M74" s="138">
        <f t="shared" ca="1" si="75"/>
        <v>0</v>
      </c>
      <c r="N74" s="138">
        <f t="shared" ca="1" si="75"/>
        <v>0</v>
      </c>
      <c r="O74" s="138">
        <f t="shared" ca="1" si="75"/>
        <v>0</v>
      </c>
      <c r="P74" s="138">
        <f t="shared" ca="1" si="75"/>
        <v>0</v>
      </c>
      <c r="Q74" s="138">
        <f t="shared" ca="1" si="75"/>
        <v>0</v>
      </c>
      <c r="R74" s="138">
        <f t="shared" ca="1" si="75"/>
        <v>0</v>
      </c>
      <c r="S74" s="138">
        <f t="shared" ca="1" si="75"/>
        <v>0</v>
      </c>
      <c r="T74" s="138">
        <f t="shared" ca="1" si="75"/>
        <v>0</v>
      </c>
      <c r="U74" s="138">
        <f t="shared" ca="1" si="75"/>
        <v>0</v>
      </c>
      <c r="V74" s="138">
        <f t="shared" ca="1" si="75"/>
        <v>0</v>
      </c>
      <c r="W74" s="138">
        <f t="shared" ca="1" si="75"/>
        <v>0</v>
      </c>
      <c r="X74" s="138">
        <f t="shared" ca="1" si="76"/>
        <v>0</v>
      </c>
      <c r="Y74" s="138">
        <f t="shared" ca="1" si="76"/>
        <v>0</v>
      </c>
      <c r="Z74" s="138">
        <f t="shared" ca="1" si="76"/>
        <v>0</v>
      </c>
      <c r="AA74" s="138">
        <f t="shared" ca="1" si="76"/>
        <v>0</v>
      </c>
      <c r="AB74" s="138">
        <f t="shared" ca="1" si="76"/>
        <v>0</v>
      </c>
      <c r="AC74" s="138">
        <f t="shared" ca="1" si="76"/>
        <v>0</v>
      </c>
      <c r="AD74" s="138">
        <f t="shared" ca="1" si="76"/>
        <v>0</v>
      </c>
      <c r="AE74" s="138">
        <f t="shared" ca="1" si="76"/>
        <v>0</v>
      </c>
      <c r="AF74" s="138">
        <f t="shared" ca="1" si="76"/>
        <v>0</v>
      </c>
      <c r="AG74" s="138">
        <f t="shared" ca="1" si="76"/>
        <v>0</v>
      </c>
      <c r="AH74" s="138">
        <f t="shared" ca="1" si="76"/>
        <v>0</v>
      </c>
      <c r="AI74" s="138">
        <f t="shared" ca="1" si="76"/>
        <v>0</v>
      </c>
      <c r="AJ74" s="138">
        <f t="shared" ca="1" si="76"/>
        <v>0</v>
      </c>
      <c r="AK74" s="138">
        <f t="shared" ca="1" si="76"/>
        <v>0</v>
      </c>
      <c r="AL74" s="138">
        <f t="shared" ca="1" si="76"/>
        <v>0</v>
      </c>
      <c r="AM74" s="138">
        <f t="shared" ca="1" si="76"/>
        <v>0</v>
      </c>
      <c r="AN74" s="138">
        <f t="shared" ca="1" si="77"/>
        <v>0</v>
      </c>
      <c r="AO74" s="138">
        <f t="shared" ca="1" si="77"/>
        <v>0</v>
      </c>
      <c r="AP74" s="138">
        <f t="shared" ca="1" si="77"/>
        <v>0</v>
      </c>
      <c r="AQ74" s="138">
        <f t="shared" ca="1" si="77"/>
        <v>0</v>
      </c>
      <c r="AR74" s="138">
        <f t="shared" ca="1" si="77"/>
        <v>0</v>
      </c>
      <c r="AS74" s="138">
        <f t="shared" ca="1" si="77"/>
        <v>0</v>
      </c>
      <c r="AT74" s="138">
        <f t="shared" ca="1" si="77"/>
        <v>0</v>
      </c>
      <c r="AU74" s="138">
        <f t="shared" ca="1" si="77"/>
        <v>0</v>
      </c>
      <c r="AV74" s="138">
        <f t="shared" ca="1" si="77"/>
        <v>0</v>
      </c>
      <c r="AW74" s="138">
        <f t="shared" ca="1" si="77"/>
        <v>0</v>
      </c>
      <c r="AX74" s="138">
        <f t="shared" ca="1" si="77"/>
        <v>0</v>
      </c>
      <c r="AY74" s="138">
        <f t="shared" ca="1" si="77"/>
        <v>0</v>
      </c>
      <c r="AZ74" s="138">
        <f t="shared" ca="1" si="77"/>
        <v>0</v>
      </c>
      <c r="BA74" s="138">
        <f t="shared" ca="1" si="77"/>
        <v>0</v>
      </c>
      <c r="BB74" s="138">
        <f t="shared" ca="1" si="77"/>
        <v>0</v>
      </c>
      <c r="BC74" s="138">
        <f t="shared" ca="1" si="77"/>
        <v>0</v>
      </c>
      <c r="BD74" s="138">
        <f t="shared" ca="1" si="78"/>
        <v>0</v>
      </c>
      <c r="BE74" s="138">
        <f t="shared" ca="1" si="78"/>
        <v>0</v>
      </c>
      <c r="BF74" s="138">
        <f t="shared" ca="1" si="78"/>
        <v>0</v>
      </c>
      <c r="BG74" s="138">
        <f t="shared" ca="1" si="78"/>
        <v>0</v>
      </c>
      <c r="BH74" s="138">
        <f t="shared" ca="1" si="78"/>
        <v>0</v>
      </c>
      <c r="BI74" s="138">
        <f t="shared" ca="1" si="78"/>
        <v>0</v>
      </c>
      <c r="BJ74" s="138">
        <f t="shared" ca="1" si="78"/>
        <v>0</v>
      </c>
      <c r="BK74" s="138">
        <f t="shared" ca="1" si="78"/>
        <v>0</v>
      </c>
      <c r="BL74" s="138">
        <f t="shared" ca="1" si="78"/>
        <v>0</v>
      </c>
      <c r="BM74" s="138">
        <f t="shared" ca="1" si="78"/>
        <v>0</v>
      </c>
      <c r="BN74" s="138">
        <f t="shared" ca="1" si="78"/>
        <v>0</v>
      </c>
      <c r="BO74" s="138">
        <f t="shared" ca="1" si="78"/>
        <v>0</v>
      </c>
      <c r="BP74" s="138">
        <f t="shared" ca="1" si="78"/>
        <v>0</v>
      </c>
      <c r="BQ74" s="138">
        <f t="shared" ca="1" si="78"/>
        <v>0</v>
      </c>
      <c r="BR74" s="138">
        <f t="shared" ca="1" si="78"/>
        <v>0</v>
      </c>
      <c r="BS74" s="138">
        <f t="shared" ca="1" si="78"/>
        <v>0</v>
      </c>
      <c r="BT74" s="138">
        <f t="shared" ca="1" si="79"/>
        <v>0</v>
      </c>
      <c r="BU74" s="138">
        <f t="shared" ca="1" si="79"/>
        <v>0</v>
      </c>
      <c r="BV74" s="138">
        <f t="shared" ca="1" si="79"/>
        <v>0</v>
      </c>
      <c r="BW74" s="138">
        <f t="shared" ca="1" si="79"/>
        <v>0</v>
      </c>
      <c r="BX74" s="138">
        <f t="shared" ca="1" si="79"/>
        <v>0</v>
      </c>
      <c r="BY74" s="138">
        <f t="shared" ca="1" si="79"/>
        <v>0</v>
      </c>
      <c r="BZ74" s="138">
        <f t="shared" ca="1" si="79"/>
        <v>0</v>
      </c>
      <c r="CA74" s="138">
        <f t="shared" ca="1" si="79"/>
        <v>0</v>
      </c>
      <c r="CB74" s="138">
        <f t="shared" ca="1" si="79"/>
        <v>0</v>
      </c>
      <c r="CC74" s="138">
        <f t="shared" ca="1" si="79"/>
        <v>0</v>
      </c>
      <c r="CD74" s="138">
        <f t="shared" ca="1" si="79"/>
        <v>0</v>
      </c>
      <c r="CE74" s="138">
        <f t="shared" ca="1" si="79"/>
        <v>0</v>
      </c>
      <c r="CF74" s="138">
        <f t="shared" ca="1" si="79"/>
        <v>0</v>
      </c>
      <c r="CG74" s="138">
        <f t="shared" ca="1" si="79"/>
        <v>0</v>
      </c>
      <c r="CH74" s="138">
        <f t="shared" ca="1" si="79"/>
        <v>0</v>
      </c>
      <c r="CI74" s="138">
        <f t="shared" ca="1" si="79"/>
        <v>0</v>
      </c>
      <c r="CJ74" s="138">
        <f t="shared" ca="1" si="80"/>
        <v>0</v>
      </c>
      <c r="CK74" s="138">
        <f t="shared" ca="1" si="80"/>
        <v>0</v>
      </c>
      <c r="CL74" s="138">
        <f t="shared" ca="1" si="80"/>
        <v>0</v>
      </c>
      <c r="CM74" s="138">
        <f t="shared" ca="1" si="80"/>
        <v>0</v>
      </c>
      <c r="CN74" s="138">
        <f t="shared" ca="1" si="80"/>
        <v>0</v>
      </c>
      <c r="CO74" s="138">
        <f t="shared" ca="1" si="80"/>
        <v>0</v>
      </c>
      <c r="CP74" s="138">
        <f t="shared" ca="1" si="80"/>
        <v>0</v>
      </c>
      <c r="CQ74" s="138">
        <f t="shared" ca="1" si="80"/>
        <v>0</v>
      </c>
      <c r="CR74" s="138">
        <f t="shared" ca="1" si="80"/>
        <v>0</v>
      </c>
      <c r="CS74" s="138">
        <f t="shared" ca="1" si="80"/>
        <v>0</v>
      </c>
      <c r="CT74" s="138">
        <f t="shared" ca="1" si="81"/>
        <v>0</v>
      </c>
      <c r="CU74" s="138">
        <f t="shared" ca="1" si="81"/>
        <v>0</v>
      </c>
      <c r="CV74" s="138">
        <f t="shared" ca="1" si="81"/>
        <v>0</v>
      </c>
      <c r="CW74" s="138">
        <f t="shared" ca="1" si="81"/>
        <v>0</v>
      </c>
      <c r="CX74" s="138">
        <f t="shared" ca="1" si="81"/>
        <v>0</v>
      </c>
      <c r="CY74" s="138">
        <f t="shared" ca="1" si="81"/>
        <v>0</v>
      </c>
      <c r="CZ74" s="138">
        <f t="shared" ca="1" si="81"/>
        <v>0</v>
      </c>
      <c r="DA74" s="138">
        <f t="shared" ca="1" si="81"/>
        <v>0</v>
      </c>
      <c r="DB74" s="138">
        <f t="shared" ca="1" si="81"/>
        <v>0</v>
      </c>
      <c r="DC74" s="138">
        <f t="shared" ca="1" si="81"/>
        <v>0</v>
      </c>
      <c r="DE74" s="254" t="str">
        <f t="shared" ca="1" si="24"/>
        <v>E.3.7.</v>
      </c>
      <c r="DF74">
        <f t="shared" ca="1" si="82"/>
        <v>1</v>
      </c>
      <c r="DG74">
        <f t="shared" ca="1" si="83"/>
        <v>21</v>
      </c>
      <c r="DH74">
        <v>0</v>
      </c>
    </row>
    <row r="75" spans="1:112" hidden="1">
      <c r="A75" s="124">
        <v>63</v>
      </c>
      <c r="B75" s="205" t="str">
        <f t="shared" ca="1" si="12"/>
        <v>E.3.8.</v>
      </c>
      <c r="C75" s="129" t="str">
        <f t="shared" ca="1" si="13"/>
        <v/>
      </c>
      <c r="D75" s="144"/>
      <c r="E75" s="148">
        <f t="shared" ca="1" si="14"/>
        <v>0.21</v>
      </c>
      <c r="F75" s="139">
        <f ca="1">H75+NPV(FD,I75:INDEX(I75:DC75,PAL))</f>
        <v>0</v>
      </c>
      <c r="G75" s="140">
        <f ca="1">SUMIF($H$5:$DC$5,"&lt;="&amp;PAL,$H75:$DC75)</f>
        <v>0</v>
      </c>
      <c r="H75" s="138">
        <f t="shared" ca="1" si="75"/>
        <v>0</v>
      </c>
      <c r="I75" s="138">
        <f t="shared" ca="1" si="75"/>
        <v>0</v>
      </c>
      <c r="J75" s="138">
        <f t="shared" ca="1" si="75"/>
        <v>0</v>
      </c>
      <c r="K75" s="138">
        <f t="shared" ca="1" si="75"/>
        <v>0</v>
      </c>
      <c r="L75" s="138">
        <f t="shared" ca="1" si="75"/>
        <v>0</v>
      </c>
      <c r="M75" s="138">
        <f t="shared" ca="1" si="75"/>
        <v>0</v>
      </c>
      <c r="N75" s="138">
        <f t="shared" ca="1" si="75"/>
        <v>0</v>
      </c>
      <c r="O75" s="138">
        <f t="shared" ca="1" si="75"/>
        <v>0</v>
      </c>
      <c r="P75" s="138">
        <f t="shared" ca="1" si="75"/>
        <v>0</v>
      </c>
      <c r="Q75" s="138">
        <f t="shared" ca="1" si="75"/>
        <v>0</v>
      </c>
      <c r="R75" s="138">
        <f t="shared" ca="1" si="75"/>
        <v>0</v>
      </c>
      <c r="S75" s="138">
        <f t="shared" ca="1" si="75"/>
        <v>0</v>
      </c>
      <c r="T75" s="138">
        <f t="shared" ca="1" si="75"/>
        <v>0</v>
      </c>
      <c r="U75" s="138">
        <f t="shared" ca="1" si="75"/>
        <v>0</v>
      </c>
      <c r="V75" s="138">
        <f t="shared" ca="1" si="75"/>
        <v>0</v>
      </c>
      <c r="W75" s="138">
        <f t="shared" ca="1" si="75"/>
        <v>0</v>
      </c>
      <c r="X75" s="138">
        <f t="shared" ca="1" si="76"/>
        <v>0</v>
      </c>
      <c r="Y75" s="138">
        <f t="shared" ca="1" si="76"/>
        <v>0</v>
      </c>
      <c r="Z75" s="138">
        <f t="shared" ca="1" si="76"/>
        <v>0</v>
      </c>
      <c r="AA75" s="138">
        <f t="shared" ca="1" si="76"/>
        <v>0</v>
      </c>
      <c r="AB75" s="138">
        <f t="shared" ca="1" si="76"/>
        <v>0</v>
      </c>
      <c r="AC75" s="138">
        <f t="shared" ca="1" si="76"/>
        <v>0</v>
      </c>
      <c r="AD75" s="138">
        <f t="shared" ca="1" si="76"/>
        <v>0</v>
      </c>
      <c r="AE75" s="138">
        <f t="shared" ca="1" si="76"/>
        <v>0</v>
      </c>
      <c r="AF75" s="138">
        <f t="shared" ca="1" si="76"/>
        <v>0</v>
      </c>
      <c r="AG75" s="138">
        <f t="shared" ca="1" si="76"/>
        <v>0</v>
      </c>
      <c r="AH75" s="138">
        <f t="shared" ca="1" si="76"/>
        <v>0</v>
      </c>
      <c r="AI75" s="138">
        <f t="shared" ca="1" si="76"/>
        <v>0</v>
      </c>
      <c r="AJ75" s="138">
        <f t="shared" ca="1" si="76"/>
        <v>0</v>
      </c>
      <c r="AK75" s="138">
        <f t="shared" ca="1" si="76"/>
        <v>0</v>
      </c>
      <c r="AL75" s="138">
        <f t="shared" ca="1" si="76"/>
        <v>0</v>
      </c>
      <c r="AM75" s="138">
        <f t="shared" ca="1" si="76"/>
        <v>0</v>
      </c>
      <c r="AN75" s="138">
        <f t="shared" ca="1" si="77"/>
        <v>0</v>
      </c>
      <c r="AO75" s="138">
        <f t="shared" ca="1" si="77"/>
        <v>0</v>
      </c>
      <c r="AP75" s="138">
        <f t="shared" ca="1" si="77"/>
        <v>0</v>
      </c>
      <c r="AQ75" s="138">
        <f t="shared" ca="1" si="77"/>
        <v>0</v>
      </c>
      <c r="AR75" s="138">
        <f t="shared" ca="1" si="77"/>
        <v>0</v>
      </c>
      <c r="AS75" s="138">
        <f t="shared" ca="1" si="77"/>
        <v>0</v>
      </c>
      <c r="AT75" s="138">
        <f t="shared" ca="1" si="77"/>
        <v>0</v>
      </c>
      <c r="AU75" s="138">
        <f t="shared" ca="1" si="77"/>
        <v>0</v>
      </c>
      <c r="AV75" s="138">
        <f t="shared" ca="1" si="77"/>
        <v>0</v>
      </c>
      <c r="AW75" s="138">
        <f t="shared" ca="1" si="77"/>
        <v>0</v>
      </c>
      <c r="AX75" s="138">
        <f t="shared" ca="1" si="77"/>
        <v>0</v>
      </c>
      <c r="AY75" s="138">
        <f t="shared" ca="1" si="77"/>
        <v>0</v>
      </c>
      <c r="AZ75" s="138">
        <f t="shared" ca="1" si="77"/>
        <v>0</v>
      </c>
      <c r="BA75" s="138">
        <f t="shared" ca="1" si="77"/>
        <v>0</v>
      </c>
      <c r="BB75" s="138">
        <f t="shared" ca="1" si="77"/>
        <v>0</v>
      </c>
      <c r="BC75" s="138">
        <f t="shared" ca="1" si="77"/>
        <v>0</v>
      </c>
      <c r="BD75" s="138">
        <f t="shared" ca="1" si="78"/>
        <v>0</v>
      </c>
      <c r="BE75" s="138">
        <f t="shared" ca="1" si="78"/>
        <v>0</v>
      </c>
      <c r="BF75" s="138">
        <f t="shared" ca="1" si="78"/>
        <v>0</v>
      </c>
      <c r="BG75" s="138">
        <f t="shared" ca="1" si="78"/>
        <v>0</v>
      </c>
      <c r="BH75" s="138">
        <f t="shared" ca="1" si="78"/>
        <v>0</v>
      </c>
      <c r="BI75" s="138">
        <f t="shared" ca="1" si="78"/>
        <v>0</v>
      </c>
      <c r="BJ75" s="138">
        <f t="shared" ca="1" si="78"/>
        <v>0</v>
      </c>
      <c r="BK75" s="138">
        <f t="shared" ca="1" si="78"/>
        <v>0</v>
      </c>
      <c r="BL75" s="138">
        <f t="shared" ca="1" si="78"/>
        <v>0</v>
      </c>
      <c r="BM75" s="138">
        <f t="shared" ca="1" si="78"/>
        <v>0</v>
      </c>
      <c r="BN75" s="138">
        <f t="shared" ca="1" si="78"/>
        <v>0</v>
      </c>
      <c r="BO75" s="138">
        <f t="shared" ca="1" si="78"/>
        <v>0</v>
      </c>
      <c r="BP75" s="138">
        <f t="shared" ca="1" si="78"/>
        <v>0</v>
      </c>
      <c r="BQ75" s="138">
        <f t="shared" ca="1" si="78"/>
        <v>0</v>
      </c>
      <c r="BR75" s="138">
        <f t="shared" ca="1" si="78"/>
        <v>0</v>
      </c>
      <c r="BS75" s="138">
        <f t="shared" ca="1" si="78"/>
        <v>0</v>
      </c>
      <c r="BT75" s="138">
        <f t="shared" ca="1" si="79"/>
        <v>0</v>
      </c>
      <c r="BU75" s="138">
        <f t="shared" ca="1" si="79"/>
        <v>0</v>
      </c>
      <c r="BV75" s="138">
        <f t="shared" ca="1" si="79"/>
        <v>0</v>
      </c>
      <c r="BW75" s="138">
        <f t="shared" ca="1" si="79"/>
        <v>0</v>
      </c>
      <c r="BX75" s="138">
        <f t="shared" ca="1" si="79"/>
        <v>0</v>
      </c>
      <c r="BY75" s="138">
        <f t="shared" ca="1" si="79"/>
        <v>0</v>
      </c>
      <c r="BZ75" s="138">
        <f t="shared" ca="1" si="79"/>
        <v>0</v>
      </c>
      <c r="CA75" s="138">
        <f t="shared" ca="1" si="79"/>
        <v>0</v>
      </c>
      <c r="CB75" s="138">
        <f t="shared" ca="1" si="79"/>
        <v>0</v>
      </c>
      <c r="CC75" s="138">
        <f t="shared" ca="1" si="79"/>
        <v>0</v>
      </c>
      <c r="CD75" s="138">
        <f t="shared" ca="1" si="79"/>
        <v>0</v>
      </c>
      <c r="CE75" s="138">
        <f t="shared" ca="1" si="79"/>
        <v>0</v>
      </c>
      <c r="CF75" s="138">
        <f t="shared" ca="1" si="79"/>
        <v>0</v>
      </c>
      <c r="CG75" s="138">
        <f t="shared" ca="1" si="79"/>
        <v>0</v>
      </c>
      <c r="CH75" s="138">
        <f t="shared" ca="1" si="79"/>
        <v>0</v>
      </c>
      <c r="CI75" s="138">
        <f t="shared" ca="1" si="79"/>
        <v>0</v>
      </c>
      <c r="CJ75" s="138">
        <f t="shared" ca="1" si="80"/>
        <v>0</v>
      </c>
      <c r="CK75" s="138">
        <f t="shared" ca="1" si="80"/>
        <v>0</v>
      </c>
      <c r="CL75" s="138">
        <f t="shared" ca="1" si="80"/>
        <v>0</v>
      </c>
      <c r="CM75" s="138">
        <f t="shared" ca="1" si="80"/>
        <v>0</v>
      </c>
      <c r="CN75" s="138">
        <f t="shared" ca="1" si="80"/>
        <v>0</v>
      </c>
      <c r="CO75" s="138">
        <f t="shared" ca="1" si="80"/>
        <v>0</v>
      </c>
      <c r="CP75" s="138">
        <f t="shared" ca="1" si="80"/>
        <v>0</v>
      </c>
      <c r="CQ75" s="138">
        <f t="shared" ca="1" si="80"/>
        <v>0</v>
      </c>
      <c r="CR75" s="138">
        <f t="shared" ca="1" si="80"/>
        <v>0</v>
      </c>
      <c r="CS75" s="138">
        <f t="shared" ca="1" si="80"/>
        <v>0</v>
      </c>
      <c r="CT75" s="138">
        <f t="shared" ca="1" si="81"/>
        <v>0</v>
      </c>
      <c r="CU75" s="138">
        <f t="shared" ca="1" si="81"/>
        <v>0</v>
      </c>
      <c r="CV75" s="138">
        <f t="shared" ca="1" si="81"/>
        <v>0</v>
      </c>
      <c r="CW75" s="138">
        <f t="shared" ca="1" si="81"/>
        <v>0</v>
      </c>
      <c r="CX75" s="138">
        <f t="shared" ca="1" si="81"/>
        <v>0</v>
      </c>
      <c r="CY75" s="138">
        <f t="shared" ca="1" si="81"/>
        <v>0</v>
      </c>
      <c r="CZ75" s="138">
        <f t="shared" ca="1" si="81"/>
        <v>0</v>
      </c>
      <c r="DA75" s="138">
        <f t="shared" ca="1" si="81"/>
        <v>0</v>
      </c>
      <c r="DB75" s="138">
        <f t="shared" ca="1" si="81"/>
        <v>0</v>
      </c>
      <c r="DC75" s="138">
        <f t="shared" ca="1" si="81"/>
        <v>0</v>
      </c>
      <c r="DE75" s="254" t="str">
        <f t="shared" ca="1" si="24"/>
        <v>E.3.8.</v>
      </c>
      <c r="DF75">
        <f t="shared" ca="1" si="82"/>
        <v>1</v>
      </c>
      <c r="DG75">
        <f t="shared" ca="1" si="83"/>
        <v>21</v>
      </c>
      <c r="DH75">
        <v>0</v>
      </c>
    </row>
    <row r="76" spans="1:112" hidden="1">
      <c r="A76" s="124">
        <v>64</v>
      </c>
      <c r="B76" s="205" t="str">
        <f t="shared" ref="B76:B129" ca="1" si="84">OFFSET(INDIRECT("'"&amp;Opt_alt&amp;"'!B12"),$A76,0)</f>
        <v>E.3.9.</v>
      </c>
      <c r="C76" s="129" t="str">
        <f t="shared" ref="C76:C129" ca="1" si="85">IF(OFFSET(INDIRECT("'"&amp;Opt_alt&amp;"'!C12"),$A76,0)="","",OFFSET(INDIRECT("'"&amp;Opt_alt&amp;"'!C12"),$A76,0))</f>
        <v>Reinvesticijos (po priemonės įgyvendinimo)</v>
      </c>
      <c r="D76" s="114"/>
      <c r="E76" s="148">
        <f t="shared" ref="E76:E129" ca="1" si="86">IF(OFFSET(INDIRECT("'"&amp;Opt_alt&amp;"'!E12"),$A76,0)="","",OFFSET(INDIRECT("'"&amp;Opt_alt&amp;"'!E12"),$A76,0))</f>
        <v>0.21</v>
      </c>
      <c r="F76" s="139">
        <f ca="1">H76+NPV(FD,I76:INDEX(I76:DC76,PAL))</f>
        <v>0</v>
      </c>
      <c r="G76" s="140">
        <f ca="1">SUMIF($H$5:$DC$5,"&lt;="&amp;PAL,$H76:$DC76)</f>
        <v>0</v>
      </c>
      <c r="H76" s="138">
        <f t="shared" ca="1" si="75"/>
        <v>0</v>
      </c>
      <c r="I76" s="138">
        <f t="shared" ca="1" si="75"/>
        <v>0</v>
      </c>
      <c r="J76" s="138">
        <f t="shared" ca="1" si="75"/>
        <v>0</v>
      </c>
      <c r="K76" s="138">
        <f t="shared" ca="1" si="75"/>
        <v>0</v>
      </c>
      <c r="L76" s="138">
        <f t="shared" ca="1" si="75"/>
        <v>0</v>
      </c>
      <c r="M76" s="138">
        <f t="shared" ca="1" si="75"/>
        <v>0</v>
      </c>
      <c r="N76" s="138">
        <f t="shared" ca="1" si="75"/>
        <v>0</v>
      </c>
      <c r="O76" s="138">
        <f t="shared" ca="1" si="75"/>
        <v>0</v>
      </c>
      <c r="P76" s="138">
        <f t="shared" ca="1" si="75"/>
        <v>0</v>
      </c>
      <c r="Q76" s="138">
        <f t="shared" ca="1" si="75"/>
        <v>0</v>
      </c>
      <c r="R76" s="138">
        <f t="shared" ca="1" si="75"/>
        <v>0</v>
      </c>
      <c r="S76" s="138">
        <f t="shared" ca="1" si="75"/>
        <v>0</v>
      </c>
      <c r="T76" s="138">
        <f t="shared" ca="1" si="75"/>
        <v>0</v>
      </c>
      <c r="U76" s="138">
        <f t="shared" ca="1" si="75"/>
        <v>0</v>
      </c>
      <c r="V76" s="138">
        <f t="shared" ca="1" si="75"/>
        <v>0</v>
      </c>
      <c r="W76" s="138">
        <f t="shared" ca="1" si="75"/>
        <v>0</v>
      </c>
      <c r="X76" s="138">
        <f t="shared" ca="1" si="76"/>
        <v>0</v>
      </c>
      <c r="Y76" s="138">
        <f t="shared" ca="1" si="76"/>
        <v>0</v>
      </c>
      <c r="Z76" s="138">
        <f t="shared" ca="1" si="76"/>
        <v>0</v>
      </c>
      <c r="AA76" s="138">
        <f t="shared" ca="1" si="76"/>
        <v>0</v>
      </c>
      <c r="AB76" s="138">
        <f t="shared" ca="1" si="76"/>
        <v>0</v>
      </c>
      <c r="AC76" s="138">
        <f t="shared" ca="1" si="76"/>
        <v>0</v>
      </c>
      <c r="AD76" s="138">
        <f t="shared" ca="1" si="76"/>
        <v>0</v>
      </c>
      <c r="AE76" s="138">
        <f t="shared" ca="1" si="76"/>
        <v>0</v>
      </c>
      <c r="AF76" s="138">
        <f t="shared" ca="1" si="76"/>
        <v>0</v>
      </c>
      <c r="AG76" s="138">
        <f t="shared" ca="1" si="76"/>
        <v>0</v>
      </c>
      <c r="AH76" s="138">
        <f t="shared" ca="1" si="76"/>
        <v>0</v>
      </c>
      <c r="AI76" s="138">
        <f t="shared" ca="1" si="76"/>
        <v>0</v>
      </c>
      <c r="AJ76" s="138">
        <f t="shared" ca="1" si="76"/>
        <v>0</v>
      </c>
      <c r="AK76" s="138">
        <f t="shared" ca="1" si="76"/>
        <v>0</v>
      </c>
      <c r="AL76" s="138">
        <f t="shared" ca="1" si="76"/>
        <v>0</v>
      </c>
      <c r="AM76" s="138">
        <f t="shared" ca="1" si="76"/>
        <v>0</v>
      </c>
      <c r="AN76" s="138">
        <f t="shared" ca="1" si="77"/>
        <v>0</v>
      </c>
      <c r="AO76" s="138">
        <f t="shared" ca="1" si="77"/>
        <v>0</v>
      </c>
      <c r="AP76" s="138">
        <f t="shared" ca="1" si="77"/>
        <v>0</v>
      </c>
      <c r="AQ76" s="138">
        <f t="shared" ca="1" si="77"/>
        <v>0</v>
      </c>
      <c r="AR76" s="138">
        <f t="shared" ca="1" si="77"/>
        <v>0</v>
      </c>
      <c r="AS76" s="138">
        <f t="shared" ca="1" si="77"/>
        <v>0</v>
      </c>
      <c r="AT76" s="138">
        <f t="shared" ca="1" si="77"/>
        <v>0</v>
      </c>
      <c r="AU76" s="138">
        <f t="shared" ca="1" si="77"/>
        <v>0</v>
      </c>
      <c r="AV76" s="138">
        <f t="shared" ca="1" si="77"/>
        <v>0</v>
      </c>
      <c r="AW76" s="138">
        <f t="shared" ca="1" si="77"/>
        <v>0</v>
      </c>
      <c r="AX76" s="138">
        <f t="shared" ca="1" si="77"/>
        <v>0</v>
      </c>
      <c r="AY76" s="138">
        <f t="shared" ca="1" si="77"/>
        <v>0</v>
      </c>
      <c r="AZ76" s="138">
        <f t="shared" ca="1" si="77"/>
        <v>0</v>
      </c>
      <c r="BA76" s="138">
        <f t="shared" ca="1" si="77"/>
        <v>0</v>
      </c>
      <c r="BB76" s="138">
        <f t="shared" ca="1" si="77"/>
        <v>0</v>
      </c>
      <c r="BC76" s="138">
        <f t="shared" ca="1" si="77"/>
        <v>0</v>
      </c>
      <c r="BD76" s="138">
        <f t="shared" ca="1" si="78"/>
        <v>0</v>
      </c>
      <c r="BE76" s="138">
        <f t="shared" ca="1" si="78"/>
        <v>0</v>
      </c>
      <c r="BF76" s="138">
        <f t="shared" ca="1" si="78"/>
        <v>0</v>
      </c>
      <c r="BG76" s="138">
        <f t="shared" ca="1" si="78"/>
        <v>0</v>
      </c>
      <c r="BH76" s="138">
        <f t="shared" ca="1" si="78"/>
        <v>0</v>
      </c>
      <c r="BI76" s="138">
        <f t="shared" ca="1" si="78"/>
        <v>0</v>
      </c>
      <c r="BJ76" s="138">
        <f t="shared" ca="1" si="78"/>
        <v>0</v>
      </c>
      <c r="BK76" s="138">
        <f t="shared" ca="1" si="78"/>
        <v>0</v>
      </c>
      <c r="BL76" s="138">
        <f t="shared" ca="1" si="78"/>
        <v>0</v>
      </c>
      <c r="BM76" s="138">
        <f t="shared" ca="1" si="78"/>
        <v>0</v>
      </c>
      <c r="BN76" s="138">
        <f t="shared" ca="1" si="78"/>
        <v>0</v>
      </c>
      <c r="BO76" s="138">
        <f t="shared" ca="1" si="78"/>
        <v>0</v>
      </c>
      <c r="BP76" s="138">
        <f t="shared" ca="1" si="78"/>
        <v>0</v>
      </c>
      <c r="BQ76" s="138">
        <f t="shared" ca="1" si="78"/>
        <v>0</v>
      </c>
      <c r="BR76" s="138">
        <f t="shared" ca="1" si="78"/>
        <v>0</v>
      </c>
      <c r="BS76" s="138">
        <f t="shared" ca="1" si="78"/>
        <v>0</v>
      </c>
      <c r="BT76" s="138">
        <f t="shared" ca="1" si="79"/>
        <v>0</v>
      </c>
      <c r="BU76" s="138">
        <f t="shared" ca="1" si="79"/>
        <v>0</v>
      </c>
      <c r="BV76" s="138">
        <f t="shared" ca="1" si="79"/>
        <v>0</v>
      </c>
      <c r="BW76" s="138">
        <f t="shared" ca="1" si="79"/>
        <v>0</v>
      </c>
      <c r="BX76" s="138">
        <f t="shared" ca="1" si="79"/>
        <v>0</v>
      </c>
      <c r="BY76" s="138">
        <f t="shared" ca="1" si="79"/>
        <v>0</v>
      </c>
      <c r="BZ76" s="138">
        <f t="shared" ca="1" si="79"/>
        <v>0</v>
      </c>
      <c r="CA76" s="138">
        <f t="shared" ca="1" si="79"/>
        <v>0</v>
      </c>
      <c r="CB76" s="138">
        <f t="shared" ca="1" si="79"/>
        <v>0</v>
      </c>
      <c r="CC76" s="138">
        <f t="shared" ca="1" si="79"/>
        <v>0</v>
      </c>
      <c r="CD76" s="138">
        <f t="shared" ca="1" si="79"/>
        <v>0</v>
      </c>
      <c r="CE76" s="138">
        <f t="shared" ca="1" si="79"/>
        <v>0</v>
      </c>
      <c r="CF76" s="138">
        <f t="shared" ca="1" si="79"/>
        <v>0</v>
      </c>
      <c r="CG76" s="138">
        <f t="shared" ca="1" si="79"/>
        <v>0</v>
      </c>
      <c r="CH76" s="138">
        <f t="shared" ca="1" si="79"/>
        <v>0</v>
      </c>
      <c r="CI76" s="138">
        <f t="shared" ca="1" si="79"/>
        <v>0</v>
      </c>
      <c r="CJ76" s="138">
        <f t="shared" ca="1" si="80"/>
        <v>0</v>
      </c>
      <c r="CK76" s="138">
        <f t="shared" ca="1" si="80"/>
        <v>0</v>
      </c>
      <c r="CL76" s="138">
        <f t="shared" ca="1" si="80"/>
        <v>0</v>
      </c>
      <c r="CM76" s="138">
        <f t="shared" ca="1" si="80"/>
        <v>0</v>
      </c>
      <c r="CN76" s="138">
        <f t="shared" ca="1" si="80"/>
        <v>0</v>
      </c>
      <c r="CO76" s="138">
        <f t="shared" ca="1" si="80"/>
        <v>0</v>
      </c>
      <c r="CP76" s="138">
        <f t="shared" ca="1" si="80"/>
        <v>0</v>
      </c>
      <c r="CQ76" s="138">
        <f t="shared" ca="1" si="80"/>
        <v>0</v>
      </c>
      <c r="CR76" s="138">
        <f t="shared" ca="1" si="80"/>
        <v>0</v>
      </c>
      <c r="CS76" s="138">
        <f t="shared" ca="1" si="80"/>
        <v>0</v>
      </c>
      <c r="CT76" s="138">
        <f t="shared" ca="1" si="81"/>
        <v>0</v>
      </c>
      <c r="CU76" s="138">
        <f t="shared" ca="1" si="81"/>
        <v>0</v>
      </c>
      <c r="CV76" s="138">
        <f t="shared" ca="1" si="81"/>
        <v>0</v>
      </c>
      <c r="CW76" s="138">
        <f t="shared" ca="1" si="81"/>
        <v>0</v>
      </c>
      <c r="CX76" s="138">
        <f t="shared" ca="1" si="81"/>
        <v>0</v>
      </c>
      <c r="CY76" s="138">
        <f t="shared" ca="1" si="81"/>
        <v>0</v>
      </c>
      <c r="CZ76" s="138">
        <f t="shared" ca="1" si="81"/>
        <v>0</v>
      </c>
      <c r="DA76" s="138">
        <f t="shared" ca="1" si="81"/>
        <v>0</v>
      </c>
      <c r="DB76" s="138">
        <f t="shared" ca="1" si="81"/>
        <v>0</v>
      </c>
      <c r="DC76" s="138">
        <f t="shared" ca="1" si="81"/>
        <v>0</v>
      </c>
      <c r="DE76" s="254" t="str">
        <f t="shared" ref="DE76:DE129" ca="1" si="87">OFFSET(INDIRECT("'"&amp;Opt_alt&amp;"'!B12"),$A76,0)</f>
        <v>E.3.9.</v>
      </c>
      <c r="DF76">
        <f t="shared" ca="1" si="82"/>
        <v>1</v>
      </c>
      <c r="DG76">
        <f t="shared" ca="1" si="83"/>
        <v>21</v>
      </c>
      <c r="DH76">
        <v>0</v>
      </c>
    </row>
    <row r="77" spans="1:112" hidden="1">
      <c r="A77" s="124">
        <v>65</v>
      </c>
      <c r="B77" s="205" t="str">
        <f t="shared" ca="1" si="84"/>
        <v>E.3.L.</v>
      </c>
      <c r="C77" s="129" t="str">
        <f t="shared" ca="1" si="85"/>
        <v>Likutinė vertė</v>
      </c>
      <c r="D77" s="114"/>
      <c r="E77" s="148">
        <f t="shared" ca="1" si="86"/>
        <v>0.21</v>
      </c>
      <c r="F77" s="139">
        <f ca="1">H77+NPV(FD,I77:INDEX(I77:DC77,PAL))</f>
        <v>0</v>
      </c>
      <c r="G77" s="140">
        <f ca="1">SUMIF($H$5:$DC$5,"&lt;="&amp;PAL,$H77:$DC77)</f>
        <v>0</v>
      </c>
      <c r="H77" s="138">
        <f t="shared" ca="1" si="75"/>
        <v>0</v>
      </c>
      <c r="I77" s="138">
        <f t="shared" ca="1" si="75"/>
        <v>0</v>
      </c>
      <c r="J77" s="138">
        <f t="shared" ca="1" si="75"/>
        <v>0</v>
      </c>
      <c r="K77" s="138">
        <f t="shared" ca="1" si="75"/>
        <v>0</v>
      </c>
      <c r="L77" s="138">
        <f t="shared" ca="1" si="75"/>
        <v>0</v>
      </c>
      <c r="M77" s="138">
        <f t="shared" ca="1" si="75"/>
        <v>0</v>
      </c>
      <c r="N77" s="138">
        <f t="shared" ca="1" si="75"/>
        <v>0</v>
      </c>
      <c r="O77" s="138">
        <f t="shared" ca="1" si="75"/>
        <v>0</v>
      </c>
      <c r="P77" s="138">
        <f t="shared" ca="1" si="75"/>
        <v>0</v>
      </c>
      <c r="Q77" s="138">
        <f t="shared" ca="1" si="75"/>
        <v>0</v>
      </c>
      <c r="R77" s="138">
        <f t="shared" ca="1" si="75"/>
        <v>0</v>
      </c>
      <c r="S77" s="138">
        <f t="shared" ca="1" si="75"/>
        <v>0</v>
      </c>
      <c r="T77" s="138">
        <f t="shared" ca="1" si="75"/>
        <v>0</v>
      </c>
      <c r="U77" s="138">
        <f t="shared" ca="1" si="75"/>
        <v>0</v>
      </c>
      <c r="V77" s="138">
        <f t="shared" ca="1" si="75"/>
        <v>0</v>
      </c>
      <c r="W77" s="138">
        <f t="shared" ca="1" si="75"/>
        <v>0</v>
      </c>
      <c r="X77" s="138">
        <f t="shared" ca="1" si="76"/>
        <v>0</v>
      </c>
      <c r="Y77" s="138">
        <f t="shared" ca="1" si="76"/>
        <v>0</v>
      </c>
      <c r="Z77" s="138">
        <f t="shared" ca="1" si="76"/>
        <v>0</v>
      </c>
      <c r="AA77" s="138">
        <f t="shared" ca="1" si="76"/>
        <v>0</v>
      </c>
      <c r="AB77" s="138">
        <f t="shared" ca="1" si="76"/>
        <v>0</v>
      </c>
      <c r="AC77" s="138">
        <f t="shared" ca="1" si="76"/>
        <v>0</v>
      </c>
      <c r="AD77" s="138">
        <f t="shared" ca="1" si="76"/>
        <v>0</v>
      </c>
      <c r="AE77" s="138">
        <f t="shared" ca="1" si="76"/>
        <v>0</v>
      </c>
      <c r="AF77" s="138">
        <f t="shared" ca="1" si="76"/>
        <v>0</v>
      </c>
      <c r="AG77" s="138">
        <f t="shared" ca="1" si="76"/>
        <v>0</v>
      </c>
      <c r="AH77" s="138">
        <f t="shared" ca="1" si="76"/>
        <v>0</v>
      </c>
      <c r="AI77" s="138">
        <f t="shared" ca="1" si="76"/>
        <v>0</v>
      </c>
      <c r="AJ77" s="138">
        <f t="shared" ca="1" si="76"/>
        <v>0</v>
      </c>
      <c r="AK77" s="138">
        <f t="shared" ca="1" si="76"/>
        <v>0</v>
      </c>
      <c r="AL77" s="138">
        <f t="shared" ca="1" si="76"/>
        <v>0</v>
      </c>
      <c r="AM77" s="138">
        <f t="shared" ca="1" si="76"/>
        <v>0</v>
      </c>
      <c r="AN77" s="138">
        <f t="shared" ca="1" si="77"/>
        <v>0</v>
      </c>
      <c r="AO77" s="138">
        <f t="shared" ca="1" si="77"/>
        <v>0</v>
      </c>
      <c r="AP77" s="138">
        <f t="shared" ca="1" si="77"/>
        <v>0</v>
      </c>
      <c r="AQ77" s="138">
        <f t="shared" ca="1" si="77"/>
        <v>0</v>
      </c>
      <c r="AR77" s="138">
        <f t="shared" ca="1" si="77"/>
        <v>0</v>
      </c>
      <c r="AS77" s="138">
        <f t="shared" ca="1" si="77"/>
        <v>0</v>
      </c>
      <c r="AT77" s="138">
        <f t="shared" ca="1" si="77"/>
        <v>0</v>
      </c>
      <c r="AU77" s="138">
        <f t="shared" ca="1" si="77"/>
        <v>0</v>
      </c>
      <c r="AV77" s="138">
        <f t="shared" ca="1" si="77"/>
        <v>0</v>
      </c>
      <c r="AW77" s="138">
        <f t="shared" ca="1" si="77"/>
        <v>0</v>
      </c>
      <c r="AX77" s="138">
        <f t="shared" ca="1" si="77"/>
        <v>0</v>
      </c>
      <c r="AY77" s="138">
        <f t="shared" ca="1" si="77"/>
        <v>0</v>
      </c>
      <c r="AZ77" s="138">
        <f t="shared" ca="1" si="77"/>
        <v>0</v>
      </c>
      <c r="BA77" s="138">
        <f t="shared" ca="1" si="77"/>
        <v>0</v>
      </c>
      <c r="BB77" s="138">
        <f t="shared" ca="1" si="77"/>
        <v>0</v>
      </c>
      <c r="BC77" s="138">
        <f t="shared" ca="1" si="77"/>
        <v>0</v>
      </c>
      <c r="BD77" s="138">
        <f t="shared" ca="1" si="78"/>
        <v>0</v>
      </c>
      <c r="BE77" s="138">
        <f t="shared" ca="1" si="78"/>
        <v>0</v>
      </c>
      <c r="BF77" s="138">
        <f t="shared" ca="1" si="78"/>
        <v>0</v>
      </c>
      <c r="BG77" s="138">
        <f t="shared" ca="1" si="78"/>
        <v>0</v>
      </c>
      <c r="BH77" s="138">
        <f t="shared" ca="1" si="78"/>
        <v>0</v>
      </c>
      <c r="BI77" s="138">
        <f t="shared" ca="1" si="78"/>
        <v>0</v>
      </c>
      <c r="BJ77" s="138">
        <f t="shared" ca="1" si="78"/>
        <v>0</v>
      </c>
      <c r="BK77" s="138">
        <f t="shared" ca="1" si="78"/>
        <v>0</v>
      </c>
      <c r="BL77" s="138">
        <f t="shared" ca="1" si="78"/>
        <v>0</v>
      </c>
      <c r="BM77" s="138">
        <f t="shared" ca="1" si="78"/>
        <v>0</v>
      </c>
      <c r="BN77" s="138">
        <f t="shared" ca="1" si="78"/>
        <v>0</v>
      </c>
      <c r="BO77" s="138">
        <f t="shared" ca="1" si="78"/>
        <v>0</v>
      </c>
      <c r="BP77" s="138">
        <f t="shared" ca="1" si="78"/>
        <v>0</v>
      </c>
      <c r="BQ77" s="138">
        <f t="shared" ca="1" si="78"/>
        <v>0</v>
      </c>
      <c r="BR77" s="138">
        <f t="shared" ca="1" si="78"/>
        <v>0</v>
      </c>
      <c r="BS77" s="138">
        <f t="shared" ca="1" si="78"/>
        <v>0</v>
      </c>
      <c r="BT77" s="138">
        <f t="shared" ca="1" si="79"/>
        <v>0</v>
      </c>
      <c r="BU77" s="138">
        <f t="shared" ca="1" si="79"/>
        <v>0</v>
      </c>
      <c r="BV77" s="138">
        <f t="shared" ca="1" si="79"/>
        <v>0</v>
      </c>
      <c r="BW77" s="138">
        <f t="shared" ca="1" si="79"/>
        <v>0</v>
      </c>
      <c r="BX77" s="138">
        <f t="shared" ca="1" si="79"/>
        <v>0</v>
      </c>
      <c r="BY77" s="138">
        <f t="shared" ca="1" si="79"/>
        <v>0</v>
      </c>
      <c r="BZ77" s="138">
        <f t="shared" ca="1" si="79"/>
        <v>0</v>
      </c>
      <c r="CA77" s="138">
        <f t="shared" ca="1" si="79"/>
        <v>0</v>
      </c>
      <c r="CB77" s="138">
        <f t="shared" ca="1" si="79"/>
        <v>0</v>
      </c>
      <c r="CC77" s="138">
        <f t="shared" ca="1" si="79"/>
        <v>0</v>
      </c>
      <c r="CD77" s="138">
        <f t="shared" ca="1" si="79"/>
        <v>0</v>
      </c>
      <c r="CE77" s="138">
        <f t="shared" ca="1" si="79"/>
        <v>0</v>
      </c>
      <c r="CF77" s="138">
        <f t="shared" ca="1" si="79"/>
        <v>0</v>
      </c>
      <c r="CG77" s="138">
        <f t="shared" ca="1" si="79"/>
        <v>0</v>
      </c>
      <c r="CH77" s="138">
        <f t="shared" ca="1" si="79"/>
        <v>0</v>
      </c>
      <c r="CI77" s="138">
        <f t="shared" ca="1" si="79"/>
        <v>0</v>
      </c>
      <c r="CJ77" s="138">
        <f t="shared" ca="1" si="80"/>
        <v>0</v>
      </c>
      <c r="CK77" s="138">
        <f t="shared" ca="1" si="80"/>
        <v>0</v>
      </c>
      <c r="CL77" s="138">
        <f t="shared" ca="1" si="80"/>
        <v>0</v>
      </c>
      <c r="CM77" s="138">
        <f t="shared" ca="1" si="80"/>
        <v>0</v>
      </c>
      <c r="CN77" s="138">
        <f t="shared" ca="1" si="80"/>
        <v>0</v>
      </c>
      <c r="CO77" s="138">
        <f t="shared" ca="1" si="80"/>
        <v>0</v>
      </c>
      <c r="CP77" s="138">
        <f t="shared" ca="1" si="80"/>
        <v>0</v>
      </c>
      <c r="CQ77" s="138">
        <f t="shared" ca="1" si="80"/>
        <v>0</v>
      </c>
      <c r="CR77" s="138">
        <f t="shared" ca="1" si="80"/>
        <v>0</v>
      </c>
      <c r="CS77" s="138">
        <f t="shared" ca="1" si="80"/>
        <v>0</v>
      </c>
      <c r="CT77" s="138">
        <f t="shared" ca="1" si="81"/>
        <v>0</v>
      </c>
      <c r="CU77" s="138">
        <f t="shared" ca="1" si="81"/>
        <v>0</v>
      </c>
      <c r="CV77" s="138">
        <f t="shared" ca="1" si="81"/>
        <v>0</v>
      </c>
      <c r="CW77" s="138">
        <f t="shared" ca="1" si="81"/>
        <v>0</v>
      </c>
      <c r="CX77" s="138">
        <f t="shared" ca="1" si="81"/>
        <v>0</v>
      </c>
      <c r="CY77" s="138">
        <f t="shared" ca="1" si="81"/>
        <v>0</v>
      </c>
      <c r="CZ77" s="138">
        <f t="shared" ca="1" si="81"/>
        <v>0</v>
      </c>
      <c r="DA77" s="138">
        <f t="shared" ca="1" si="81"/>
        <v>0</v>
      </c>
      <c r="DB77" s="138">
        <f t="shared" ca="1" si="81"/>
        <v>0</v>
      </c>
      <c r="DC77" s="138">
        <f t="shared" ca="1" si="81"/>
        <v>0</v>
      </c>
      <c r="DE77" s="254" t="str">
        <f t="shared" ca="1" si="87"/>
        <v>E.3.L.</v>
      </c>
      <c r="DF77">
        <f t="shared" ca="1" si="82"/>
        <v>1</v>
      </c>
      <c r="DG77">
        <f t="shared" ca="1" si="83"/>
        <v>21</v>
      </c>
      <c r="DH77">
        <f ca="1">DG77/(100+DG77)</f>
        <v>0.17355371900826447</v>
      </c>
    </row>
    <row r="78" spans="1:112" hidden="1">
      <c r="A78" s="124">
        <v>66</v>
      </c>
      <c r="B78" s="205" t="str">
        <f t="shared" ca="1" si="84"/>
        <v>F.</v>
      </c>
      <c r="C78" s="197" t="str">
        <f t="shared" ca="1" si="85"/>
        <v>KOMUNIKACINĖS VEIKLOS</v>
      </c>
      <c r="D78" s="134"/>
      <c r="E78" s="233" t="str">
        <f t="shared" ca="1" si="86"/>
        <v/>
      </c>
      <c r="F78" s="139">
        <f ca="1">SUM(F79:F87)</f>
        <v>0</v>
      </c>
      <c r="G78" s="140">
        <f ca="1">SUMIF($H$5:$DC$5,"&lt;="&amp;PAL,$H78:$DC78)</f>
        <v>0</v>
      </c>
      <c r="H78" s="234">
        <f ca="1">SUM(H79:H87)</f>
        <v>0</v>
      </c>
      <c r="I78" s="234">
        <f t="shared" ref="I78:BT78" ca="1" si="88">SUM(I79:I87)</f>
        <v>0</v>
      </c>
      <c r="J78" s="234">
        <f t="shared" ca="1" si="88"/>
        <v>0</v>
      </c>
      <c r="K78" s="234">
        <f t="shared" ca="1" si="88"/>
        <v>0</v>
      </c>
      <c r="L78" s="234">
        <f t="shared" ca="1" si="88"/>
        <v>0</v>
      </c>
      <c r="M78" s="234">
        <f t="shared" ca="1" si="88"/>
        <v>0</v>
      </c>
      <c r="N78" s="234">
        <f t="shared" ca="1" si="88"/>
        <v>0</v>
      </c>
      <c r="O78" s="234">
        <f t="shared" ca="1" si="88"/>
        <v>0</v>
      </c>
      <c r="P78" s="234">
        <f t="shared" ca="1" si="88"/>
        <v>0</v>
      </c>
      <c r="Q78" s="234">
        <f t="shared" ca="1" si="88"/>
        <v>0</v>
      </c>
      <c r="R78" s="234">
        <f t="shared" ca="1" si="88"/>
        <v>0</v>
      </c>
      <c r="S78" s="234">
        <f t="shared" ca="1" si="88"/>
        <v>0</v>
      </c>
      <c r="T78" s="234">
        <f t="shared" ca="1" si="88"/>
        <v>0</v>
      </c>
      <c r="U78" s="234">
        <f t="shared" ca="1" si="88"/>
        <v>0</v>
      </c>
      <c r="V78" s="234">
        <f t="shared" ca="1" si="88"/>
        <v>0</v>
      </c>
      <c r="W78" s="234">
        <f t="shared" ca="1" si="88"/>
        <v>0</v>
      </c>
      <c r="X78" s="234">
        <f t="shared" ca="1" si="88"/>
        <v>0</v>
      </c>
      <c r="Y78" s="234">
        <f t="shared" ca="1" si="88"/>
        <v>0</v>
      </c>
      <c r="Z78" s="234">
        <f t="shared" ca="1" si="88"/>
        <v>0</v>
      </c>
      <c r="AA78" s="234">
        <f t="shared" ca="1" si="88"/>
        <v>0</v>
      </c>
      <c r="AB78" s="234">
        <f t="shared" ca="1" si="88"/>
        <v>0</v>
      </c>
      <c r="AC78" s="234">
        <f t="shared" ca="1" si="88"/>
        <v>0</v>
      </c>
      <c r="AD78" s="234">
        <f t="shared" ca="1" si="88"/>
        <v>0</v>
      </c>
      <c r="AE78" s="234">
        <f t="shared" ca="1" si="88"/>
        <v>0</v>
      </c>
      <c r="AF78" s="234">
        <f t="shared" ca="1" si="88"/>
        <v>0</v>
      </c>
      <c r="AG78" s="234">
        <f t="shared" ca="1" si="88"/>
        <v>0</v>
      </c>
      <c r="AH78" s="234">
        <f t="shared" ca="1" si="88"/>
        <v>0</v>
      </c>
      <c r="AI78" s="234">
        <f t="shared" ca="1" si="88"/>
        <v>0</v>
      </c>
      <c r="AJ78" s="234">
        <f t="shared" ca="1" si="88"/>
        <v>0</v>
      </c>
      <c r="AK78" s="234">
        <f t="shared" ca="1" si="88"/>
        <v>0</v>
      </c>
      <c r="AL78" s="234">
        <f t="shared" ca="1" si="88"/>
        <v>0</v>
      </c>
      <c r="AM78" s="234">
        <f t="shared" ca="1" si="88"/>
        <v>0</v>
      </c>
      <c r="AN78" s="234">
        <f t="shared" ca="1" si="88"/>
        <v>0</v>
      </c>
      <c r="AO78" s="234">
        <f t="shared" ca="1" si="88"/>
        <v>0</v>
      </c>
      <c r="AP78" s="234">
        <f t="shared" ca="1" si="88"/>
        <v>0</v>
      </c>
      <c r="AQ78" s="234">
        <f t="shared" ca="1" si="88"/>
        <v>0</v>
      </c>
      <c r="AR78" s="234">
        <f t="shared" ca="1" si="88"/>
        <v>0</v>
      </c>
      <c r="AS78" s="234">
        <f t="shared" ca="1" si="88"/>
        <v>0</v>
      </c>
      <c r="AT78" s="234">
        <f t="shared" ca="1" si="88"/>
        <v>0</v>
      </c>
      <c r="AU78" s="234">
        <f t="shared" ca="1" si="88"/>
        <v>0</v>
      </c>
      <c r="AV78" s="234">
        <f t="shared" ca="1" si="88"/>
        <v>0</v>
      </c>
      <c r="AW78" s="234">
        <f t="shared" ca="1" si="88"/>
        <v>0</v>
      </c>
      <c r="AX78" s="234">
        <f t="shared" ca="1" si="88"/>
        <v>0</v>
      </c>
      <c r="AY78" s="234">
        <f t="shared" ca="1" si="88"/>
        <v>0</v>
      </c>
      <c r="AZ78" s="234">
        <f t="shared" ca="1" si="88"/>
        <v>0</v>
      </c>
      <c r="BA78" s="234">
        <f t="shared" ca="1" si="88"/>
        <v>0</v>
      </c>
      <c r="BB78" s="234">
        <f t="shared" ca="1" si="88"/>
        <v>0</v>
      </c>
      <c r="BC78" s="234">
        <f t="shared" ca="1" si="88"/>
        <v>0</v>
      </c>
      <c r="BD78" s="234">
        <f t="shared" ca="1" si="88"/>
        <v>0</v>
      </c>
      <c r="BE78" s="234">
        <f t="shared" ca="1" si="88"/>
        <v>0</v>
      </c>
      <c r="BF78" s="234">
        <f t="shared" ca="1" si="88"/>
        <v>0</v>
      </c>
      <c r="BG78" s="234">
        <f t="shared" ca="1" si="88"/>
        <v>0</v>
      </c>
      <c r="BH78" s="234">
        <f t="shared" ca="1" si="88"/>
        <v>0</v>
      </c>
      <c r="BI78" s="234">
        <f t="shared" ca="1" si="88"/>
        <v>0</v>
      </c>
      <c r="BJ78" s="234">
        <f t="shared" ca="1" si="88"/>
        <v>0</v>
      </c>
      <c r="BK78" s="234">
        <f t="shared" ca="1" si="88"/>
        <v>0</v>
      </c>
      <c r="BL78" s="234">
        <f t="shared" ca="1" si="88"/>
        <v>0</v>
      </c>
      <c r="BM78" s="234">
        <f t="shared" ca="1" si="88"/>
        <v>0</v>
      </c>
      <c r="BN78" s="234">
        <f t="shared" ca="1" si="88"/>
        <v>0</v>
      </c>
      <c r="BO78" s="234">
        <f t="shared" ca="1" si="88"/>
        <v>0</v>
      </c>
      <c r="BP78" s="234">
        <f t="shared" ca="1" si="88"/>
        <v>0</v>
      </c>
      <c r="BQ78" s="234">
        <f t="shared" ca="1" si="88"/>
        <v>0</v>
      </c>
      <c r="BR78" s="234">
        <f t="shared" ca="1" si="88"/>
        <v>0</v>
      </c>
      <c r="BS78" s="234">
        <f t="shared" ca="1" si="88"/>
        <v>0</v>
      </c>
      <c r="BT78" s="234">
        <f t="shared" ca="1" si="88"/>
        <v>0</v>
      </c>
      <c r="BU78" s="234">
        <f t="shared" ref="BU78:DC78" ca="1" si="89">SUM(BU79:BU87)</f>
        <v>0</v>
      </c>
      <c r="BV78" s="234">
        <f t="shared" ca="1" si="89"/>
        <v>0</v>
      </c>
      <c r="BW78" s="234">
        <f t="shared" ca="1" si="89"/>
        <v>0</v>
      </c>
      <c r="BX78" s="234">
        <f t="shared" ca="1" si="89"/>
        <v>0</v>
      </c>
      <c r="BY78" s="234">
        <f t="shared" ca="1" si="89"/>
        <v>0</v>
      </c>
      <c r="BZ78" s="234">
        <f t="shared" ca="1" si="89"/>
        <v>0</v>
      </c>
      <c r="CA78" s="234">
        <f t="shared" ca="1" si="89"/>
        <v>0</v>
      </c>
      <c r="CB78" s="234">
        <f t="shared" ca="1" si="89"/>
        <v>0</v>
      </c>
      <c r="CC78" s="234">
        <f t="shared" ca="1" si="89"/>
        <v>0</v>
      </c>
      <c r="CD78" s="234">
        <f t="shared" ca="1" si="89"/>
        <v>0</v>
      </c>
      <c r="CE78" s="234">
        <f t="shared" ca="1" si="89"/>
        <v>0</v>
      </c>
      <c r="CF78" s="234">
        <f t="shared" ca="1" si="89"/>
        <v>0</v>
      </c>
      <c r="CG78" s="234">
        <f t="shared" ca="1" si="89"/>
        <v>0</v>
      </c>
      <c r="CH78" s="234">
        <f t="shared" ca="1" si="89"/>
        <v>0</v>
      </c>
      <c r="CI78" s="234">
        <f t="shared" ca="1" si="89"/>
        <v>0</v>
      </c>
      <c r="CJ78" s="234">
        <f t="shared" ca="1" si="89"/>
        <v>0</v>
      </c>
      <c r="CK78" s="234">
        <f t="shared" ca="1" si="89"/>
        <v>0</v>
      </c>
      <c r="CL78" s="234">
        <f t="shared" ca="1" si="89"/>
        <v>0</v>
      </c>
      <c r="CM78" s="234">
        <f t="shared" ca="1" si="89"/>
        <v>0</v>
      </c>
      <c r="CN78" s="234">
        <f t="shared" ca="1" si="89"/>
        <v>0</v>
      </c>
      <c r="CO78" s="234">
        <f t="shared" ca="1" si="89"/>
        <v>0</v>
      </c>
      <c r="CP78" s="234">
        <f t="shared" ca="1" si="89"/>
        <v>0</v>
      </c>
      <c r="CQ78" s="234">
        <f t="shared" ca="1" si="89"/>
        <v>0</v>
      </c>
      <c r="CR78" s="234">
        <f t="shared" ca="1" si="89"/>
        <v>0</v>
      </c>
      <c r="CS78" s="234">
        <f t="shared" ca="1" si="89"/>
        <v>0</v>
      </c>
      <c r="CT78" s="234">
        <f t="shared" ca="1" si="89"/>
        <v>0</v>
      </c>
      <c r="CU78" s="234">
        <f t="shared" ca="1" si="89"/>
        <v>0</v>
      </c>
      <c r="CV78" s="234">
        <f t="shared" ca="1" si="89"/>
        <v>0</v>
      </c>
      <c r="CW78" s="234">
        <f t="shared" ca="1" si="89"/>
        <v>0</v>
      </c>
      <c r="CX78" s="234">
        <f t="shared" ca="1" si="89"/>
        <v>0</v>
      </c>
      <c r="CY78" s="234">
        <f t="shared" ca="1" si="89"/>
        <v>0</v>
      </c>
      <c r="CZ78" s="234">
        <f t="shared" ca="1" si="89"/>
        <v>0</v>
      </c>
      <c r="DA78" s="234">
        <f t="shared" ca="1" si="89"/>
        <v>0</v>
      </c>
      <c r="DB78" s="234">
        <f t="shared" ca="1" si="89"/>
        <v>0</v>
      </c>
      <c r="DC78" s="234">
        <f t="shared" ca="1" si="89"/>
        <v>0</v>
      </c>
      <c r="DE78" s="254"/>
    </row>
    <row r="79" spans="1:112" hidden="1">
      <c r="A79" s="124">
        <v>67</v>
      </c>
      <c r="B79" s="205" t="str">
        <f t="shared" ca="1" si="84"/>
        <v>F.1.</v>
      </c>
      <c r="C79" s="129" t="str">
        <f t="shared" ca="1" si="85"/>
        <v>Veikla</v>
      </c>
      <c r="D79" s="144"/>
      <c r="E79" s="148">
        <f t="shared" ca="1" si="86"/>
        <v>0.21</v>
      </c>
      <c r="F79" s="139">
        <f ca="1">H79+NPV(FD,I79:INDEX(I79:DC79,PAL))</f>
        <v>0</v>
      </c>
      <c r="G79" s="140">
        <f ca="1">SUMIF($H$5:$DC$5,"&lt;="&amp;PAL,$H79:$DC79)</f>
        <v>0</v>
      </c>
      <c r="H79" s="138">
        <f t="shared" ref="H79:W87" ca="1" si="90">OFFSET(INDIRECT("'"&amp;Opt_alt&amp;"'!H12"),$A79,H$5)*$DF79</f>
        <v>0</v>
      </c>
      <c r="I79" s="138">
        <f t="shared" ca="1" si="90"/>
        <v>0</v>
      </c>
      <c r="J79" s="138">
        <f t="shared" ca="1" si="90"/>
        <v>0</v>
      </c>
      <c r="K79" s="138">
        <f t="shared" ca="1" si="90"/>
        <v>0</v>
      </c>
      <c r="L79" s="138">
        <f t="shared" ca="1" si="90"/>
        <v>0</v>
      </c>
      <c r="M79" s="138">
        <f t="shared" ca="1" si="90"/>
        <v>0</v>
      </c>
      <c r="N79" s="138">
        <f t="shared" ca="1" si="90"/>
        <v>0</v>
      </c>
      <c r="O79" s="138">
        <f t="shared" ca="1" si="90"/>
        <v>0</v>
      </c>
      <c r="P79" s="138">
        <f t="shared" ca="1" si="90"/>
        <v>0</v>
      </c>
      <c r="Q79" s="138">
        <f t="shared" ca="1" si="90"/>
        <v>0</v>
      </c>
      <c r="R79" s="138">
        <f t="shared" ca="1" si="90"/>
        <v>0</v>
      </c>
      <c r="S79" s="138">
        <f t="shared" ca="1" si="90"/>
        <v>0</v>
      </c>
      <c r="T79" s="138">
        <f t="shared" ca="1" si="90"/>
        <v>0</v>
      </c>
      <c r="U79" s="138">
        <f t="shared" ca="1" si="90"/>
        <v>0</v>
      </c>
      <c r="V79" s="138">
        <f t="shared" ca="1" si="90"/>
        <v>0</v>
      </c>
      <c r="W79" s="138">
        <f t="shared" ca="1" si="90"/>
        <v>0</v>
      </c>
      <c r="X79" s="138">
        <f t="shared" ref="X79:AM87" ca="1" si="91">OFFSET(INDIRECT("'"&amp;Opt_alt&amp;"'!H12"),$A79,X$5)*$DF79</f>
        <v>0</v>
      </c>
      <c r="Y79" s="138">
        <f t="shared" ca="1" si="91"/>
        <v>0</v>
      </c>
      <c r="Z79" s="138">
        <f t="shared" ca="1" si="91"/>
        <v>0</v>
      </c>
      <c r="AA79" s="138">
        <f t="shared" ca="1" si="91"/>
        <v>0</v>
      </c>
      <c r="AB79" s="138">
        <f t="shared" ca="1" si="91"/>
        <v>0</v>
      </c>
      <c r="AC79" s="138">
        <f t="shared" ca="1" si="91"/>
        <v>0</v>
      </c>
      <c r="AD79" s="138">
        <f t="shared" ca="1" si="91"/>
        <v>0</v>
      </c>
      <c r="AE79" s="138">
        <f t="shared" ca="1" si="91"/>
        <v>0</v>
      </c>
      <c r="AF79" s="138">
        <f t="shared" ca="1" si="91"/>
        <v>0</v>
      </c>
      <c r="AG79" s="138">
        <f t="shared" ca="1" si="91"/>
        <v>0</v>
      </c>
      <c r="AH79" s="138">
        <f t="shared" ca="1" si="91"/>
        <v>0</v>
      </c>
      <c r="AI79" s="138">
        <f t="shared" ca="1" si="91"/>
        <v>0</v>
      </c>
      <c r="AJ79" s="138">
        <f t="shared" ca="1" si="91"/>
        <v>0</v>
      </c>
      <c r="AK79" s="138">
        <f t="shared" ca="1" si="91"/>
        <v>0</v>
      </c>
      <c r="AL79" s="138">
        <f t="shared" ca="1" si="91"/>
        <v>0</v>
      </c>
      <c r="AM79" s="138">
        <f t="shared" ca="1" si="91"/>
        <v>0</v>
      </c>
      <c r="AN79" s="138">
        <f t="shared" ref="AN79:BC87" ca="1" si="92">OFFSET(INDIRECT("'"&amp;Opt_alt&amp;"'!H12"),$A79,AN$5)*$DF79</f>
        <v>0</v>
      </c>
      <c r="AO79" s="138">
        <f t="shared" ca="1" si="92"/>
        <v>0</v>
      </c>
      <c r="AP79" s="138">
        <f t="shared" ca="1" si="92"/>
        <v>0</v>
      </c>
      <c r="AQ79" s="138">
        <f t="shared" ca="1" si="92"/>
        <v>0</v>
      </c>
      <c r="AR79" s="138">
        <f t="shared" ca="1" si="92"/>
        <v>0</v>
      </c>
      <c r="AS79" s="138">
        <f t="shared" ca="1" si="92"/>
        <v>0</v>
      </c>
      <c r="AT79" s="138">
        <f t="shared" ca="1" si="92"/>
        <v>0</v>
      </c>
      <c r="AU79" s="138">
        <f t="shared" ca="1" si="92"/>
        <v>0</v>
      </c>
      <c r="AV79" s="138">
        <f t="shared" ca="1" si="92"/>
        <v>0</v>
      </c>
      <c r="AW79" s="138">
        <f t="shared" ca="1" si="92"/>
        <v>0</v>
      </c>
      <c r="AX79" s="138">
        <f t="shared" ca="1" si="92"/>
        <v>0</v>
      </c>
      <c r="AY79" s="138">
        <f t="shared" ca="1" si="92"/>
        <v>0</v>
      </c>
      <c r="AZ79" s="138">
        <f t="shared" ca="1" si="92"/>
        <v>0</v>
      </c>
      <c r="BA79" s="138">
        <f t="shared" ca="1" si="92"/>
        <v>0</v>
      </c>
      <c r="BB79" s="138">
        <f t="shared" ca="1" si="92"/>
        <v>0</v>
      </c>
      <c r="BC79" s="138">
        <f t="shared" ca="1" si="92"/>
        <v>0</v>
      </c>
      <c r="BD79" s="138">
        <f t="shared" ref="BD79:BS87" ca="1" si="93">OFFSET(INDIRECT("'"&amp;Opt_alt&amp;"'!H12"),$A79,BD$5)*$DF79</f>
        <v>0</v>
      </c>
      <c r="BE79" s="138">
        <f t="shared" ca="1" si="93"/>
        <v>0</v>
      </c>
      <c r="BF79" s="138">
        <f t="shared" ca="1" si="93"/>
        <v>0</v>
      </c>
      <c r="BG79" s="138">
        <f t="shared" ca="1" si="93"/>
        <v>0</v>
      </c>
      <c r="BH79" s="138">
        <f t="shared" ca="1" si="93"/>
        <v>0</v>
      </c>
      <c r="BI79" s="138">
        <f t="shared" ca="1" si="93"/>
        <v>0</v>
      </c>
      <c r="BJ79" s="138">
        <f t="shared" ca="1" si="93"/>
        <v>0</v>
      </c>
      <c r="BK79" s="138">
        <f t="shared" ca="1" si="93"/>
        <v>0</v>
      </c>
      <c r="BL79" s="138">
        <f t="shared" ca="1" si="93"/>
        <v>0</v>
      </c>
      <c r="BM79" s="138">
        <f t="shared" ca="1" si="93"/>
        <v>0</v>
      </c>
      <c r="BN79" s="138">
        <f t="shared" ca="1" si="93"/>
        <v>0</v>
      </c>
      <c r="BO79" s="138">
        <f t="shared" ca="1" si="93"/>
        <v>0</v>
      </c>
      <c r="BP79" s="138">
        <f t="shared" ca="1" si="93"/>
        <v>0</v>
      </c>
      <c r="BQ79" s="138">
        <f t="shared" ca="1" si="93"/>
        <v>0</v>
      </c>
      <c r="BR79" s="138">
        <f t="shared" ca="1" si="93"/>
        <v>0</v>
      </c>
      <c r="BS79" s="138">
        <f t="shared" ca="1" si="93"/>
        <v>0</v>
      </c>
      <c r="BT79" s="138">
        <f t="shared" ref="BT79:CI87" ca="1" si="94">OFFSET(INDIRECT("'"&amp;Opt_alt&amp;"'!H12"),$A79,BT$5)*$DF79</f>
        <v>0</v>
      </c>
      <c r="BU79" s="138">
        <f t="shared" ca="1" si="94"/>
        <v>0</v>
      </c>
      <c r="BV79" s="138">
        <f t="shared" ca="1" si="94"/>
        <v>0</v>
      </c>
      <c r="BW79" s="138">
        <f t="shared" ca="1" si="94"/>
        <v>0</v>
      </c>
      <c r="BX79" s="138">
        <f t="shared" ca="1" si="94"/>
        <v>0</v>
      </c>
      <c r="BY79" s="138">
        <f t="shared" ca="1" si="94"/>
        <v>0</v>
      </c>
      <c r="BZ79" s="138">
        <f t="shared" ca="1" si="94"/>
        <v>0</v>
      </c>
      <c r="CA79" s="138">
        <f t="shared" ca="1" si="94"/>
        <v>0</v>
      </c>
      <c r="CB79" s="138">
        <f t="shared" ca="1" si="94"/>
        <v>0</v>
      </c>
      <c r="CC79" s="138">
        <f t="shared" ca="1" si="94"/>
        <v>0</v>
      </c>
      <c r="CD79" s="138">
        <f t="shared" ca="1" si="94"/>
        <v>0</v>
      </c>
      <c r="CE79" s="138">
        <f t="shared" ca="1" si="94"/>
        <v>0</v>
      </c>
      <c r="CF79" s="138">
        <f t="shared" ca="1" si="94"/>
        <v>0</v>
      </c>
      <c r="CG79" s="138">
        <f t="shared" ca="1" si="94"/>
        <v>0</v>
      </c>
      <c r="CH79" s="138">
        <f t="shared" ca="1" si="94"/>
        <v>0</v>
      </c>
      <c r="CI79" s="138">
        <f t="shared" ca="1" si="94"/>
        <v>0</v>
      </c>
      <c r="CJ79" s="138">
        <f t="shared" ref="CJ79:CY87" ca="1" si="95">OFFSET(INDIRECT("'"&amp;Opt_alt&amp;"'!H12"),$A79,CJ$5)*$DF79</f>
        <v>0</v>
      </c>
      <c r="CK79" s="138">
        <f t="shared" ca="1" si="95"/>
        <v>0</v>
      </c>
      <c r="CL79" s="138">
        <f t="shared" ca="1" si="95"/>
        <v>0</v>
      </c>
      <c r="CM79" s="138">
        <f t="shared" ca="1" si="95"/>
        <v>0</v>
      </c>
      <c r="CN79" s="138">
        <f t="shared" ca="1" si="95"/>
        <v>0</v>
      </c>
      <c r="CO79" s="138">
        <f t="shared" ca="1" si="95"/>
        <v>0</v>
      </c>
      <c r="CP79" s="138">
        <f t="shared" ca="1" si="95"/>
        <v>0</v>
      </c>
      <c r="CQ79" s="138">
        <f t="shared" ca="1" si="95"/>
        <v>0</v>
      </c>
      <c r="CR79" s="138">
        <f t="shared" ca="1" si="95"/>
        <v>0</v>
      </c>
      <c r="CS79" s="138">
        <f t="shared" ca="1" si="95"/>
        <v>0</v>
      </c>
      <c r="CT79" s="138">
        <f t="shared" ca="1" si="95"/>
        <v>0</v>
      </c>
      <c r="CU79" s="138">
        <f t="shared" ca="1" si="95"/>
        <v>0</v>
      </c>
      <c r="CV79" s="138">
        <f t="shared" ca="1" si="95"/>
        <v>0</v>
      </c>
      <c r="CW79" s="138">
        <f t="shared" ca="1" si="95"/>
        <v>0</v>
      </c>
      <c r="CX79" s="138">
        <f t="shared" ca="1" si="95"/>
        <v>0</v>
      </c>
      <c r="CY79" s="138">
        <f t="shared" ca="1" si="95"/>
        <v>0</v>
      </c>
      <c r="CZ79" s="138">
        <f t="shared" ref="CT79:DC87" ca="1" si="96">OFFSET(INDIRECT("'"&amp;Opt_alt&amp;"'!H12"),$A79,CZ$5)*$DF79</f>
        <v>0</v>
      </c>
      <c r="DA79" s="138">
        <f t="shared" ca="1" si="96"/>
        <v>0</v>
      </c>
      <c r="DB79" s="138">
        <f t="shared" ca="1" si="96"/>
        <v>0</v>
      </c>
      <c r="DC79" s="138">
        <f t="shared" ca="1" si="96"/>
        <v>0</v>
      </c>
      <c r="DE79" s="254" t="str">
        <f t="shared" ca="1" si="87"/>
        <v>F.1.</v>
      </c>
      <c r="DF79">
        <f t="shared" ref="DF79:DF88" ca="1" si="97">VLOOKUP(DE79,scenarijai,$DF$6,FALSE)</f>
        <v>1</v>
      </c>
      <c r="DG79">
        <f t="shared" ref="DG79:DG88" ca="1" si="98">OFFSET(INDIRECT("'"&amp;Opt_alt&amp;"'!H12"),$A79,DG$5)</f>
        <v>21</v>
      </c>
      <c r="DH79">
        <v>0</v>
      </c>
    </row>
    <row r="80" spans="1:112" hidden="1">
      <c r="A80" s="124">
        <v>68</v>
      </c>
      <c r="B80" s="205" t="str">
        <f t="shared" ca="1" si="84"/>
        <v>F.2.</v>
      </c>
      <c r="C80" s="129" t="str">
        <f t="shared" ca="1" si="85"/>
        <v>Veikla</v>
      </c>
      <c r="D80" s="144"/>
      <c r="E80" s="148">
        <f t="shared" ca="1" si="86"/>
        <v>0.21</v>
      </c>
      <c r="F80" s="139">
        <f ca="1">H80+NPV(FD,I80:INDEX(I80:DC80,PAL))</f>
        <v>0</v>
      </c>
      <c r="G80" s="140">
        <f ca="1">SUMIF($H$5:$DC$5,"&lt;="&amp;PAL,$H80:$DC80)</f>
        <v>0</v>
      </c>
      <c r="H80" s="138">
        <f t="shared" ca="1" si="90"/>
        <v>0</v>
      </c>
      <c r="I80" s="138">
        <f t="shared" ca="1" si="90"/>
        <v>0</v>
      </c>
      <c r="J80" s="138">
        <f t="shared" ca="1" si="90"/>
        <v>0</v>
      </c>
      <c r="K80" s="138">
        <f t="shared" ca="1" si="90"/>
        <v>0</v>
      </c>
      <c r="L80" s="138">
        <f t="shared" ca="1" si="90"/>
        <v>0</v>
      </c>
      <c r="M80" s="138">
        <f t="shared" ca="1" si="90"/>
        <v>0</v>
      </c>
      <c r="N80" s="138">
        <f t="shared" ca="1" si="90"/>
        <v>0</v>
      </c>
      <c r="O80" s="138">
        <f t="shared" ca="1" si="90"/>
        <v>0</v>
      </c>
      <c r="P80" s="138">
        <f t="shared" ca="1" si="90"/>
        <v>0</v>
      </c>
      <c r="Q80" s="138">
        <f t="shared" ca="1" si="90"/>
        <v>0</v>
      </c>
      <c r="R80" s="138">
        <f t="shared" ca="1" si="90"/>
        <v>0</v>
      </c>
      <c r="S80" s="138">
        <f t="shared" ca="1" si="90"/>
        <v>0</v>
      </c>
      <c r="T80" s="138">
        <f t="shared" ca="1" si="90"/>
        <v>0</v>
      </c>
      <c r="U80" s="138">
        <f t="shared" ca="1" si="90"/>
        <v>0</v>
      </c>
      <c r="V80" s="138">
        <f t="shared" ca="1" si="90"/>
        <v>0</v>
      </c>
      <c r="W80" s="138">
        <f t="shared" ca="1" si="90"/>
        <v>0</v>
      </c>
      <c r="X80" s="138">
        <f t="shared" ca="1" si="91"/>
        <v>0</v>
      </c>
      <c r="Y80" s="138">
        <f t="shared" ca="1" si="91"/>
        <v>0</v>
      </c>
      <c r="Z80" s="138">
        <f t="shared" ca="1" si="91"/>
        <v>0</v>
      </c>
      <c r="AA80" s="138">
        <f t="shared" ca="1" si="91"/>
        <v>0</v>
      </c>
      <c r="AB80" s="138">
        <f t="shared" ca="1" si="91"/>
        <v>0</v>
      </c>
      <c r="AC80" s="138">
        <f t="shared" ca="1" si="91"/>
        <v>0</v>
      </c>
      <c r="AD80" s="138">
        <f t="shared" ca="1" si="91"/>
        <v>0</v>
      </c>
      <c r="AE80" s="138">
        <f t="shared" ca="1" si="91"/>
        <v>0</v>
      </c>
      <c r="AF80" s="138">
        <f t="shared" ca="1" si="91"/>
        <v>0</v>
      </c>
      <c r="AG80" s="138">
        <f t="shared" ca="1" si="91"/>
        <v>0</v>
      </c>
      <c r="AH80" s="138">
        <f t="shared" ca="1" si="91"/>
        <v>0</v>
      </c>
      <c r="AI80" s="138">
        <f t="shared" ca="1" si="91"/>
        <v>0</v>
      </c>
      <c r="AJ80" s="138">
        <f t="shared" ca="1" si="91"/>
        <v>0</v>
      </c>
      <c r="AK80" s="138">
        <f t="shared" ca="1" si="91"/>
        <v>0</v>
      </c>
      <c r="AL80" s="138">
        <f t="shared" ca="1" si="91"/>
        <v>0</v>
      </c>
      <c r="AM80" s="138">
        <f t="shared" ca="1" si="91"/>
        <v>0</v>
      </c>
      <c r="AN80" s="138">
        <f t="shared" ca="1" si="92"/>
        <v>0</v>
      </c>
      <c r="AO80" s="138">
        <f t="shared" ca="1" si="92"/>
        <v>0</v>
      </c>
      <c r="AP80" s="138">
        <f t="shared" ca="1" si="92"/>
        <v>0</v>
      </c>
      <c r="AQ80" s="138">
        <f t="shared" ca="1" si="92"/>
        <v>0</v>
      </c>
      <c r="AR80" s="138">
        <f t="shared" ca="1" si="92"/>
        <v>0</v>
      </c>
      <c r="AS80" s="138">
        <f t="shared" ca="1" si="92"/>
        <v>0</v>
      </c>
      <c r="AT80" s="138">
        <f t="shared" ca="1" si="92"/>
        <v>0</v>
      </c>
      <c r="AU80" s="138">
        <f t="shared" ca="1" si="92"/>
        <v>0</v>
      </c>
      <c r="AV80" s="138">
        <f t="shared" ca="1" si="92"/>
        <v>0</v>
      </c>
      <c r="AW80" s="138">
        <f t="shared" ca="1" si="92"/>
        <v>0</v>
      </c>
      <c r="AX80" s="138">
        <f t="shared" ca="1" si="92"/>
        <v>0</v>
      </c>
      <c r="AY80" s="138">
        <f t="shared" ca="1" si="92"/>
        <v>0</v>
      </c>
      <c r="AZ80" s="138">
        <f t="shared" ca="1" si="92"/>
        <v>0</v>
      </c>
      <c r="BA80" s="138">
        <f t="shared" ca="1" si="92"/>
        <v>0</v>
      </c>
      <c r="BB80" s="138">
        <f t="shared" ca="1" si="92"/>
        <v>0</v>
      </c>
      <c r="BC80" s="138">
        <f t="shared" ca="1" si="92"/>
        <v>0</v>
      </c>
      <c r="BD80" s="138">
        <f t="shared" ca="1" si="93"/>
        <v>0</v>
      </c>
      <c r="BE80" s="138">
        <f t="shared" ca="1" si="93"/>
        <v>0</v>
      </c>
      <c r="BF80" s="138">
        <f t="shared" ca="1" si="93"/>
        <v>0</v>
      </c>
      <c r="BG80" s="138">
        <f t="shared" ca="1" si="93"/>
        <v>0</v>
      </c>
      <c r="BH80" s="138">
        <f t="shared" ca="1" si="93"/>
        <v>0</v>
      </c>
      <c r="BI80" s="138">
        <f t="shared" ca="1" si="93"/>
        <v>0</v>
      </c>
      <c r="BJ80" s="138">
        <f t="shared" ca="1" si="93"/>
        <v>0</v>
      </c>
      <c r="BK80" s="138">
        <f t="shared" ca="1" si="93"/>
        <v>0</v>
      </c>
      <c r="BL80" s="138">
        <f t="shared" ca="1" si="93"/>
        <v>0</v>
      </c>
      <c r="BM80" s="138">
        <f t="shared" ca="1" si="93"/>
        <v>0</v>
      </c>
      <c r="BN80" s="138">
        <f t="shared" ca="1" si="93"/>
        <v>0</v>
      </c>
      <c r="BO80" s="138">
        <f t="shared" ca="1" si="93"/>
        <v>0</v>
      </c>
      <c r="BP80" s="138">
        <f t="shared" ca="1" si="93"/>
        <v>0</v>
      </c>
      <c r="BQ80" s="138">
        <f t="shared" ca="1" si="93"/>
        <v>0</v>
      </c>
      <c r="BR80" s="138">
        <f t="shared" ca="1" si="93"/>
        <v>0</v>
      </c>
      <c r="BS80" s="138">
        <f t="shared" ca="1" si="93"/>
        <v>0</v>
      </c>
      <c r="BT80" s="138">
        <f t="shared" ca="1" si="94"/>
        <v>0</v>
      </c>
      <c r="BU80" s="138">
        <f t="shared" ca="1" si="94"/>
        <v>0</v>
      </c>
      <c r="BV80" s="138">
        <f t="shared" ca="1" si="94"/>
        <v>0</v>
      </c>
      <c r="BW80" s="138">
        <f t="shared" ca="1" si="94"/>
        <v>0</v>
      </c>
      <c r="BX80" s="138">
        <f t="shared" ca="1" si="94"/>
        <v>0</v>
      </c>
      <c r="BY80" s="138">
        <f t="shared" ca="1" si="94"/>
        <v>0</v>
      </c>
      <c r="BZ80" s="138">
        <f t="shared" ca="1" si="94"/>
        <v>0</v>
      </c>
      <c r="CA80" s="138">
        <f t="shared" ca="1" si="94"/>
        <v>0</v>
      </c>
      <c r="CB80" s="138">
        <f t="shared" ca="1" si="94"/>
        <v>0</v>
      </c>
      <c r="CC80" s="138">
        <f t="shared" ca="1" si="94"/>
        <v>0</v>
      </c>
      <c r="CD80" s="138">
        <f t="shared" ca="1" si="94"/>
        <v>0</v>
      </c>
      <c r="CE80" s="138">
        <f t="shared" ca="1" si="94"/>
        <v>0</v>
      </c>
      <c r="CF80" s="138">
        <f t="shared" ca="1" si="94"/>
        <v>0</v>
      </c>
      <c r="CG80" s="138">
        <f t="shared" ca="1" si="94"/>
        <v>0</v>
      </c>
      <c r="CH80" s="138">
        <f t="shared" ca="1" si="94"/>
        <v>0</v>
      </c>
      <c r="CI80" s="138">
        <f t="shared" ca="1" si="94"/>
        <v>0</v>
      </c>
      <c r="CJ80" s="138">
        <f t="shared" ca="1" si="95"/>
        <v>0</v>
      </c>
      <c r="CK80" s="138">
        <f t="shared" ca="1" si="95"/>
        <v>0</v>
      </c>
      <c r="CL80" s="138">
        <f t="shared" ca="1" si="95"/>
        <v>0</v>
      </c>
      <c r="CM80" s="138">
        <f t="shared" ca="1" si="95"/>
        <v>0</v>
      </c>
      <c r="CN80" s="138">
        <f t="shared" ca="1" si="95"/>
        <v>0</v>
      </c>
      <c r="CO80" s="138">
        <f t="shared" ca="1" si="95"/>
        <v>0</v>
      </c>
      <c r="CP80" s="138">
        <f t="shared" ca="1" si="95"/>
        <v>0</v>
      </c>
      <c r="CQ80" s="138">
        <f t="shared" ca="1" si="95"/>
        <v>0</v>
      </c>
      <c r="CR80" s="138">
        <f t="shared" ca="1" si="95"/>
        <v>0</v>
      </c>
      <c r="CS80" s="138">
        <f t="shared" ca="1" si="95"/>
        <v>0</v>
      </c>
      <c r="CT80" s="138">
        <f t="shared" ca="1" si="96"/>
        <v>0</v>
      </c>
      <c r="CU80" s="138">
        <f t="shared" ca="1" si="96"/>
        <v>0</v>
      </c>
      <c r="CV80" s="138">
        <f t="shared" ca="1" si="96"/>
        <v>0</v>
      </c>
      <c r="CW80" s="138">
        <f t="shared" ca="1" si="96"/>
        <v>0</v>
      </c>
      <c r="CX80" s="138">
        <f t="shared" ca="1" si="96"/>
        <v>0</v>
      </c>
      <c r="CY80" s="138">
        <f t="shared" ca="1" si="96"/>
        <v>0</v>
      </c>
      <c r="CZ80" s="138">
        <f t="shared" ca="1" si="96"/>
        <v>0</v>
      </c>
      <c r="DA80" s="138">
        <f t="shared" ca="1" si="96"/>
        <v>0</v>
      </c>
      <c r="DB80" s="138">
        <f t="shared" ca="1" si="96"/>
        <v>0</v>
      </c>
      <c r="DC80" s="138">
        <f t="shared" ca="1" si="96"/>
        <v>0</v>
      </c>
      <c r="DE80" s="254" t="str">
        <f t="shared" ca="1" si="87"/>
        <v>F.2.</v>
      </c>
      <c r="DF80">
        <f t="shared" ca="1" si="97"/>
        <v>1</v>
      </c>
      <c r="DG80">
        <f t="shared" ca="1" si="98"/>
        <v>21</v>
      </c>
      <c r="DH80">
        <v>0</v>
      </c>
    </row>
    <row r="81" spans="1:112" hidden="1">
      <c r="A81" s="124">
        <v>69</v>
      </c>
      <c r="B81" s="205" t="str">
        <f t="shared" ca="1" si="84"/>
        <v>F.3.</v>
      </c>
      <c r="C81" s="129" t="str">
        <f t="shared" ca="1" si="85"/>
        <v>Veikla</v>
      </c>
      <c r="D81" s="144"/>
      <c r="E81" s="148">
        <f t="shared" ca="1" si="86"/>
        <v>0.21</v>
      </c>
      <c r="F81" s="139">
        <f ca="1">H81+NPV(FD,I81:INDEX(I81:DC81,PAL))</f>
        <v>0</v>
      </c>
      <c r="G81" s="140">
        <f ca="1">SUMIF($H$5:$DC$5,"&lt;="&amp;PAL,$H81:$DC81)</f>
        <v>0</v>
      </c>
      <c r="H81" s="138">
        <f t="shared" ca="1" si="90"/>
        <v>0</v>
      </c>
      <c r="I81" s="138">
        <f t="shared" ca="1" si="90"/>
        <v>0</v>
      </c>
      <c r="J81" s="138">
        <f t="shared" ca="1" si="90"/>
        <v>0</v>
      </c>
      <c r="K81" s="138">
        <f t="shared" ca="1" si="90"/>
        <v>0</v>
      </c>
      <c r="L81" s="138">
        <f t="shared" ca="1" si="90"/>
        <v>0</v>
      </c>
      <c r="M81" s="138">
        <f t="shared" ca="1" si="90"/>
        <v>0</v>
      </c>
      <c r="N81" s="138">
        <f t="shared" ca="1" si="90"/>
        <v>0</v>
      </c>
      <c r="O81" s="138">
        <f t="shared" ca="1" si="90"/>
        <v>0</v>
      </c>
      <c r="P81" s="138">
        <f t="shared" ca="1" si="90"/>
        <v>0</v>
      </c>
      <c r="Q81" s="138">
        <f t="shared" ca="1" si="90"/>
        <v>0</v>
      </c>
      <c r="R81" s="138">
        <f t="shared" ca="1" si="90"/>
        <v>0</v>
      </c>
      <c r="S81" s="138">
        <f t="shared" ca="1" si="90"/>
        <v>0</v>
      </c>
      <c r="T81" s="138">
        <f t="shared" ca="1" si="90"/>
        <v>0</v>
      </c>
      <c r="U81" s="138">
        <f t="shared" ca="1" si="90"/>
        <v>0</v>
      </c>
      <c r="V81" s="138">
        <f t="shared" ca="1" si="90"/>
        <v>0</v>
      </c>
      <c r="W81" s="138">
        <f t="shared" ca="1" si="90"/>
        <v>0</v>
      </c>
      <c r="X81" s="138">
        <f t="shared" ca="1" si="91"/>
        <v>0</v>
      </c>
      <c r="Y81" s="138">
        <f t="shared" ca="1" si="91"/>
        <v>0</v>
      </c>
      <c r="Z81" s="138">
        <f t="shared" ca="1" si="91"/>
        <v>0</v>
      </c>
      <c r="AA81" s="138">
        <f t="shared" ca="1" si="91"/>
        <v>0</v>
      </c>
      <c r="AB81" s="138">
        <f t="shared" ca="1" si="91"/>
        <v>0</v>
      </c>
      <c r="AC81" s="138">
        <f t="shared" ca="1" si="91"/>
        <v>0</v>
      </c>
      <c r="AD81" s="138">
        <f t="shared" ca="1" si="91"/>
        <v>0</v>
      </c>
      <c r="AE81" s="138">
        <f t="shared" ca="1" si="91"/>
        <v>0</v>
      </c>
      <c r="AF81" s="138">
        <f t="shared" ca="1" si="91"/>
        <v>0</v>
      </c>
      <c r="AG81" s="138">
        <f t="shared" ca="1" si="91"/>
        <v>0</v>
      </c>
      <c r="AH81" s="138">
        <f t="shared" ca="1" si="91"/>
        <v>0</v>
      </c>
      <c r="AI81" s="138">
        <f t="shared" ca="1" si="91"/>
        <v>0</v>
      </c>
      <c r="AJ81" s="138">
        <f t="shared" ca="1" si="91"/>
        <v>0</v>
      </c>
      <c r="AK81" s="138">
        <f t="shared" ca="1" si="91"/>
        <v>0</v>
      </c>
      <c r="AL81" s="138">
        <f t="shared" ca="1" si="91"/>
        <v>0</v>
      </c>
      <c r="AM81" s="138">
        <f t="shared" ca="1" si="91"/>
        <v>0</v>
      </c>
      <c r="AN81" s="138">
        <f t="shared" ca="1" si="92"/>
        <v>0</v>
      </c>
      <c r="AO81" s="138">
        <f t="shared" ca="1" si="92"/>
        <v>0</v>
      </c>
      <c r="AP81" s="138">
        <f t="shared" ca="1" si="92"/>
        <v>0</v>
      </c>
      <c r="AQ81" s="138">
        <f t="shared" ca="1" si="92"/>
        <v>0</v>
      </c>
      <c r="AR81" s="138">
        <f t="shared" ca="1" si="92"/>
        <v>0</v>
      </c>
      <c r="AS81" s="138">
        <f t="shared" ca="1" si="92"/>
        <v>0</v>
      </c>
      <c r="AT81" s="138">
        <f t="shared" ca="1" si="92"/>
        <v>0</v>
      </c>
      <c r="AU81" s="138">
        <f t="shared" ca="1" si="92"/>
        <v>0</v>
      </c>
      <c r="AV81" s="138">
        <f t="shared" ca="1" si="92"/>
        <v>0</v>
      </c>
      <c r="AW81" s="138">
        <f t="shared" ca="1" si="92"/>
        <v>0</v>
      </c>
      <c r="AX81" s="138">
        <f t="shared" ca="1" si="92"/>
        <v>0</v>
      </c>
      <c r="AY81" s="138">
        <f t="shared" ca="1" si="92"/>
        <v>0</v>
      </c>
      <c r="AZ81" s="138">
        <f t="shared" ca="1" si="92"/>
        <v>0</v>
      </c>
      <c r="BA81" s="138">
        <f t="shared" ca="1" si="92"/>
        <v>0</v>
      </c>
      <c r="BB81" s="138">
        <f t="shared" ca="1" si="92"/>
        <v>0</v>
      </c>
      <c r="BC81" s="138">
        <f t="shared" ca="1" si="92"/>
        <v>0</v>
      </c>
      <c r="BD81" s="138">
        <f t="shared" ca="1" si="93"/>
        <v>0</v>
      </c>
      <c r="BE81" s="138">
        <f t="shared" ca="1" si="93"/>
        <v>0</v>
      </c>
      <c r="BF81" s="138">
        <f t="shared" ca="1" si="93"/>
        <v>0</v>
      </c>
      <c r="BG81" s="138">
        <f t="shared" ca="1" si="93"/>
        <v>0</v>
      </c>
      <c r="BH81" s="138">
        <f t="shared" ca="1" si="93"/>
        <v>0</v>
      </c>
      <c r="BI81" s="138">
        <f t="shared" ca="1" si="93"/>
        <v>0</v>
      </c>
      <c r="BJ81" s="138">
        <f t="shared" ca="1" si="93"/>
        <v>0</v>
      </c>
      <c r="BK81" s="138">
        <f t="shared" ca="1" si="93"/>
        <v>0</v>
      </c>
      <c r="BL81" s="138">
        <f t="shared" ca="1" si="93"/>
        <v>0</v>
      </c>
      <c r="BM81" s="138">
        <f t="shared" ca="1" si="93"/>
        <v>0</v>
      </c>
      <c r="BN81" s="138">
        <f t="shared" ca="1" si="93"/>
        <v>0</v>
      </c>
      <c r="BO81" s="138">
        <f t="shared" ca="1" si="93"/>
        <v>0</v>
      </c>
      <c r="BP81" s="138">
        <f t="shared" ca="1" si="93"/>
        <v>0</v>
      </c>
      <c r="BQ81" s="138">
        <f t="shared" ca="1" si="93"/>
        <v>0</v>
      </c>
      <c r="BR81" s="138">
        <f t="shared" ca="1" si="93"/>
        <v>0</v>
      </c>
      <c r="BS81" s="138">
        <f t="shared" ca="1" si="93"/>
        <v>0</v>
      </c>
      <c r="BT81" s="138">
        <f t="shared" ca="1" si="94"/>
        <v>0</v>
      </c>
      <c r="BU81" s="138">
        <f t="shared" ca="1" si="94"/>
        <v>0</v>
      </c>
      <c r="BV81" s="138">
        <f t="shared" ca="1" si="94"/>
        <v>0</v>
      </c>
      <c r="BW81" s="138">
        <f t="shared" ca="1" si="94"/>
        <v>0</v>
      </c>
      <c r="BX81" s="138">
        <f t="shared" ca="1" si="94"/>
        <v>0</v>
      </c>
      <c r="BY81" s="138">
        <f t="shared" ca="1" si="94"/>
        <v>0</v>
      </c>
      <c r="BZ81" s="138">
        <f t="shared" ca="1" si="94"/>
        <v>0</v>
      </c>
      <c r="CA81" s="138">
        <f t="shared" ca="1" si="94"/>
        <v>0</v>
      </c>
      <c r="CB81" s="138">
        <f t="shared" ca="1" si="94"/>
        <v>0</v>
      </c>
      <c r="CC81" s="138">
        <f t="shared" ca="1" si="94"/>
        <v>0</v>
      </c>
      <c r="CD81" s="138">
        <f t="shared" ca="1" si="94"/>
        <v>0</v>
      </c>
      <c r="CE81" s="138">
        <f t="shared" ca="1" si="94"/>
        <v>0</v>
      </c>
      <c r="CF81" s="138">
        <f t="shared" ca="1" si="94"/>
        <v>0</v>
      </c>
      <c r="CG81" s="138">
        <f t="shared" ca="1" si="94"/>
        <v>0</v>
      </c>
      <c r="CH81" s="138">
        <f t="shared" ca="1" si="94"/>
        <v>0</v>
      </c>
      <c r="CI81" s="138">
        <f t="shared" ca="1" si="94"/>
        <v>0</v>
      </c>
      <c r="CJ81" s="138">
        <f t="shared" ca="1" si="95"/>
        <v>0</v>
      </c>
      <c r="CK81" s="138">
        <f t="shared" ca="1" si="95"/>
        <v>0</v>
      </c>
      <c r="CL81" s="138">
        <f t="shared" ca="1" si="95"/>
        <v>0</v>
      </c>
      <c r="CM81" s="138">
        <f t="shared" ca="1" si="95"/>
        <v>0</v>
      </c>
      <c r="CN81" s="138">
        <f t="shared" ca="1" si="95"/>
        <v>0</v>
      </c>
      <c r="CO81" s="138">
        <f t="shared" ca="1" si="95"/>
        <v>0</v>
      </c>
      <c r="CP81" s="138">
        <f t="shared" ca="1" si="95"/>
        <v>0</v>
      </c>
      <c r="CQ81" s="138">
        <f t="shared" ca="1" si="95"/>
        <v>0</v>
      </c>
      <c r="CR81" s="138">
        <f t="shared" ca="1" si="95"/>
        <v>0</v>
      </c>
      <c r="CS81" s="138">
        <f t="shared" ca="1" si="95"/>
        <v>0</v>
      </c>
      <c r="CT81" s="138">
        <f t="shared" ca="1" si="96"/>
        <v>0</v>
      </c>
      <c r="CU81" s="138">
        <f t="shared" ca="1" si="96"/>
        <v>0</v>
      </c>
      <c r="CV81" s="138">
        <f t="shared" ca="1" si="96"/>
        <v>0</v>
      </c>
      <c r="CW81" s="138">
        <f t="shared" ca="1" si="96"/>
        <v>0</v>
      </c>
      <c r="CX81" s="138">
        <f t="shared" ca="1" si="96"/>
        <v>0</v>
      </c>
      <c r="CY81" s="138">
        <f t="shared" ca="1" si="96"/>
        <v>0</v>
      </c>
      <c r="CZ81" s="138">
        <f t="shared" ca="1" si="96"/>
        <v>0</v>
      </c>
      <c r="DA81" s="138">
        <f t="shared" ca="1" si="96"/>
        <v>0</v>
      </c>
      <c r="DB81" s="138">
        <f t="shared" ca="1" si="96"/>
        <v>0</v>
      </c>
      <c r="DC81" s="138">
        <f t="shared" ca="1" si="96"/>
        <v>0</v>
      </c>
      <c r="DE81" s="254" t="str">
        <f t="shared" ca="1" si="87"/>
        <v>F.3.</v>
      </c>
      <c r="DF81">
        <f t="shared" ca="1" si="97"/>
        <v>1</v>
      </c>
      <c r="DG81">
        <f t="shared" ca="1" si="98"/>
        <v>21</v>
      </c>
      <c r="DH81">
        <v>0</v>
      </c>
    </row>
    <row r="82" spans="1:112" hidden="1">
      <c r="A82" s="124">
        <v>70</v>
      </c>
      <c r="B82" s="205" t="str">
        <f t="shared" ca="1" si="84"/>
        <v>F.4.</v>
      </c>
      <c r="C82" s="129" t="str">
        <f t="shared" ca="1" si="85"/>
        <v>Veikla</v>
      </c>
      <c r="D82" s="144"/>
      <c r="E82" s="148">
        <f t="shared" ca="1" si="86"/>
        <v>0.21</v>
      </c>
      <c r="F82" s="139">
        <f ca="1">H82+NPV(FD,I82:INDEX(I82:DC82,PAL))</f>
        <v>0</v>
      </c>
      <c r="G82" s="140">
        <f ca="1">SUMIF($H$5:$DC$5,"&lt;="&amp;PAL,$H82:$DC82)</f>
        <v>0</v>
      </c>
      <c r="H82" s="138">
        <f t="shared" ca="1" si="90"/>
        <v>0</v>
      </c>
      <c r="I82" s="138">
        <f t="shared" ca="1" si="90"/>
        <v>0</v>
      </c>
      <c r="J82" s="138">
        <f t="shared" ca="1" si="90"/>
        <v>0</v>
      </c>
      <c r="K82" s="138">
        <f t="shared" ca="1" si="90"/>
        <v>0</v>
      </c>
      <c r="L82" s="138">
        <f t="shared" ca="1" si="90"/>
        <v>0</v>
      </c>
      <c r="M82" s="138">
        <f t="shared" ca="1" si="90"/>
        <v>0</v>
      </c>
      <c r="N82" s="138">
        <f t="shared" ca="1" si="90"/>
        <v>0</v>
      </c>
      <c r="O82" s="138">
        <f t="shared" ca="1" si="90"/>
        <v>0</v>
      </c>
      <c r="P82" s="138">
        <f t="shared" ca="1" si="90"/>
        <v>0</v>
      </c>
      <c r="Q82" s="138">
        <f t="shared" ca="1" si="90"/>
        <v>0</v>
      </c>
      <c r="R82" s="138">
        <f t="shared" ca="1" si="90"/>
        <v>0</v>
      </c>
      <c r="S82" s="138">
        <f t="shared" ca="1" si="90"/>
        <v>0</v>
      </c>
      <c r="T82" s="138">
        <f t="shared" ca="1" si="90"/>
        <v>0</v>
      </c>
      <c r="U82" s="138">
        <f t="shared" ca="1" si="90"/>
        <v>0</v>
      </c>
      <c r="V82" s="138">
        <f t="shared" ca="1" si="90"/>
        <v>0</v>
      </c>
      <c r="W82" s="138">
        <f t="shared" ca="1" si="90"/>
        <v>0</v>
      </c>
      <c r="X82" s="138">
        <f t="shared" ca="1" si="91"/>
        <v>0</v>
      </c>
      <c r="Y82" s="138">
        <f t="shared" ca="1" si="91"/>
        <v>0</v>
      </c>
      <c r="Z82" s="138">
        <f t="shared" ca="1" si="91"/>
        <v>0</v>
      </c>
      <c r="AA82" s="138">
        <f t="shared" ca="1" si="91"/>
        <v>0</v>
      </c>
      <c r="AB82" s="138">
        <f t="shared" ca="1" si="91"/>
        <v>0</v>
      </c>
      <c r="AC82" s="138">
        <f t="shared" ca="1" si="91"/>
        <v>0</v>
      </c>
      <c r="AD82" s="138">
        <f t="shared" ca="1" si="91"/>
        <v>0</v>
      </c>
      <c r="AE82" s="138">
        <f t="shared" ca="1" si="91"/>
        <v>0</v>
      </c>
      <c r="AF82" s="138">
        <f t="shared" ca="1" si="91"/>
        <v>0</v>
      </c>
      <c r="AG82" s="138">
        <f t="shared" ca="1" si="91"/>
        <v>0</v>
      </c>
      <c r="AH82" s="138">
        <f t="shared" ca="1" si="91"/>
        <v>0</v>
      </c>
      <c r="AI82" s="138">
        <f t="shared" ca="1" si="91"/>
        <v>0</v>
      </c>
      <c r="AJ82" s="138">
        <f t="shared" ca="1" si="91"/>
        <v>0</v>
      </c>
      <c r="AK82" s="138">
        <f t="shared" ca="1" si="91"/>
        <v>0</v>
      </c>
      <c r="AL82" s="138">
        <f t="shared" ca="1" si="91"/>
        <v>0</v>
      </c>
      <c r="AM82" s="138">
        <f t="shared" ca="1" si="91"/>
        <v>0</v>
      </c>
      <c r="AN82" s="138">
        <f t="shared" ca="1" si="92"/>
        <v>0</v>
      </c>
      <c r="AO82" s="138">
        <f t="shared" ca="1" si="92"/>
        <v>0</v>
      </c>
      <c r="AP82" s="138">
        <f t="shared" ca="1" si="92"/>
        <v>0</v>
      </c>
      <c r="AQ82" s="138">
        <f t="shared" ca="1" si="92"/>
        <v>0</v>
      </c>
      <c r="AR82" s="138">
        <f t="shared" ca="1" si="92"/>
        <v>0</v>
      </c>
      <c r="AS82" s="138">
        <f t="shared" ca="1" si="92"/>
        <v>0</v>
      </c>
      <c r="AT82" s="138">
        <f t="shared" ca="1" si="92"/>
        <v>0</v>
      </c>
      <c r="AU82" s="138">
        <f t="shared" ca="1" si="92"/>
        <v>0</v>
      </c>
      <c r="AV82" s="138">
        <f t="shared" ca="1" si="92"/>
        <v>0</v>
      </c>
      <c r="AW82" s="138">
        <f t="shared" ca="1" si="92"/>
        <v>0</v>
      </c>
      <c r="AX82" s="138">
        <f t="shared" ca="1" si="92"/>
        <v>0</v>
      </c>
      <c r="AY82" s="138">
        <f t="shared" ca="1" si="92"/>
        <v>0</v>
      </c>
      <c r="AZ82" s="138">
        <f t="shared" ca="1" si="92"/>
        <v>0</v>
      </c>
      <c r="BA82" s="138">
        <f t="shared" ca="1" si="92"/>
        <v>0</v>
      </c>
      <c r="BB82" s="138">
        <f t="shared" ca="1" si="92"/>
        <v>0</v>
      </c>
      <c r="BC82" s="138">
        <f t="shared" ca="1" si="92"/>
        <v>0</v>
      </c>
      <c r="BD82" s="138">
        <f t="shared" ca="1" si="93"/>
        <v>0</v>
      </c>
      <c r="BE82" s="138">
        <f t="shared" ca="1" si="93"/>
        <v>0</v>
      </c>
      <c r="BF82" s="138">
        <f t="shared" ca="1" si="93"/>
        <v>0</v>
      </c>
      <c r="BG82" s="138">
        <f t="shared" ca="1" si="93"/>
        <v>0</v>
      </c>
      <c r="BH82" s="138">
        <f t="shared" ca="1" si="93"/>
        <v>0</v>
      </c>
      <c r="BI82" s="138">
        <f t="shared" ca="1" si="93"/>
        <v>0</v>
      </c>
      <c r="BJ82" s="138">
        <f t="shared" ca="1" si="93"/>
        <v>0</v>
      </c>
      <c r="BK82" s="138">
        <f t="shared" ca="1" si="93"/>
        <v>0</v>
      </c>
      <c r="BL82" s="138">
        <f t="shared" ca="1" si="93"/>
        <v>0</v>
      </c>
      <c r="BM82" s="138">
        <f t="shared" ca="1" si="93"/>
        <v>0</v>
      </c>
      <c r="BN82" s="138">
        <f t="shared" ca="1" si="93"/>
        <v>0</v>
      </c>
      <c r="BO82" s="138">
        <f t="shared" ca="1" si="93"/>
        <v>0</v>
      </c>
      <c r="BP82" s="138">
        <f t="shared" ca="1" si="93"/>
        <v>0</v>
      </c>
      <c r="BQ82" s="138">
        <f t="shared" ca="1" si="93"/>
        <v>0</v>
      </c>
      <c r="BR82" s="138">
        <f t="shared" ca="1" si="93"/>
        <v>0</v>
      </c>
      <c r="BS82" s="138">
        <f t="shared" ca="1" si="93"/>
        <v>0</v>
      </c>
      <c r="BT82" s="138">
        <f t="shared" ca="1" si="94"/>
        <v>0</v>
      </c>
      <c r="BU82" s="138">
        <f t="shared" ca="1" si="94"/>
        <v>0</v>
      </c>
      <c r="BV82" s="138">
        <f t="shared" ca="1" si="94"/>
        <v>0</v>
      </c>
      <c r="BW82" s="138">
        <f t="shared" ca="1" si="94"/>
        <v>0</v>
      </c>
      <c r="BX82" s="138">
        <f t="shared" ca="1" si="94"/>
        <v>0</v>
      </c>
      <c r="BY82" s="138">
        <f t="shared" ca="1" si="94"/>
        <v>0</v>
      </c>
      <c r="BZ82" s="138">
        <f t="shared" ca="1" si="94"/>
        <v>0</v>
      </c>
      <c r="CA82" s="138">
        <f t="shared" ca="1" si="94"/>
        <v>0</v>
      </c>
      <c r="CB82" s="138">
        <f t="shared" ca="1" si="94"/>
        <v>0</v>
      </c>
      <c r="CC82" s="138">
        <f t="shared" ca="1" si="94"/>
        <v>0</v>
      </c>
      <c r="CD82" s="138">
        <f t="shared" ca="1" si="94"/>
        <v>0</v>
      </c>
      <c r="CE82" s="138">
        <f t="shared" ca="1" si="94"/>
        <v>0</v>
      </c>
      <c r="CF82" s="138">
        <f t="shared" ca="1" si="94"/>
        <v>0</v>
      </c>
      <c r="CG82" s="138">
        <f t="shared" ca="1" si="94"/>
        <v>0</v>
      </c>
      <c r="CH82" s="138">
        <f t="shared" ca="1" si="94"/>
        <v>0</v>
      </c>
      <c r="CI82" s="138">
        <f t="shared" ca="1" si="94"/>
        <v>0</v>
      </c>
      <c r="CJ82" s="138">
        <f t="shared" ca="1" si="95"/>
        <v>0</v>
      </c>
      <c r="CK82" s="138">
        <f t="shared" ca="1" si="95"/>
        <v>0</v>
      </c>
      <c r="CL82" s="138">
        <f t="shared" ca="1" si="95"/>
        <v>0</v>
      </c>
      <c r="CM82" s="138">
        <f t="shared" ca="1" si="95"/>
        <v>0</v>
      </c>
      <c r="CN82" s="138">
        <f t="shared" ca="1" si="95"/>
        <v>0</v>
      </c>
      <c r="CO82" s="138">
        <f t="shared" ca="1" si="95"/>
        <v>0</v>
      </c>
      <c r="CP82" s="138">
        <f t="shared" ca="1" si="95"/>
        <v>0</v>
      </c>
      <c r="CQ82" s="138">
        <f t="shared" ca="1" si="95"/>
        <v>0</v>
      </c>
      <c r="CR82" s="138">
        <f t="shared" ca="1" si="95"/>
        <v>0</v>
      </c>
      <c r="CS82" s="138">
        <f t="shared" ca="1" si="95"/>
        <v>0</v>
      </c>
      <c r="CT82" s="138">
        <f t="shared" ca="1" si="96"/>
        <v>0</v>
      </c>
      <c r="CU82" s="138">
        <f t="shared" ca="1" si="96"/>
        <v>0</v>
      </c>
      <c r="CV82" s="138">
        <f t="shared" ca="1" si="96"/>
        <v>0</v>
      </c>
      <c r="CW82" s="138">
        <f t="shared" ca="1" si="96"/>
        <v>0</v>
      </c>
      <c r="CX82" s="138">
        <f t="shared" ca="1" si="96"/>
        <v>0</v>
      </c>
      <c r="CY82" s="138">
        <f t="shared" ca="1" si="96"/>
        <v>0</v>
      </c>
      <c r="CZ82" s="138">
        <f t="shared" ca="1" si="96"/>
        <v>0</v>
      </c>
      <c r="DA82" s="138">
        <f t="shared" ca="1" si="96"/>
        <v>0</v>
      </c>
      <c r="DB82" s="138">
        <f t="shared" ca="1" si="96"/>
        <v>0</v>
      </c>
      <c r="DC82" s="138">
        <f t="shared" ca="1" si="96"/>
        <v>0</v>
      </c>
      <c r="DE82" s="254" t="str">
        <f t="shared" ca="1" si="87"/>
        <v>F.4.</v>
      </c>
      <c r="DF82">
        <f t="shared" ca="1" si="97"/>
        <v>1</v>
      </c>
      <c r="DG82">
        <f t="shared" ca="1" si="98"/>
        <v>21</v>
      </c>
      <c r="DH82">
        <v>0</v>
      </c>
    </row>
    <row r="83" spans="1:112" hidden="1">
      <c r="A83" s="124">
        <v>71</v>
      </c>
      <c r="B83" s="205" t="str">
        <f t="shared" ca="1" si="84"/>
        <v>F.5.</v>
      </c>
      <c r="C83" s="129" t="str">
        <f t="shared" ca="1" si="85"/>
        <v>Veikla</v>
      </c>
      <c r="D83" s="144"/>
      <c r="E83" s="148">
        <f t="shared" ca="1" si="86"/>
        <v>0.21</v>
      </c>
      <c r="F83" s="139">
        <f ca="1">H83+NPV(FD,I83:INDEX(I83:DC83,PAL))</f>
        <v>0</v>
      </c>
      <c r="G83" s="140">
        <f ca="1">SUMIF($H$5:$DC$5,"&lt;="&amp;PAL,$H83:$DC83)</f>
        <v>0</v>
      </c>
      <c r="H83" s="138">
        <f t="shared" ca="1" si="90"/>
        <v>0</v>
      </c>
      <c r="I83" s="138">
        <f t="shared" ca="1" si="90"/>
        <v>0</v>
      </c>
      <c r="J83" s="138">
        <f t="shared" ca="1" si="90"/>
        <v>0</v>
      </c>
      <c r="K83" s="138">
        <f t="shared" ca="1" si="90"/>
        <v>0</v>
      </c>
      <c r="L83" s="138">
        <f t="shared" ca="1" si="90"/>
        <v>0</v>
      </c>
      <c r="M83" s="138">
        <f t="shared" ca="1" si="90"/>
        <v>0</v>
      </c>
      <c r="N83" s="138">
        <f t="shared" ca="1" si="90"/>
        <v>0</v>
      </c>
      <c r="O83" s="138">
        <f t="shared" ca="1" si="90"/>
        <v>0</v>
      </c>
      <c r="P83" s="138">
        <f t="shared" ca="1" si="90"/>
        <v>0</v>
      </c>
      <c r="Q83" s="138">
        <f t="shared" ca="1" si="90"/>
        <v>0</v>
      </c>
      <c r="R83" s="138">
        <f t="shared" ca="1" si="90"/>
        <v>0</v>
      </c>
      <c r="S83" s="138">
        <f t="shared" ca="1" si="90"/>
        <v>0</v>
      </c>
      <c r="T83" s="138">
        <f t="shared" ca="1" si="90"/>
        <v>0</v>
      </c>
      <c r="U83" s="138">
        <f t="shared" ca="1" si="90"/>
        <v>0</v>
      </c>
      <c r="V83" s="138">
        <f t="shared" ca="1" si="90"/>
        <v>0</v>
      </c>
      <c r="W83" s="138">
        <f t="shared" ca="1" si="90"/>
        <v>0</v>
      </c>
      <c r="X83" s="138">
        <f t="shared" ca="1" si="91"/>
        <v>0</v>
      </c>
      <c r="Y83" s="138">
        <f t="shared" ca="1" si="91"/>
        <v>0</v>
      </c>
      <c r="Z83" s="138">
        <f t="shared" ca="1" si="91"/>
        <v>0</v>
      </c>
      <c r="AA83" s="138">
        <f t="shared" ca="1" si="91"/>
        <v>0</v>
      </c>
      <c r="AB83" s="138">
        <f t="shared" ca="1" si="91"/>
        <v>0</v>
      </c>
      <c r="AC83" s="138">
        <f t="shared" ca="1" si="91"/>
        <v>0</v>
      </c>
      <c r="AD83" s="138">
        <f t="shared" ca="1" si="91"/>
        <v>0</v>
      </c>
      <c r="AE83" s="138">
        <f t="shared" ca="1" si="91"/>
        <v>0</v>
      </c>
      <c r="AF83" s="138">
        <f t="shared" ca="1" si="91"/>
        <v>0</v>
      </c>
      <c r="AG83" s="138">
        <f t="shared" ca="1" si="91"/>
        <v>0</v>
      </c>
      <c r="AH83" s="138">
        <f t="shared" ca="1" si="91"/>
        <v>0</v>
      </c>
      <c r="AI83" s="138">
        <f t="shared" ca="1" si="91"/>
        <v>0</v>
      </c>
      <c r="AJ83" s="138">
        <f t="shared" ca="1" si="91"/>
        <v>0</v>
      </c>
      <c r="AK83" s="138">
        <f t="shared" ca="1" si="91"/>
        <v>0</v>
      </c>
      <c r="AL83" s="138">
        <f t="shared" ca="1" si="91"/>
        <v>0</v>
      </c>
      <c r="AM83" s="138">
        <f t="shared" ca="1" si="91"/>
        <v>0</v>
      </c>
      <c r="AN83" s="138">
        <f t="shared" ca="1" si="92"/>
        <v>0</v>
      </c>
      <c r="AO83" s="138">
        <f t="shared" ca="1" si="92"/>
        <v>0</v>
      </c>
      <c r="AP83" s="138">
        <f t="shared" ca="1" si="92"/>
        <v>0</v>
      </c>
      <c r="AQ83" s="138">
        <f t="shared" ca="1" si="92"/>
        <v>0</v>
      </c>
      <c r="AR83" s="138">
        <f t="shared" ca="1" si="92"/>
        <v>0</v>
      </c>
      <c r="AS83" s="138">
        <f t="shared" ca="1" si="92"/>
        <v>0</v>
      </c>
      <c r="AT83" s="138">
        <f t="shared" ca="1" si="92"/>
        <v>0</v>
      </c>
      <c r="AU83" s="138">
        <f t="shared" ca="1" si="92"/>
        <v>0</v>
      </c>
      <c r="AV83" s="138">
        <f t="shared" ca="1" si="92"/>
        <v>0</v>
      </c>
      <c r="AW83" s="138">
        <f t="shared" ca="1" si="92"/>
        <v>0</v>
      </c>
      <c r="AX83" s="138">
        <f t="shared" ca="1" si="92"/>
        <v>0</v>
      </c>
      <c r="AY83" s="138">
        <f t="shared" ca="1" si="92"/>
        <v>0</v>
      </c>
      <c r="AZ83" s="138">
        <f t="shared" ca="1" si="92"/>
        <v>0</v>
      </c>
      <c r="BA83" s="138">
        <f t="shared" ca="1" si="92"/>
        <v>0</v>
      </c>
      <c r="BB83" s="138">
        <f t="shared" ca="1" si="92"/>
        <v>0</v>
      </c>
      <c r="BC83" s="138">
        <f t="shared" ca="1" si="92"/>
        <v>0</v>
      </c>
      <c r="BD83" s="138">
        <f t="shared" ca="1" si="93"/>
        <v>0</v>
      </c>
      <c r="BE83" s="138">
        <f t="shared" ca="1" si="93"/>
        <v>0</v>
      </c>
      <c r="BF83" s="138">
        <f t="shared" ca="1" si="93"/>
        <v>0</v>
      </c>
      <c r="BG83" s="138">
        <f t="shared" ca="1" si="93"/>
        <v>0</v>
      </c>
      <c r="BH83" s="138">
        <f t="shared" ca="1" si="93"/>
        <v>0</v>
      </c>
      <c r="BI83" s="138">
        <f t="shared" ca="1" si="93"/>
        <v>0</v>
      </c>
      <c r="BJ83" s="138">
        <f t="shared" ca="1" si="93"/>
        <v>0</v>
      </c>
      <c r="BK83" s="138">
        <f t="shared" ca="1" si="93"/>
        <v>0</v>
      </c>
      <c r="BL83" s="138">
        <f t="shared" ca="1" si="93"/>
        <v>0</v>
      </c>
      <c r="BM83" s="138">
        <f t="shared" ca="1" si="93"/>
        <v>0</v>
      </c>
      <c r="BN83" s="138">
        <f t="shared" ca="1" si="93"/>
        <v>0</v>
      </c>
      <c r="BO83" s="138">
        <f t="shared" ca="1" si="93"/>
        <v>0</v>
      </c>
      <c r="BP83" s="138">
        <f t="shared" ca="1" si="93"/>
        <v>0</v>
      </c>
      <c r="BQ83" s="138">
        <f t="shared" ca="1" si="93"/>
        <v>0</v>
      </c>
      <c r="BR83" s="138">
        <f t="shared" ca="1" si="93"/>
        <v>0</v>
      </c>
      <c r="BS83" s="138">
        <f t="shared" ca="1" si="93"/>
        <v>0</v>
      </c>
      <c r="BT83" s="138">
        <f t="shared" ca="1" si="94"/>
        <v>0</v>
      </c>
      <c r="BU83" s="138">
        <f t="shared" ca="1" si="94"/>
        <v>0</v>
      </c>
      <c r="BV83" s="138">
        <f t="shared" ca="1" si="94"/>
        <v>0</v>
      </c>
      <c r="BW83" s="138">
        <f t="shared" ca="1" si="94"/>
        <v>0</v>
      </c>
      <c r="BX83" s="138">
        <f t="shared" ca="1" si="94"/>
        <v>0</v>
      </c>
      <c r="BY83" s="138">
        <f t="shared" ca="1" si="94"/>
        <v>0</v>
      </c>
      <c r="BZ83" s="138">
        <f t="shared" ca="1" si="94"/>
        <v>0</v>
      </c>
      <c r="CA83" s="138">
        <f t="shared" ca="1" si="94"/>
        <v>0</v>
      </c>
      <c r="CB83" s="138">
        <f t="shared" ca="1" si="94"/>
        <v>0</v>
      </c>
      <c r="CC83" s="138">
        <f t="shared" ca="1" si="94"/>
        <v>0</v>
      </c>
      <c r="CD83" s="138">
        <f t="shared" ca="1" si="94"/>
        <v>0</v>
      </c>
      <c r="CE83" s="138">
        <f t="shared" ca="1" si="94"/>
        <v>0</v>
      </c>
      <c r="CF83" s="138">
        <f t="shared" ca="1" si="94"/>
        <v>0</v>
      </c>
      <c r="CG83" s="138">
        <f t="shared" ca="1" si="94"/>
        <v>0</v>
      </c>
      <c r="CH83" s="138">
        <f t="shared" ca="1" si="94"/>
        <v>0</v>
      </c>
      <c r="CI83" s="138">
        <f t="shared" ca="1" si="94"/>
        <v>0</v>
      </c>
      <c r="CJ83" s="138">
        <f t="shared" ca="1" si="95"/>
        <v>0</v>
      </c>
      <c r="CK83" s="138">
        <f t="shared" ca="1" si="95"/>
        <v>0</v>
      </c>
      <c r="CL83" s="138">
        <f t="shared" ca="1" si="95"/>
        <v>0</v>
      </c>
      <c r="CM83" s="138">
        <f t="shared" ca="1" si="95"/>
        <v>0</v>
      </c>
      <c r="CN83" s="138">
        <f t="shared" ca="1" si="95"/>
        <v>0</v>
      </c>
      <c r="CO83" s="138">
        <f t="shared" ca="1" si="95"/>
        <v>0</v>
      </c>
      <c r="CP83" s="138">
        <f t="shared" ca="1" si="95"/>
        <v>0</v>
      </c>
      <c r="CQ83" s="138">
        <f t="shared" ca="1" si="95"/>
        <v>0</v>
      </c>
      <c r="CR83" s="138">
        <f t="shared" ca="1" si="95"/>
        <v>0</v>
      </c>
      <c r="CS83" s="138">
        <f t="shared" ca="1" si="95"/>
        <v>0</v>
      </c>
      <c r="CT83" s="138">
        <f t="shared" ca="1" si="96"/>
        <v>0</v>
      </c>
      <c r="CU83" s="138">
        <f t="shared" ca="1" si="96"/>
        <v>0</v>
      </c>
      <c r="CV83" s="138">
        <f t="shared" ca="1" si="96"/>
        <v>0</v>
      </c>
      <c r="CW83" s="138">
        <f t="shared" ca="1" si="96"/>
        <v>0</v>
      </c>
      <c r="CX83" s="138">
        <f t="shared" ca="1" si="96"/>
        <v>0</v>
      </c>
      <c r="CY83" s="138">
        <f t="shared" ca="1" si="96"/>
        <v>0</v>
      </c>
      <c r="CZ83" s="138">
        <f t="shared" ca="1" si="96"/>
        <v>0</v>
      </c>
      <c r="DA83" s="138">
        <f t="shared" ca="1" si="96"/>
        <v>0</v>
      </c>
      <c r="DB83" s="138">
        <f t="shared" ca="1" si="96"/>
        <v>0</v>
      </c>
      <c r="DC83" s="138">
        <f t="shared" ca="1" si="96"/>
        <v>0</v>
      </c>
      <c r="DE83" s="254" t="str">
        <f t="shared" ca="1" si="87"/>
        <v>F.5.</v>
      </c>
      <c r="DF83">
        <f t="shared" ca="1" si="97"/>
        <v>1</v>
      </c>
      <c r="DG83">
        <f t="shared" ca="1" si="98"/>
        <v>21</v>
      </c>
      <c r="DH83">
        <v>0</v>
      </c>
    </row>
    <row r="84" spans="1:112" hidden="1">
      <c r="A84" s="124">
        <v>72</v>
      </c>
      <c r="B84" s="205" t="str">
        <f t="shared" ca="1" si="84"/>
        <v>F.6.</v>
      </c>
      <c r="C84" s="129" t="str">
        <f t="shared" ca="1" si="85"/>
        <v>Veikla</v>
      </c>
      <c r="D84" s="144"/>
      <c r="E84" s="148">
        <f t="shared" ca="1" si="86"/>
        <v>0.21</v>
      </c>
      <c r="F84" s="139">
        <f ca="1">H84+NPV(FD,I84:INDEX(I84:DC84,PAL))</f>
        <v>0</v>
      </c>
      <c r="G84" s="140">
        <f ca="1">SUMIF($H$5:$DC$5,"&lt;="&amp;PAL,$H84:$DC84)</f>
        <v>0</v>
      </c>
      <c r="H84" s="138">
        <f t="shared" ca="1" si="90"/>
        <v>0</v>
      </c>
      <c r="I84" s="138">
        <f t="shared" ca="1" si="90"/>
        <v>0</v>
      </c>
      <c r="J84" s="138">
        <f t="shared" ca="1" si="90"/>
        <v>0</v>
      </c>
      <c r="K84" s="138">
        <f t="shared" ca="1" si="90"/>
        <v>0</v>
      </c>
      <c r="L84" s="138">
        <f t="shared" ca="1" si="90"/>
        <v>0</v>
      </c>
      <c r="M84" s="138">
        <f t="shared" ca="1" si="90"/>
        <v>0</v>
      </c>
      <c r="N84" s="138">
        <f t="shared" ca="1" si="90"/>
        <v>0</v>
      </c>
      <c r="O84" s="138">
        <f t="shared" ca="1" si="90"/>
        <v>0</v>
      </c>
      <c r="P84" s="138">
        <f t="shared" ca="1" si="90"/>
        <v>0</v>
      </c>
      <c r="Q84" s="138">
        <f t="shared" ca="1" si="90"/>
        <v>0</v>
      </c>
      <c r="R84" s="138">
        <f t="shared" ca="1" si="90"/>
        <v>0</v>
      </c>
      <c r="S84" s="138">
        <f t="shared" ca="1" si="90"/>
        <v>0</v>
      </c>
      <c r="T84" s="138">
        <f t="shared" ca="1" si="90"/>
        <v>0</v>
      </c>
      <c r="U84" s="138">
        <f t="shared" ca="1" si="90"/>
        <v>0</v>
      </c>
      <c r="V84" s="138">
        <f t="shared" ca="1" si="90"/>
        <v>0</v>
      </c>
      <c r="W84" s="138">
        <f t="shared" ca="1" si="90"/>
        <v>0</v>
      </c>
      <c r="X84" s="138">
        <f t="shared" ca="1" si="91"/>
        <v>0</v>
      </c>
      <c r="Y84" s="138">
        <f t="shared" ca="1" si="91"/>
        <v>0</v>
      </c>
      <c r="Z84" s="138">
        <f t="shared" ca="1" si="91"/>
        <v>0</v>
      </c>
      <c r="AA84" s="138">
        <f t="shared" ca="1" si="91"/>
        <v>0</v>
      </c>
      <c r="AB84" s="138">
        <f t="shared" ca="1" si="91"/>
        <v>0</v>
      </c>
      <c r="AC84" s="138">
        <f t="shared" ca="1" si="91"/>
        <v>0</v>
      </c>
      <c r="AD84" s="138">
        <f t="shared" ca="1" si="91"/>
        <v>0</v>
      </c>
      <c r="AE84" s="138">
        <f t="shared" ca="1" si="91"/>
        <v>0</v>
      </c>
      <c r="AF84" s="138">
        <f t="shared" ca="1" si="91"/>
        <v>0</v>
      </c>
      <c r="AG84" s="138">
        <f t="shared" ca="1" si="91"/>
        <v>0</v>
      </c>
      <c r="AH84" s="138">
        <f t="shared" ca="1" si="91"/>
        <v>0</v>
      </c>
      <c r="AI84" s="138">
        <f t="shared" ca="1" si="91"/>
        <v>0</v>
      </c>
      <c r="AJ84" s="138">
        <f t="shared" ca="1" si="91"/>
        <v>0</v>
      </c>
      <c r="AK84" s="138">
        <f t="shared" ca="1" si="91"/>
        <v>0</v>
      </c>
      <c r="AL84" s="138">
        <f t="shared" ca="1" si="91"/>
        <v>0</v>
      </c>
      <c r="AM84" s="138">
        <f t="shared" ca="1" si="91"/>
        <v>0</v>
      </c>
      <c r="AN84" s="138">
        <f t="shared" ca="1" si="92"/>
        <v>0</v>
      </c>
      <c r="AO84" s="138">
        <f t="shared" ca="1" si="92"/>
        <v>0</v>
      </c>
      <c r="AP84" s="138">
        <f t="shared" ca="1" si="92"/>
        <v>0</v>
      </c>
      <c r="AQ84" s="138">
        <f t="shared" ca="1" si="92"/>
        <v>0</v>
      </c>
      <c r="AR84" s="138">
        <f t="shared" ca="1" si="92"/>
        <v>0</v>
      </c>
      <c r="AS84" s="138">
        <f t="shared" ca="1" si="92"/>
        <v>0</v>
      </c>
      <c r="AT84" s="138">
        <f t="shared" ca="1" si="92"/>
        <v>0</v>
      </c>
      <c r="AU84" s="138">
        <f t="shared" ca="1" si="92"/>
        <v>0</v>
      </c>
      <c r="AV84" s="138">
        <f t="shared" ca="1" si="92"/>
        <v>0</v>
      </c>
      <c r="AW84" s="138">
        <f t="shared" ca="1" si="92"/>
        <v>0</v>
      </c>
      <c r="AX84" s="138">
        <f t="shared" ca="1" si="92"/>
        <v>0</v>
      </c>
      <c r="AY84" s="138">
        <f t="shared" ca="1" si="92"/>
        <v>0</v>
      </c>
      <c r="AZ84" s="138">
        <f t="shared" ca="1" si="92"/>
        <v>0</v>
      </c>
      <c r="BA84" s="138">
        <f t="shared" ca="1" si="92"/>
        <v>0</v>
      </c>
      <c r="BB84" s="138">
        <f t="shared" ca="1" si="92"/>
        <v>0</v>
      </c>
      <c r="BC84" s="138">
        <f t="shared" ca="1" si="92"/>
        <v>0</v>
      </c>
      <c r="BD84" s="138">
        <f t="shared" ca="1" si="93"/>
        <v>0</v>
      </c>
      <c r="BE84" s="138">
        <f t="shared" ca="1" si="93"/>
        <v>0</v>
      </c>
      <c r="BF84" s="138">
        <f t="shared" ca="1" si="93"/>
        <v>0</v>
      </c>
      <c r="BG84" s="138">
        <f t="shared" ca="1" si="93"/>
        <v>0</v>
      </c>
      <c r="BH84" s="138">
        <f t="shared" ca="1" si="93"/>
        <v>0</v>
      </c>
      <c r="BI84" s="138">
        <f t="shared" ca="1" si="93"/>
        <v>0</v>
      </c>
      <c r="BJ84" s="138">
        <f t="shared" ca="1" si="93"/>
        <v>0</v>
      </c>
      <c r="BK84" s="138">
        <f t="shared" ca="1" si="93"/>
        <v>0</v>
      </c>
      <c r="BL84" s="138">
        <f t="shared" ca="1" si="93"/>
        <v>0</v>
      </c>
      <c r="BM84" s="138">
        <f t="shared" ca="1" si="93"/>
        <v>0</v>
      </c>
      <c r="BN84" s="138">
        <f t="shared" ca="1" si="93"/>
        <v>0</v>
      </c>
      <c r="BO84" s="138">
        <f t="shared" ca="1" si="93"/>
        <v>0</v>
      </c>
      <c r="BP84" s="138">
        <f t="shared" ca="1" si="93"/>
        <v>0</v>
      </c>
      <c r="BQ84" s="138">
        <f t="shared" ca="1" si="93"/>
        <v>0</v>
      </c>
      <c r="BR84" s="138">
        <f t="shared" ca="1" si="93"/>
        <v>0</v>
      </c>
      <c r="BS84" s="138">
        <f t="shared" ca="1" si="93"/>
        <v>0</v>
      </c>
      <c r="BT84" s="138">
        <f t="shared" ca="1" si="94"/>
        <v>0</v>
      </c>
      <c r="BU84" s="138">
        <f t="shared" ca="1" si="94"/>
        <v>0</v>
      </c>
      <c r="BV84" s="138">
        <f t="shared" ca="1" si="94"/>
        <v>0</v>
      </c>
      <c r="BW84" s="138">
        <f t="shared" ca="1" si="94"/>
        <v>0</v>
      </c>
      <c r="BX84" s="138">
        <f t="shared" ca="1" si="94"/>
        <v>0</v>
      </c>
      <c r="BY84" s="138">
        <f t="shared" ca="1" si="94"/>
        <v>0</v>
      </c>
      <c r="BZ84" s="138">
        <f t="shared" ca="1" si="94"/>
        <v>0</v>
      </c>
      <c r="CA84" s="138">
        <f t="shared" ca="1" si="94"/>
        <v>0</v>
      </c>
      <c r="CB84" s="138">
        <f t="shared" ca="1" si="94"/>
        <v>0</v>
      </c>
      <c r="CC84" s="138">
        <f t="shared" ca="1" si="94"/>
        <v>0</v>
      </c>
      <c r="CD84" s="138">
        <f t="shared" ca="1" si="94"/>
        <v>0</v>
      </c>
      <c r="CE84" s="138">
        <f t="shared" ca="1" si="94"/>
        <v>0</v>
      </c>
      <c r="CF84" s="138">
        <f t="shared" ca="1" si="94"/>
        <v>0</v>
      </c>
      <c r="CG84" s="138">
        <f t="shared" ca="1" si="94"/>
        <v>0</v>
      </c>
      <c r="CH84" s="138">
        <f t="shared" ca="1" si="94"/>
        <v>0</v>
      </c>
      <c r="CI84" s="138">
        <f t="shared" ca="1" si="94"/>
        <v>0</v>
      </c>
      <c r="CJ84" s="138">
        <f t="shared" ca="1" si="95"/>
        <v>0</v>
      </c>
      <c r="CK84" s="138">
        <f t="shared" ca="1" si="95"/>
        <v>0</v>
      </c>
      <c r="CL84" s="138">
        <f t="shared" ca="1" si="95"/>
        <v>0</v>
      </c>
      <c r="CM84" s="138">
        <f t="shared" ca="1" si="95"/>
        <v>0</v>
      </c>
      <c r="CN84" s="138">
        <f t="shared" ca="1" si="95"/>
        <v>0</v>
      </c>
      <c r="CO84" s="138">
        <f t="shared" ca="1" si="95"/>
        <v>0</v>
      </c>
      <c r="CP84" s="138">
        <f t="shared" ca="1" si="95"/>
        <v>0</v>
      </c>
      <c r="CQ84" s="138">
        <f t="shared" ca="1" si="95"/>
        <v>0</v>
      </c>
      <c r="CR84" s="138">
        <f t="shared" ca="1" si="95"/>
        <v>0</v>
      </c>
      <c r="CS84" s="138">
        <f t="shared" ca="1" si="95"/>
        <v>0</v>
      </c>
      <c r="CT84" s="138">
        <f t="shared" ca="1" si="96"/>
        <v>0</v>
      </c>
      <c r="CU84" s="138">
        <f t="shared" ca="1" si="96"/>
        <v>0</v>
      </c>
      <c r="CV84" s="138">
        <f t="shared" ca="1" si="96"/>
        <v>0</v>
      </c>
      <c r="CW84" s="138">
        <f t="shared" ca="1" si="96"/>
        <v>0</v>
      </c>
      <c r="CX84" s="138">
        <f t="shared" ca="1" si="96"/>
        <v>0</v>
      </c>
      <c r="CY84" s="138">
        <f t="shared" ca="1" si="96"/>
        <v>0</v>
      </c>
      <c r="CZ84" s="138">
        <f t="shared" ca="1" si="96"/>
        <v>0</v>
      </c>
      <c r="DA84" s="138">
        <f t="shared" ca="1" si="96"/>
        <v>0</v>
      </c>
      <c r="DB84" s="138">
        <f t="shared" ca="1" si="96"/>
        <v>0</v>
      </c>
      <c r="DC84" s="138">
        <f t="shared" ca="1" si="96"/>
        <v>0</v>
      </c>
      <c r="DE84" s="254" t="str">
        <f t="shared" ca="1" si="87"/>
        <v>F.6.</v>
      </c>
      <c r="DF84">
        <f t="shared" ca="1" si="97"/>
        <v>1</v>
      </c>
      <c r="DG84">
        <f t="shared" ca="1" si="98"/>
        <v>21</v>
      </c>
      <c r="DH84">
        <v>0</v>
      </c>
    </row>
    <row r="85" spans="1:112" hidden="1">
      <c r="A85" s="124">
        <v>73</v>
      </c>
      <c r="B85" s="205" t="str">
        <f t="shared" ca="1" si="84"/>
        <v>F.7.</v>
      </c>
      <c r="C85" s="129" t="str">
        <f t="shared" ca="1" si="85"/>
        <v>Veikla</v>
      </c>
      <c r="D85" s="144"/>
      <c r="E85" s="148">
        <f t="shared" ca="1" si="86"/>
        <v>0.21</v>
      </c>
      <c r="F85" s="139">
        <f ca="1">H85+NPV(FD,I85:INDEX(I85:DC85,PAL))</f>
        <v>0</v>
      </c>
      <c r="G85" s="140">
        <f ca="1">SUMIF($H$5:$DC$5,"&lt;="&amp;PAL,$H85:$DC85)</f>
        <v>0</v>
      </c>
      <c r="H85" s="138">
        <f t="shared" ca="1" si="90"/>
        <v>0</v>
      </c>
      <c r="I85" s="138">
        <f t="shared" ca="1" si="90"/>
        <v>0</v>
      </c>
      <c r="J85" s="138">
        <f t="shared" ca="1" si="90"/>
        <v>0</v>
      </c>
      <c r="K85" s="138">
        <f t="shared" ca="1" si="90"/>
        <v>0</v>
      </c>
      <c r="L85" s="138">
        <f t="shared" ca="1" si="90"/>
        <v>0</v>
      </c>
      <c r="M85" s="138">
        <f t="shared" ca="1" si="90"/>
        <v>0</v>
      </c>
      <c r="N85" s="138">
        <f t="shared" ca="1" si="90"/>
        <v>0</v>
      </c>
      <c r="O85" s="138">
        <f t="shared" ca="1" si="90"/>
        <v>0</v>
      </c>
      <c r="P85" s="138">
        <f t="shared" ca="1" si="90"/>
        <v>0</v>
      </c>
      <c r="Q85" s="138">
        <f t="shared" ca="1" si="90"/>
        <v>0</v>
      </c>
      <c r="R85" s="138">
        <f t="shared" ca="1" si="90"/>
        <v>0</v>
      </c>
      <c r="S85" s="138">
        <f t="shared" ca="1" si="90"/>
        <v>0</v>
      </c>
      <c r="T85" s="138">
        <f t="shared" ca="1" si="90"/>
        <v>0</v>
      </c>
      <c r="U85" s="138">
        <f t="shared" ca="1" si="90"/>
        <v>0</v>
      </c>
      <c r="V85" s="138">
        <f t="shared" ca="1" si="90"/>
        <v>0</v>
      </c>
      <c r="W85" s="138">
        <f t="shared" ca="1" si="90"/>
        <v>0</v>
      </c>
      <c r="X85" s="138">
        <f t="shared" ca="1" si="91"/>
        <v>0</v>
      </c>
      <c r="Y85" s="138">
        <f t="shared" ca="1" si="91"/>
        <v>0</v>
      </c>
      <c r="Z85" s="138">
        <f t="shared" ca="1" si="91"/>
        <v>0</v>
      </c>
      <c r="AA85" s="138">
        <f t="shared" ca="1" si="91"/>
        <v>0</v>
      </c>
      <c r="AB85" s="138">
        <f t="shared" ca="1" si="91"/>
        <v>0</v>
      </c>
      <c r="AC85" s="138">
        <f t="shared" ca="1" si="91"/>
        <v>0</v>
      </c>
      <c r="AD85" s="138">
        <f t="shared" ca="1" si="91"/>
        <v>0</v>
      </c>
      <c r="AE85" s="138">
        <f t="shared" ca="1" si="91"/>
        <v>0</v>
      </c>
      <c r="AF85" s="138">
        <f t="shared" ca="1" si="91"/>
        <v>0</v>
      </c>
      <c r="AG85" s="138">
        <f t="shared" ca="1" si="91"/>
        <v>0</v>
      </c>
      <c r="AH85" s="138">
        <f t="shared" ca="1" si="91"/>
        <v>0</v>
      </c>
      <c r="AI85" s="138">
        <f t="shared" ca="1" si="91"/>
        <v>0</v>
      </c>
      <c r="AJ85" s="138">
        <f t="shared" ca="1" si="91"/>
        <v>0</v>
      </c>
      <c r="AK85" s="138">
        <f t="shared" ca="1" si="91"/>
        <v>0</v>
      </c>
      <c r="AL85" s="138">
        <f t="shared" ca="1" si="91"/>
        <v>0</v>
      </c>
      <c r="AM85" s="138">
        <f t="shared" ca="1" si="91"/>
        <v>0</v>
      </c>
      <c r="AN85" s="138">
        <f t="shared" ca="1" si="92"/>
        <v>0</v>
      </c>
      <c r="AO85" s="138">
        <f t="shared" ca="1" si="92"/>
        <v>0</v>
      </c>
      <c r="AP85" s="138">
        <f t="shared" ca="1" si="92"/>
        <v>0</v>
      </c>
      <c r="AQ85" s="138">
        <f t="shared" ca="1" si="92"/>
        <v>0</v>
      </c>
      <c r="AR85" s="138">
        <f t="shared" ca="1" si="92"/>
        <v>0</v>
      </c>
      <c r="AS85" s="138">
        <f t="shared" ca="1" si="92"/>
        <v>0</v>
      </c>
      <c r="AT85" s="138">
        <f t="shared" ca="1" si="92"/>
        <v>0</v>
      </c>
      <c r="AU85" s="138">
        <f t="shared" ca="1" si="92"/>
        <v>0</v>
      </c>
      <c r="AV85" s="138">
        <f t="shared" ca="1" si="92"/>
        <v>0</v>
      </c>
      <c r="AW85" s="138">
        <f t="shared" ca="1" si="92"/>
        <v>0</v>
      </c>
      <c r="AX85" s="138">
        <f t="shared" ca="1" si="92"/>
        <v>0</v>
      </c>
      <c r="AY85" s="138">
        <f t="shared" ca="1" si="92"/>
        <v>0</v>
      </c>
      <c r="AZ85" s="138">
        <f t="shared" ca="1" si="92"/>
        <v>0</v>
      </c>
      <c r="BA85" s="138">
        <f t="shared" ca="1" si="92"/>
        <v>0</v>
      </c>
      <c r="BB85" s="138">
        <f t="shared" ca="1" si="92"/>
        <v>0</v>
      </c>
      <c r="BC85" s="138">
        <f t="shared" ca="1" si="92"/>
        <v>0</v>
      </c>
      <c r="BD85" s="138">
        <f t="shared" ca="1" si="93"/>
        <v>0</v>
      </c>
      <c r="BE85" s="138">
        <f t="shared" ca="1" si="93"/>
        <v>0</v>
      </c>
      <c r="BF85" s="138">
        <f t="shared" ca="1" si="93"/>
        <v>0</v>
      </c>
      <c r="BG85" s="138">
        <f t="shared" ca="1" si="93"/>
        <v>0</v>
      </c>
      <c r="BH85" s="138">
        <f t="shared" ca="1" si="93"/>
        <v>0</v>
      </c>
      <c r="BI85" s="138">
        <f t="shared" ca="1" si="93"/>
        <v>0</v>
      </c>
      <c r="BJ85" s="138">
        <f t="shared" ca="1" si="93"/>
        <v>0</v>
      </c>
      <c r="BK85" s="138">
        <f t="shared" ca="1" si="93"/>
        <v>0</v>
      </c>
      <c r="BL85" s="138">
        <f t="shared" ca="1" si="93"/>
        <v>0</v>
      </c>
      <c r="BM85" s="138">
        <f t="shared" ca="1" si="93"/>
        <v>0</v>
      </c>
      <c r="BN85" s="138">
        <f t="shared" ca="1" si="93"/>
        <v>0</v>
      </c>
      <c r="BO85" s="138">
        <f t="shared" ca="1" si="93"/>
        <v>0</v>
      </c>
      <c r="BP85" s="138">
        <f t="shared" ca="1" si="93"/>
        <v>0</v>
      </c>
      <c r="BQ85" s="138">
        <f t="shared" ca="1" si="93"/>
        <v>0</v>
      </c>
      <c r="BR85" s="138">
        <f t="shared" ca="1" si="93"/>
        <v>0</v>
      </c>
      <c r="BS85" s="138">
        <f t="shared" ca="1" si="93"/>
        <v>0</v>
      </c>
      <c r="BT85" s="138">
        <f t="shared" ca="1" si="94"/>
        <v>0</v>
      </c>
      <c r="BU85" s="138">
        <f t="shared" ca="1" si="94"/>
        <v>0</v>
      </c>
      <c r="BV85" s="138">
        <f t="shared" ca="1" si="94"/>
        <v>0</v>
      </c>
      <c r="BW85" s="138">
        <f t="shared" ca="1" si="94"/>
        <v>0</v>
      </c>
      <c r="BX85" s="138">
        <f t="shared" ca="1" si="94"/>
        <v>0</v>
      </c>
      <c r="BY85" s="138">
        <f t="shared" ca="1" si="94"/>
        <v>0</v>
      </c>
      <c r="BZ85" s="138">
        <f t="shared" ca="1" si="94"/>
        <v>0</v>
      </c>
      <c r="CA85" s="138">
        <f t="shared" ca="1" si="94"/>
        <v>0</v>
      </c>
      <c r="CB85" s="138">
        <f t="shared" ca="1" si="94"/>
        <v>0</v>
      </c>
      <c r="CC85" s="138">
        <f t="shared" ca="1" si="94"/>
        <v>0</v>
      </c>
      <c r="CD85" s="138">
        <f t="shared" ca="1" si="94"/>
        <v>0</v>
      </c>
      <c r="CE85" s="138">
        <f t="shared" ca="1" si="94"/>
        <v>0</v>
      </c>
      <c r="CF85" s="138">
        <f t="shared" ca="1" si="94"/>
        <v>0</v>
      </c>
      <c r="CG85" s="138">
        <f t="shared" ca="1" si="94"/>
        <v>0</v>
      </c>
      <c r="CH85" s="138">
        <f t="shared" ca="1" si="94"/>
        <v>0</v>
      </c>
      <c r="CI85" s="138">
        <f t="shared" ca="1" si="94"/>
        <v>0</v>
      </c>
      <c r="CJ85" s="138">
        <f t="shared" ca="1" si="95"/>
        <v>0</v>
      </c>
      <c r="CK85" s="138">
        <f t="shared" ca="1" si="95"/>
        <v>0</v>
      </c>
      <c r="CL85" s="138">
        <f t="shared" ca="1" si="95"/>
        <v>0</v>
      </c>
      <c r="CM85" s="138">
        <f t="shared" ca="1" si="95"/>
        <v>0</v>
      </c>
      <c r="CN85" s="138">
        <f t="shared" ca="1" si="95"/>
        <v>0</v>
      </c>
      <c r="CO85" s="138">
        <f t="shared" ca="1" si="95"/>
        <v>0</v>
      </c>
      <c r="CP85" s="138">
        <f t="shared" ca="1" si="95"/>
        <v>0</v>
      </c>
      <c r="CQ85" s="138">
        <f t="shared" ca="1" si="95"/>
        <v>0</v>
      </c>
      <c r="CR85" s="138">
        <f t="shared" ca="1" si="95"/>
        <v>0</v>
      </c>
      <c r="CS85" s="138">
        <f t="shared" ca="1" si="95"/>
        <v>0</v>
      </c>
      <c r="CT85" s="138">
        <f t="shared" ca="1" si="96"/>
        <v>0</v>
      </c>
      <c r="CU85" s="138">
        <f t="shared" ca="1" si="96"/>
        <v>0</v>
      </c>
      <c r="CV85" s="138">
        <f t="shared" ca="1" si="96"/>
        <v>0</v>
      </c>
      <c r="CW85" s="138">
        <f t="shared" ca="1" si="96"/>
        <v>0</v>
      </c>
      <c r="CX85" s="138">
        <f t="shared" ca="1" si="96"/>
        <v>0</v>
      </c>
      <c r="CY85" s="138">
        <f t="shared" ca="1" si="96"/>
        <v>0</v>
      </c>
      <c r="CZ85" s="138">
        <f t="shared" ca="1" si="96"/>
        <v>0</v>
      </c>
      <c r="DA85" s="138">
        <f t="shared" ca="1" si="96"/>
        <v>0</v>
      </c>
      <c r="DB85" s="138">
        <f t="shared" ca="1" si="96"/>
        <v>0</v>
      </c>
      <c r="DC85" s="138">
        <f t="shared" ca="1" si="96"/>
        <v>0</v>
      </c>
      <c r="DE85" s="254" t="str">
        <f t="shared" ca="1" si="87"/>
        <v>F.7.</v>
      </c>
      <c r="DF85">
        <f t="shared" ca="1" si="97"/>
        <v>1</v>
      </c>
      <c r="DG85">
        <f t="shared" ca="1" si="98"/>
        <v>21</v>
      </c>
      <c r="DH85">
        <v>0</v>
      </c>
    </row>
    <row r="86" spans="1:112" hidden="1">
      <c r="A86" s="124">
        <v>74</v>
      </c>
      <c r="B86" s="205" t="str">
        <f t="shared" ca="1" si="84"/>
        <v>F.8.</v>
      </c>
      <c r="C86" s="129" t="str">
        <f t="shared" ca="1" si="85"/>
        <v>Veikla</v>
      </c>
      <c r="D86" s="144"/>
      <c r="E86" s="148">
        <f t="shared" ca="1" si="86"/>
        <v>0.21</v>
      </c>
      <c r="F86" s="139">
        <f ca="1">H86+NPV(FD,I86:INDEX(I86:DC86,PAL))</f>
        <v>0</v>
      </c>
      <c r="G86" s="140">
        <f ca="1">SUMIF($H$5:$DC$5,"&lt;="&amp;PAL,$H86:$DC86)</f>
        <v>0</v>
      </c>
      <c r="H86" s="138">
        <f t="shared" ca="1" si="90"/>
        <v>0</v>
      </c>
      <c r="I86" s="138">
        <f t="shared" ca="1" si="90"/>
        <v>0</v>
      </c>
      <c r="J86" s="138">
        <f t="shared" ca="1" si="90"/>
        <v>0</v>
      </c>
      <c r="K86" s="138">
        <f t="shared" ca="1" si="90"/>
        <v>0</v>
      </c>
      <c r="L86" s="138">
        <f t="shared" ca="1" si="90"/>
        <v>0</v>
      </c>
      <c r="M86" s="138">
        <f t="shared" ca="1" si="90"/>
        <v>0</v>
      </c>
      <c r="N86" s="138">
        <f t="shared" ca="1" si="90"/>
        <v>0</v>
      </c>
      <c r="O86" s="138">
        <f t="shared" ca="1" si="90"/>
        <v>0</v>
      </c>
      <c r="P86" s="138">
        <f t="shared" ca="1" si="90"/>
        <v>0</v>
      </c>
      <c r="Q86" s="138">
        <f t="shared" ca="1" si="90"/>
        <v>0</v>
      </c>
      <c r="R86" s="138">
        <f t="shared" ca="1" si="90"/>
        <v>0</v>
      </c>
      <c r="S86" s="138">
        <f t="shared" ca="1" si="90"/>
        <v>0</v>
      </c>
      <c r="T86" s="138">
        <f t="shared" ca="1" si="90"/>
        <v>0</v>
      </c>
      <c r="U86" s="138">
        <f t="shared" ca="1" si="90"/>
        <v>0</v>
      </c>
      <c r="V86" s="138">
        <f t="shared" ca="1" si="90"/>
        <v>0</v>
      </c>
      <c r="W86" s="138">
        <f t="shared" ca="1" si="90"/>
        <v>0</v>
      </c>
      <c r="X86" s="138">
        <f t="shared" ca="1" si="91"/>
        <v>0</v>
      </c>
      <c r="Y86" s="138">
        <f t="shared" ca="1" si="91"/>
        <v>0</v>
      </c>
      <c r="Z86" s="138">
        <f t="shared" ca="1" si="91"/>
        <v>0</v>
      </c>
      <c r="AA86" s="138">
        <f t="shared" ca="1" si="91"/>
        <v>0</v>
      </c>
      <c r="AB86" s="138">
        <f t="shared" ca="1" si="91"/>
        <v>0</v>
      </c>
      <c r="AC86" s="138">
        <f t="shared" ca="1" si="91"/>
        <v>0</v>
      </c>
      <c r="AD86" s="138">
        <f t="shared" ca="1" si="91"/>
        <v>0</v>
      </c>
      <c r="AE86" s="138">
        <f t="shared" ca="1" si="91"/>
        <v>0</v>
      </c>
      <c r="AF86" s="138">
        <f t="shared" ca="1" si="91"/>
        <v>0</v>
      </c>
      <c r="AG86" s="138">
        <f t="shared" ca="1" si="91"/>
        <v>0</v>
      </c>
      <c r="AH86" s="138">
        <f t="shared" ca="1" si="91"/>
        <v>0</v>
      </c>
      <c r="AI86" s="138">
        <f t="shared" ca="1" si="91"/>
        <v>0</v>
      </c>
      <c r="AJ86" s="138">
        <f t="shared" ca="1" si="91"/>
        <v>0</v>
      </c>
      <c r="AK86" s="138">
        <f t="shared" ca="1" si="91"/>
        <v>0</v>
      </c>
      <c r="AL86" s="138">
        <f t="shared" ca="1" si="91"/>
        <v>0</v>
      </c>
      <c r="AM86" s="138">
        <f t="shared" ca="1" si="91"/>
        <v>0</v>
      </c>
      <c r="AN86" s="138">
        <f t="shared" ca="1" si="92"/>
        <v>0</v>
      </c>
      <c r="AO86" s="138">
        <f t="shared" ca="1" si="92"/>
        <v>0</v>
      </c>
      <c r="AP86" s="138">
        <f t="shared" ca="1" si="92"/>
        <v>0</v>
      </c>
      <c r="AQ86" s="138">
        <f t="shared" ca="1" si="92"/>
        <v>0</v>
      </c>
      <c r="AR86" s="138">
        <f t="shared" ca="1" si="92"/>
        <v>0</v>
      </c>
      <c r="AS86" s="138">
        <f t="shared" ca="1" si="92"/>
        <v>0</v>
      </c>
      <c r="AT86" s="138">
        <f t="shared" ca="1" si="92"/>
        <v>0</v>
      </c>
      <c r="AU86" s="138">
        <f t="shared" ca="1" si="92"/>
        <v>0</v>
      </c>
      <c r="AV86" s="138">
        <f t="shared" ca="1" si="92"/>
        <v>0</v>
      </c>
      <c r="AW86" s="138">
        <f t="shared" ca="1" si="92"/>
        <v>0</v>
      </c>
      <c r="AX86" s="138">
        <f t="shared" ca="1" si="92"/>
        <v>0</v>
      </c>
      <c r="AY86" s="138">
        <f t="shared" ca="1" si="92"/>
        <v>0</v>
      </c>
      <c r="AZ86" s="138">
        <f t="shared" ca="1" si="92"/>
        <v>0</v>
      </c>
      <c r="BA86" s="138">
        <f t="shared" ca="1" si="92"/>
        <v>0</v>
      </c>
      <c r="BB86" s="138">
        <f t="shared" ca="1" si="92"/>
        <v>0</v>
      </c>
      <c r="BC86" s="138">
        <f t="shared" ca="1" si="92"/>
        <v>0</v>
      </c>
      <c r="BD86" s="138">
        <f t="shared" ca="1" si="93"/>
        <v>0</v>
      </c>
      <c r="BE86" s="138">
        <f t="shared" ca="1" si="93"/>
        <v>0</v>
      </c>
      <c r="BF86" s="138">
        <f t="shared" ca="1" si="93"/>
        <v>0</v>
      </c>
      <c r="BG86" s="138">
        <f t="shared" ca="1" si="93"/>
        <v>0</v>
      </c>
      <c r="BH86" s="138">
        <f t="shared" ca="1" si="93"/>
        <v>0</v>
      </c>
      <c r="BI86" s="138">
        <f t="shared" ca="1" si="93"/>
        <v>0</v>
      </c>
      <c r="BJ86" s="138">
        <f t="shared" ca="1" si="93"/>
        <v>0</v>
      </c>
      <c r="BK86" s="138">
        <f t="shared" ca="1" si="93"/>
        <v>0</v>
      </c>
      <c r="BL86" s="138">
        <f t="shared" ca="1" si="93"/>
        <v>0</v>
      </c>
      <c r="BM86" s="138">
        <f t="shared" ca="1" si="93"/>
        <v>0</v>
      </c>
      <c r="BN86" s="138">
        <f t="shared" ca="1" si="93"/>
        <v>0</v>
      </c>
      <c r="BO86" s="138">
        <f t="shared" ca="1" si="93"/>
        <v>0</v>
      </c>
      <c r="BP86" s="138">
        <f t="shared" ca="1" si="93"/>
        <v>0</v>
      </c>
      <c r="BQ86" s="138">
        <f t="shared" ca="1" si="93"/>
        <v>0</v>
      </c>
      <c r="BR86" s="138">
        <f t="shared" ca="1" si="93"/>
        <v>0</v>
      </c>
      <c r="BS86" s="138">
        <f t="shared" ca="1" si="93"/>
        <v>0</v>
      </c>
      <c r="BT86" s="138">
        <f t="shared" ca="1" si="94"/>
        <v>0</v>
      </c>
      <c r="BU86" s="138">
        <f t="shared" ca="1" si="94"/>
        <v>0</v>
      </c>
      <c r="BV86" s="138">
        <f t="shared" ca="1" si="94"/>
        <v>0</v>
      </c>
      <c r="BW86" s="138">
        <f t="shared" ca="1" si="94"/>
        <v>0</v>
      </c>
      <c r="BX86" s="138">
        <f t="shared" ca="1" si="94"/>
        <v>0</v>
      </c>
      <c r="BY86" s="138">
        <f t="shared" ca="1" si="94"/>
        <v>0</v>
      </c>
      <c r="BZ86" s="138">
        <f t="shared" ca="1" si="94"/>
        <v>0</v>
      </c>
      <c r="CA86" s="138">
        <f t="shared" ca="1" si="94"/>
        <v>0</v>
      </c>
      <c r="CB86" s="138">
        <f t="shared" ca="1" si="94"/>
        <v>0</v>
      </c>
      <c r="CC86" s="138">
        <f t="shared" ca="1" si="94"/>
        <v>0</v>
      </c>
      <c r="CD86" s="138">
        <f t="shared" ca="1" si="94"/>
        <v>0</v>
      </c>
      <c r="CE86" s="138">
        <f t="shared" ca="1" si="94"/>
        <v>0</v>
      </c>
      <c r="CF86" s="138">
        <f t="shared" ca="1" si="94"/>
        <v>0</v>
      </c>
      <c r="CG86" s="138">
        <f t="shared" ca="1" si="94"/>
        <v>0</v>
      </c>
      <c r="CH86" s="138">
        <f t="shared" ca="1" si="94"/>
        <v>0</v>
      </c>
      <c r="CI86" s="138">
        <f t="shared" ca="1" si="94"/>
        <v>0</v>
      </c>
      <c r="CJ86" s="138">
        <f t="shared" ca="1" si="95"/>
        <v>0</v>
      </c>
      <c r="CK86" s="138">
        <f t="shared" ca="1" si="95"/>
        <v>0</v>
      </c>
      <c r="CL86" s="138">
        <f t="shared" ca="1" si="95"/>
        <v>0</v>
      </c>
      <c r="CM86" s="138">
        <f t="shared" ca="1" si="95"/>
        <v>0</v>
      </c>
      <c r="CN86" s="138">
        <f t="shared" ca="1" si="95"/>
        <v>0</v>
      </c>
      <c r="CO86" s="138">
        <f t="shared" ca="1" si="95"/>
        <v>0</v>
      </c>
      <c r="CP86" s="138">
        <f t="shared" ca="1" si="95"/>
        <v>0</v>
      </c>
      <c r="CQ86" s="138">
        <f t="shared" ca="1" si="95"/>
        <v>0</v>
      </c>
      <c r="CR86" s="138">
        <f t="shared" ca="1" si="95"/>
        <v>0</v>
      </c>
      <c r="CS86" s="138">
        <f t="shared" ca="1" si="95"/>
        <v>0</v>
      </c>
      <c r="CT86" s="138">
        <f t="shared" ca="1" si="96"/>
        <v>0</v>
      </c>
      <c r="CU86" s="138">
        <f t="shared" ca="1" si="96"/>
        <v>0</v>
      </c>
      <c r="CV86" s="138">
        <f t="shared" ca="1" si="96"/>
        <v>0</v>
      </c>
      <c r="CW86" s="138">
        <f t="shared" ca="1" si="96"/>
        <v>0</v>
      </c>
      <c r="CX86" s="138">
        <f t="shared" ca="1" si="96"/>
        <v>0</v>
      </c>
      <c r="CY86" s="138">
        <f t="shared" ca="1" si="96"/>
        <v>0</v>
      </c>
      <c r="CZ86" s="138">
        <f t="shared" ca="1" si="96"/>
        <v>0</v>
      </c>
      <c r="DA86" s="138">
        <f t="shared" ca="1" si="96"/>
        <v>0</v>
      </c>
      <c r="DB86" s="138">
        <f t="shared" ca="1" si="96"/>
        <v>0</v>
      </c>
      <c r="DC86" s="138">
        <f t="shared" ca="1" si="96"/>
        <v>0</v>
      </c>
      <c r="DE86" s="254" t="str">
        <f t="shared" ca="1" si="87"/>
        <v>F.8.</v>
      </c>
      <c r="DF86">
        <f t="shared" ca="1" si="97"/>
        <v>1</v>
      </c>
      <c r="DG86">
        <f t="shared" ca="1" si="98"/>
        <v>21</v>
      </c>
      <c r="DH86">
        <v>0</v>
      </c>
    </row>
    <row r="87" spans="1:112" hidden="1">
      <c r="A87" s="124">
        <v>75</v>
      </c>
      <c r="B87" s="205" t="str">
        <f t="shared" ca="1" si="84"/>
        <v>F.9.</v>
      </c>
      <c r="C87" s="129" t="str">
        <f t="shared" ca="1" si="85"/>
        <v>Reinvesticijos (po priemonės įgyvendinimo)</v>
      </c>
      <c r="D87" s="114"/>
      <c r="E87" s="148">
        <f t="shared" ca="1" si="86"/>
        <v>0.21</v>
      </c>
      <c r="F87" s="139">
        <f ca="1">H87+NPV(FD,I87:INDEX(I87:DC87,PAL))</f>
        <v>0</v>
      </c>
      <c r="G87" s="140">
        <f ca="1">SUMIF($H$5:$DC$5,"&lt;="&amp;PAL,$H87:$DC87)</f>
        <v>0</v>
      </c>
      <c r="H87" s="138">
        <f t="shared" ca="1" si="90"/>
        <v>0</v>
      </c>
      <c r="I87" s="138">
        <f t="shared" ca="1" si="90"/>
        <v>0</v>
      </c>
      <c r="J87" s="138">
        <f t="shared" ca="1" si="90"/>
        <v>0</v>
      </c>
      <c r="K87" s="138">
        <f t="shared" ca="1" si="90"/>
        <v>0</v>
      </c>
      <c r="L87" s="138">
        <f t="shared" ca="1" si="90"/>
        <v>0</v>
      </c>
      <c r="M87" s="138">
        <f t="shared" ca="1" si="90"/>
        <v>0</v>
      </c>
      <c r="N87" s="138">
        <f t="shared" ca="1" si="90"/>
        <v>0</v>
      </c>
      <c r="O87" s="138">
        <f t="shared" ca="1" si="90"/>
        <v>0</v>
      </c>
      <c r="P87" s="138">
        <f t="shared" ca="1" si="90"/>
        <v>0</v>
      </c>
      <c r="Q87" s="138">
        <f t="shared" ca="1" si="90"/>
        <v>0</v>
      </c>
      <c r="R87" s="138">
        <f t="shared" ca="1" si="90"/>
        <v>0</v>
      </c>
      <c r="S87" s="138">
        <f t="shared" ca="1" si="90"/>
        <v>0</v>
      </c>
      <c r="T87" s="138">
        <f t="shared" ca="1" si="90"/>
        <v>0</v>
      </c>
      <c r="U87" s="138">
        <f t="shared" ca="1" si="90"/>
        <v>0</v>
      </c>
      <c r="V87" s="138">
        <f t="shared" ca="1" si="90"/>
        <v>0</v>
      </c>
      <c r="W87" s="138">
        <f t="shared" ca="1" si="90"/>
        <v>0</v>
      </c>
      <c r="X87" s="138">
        <f t="shared" ca="1" si="91"/>
        <v>0</v>
      </c>
      <c r="Y87" s="138">
        <f t="shared" ca="1" si="91"/>
        <v>0</v>
      </c>
      <c r="Z87" s="138">
        <f t="shared" ca="1" si="91"/>
        <v>0</v>
      </c>
      <c r="AA87" s="138">
        <f t="shared" ca="1" si="91"/>
        <v>0</v>
      </c>
      <c r="AB87" s="138">
        <f t="shared" ca="1" si="91"/>
        <v>0</v>
      </c>
      <c r="AC87" s="138">
        <f t="shared" ca="1" si="91"/>
        <v>0</v>
      </c>
      <c r="AD87" s="138">
        <f t="shared" ca="1" si="91"/>
        <v>0</v>
      </c>
      <c r="AE87" s="138">
        <f t="shared" ca="1" si="91"/>
        <v>0</v>
      </c>
      <c r="AF87" s="138">
        <f t="shared" ca="1" si="91"/>
        <v>0</v>
      </c>
      <c r="AG87" s="138">
        <f t="shared" ca="1" si="91"/>
        <v>0</v>
      </c>
      <c r="AH87" s="138">
        <f t="shared" ca="1" si="91"/>
        <v>0</v>
      </c>
      <c r="AI87" s="138">
        <f t="shared" ca="1" si="91"/>
        <v>0</v>
      </c>
      <c r="AJ87" s="138">
        <f t="shared" ca="1" si="91"/>
        <v>0</v>
      </c>
      <c r="AK87" s="138">
        <f t="shared" ca="1" si="91"/>
        <v>0</v>
      </c>
      <c r="AL87" s="138">
        <f t="shared" ca="1" si="91"/>
        <v>0</v>
      </c>
      <c r="AM87" s="138">
        <f t="shared" ca="1" si="91"/>
        <v>0</v>
      </c>
      <c r="AN87" s="138">
        <f t="shared" ca="1" si="92"/>
        <v>0</v>
      </c>
      <c r="AO87" s="138">
        <f t="shared" ca="1" si="92"/>
        <v>0</v>
      </c>
      <c r="AP87" s="138">
        <f t="shared" ca="1" si="92"/>
        <v>0</v>
      </c>
      <c r="AQ87" s="138">
        <f t="shared" ca="1" si="92"/>
        <v>0</v>
      </c>
      <c r="AR87" s="138">
        <f t="shared" ca="1" si="92"/>
        <v>0</v>
      </c>
      <c r="AS87" s="138">
        <f t="shared" ca="1" si="92"/>
        <v>0</v>
      </c>
      <c r="AT87" s="138">
        <f t="shared" ca="1" si="92"/>
        <v>0</v>
      </c>
      <c r="AU87" s="138">
        <f t="shared" ca="1" si="92"/>
        <v>0</v>
      </c>
      <c r="AV87" s="138">
        <f t="shared" ca="1" si="92"/>
        <v>0</v>
      </c>
      <c r="AW87" s="138">
        <f t="shared" ca="1" si="92"/>
        <v>0</v>
      </c>
      <c r="AX87" s="138">
        <f t="shared" ca="1" si="92"/>
        <v>0</v>
      </c>
      <c r="AY87" s="138">
        <f t="shared" ca="1" si="92"/>
        <v>0</v>
      </c>
      <c r="AZ87" s="138">
        <f t="shared" ca="1" si="92"/>
        <v>0</v>
      </c>
      <c r="BA87" s="138">
        <f t="shared" ca="1" si="92"/>
        <v>0</v>
      </c>
      <c r="BB87" s="138">
        <f t="shared" ca="1" si="92"/>
        <v>0</v>
      </c>
      <c r="BC87" s="138">
        <f t="shared" ca="1" si="92"/>
        <v>0</v>
      </c>
      <c r="BD87" s="138">
        <f t="shared" ca="1" si="93"/>
        <v>0</v>
      </c>
      <c r="BE87" s="138">
        <f t="shared" ca="1" si="93"/>
        <v>0</v>
      </c>
      <c r="BF87" s="138">
        <f t="shared" ca="1" si="93"/>
        <v>0</v>
      </c>
      <c r="BG87" s="138">
        <f t="shared" ca="1" si="93"/>
        <v>0</v>
      </c>
      <c r="BH87" s="138">
        <f t="shared" ca="1" si="93"/>
        <v>0</v>
      </c>
      <c r="BI87" s="138">
        <f t="shared" ca="1" si="93"/>
        <v>0</v>
      </c>
      <c r="BJ87" s="138">
        <f t="shared" ca="1" si="93"/>
        <v>0</v>
      </c>
      <c r="BK87" s="138">
        <f t="shared" ca="1" si="93"/>
        <v>0</v>
      </c>
      <c r="BL87" s="138">
        <f t="shared" ca="1" si="93"/>
        <v>0</v>
      </c>
      <c r="BM87" s="138">
        <f t="shared" ca="1" si="93"/>
        <v>0</v>
      </c>
      <c r="BN87" s="138">
        <f t="shared" ca="1" si="93"/>
        <v>0</v>
      </c>
      <c r="BO87" s="138">
        <f t="shared" ca="1" si="93"/>
        <v>0</v>
      </c>
      <c r="BP87" s="138">
        <f t="shared" ca="1" si="93"/>
        <v>0</v>
      </c>
      <c r="BQ87" s="138">
        <f t="shared" ca="1" si="93"/>
        <v>0</v>
      </c>
      <c r="BR87" s="138">
        <f t="shared" ca="1" si="93"/>
        <v>0</v>
      </c>
      <c r="BS87" s="138">
        <f t="shared" ca="1" si="93"/>
        <v>0</v>
      </c>
      <c r="BT87" s="138">
        <f t="shared" ca="1" si="94"/>
        <v>0</v>
      </c>
      <c r="BU87" s="138">
        <f t="shared" ca="1" si="94"/>
        <v>0</v>
      </c>
      <c r="BV87" s="138">
        <f t="shared" ca="1" si="94"/>
        <v>0</v>
      </c>
      <c r="BW87" s="138">
        <f t="shared" ca="1" si="94"/>
        <v>0</v>
      </c>
      <c r="BX87" s="138">
        <f t="shared" ca="1" si="94"/>
        <v>0</v>
      </c>
      <c r="BY87" s="138">
        <f t="shared" ca="1" si="94"/>
        <v>0</v>
      </c>
      <c r="BZ87" s="138">
        <f t="shared" ca="1" si="94"/>
        <v>0</v>
      </c>
      <c r="CA87" s="138">
        <f t="shared" ca="1" si="94"/>
        <v>0</v>
      </c>
      <c r="CB87" s="138">
        <f t="shared" ca="1" si="94"/>
        <v>0</v>
      </c>
      <c r="CC87" s="138">
        <f t="shared" ca="1" si="94"/>
        <v>0</v>
      </c>
      <c r="CD87" s="138">
        <f t="shared" ca="1" si="94"/>
        <v>0</v>
      </c>
      <c r="CE87" s="138">
        <f t="shared" ca="1" si="94"/>
        <v>0</v>
      </c>
      <c r="CF87" s="138">
        <f t="shared" ca="1" si="94"/>
        <v>0</v>
      </c>
      <c r="CG87" s="138">
        <f t="shared" ca="1" si="94"/>
        <v>0</v>
      </c>
      <c r="CH87" s="138">
        <f t="shared" ca="1" si="94"/>
        <v>0</v>
      </c>
      <c r="CI87" s="138">
        <f t="shared" ca="1" si="94"/>
        <v>0</v>
      </c>
      <c r="CJ87" s="138">
        <f t="shared" ca="1" si="95"/>
        <v>0</v>
      </c>
      <c r="CK87" s="138">
        <f t="shared" ca="1" si="95"/>
        <v>0</v>
      </c>
      <c r="CL87" s="138">
        <f t="shared" ca="1" si="95"/>
        <v>0</v>
      </c>
      <c r="CM87" s="138">
        <f t="shared" ca="1" si="95"/>
        <v>0</v>
      </c>
      <c r="CN87" s="138">
        <f t="shared" ca="1" si="95"/>
        <v>0</v>
      </c>
      <c r="CO87" s="138">
        <f t="shared" ca="1" si="95"/>
        <v>0</v>
      </c>
      <c r="CP87" s="138">
        <f t="shared" ca="1" si="95"/>
        <v>0</v>
      </c>
      <c r="CQ87" s="138">
        <f t="shared" ca="1" si="95"/>
        <v>0</v>
      </c>
      <c r="CR87" s="138">
        <f t="shared" ca="1" si="95"/>
        <v>0</v>
      </c>
      <c r="CS87" s="138">
        <f t="shared" ca="1" si="95"/>
        <v>0</v>
      </c>
      <c r="CT87" s="138">
        <f t="shared" ca="1" si="96"/>
        <v>0</v>
      </c>
      <c r="CU87" s="138">
        <f t="shared" ca="1" si="96"/>
        <v>0</v>
      </c>
      <c r="CV87" s="138">
        <f t="shared" ca="1" si="96"/>
        <v>0</v>
      </c>
      <c r="CW87" s="138">
        <f t="shared" ca="1" si="96"/>
        <v>0</v>
      </c>
      <c r="CX87" s="138">
        <f t="shared" ca="1" si="96"/>
        <v>0</v>
      </c>
      <c r="CY87" s="138">
        <f t="shared" ca="1" si="96"/>
        <v>0</v>
      </c>
      <c r="CZ87" s="138">
        <f t="shared" ca="1" si="96"/>
        <v>0</v>
      </c>
      <c r="DA87" s="138">
        <f t="shared" ca="1" si="96"/>
        <v>0</v>
      </c>
      <c r="DB87" s="138">
        <f t="shared" ca="1" si="96"/>
        <v>0</v>
      </c>
      <c r="DC87" s="138">
        <f t="shared" ca="1" si="96"/>
        <v>0</v>
      </c>
      <c r="DE87" s="254" t="str">
        <f t="shared" ca="1" si="87"/>
        <v>F.9.</v>
      </c>
      <c r="DF87">
        <f t="shared" ca="1" si="97"/>
        <v>1</v>
      </c>
      <c r="DG87">
        <f t="shared" ca="1" si="98"/>
        <v>21</v>
      </c>
      <c r="DH87">
        <v>0</v>
      </c>
    </row>
    <row r="88" spans="1:112" hidden="1">
      <c r="A88" s="124">
        <v>76</v>
      </c>
      <c r="B88" s="205" t="str">
        <f t="shared" ca="1" si="84"/>
        <v>F.L.</v>
      </c>
      <c r="C88" s="129" t="str">
        <f t="shared" ca="1" si="85"/>
        <v>Likutinė vertė</v>
      </c>
      <c r="D88" s="114"/>
      <c r="E88" s="148">
        <f t="shared" ca="1" si="86"/>
        <v>0.21</v>
      </c>
      <c r="F88" s="139">
        <f ca="1">H88+NPV(FD,I88:INDEX(I88:DC88,PAL))</f>
        <v>0</v>
      </c>
      <c r="G88" s="140">
        <f ca="1">SUMIF($H$5:$DC$5,"&lt;="&amp;PAL,$H88:$DC88)</f>
        <v>0</v>
      </c>
      <c r="H88" s="138">
        <f t="shared" ref="H88:BS88" ca="1" si="99">OFFSET(INDIRECT("'"&amp;Opt_alt&amp;"'!H12"),$A88,H$5)</f>
        <v>0</v>
      </c>
      <c r="I88" s="138">
        <f t="shared" ca="1" si="99"/>
        <v>0</v>
      </c>
      <c r="J88" s="138">
        <f t="shared" ca="1" si="99"/>
        <v>0</v>
      </c>
      <c r="K88" s="138">
        <f t="shared" ca="1" si="99"/>
        <v>0</v>
      </c>
      <c r="L88" s="138">
        <f t="shared" ca="1" si="99"/>
        <v>0</v>
      </c>
      <c r="M88" s="138">
        <f t="shared" ca="1" si="99"/>
        <v>0</v>
      </c>
      <c r="N88" s="138">
        <f t="shared" ca="1" si="99"/>
        <v>0</v>
      </c>
      <c r="O88" s="138">
        <f t="shared" ca="1" si="99"/>
        <v>0</v>
      </c>
      <c r="P88" s="138">
        <f t="shared" ca="1" si="99"/>
        <v>0</v>
      </c>
      <c r="Q88" s="138">
        <f t="shared" ca="1" si="99"/>
        <v>0</v>
      </c>
      <c r="R88" s="138">
        <f t="shared" ca="1" si="99"/>
        <v>0</v>
      </c>
      <c r="S88" s="138">
        <f t="shared" ca="1" si="99"/>
        <v>0</v>
      </c>
      <c r="T88" s="138">
        <f t="shared" ca="1" si="99"/>
        <v>0</v>
      </c>
      <c r="U88" s="138">
        <f t="shared" ca="1" si="99"/>
        <v>0</v>
      </c>
      <c r="V88" s="138">
        <f t="shared" ca="1" si="99"/>
        <v>0</v>
      </c>
      <c r="W88" s="138">
        <f t="shared" ca="1" si="99"/>
        <v>0</v>
      </c>
      <c r="X88" s="138">
        <f t="shared" ca="1" si="99"/>
        <v>0</v>
      </c>
      <c r="Y88" s="138">
        <f t="shared" ca="1" si="99"/>
        <v>0</v>
      </c>
      <c r="Z88" s="138">
        <f t="shared" ca="1" si="99"/>
        <v>0</v>
      </c>
      <c r="AA88" s="138">
        <f t="shared" ca="1" si="99"/>
        <v>0</v>
      </c>
      <c r="AB88" s="138">
        <f t="shared" ca="1" si="99"/>
        <v>0</v>
      </c>
      <c r="AC88" s="138">
        <f t="shared" ca="1" si="99"/>
        <v>0</v>
      </c>
      <c r="AD88" s="138">
        <f t="shared" ca="1" si="99"/>
        <v>0</v>
      </c>
      <c r="AE88" s="138">
        <f t="shared" ca="1" si="99"/>
        <v>0</v>
      </c>
      <c r="AF88" s="138">
        <f t="shared" ca="1" si="99"/>
        <v>0</v>
      </c>
      <c r="AG88" s="138">
        <f t="shared" ca="1" si="99"/>
        <v>0</v>
      </c>
      <c r="AH88" s="138">
        <f t="shared" ca="1" si="99"/>
        <v>0</v>
      </c>
      <c r="AI88" s="138">
        <f t="shared" ca="1" si="99"/>
        <v>0</v>
      </c>
      <c r="AJ88" s="138">
        <f t="shared" ca="1" si="99"/>
        <v>0</v>
      </c>
      <c r="AK88" s="138">
        <f t="shared" ca="1" si="99"/>
        <v>0</v>
      </c>
      <c r="AL88" s="138">
        <f t="shared" ca="1" si="99"/>
        <v>0</v>
      </c>
      <c r="AM88" s="138">
        <f t="shared" ca="1" si="99"/>
        <v>0</v>
      </c>
      <c r="AN88" s="138">
        <f t="shared" ca="1" si="99"/>
        <v>0</v>
      </c>
      <c r="AO88" s="138">
        <f t="shared" ca="1" si="99"/>
        <v>0</v>
      </c>
      <c r="AP88" s="138">
        <f t="shared" ca="1" si="99"/>
        <v>0</v>
      </c>
      <c r="AQ88" s="138">
        <f t="shared" ca="1" si="99"/>
        <v>0</v>
      </c>
      <c r="AR88" s="138">
        <f t="shared" ca="1" si="99"/>
        <v>0</v>
      </c>
      <c r="AS88" s="138">
        <f t="shared" ca="1" si="99"/>
        <v>0</v>
      </c>
      <c r="AT88" s="138">
        <f t="shared" ca="1" si="99"/>
        <v>0</v>
      </c>
      <c r="AU88" s="138">
        <f t="shared" ca="1" si="99"/>
        <v>0</v>
      </c>
      <c r="AV88" s="138">
        <f t="shared" ca="1" si="99"/>
        <v>0</v>
      </c>
      <c r="AW88" s="138">
        <f t="shared" ca="1" si="99"/>
        <v>0</v>
      </c>
      <c r="AX88" s="138">
        <f t="shared" ca="1" si="99"/>
        <v>0</v>
      </c>
      <c r="AY88" s="138">
        <f t="shared" ca="1" si="99"/>
        <v>0</v>
      </c>
      <c r="AZ88" s="138">
        <f t="shared" ca="1" si="99"/>
        <v>0</v>
      </c>
      <c r="BA88" s="138">
        <f t="shared" ca="1" si="99"/>
        <v>0</v>
      </c>
      <c r="BB88" s="138">
        <f t="shared" ca="1" si="99"/>
        <v>0</v>
      </c>
      <c r="BC88" s="138">
        <f t="shared" ca="1" si="99"/>
        <v>0</v>
      </c>
      <c r="BD88" s="138">
        <f t="shared" ca="1" si="99"/>
        <v>0</v>
      </c>
      <c r="BE88" s="138">
        <f t="shared" ca="1" si="99"/>
        <v>0</v>
      </c>
      <c r="BF88" s="138">
        <f t="shared" ca="1" si="99"/>
        <v>0</v>
      </c>
      <c r="BG88" s="138">
        <f t="shared" ca="1" si="99"/>
        <v>0</v>
      </c>
      <c r="BH88" s="138">
        <f t="shared" ca="1" si="99"/>
        <v>0</v>
      </c>
      <c r="BI88" s="138">
        <f t="shared" ca="1" si="99"/>
        <v>0</v>
      </c>
      <c r="BJ88" s="138">
        <f t="shared" ca="1" si="99"/>
        <v>0</v>
      </c>
      <c r="BK88" s="138">
        <f t="shared" ca="1" si="99"/>
        <v>0</v>
      </c>
      <c r="BL88" s="138">
        <f t="shared" ca="1" si="99"/>
        <v>0</v>
      </c>
      <c r="BM88" s="138">
        <f t="shared" ca="1" si="99"/>
        <v>0</v>
      </c>
      <c r="BN88" s="138">
        <f t="shared" ca="1" si="99"/>
        <v>0</v>
      </c>
      <c r="BO88" s="138">
        <f t="shared" ca="1" si="99"/>
        <v>0</v>
      </c>
      <c r="BP88" s="138">
        <f t="shared" ca="1" si="99"/>
        <v>0</v>
      </c>
      <c r="BQ88" s="138">
        <f t="shared" ca="1" si="99"/>
        <v>0</v>
      </c>
      <c r="BR88" s="138">
        <f t="shared" ca="1" si="99"/>
        <v>0</v>
      </c>
      <c r="BS88" s="138">
        <f t="shared" ca="1" si="99"/>
        <v>0</v>
      </c>
      <c r="BT88" s="138">
        <f t="shared" ref="BT88:DC88" ca="1" si="100">OFFSET(INDIRECT("'"&amp;Opt_alt&amp;"'!H12"),$A88,BT$5)</f>
        <v>0</v>
      </c>
      <c r="BU88" s="138">
        <f t="shared" ca="1" si="100"/>
        <v>0</v>
      </c>
      <c r="BV88" s="138">
        <f t="shared" ca="1" si="100"/>
        <v>0</v>
      </c>
      <c r="BW88" s="138">
        <f t="shared" ca="1" si="100"/>
        <v>0</v>
      </c>
      <c r="BX88" s="138">
        <f t="shared" ca="1" si="100"/>
        <v>0</v>
      </c>
      <c r="BY88" s="138">
        <f t="shared" ca="1" si="100"/>
        <v>0</v>
      </c>
      <c r="BZ88" s="138">
        <f t="shared" ca="1" si="100"/>
        <v>0</v>
      </c>
      <c r="CA88" s="138">
        <f t="shared" ca="1" si="100"/>
        <v>0</v>
      </c>
      <c r="CB88" s="138">
        <f t="shared" ca="1" si="100"/>
        <v>0</v>
      </c>
      <c r="CC88" s="138">
        <f t="shared" ca="1" si="100"/>
        <v>0</v>
      </c>
      <c r="CD88" s="138">
        <f t="shared" ca="1" si="100"/>
        <v>0</v>
      </c>
      <c r="CE88" s="138">
        <f t="shared" ca="1" si="100"/>
        <v>0</v>
      </c>
      <c r="CF88" s="138">
        <f t="shared" ca="1" si="100"/>
        <v>0</v>
      </c>
      <c r="CG88" s="138">
        <f t="shared" ca="1" si="100"/>
        <v>0</v>
      </c>
      <c r="CH88" s="138">
        <f t="shared" ca="1" si="100"/>
        <v>0</v>
      </c>
      <c r="CI88" s="138">
        <f t="shared" ca="1" si="100"/>
        <v>0</v>
      </c>
      <c r="CJ88" s="138">
        <f t="shared" ca="1" si="100"/>
        <v>0</v>
      </c>
      <c r="CK88" s="138">
        <f t="shared" ca="1" si="100"/>
        <v>0</v>
      </c>
      <c r="CL88" s="138">
        <f t="shared" ca="1" si="100"/>
        <v>0</v>
      </c>
      <c r="CM88" s="138">
        <f t="shared" ca="1" si="100"/>
        <v>0</v>
      </c>
      <c r="CN88" s="138">
        <f t="shared" ca="1" si="100"/>
        <v>0</v>
      </c>
      <c r="CO88" s="138">
        <f t="shared" ca="1" si="100"/>
        <v>0</v>
      </c>
      <c r="CP88" s="138">
        <f t="shared" ca="1" si="100"/>
        <v>0</v>
      </c>
      <c r="CQ88" s="138">
        <f t="shared" ca="1" si="100"/>
        <v>0</v>
      </c>
      <c r="CR88" s="138">
        <f t="shared" ca="1" si="100"/>
        <v>0</v>
      </c>
      <c r="CS88" s="138">
        <f t="shared" ca="1" si="100"/>
        <v>0</v>
      </c>
      <c r="CT88" s="138">
        <f t="shared" ca="1" si="100"/>
        <v>0</v>
      </c>
      <c r="CU88" s="138">
        <f t="shared" ca="1" si="100"/>
        <v>0</v>
      </c>
      <c r="CV88" s="138">
        <f t="shared" ca="1" si="100"/>
        <v>0</v>
      </c>
      <c r="CW88" s="138">
        <f t="shared" ca="1" si="100"/>
        <v>0</v>
      </c>
      <c r="CX88" s="138">
        <f t="shared" ca="1" si="100"/>
        <v>0</v>
      </c>
      <c r="CY88" s="138">
        <f t="shared" ca="1" si="100"/>
        <v>0</v>
      </c>
      <c r="CZ88" s="138">
        <f t="shared" ca="1" si="100"/>
        <v>0</v>
      </c>
      <c r="DA88" s="138">
        <f t="shared" ca="1" si="100"/>
        <v>0</v>
      </c>
      <c r="DB88" s="138">
        <f t="shared" ca="1" si="100"/>
        <v>0</v>
      </c>
      <c r="DC88" s="138">
        <f t="shared" ca="1" si="100"/>
        <v>0</v>
      </c>
      <c r="DE88" s="254" t="str">
        <f t="shared" ca="1" si="87"/>
        <v>F.L.</v>
      </c>
      <c r="DF88">
        <f t="shared" ca="1" si="97"/>
        <v>1</v>
      </c>
      <c r="DG88">
        <f t="shared" ca="1" si="98"/>
        <v>21</v>
      </c>
      <c r="DH88">
        <f ca="1">DG88/(100+DG88)</f>
        <v>0.17355371900826447</v>
      </c>
    </row>
    <row r="89" spans="1:112" hidden="1">
      <c r="A89" s="124">
        <v>77</v>
      </c>
      <c r="B89" s="205" t="str">
        <f t="shared" ca="1" si="84"/>
        <v>G.</v>
      </c>
      <c r="C89" s="197" t="str">
        <f t="shared" ca="1" si="85"/>
        <v>VEIKLOS IR PALAIKYMO (ATNAUJINIMO) SĄNAUDOS, IŠ VISO</v>
      </c>
      <c r="D89" s="18"/>
      <c r="E89" s="233" t="str">
        <f t="shared" ca="1" si="86"/>
        <v/>
      </c>
      <c r="F89" s="141">
        <f ca="1">SUM(F90:F99)</f>
        <v>125466906.89955845</v>
      </c>
      <c r="G89" s="143">
        <f ca="1">SUM(G90:G99)</f>
        <v>191640865.77715254</v>
      </c>
      <c r="H89" s="234">
        <f ca="1">SUM(H90:H99)</f>
        <v>0</v>
      </c>
      <c r="I89" s="234">
        <f t="shared" ref="I89:BT89" ca="1" si="101">SUM(I90:I99)</f>
        <v>1632000</v>
      </c>
      <c r="J89" s="234">
        <f t="shared" ca="1" si="101"/>
        <v>4418628.6675319998</v>
      </c>
      <c r="K89" s="234">
        <f t="shared" ca="1" si="101"/>
        <v>6899390.9378861338</v>
      </c>
      <c r="L89" s="234">
        <f t="shared" ca="1" si="101"/>
        <v>10507520.3630432</v>
      </c>
      <c r="M89" s="234">
        <f t="shared" ca="1" si="101"/>
        <v>10507520.3630432</v>
      </c>
      <c r="N89" s="234">
        <f t="shared" ca="1" si="101"/>
        <v>10507520.3630432</v>
      </c>
      <c r="O89" s="234">
        <f t="shared" ca="1" si="101"/>
        <v>10512020.3630432</v>
      </c>
      <c r="P89" s="234">
        <f t="shared" ca="1" si="101"/>
        <v>10512020.3630432</v>
      </c>
      <c r="Q89" s="234">
        <f t="shared" ca="1" si="101"/>
        <v>10512020.3630432</v>
      </c>
      <c r="R89" s="234">
        <f t="shared" ca="1" si="101"/>
        <v>10512020.3630432</v>
      </c>
      <c r="S89" s="234">
        <f t="shared" ca="1" si="101"/>
        <v>10512020.3630432</v>
      </c>
      <c r="T89" s="234">
        <f t="shared" ca="1" si="101"/>
        <v>10512020.3630432</v>
      </c>
      <c r="U89" s="234">
        <f t="shared" ca="1" si="101"/>
        <v>10512020.3630432</v>
      </c>
      <c r="V89" s="234">
        <f t="shared" ca="1" si="101"/>
        <v>10512020.3630432</v>
      </c>
      <c r="W89" s="234">
        <f t="shared" ca="1" si="101"/>
        <v>10512020.3630432</v>
      </c>
      <c r="X89" s="234">
        <f t="shared" ca="1" si="101"/>
        <v>10512020.3630432</v>
      </c>
      <c r="Y89" s="234">
        <f t="shared" ca="1" si="101"/>
        <v>10512020.3630432</v>
      </c>
      <c r="Z89" s="234">
        <f t="shared" ca="1" si="101"/>
        <v>10512020.3630432</v>
      </c>
      <c r="AA89" s="234">
        <f t="shared" ca="1" si="101"/>
        <v>10512020.3630432</v>
      </c>
      <c r="AB89" s="234">
        <f t="shared" ca="1" si="101"/>
        <v>10512020.3630432</v>
      </c>
      <c r="AC89" s="234">
        <f t="shared" ca="1" si="101"/>
        <v>2351431.8160736002</v>
      </c>
      <c r="AD89" s="234">
        <f t="shared" ca="1" si="101"/>
        <v>2351431.8160736002</v>
      </c>
      <c r="AE89" s="234">
        <f t="shared" ca="1" si="101"/>
        <v>2351431.8160736002</v>
      </c>
      <c r="AF89" s="234">
        <f t="shared" ca="1" si="101"/>
        <v>2351431.8160736002</v>
      </c>
      <c r="AG89" s="234">
        <f t="shared" ca="1" si="101"/>
        <v>2351431.8160736002</v>
      </c>
      <c r="AH89" s="234">
        <f t="shared" ca="1" si="101"/>
        <v>2351431.8160736002</v>
      </c>
      <c r="AI89" s="234">
        <f t="shared" ca="1" si="101"/>
        <v>2351431.8160736002</v>
      </c>
      <c r="AJ89" s="234">
        <f t="shared" ca="1" si="101"/>
        <v>2351431.8160736002</v>
      </c>
      <c r="AK89" s="234">
        <f t="shared" ca="1" si="101"/>
        <v>2351431.8160736002</v>
      </c>
      <c r="AL89" s="234">
        <f t="shared" ca="1" si="101"/>
        <v>2351431.8160736002</v>
      </c>
      <c r="AM89" s="234">
        <f t="shared" ca="1" si="101"/>
        <v>2351431.8160736002</v>
      </c>
      <c r="AN89" s="234">
        <f t="shared" ca="1" si="101"/>
        <v>2351431.8160736002</v>
      </c>
      <c r="AO89" s="234">
        <f t="shared" ca="1" si="101"/>
        <v>2351431.8160736002</v>
      </c>
      <c r="AP89" s="234">
        <f t="shared" ca="1" si="101"/>
        <v>2351431.8160736002</v>
      </c>
      <c r="AQ89" s="234">
        <f t="shared" ca="1" si="101"/>
        <v>2351431.8160736002</v>
      </c>
      <c r="AR89" s="234">
        <f t="shared" ca="1" si="101"/>
        <v>2351431.8160736002</v>
      </c>
      <c r="AS89" s="234">
        <f t="shared" ca="1" si="101"/>
        <v>2351431.8160736002</v>
      </c>
      <c r="AT89" s="234">
        <f t="shared" ca="1" si="101"/>
        <v>2351431.8160736002</v>
      </c>
      <c r="AU89" s="234">
        <f t="shared" ca="1" si="101"/>
        <v>2351431.8160736002</v>
      </c>
      <c r="AV89" s="234">
        <f t="shared" ca="1" si="101"/>
        <v>2351431.8160736002</v>
      </c>
      <c r="AW89" s="234">
        <f t="shared" ca="1" si="101"/>
        <v>2351431.8160736002</v>
      </c>
      <c r="AX89" s="234">
        <f t="shared" ca="1" si="101"/>
        <v>2351431.8160736002</v>
      </c>
      <c r="AY89" s="234">
        <f t="shared" ca="1" si="101"/>
        <v>2351431.8160736002</v>
      </c>
      <c r="AZ89" s="234">
        <f t="shared" ca="1" si="101"/>
        <v>2351431.8160736002</v>
      </c>
      <c r="BA89" s="234">
        <f t="shared" ca="1" si="101"/>
        <v>2351431.8160736002</v>
      </c>
      <c r="BB89" s="234">
        <f t="shared" ca="1" si="101"/>
        <v>2351431.8160736002</v>
      </c>
      <c r="BC89" s="234">
        <f t="shared" ca="1" si="101"/>
        <v>2351431.8160736002</v>
      </c>
      <c r="BD89" s="234">
        <f t="shared" ca="1" si="101"/>
        <v>2351431.8160736002</v>
      </c>
      <c r="BE89" s="234">
        <f t="shared" ca="1" si="101"/>
        <v>2351431.8160736002</v>
      </c>
      <c r="BF89" s="234">
        <f t="shared" ca="1" si="101"/>
        <v>2351431.8160736002</v>
      </c>
      <c r="BG89" s="234">
        <f t="shared" ca="1" si="101"/>
        <v>2351431.8160736002</v>
      </c>
      <c r="BH89" s="234">
        <f t="shared" ca="1" si="101"/>
        <v>2351431.8160736002</v>
      </c>
      <c r="BI89" s="234">
        <f t="shared" ca="1" si="101"/>
        <v>2351431.8160736002</v>
      </c>
      <c r="BJ89" s="234">
        <f t="shared" ca="1" si="101"/>
        <v>2351431.8160736002</v>
      </c>
      <c r="BK89" s="234">
        <f t="shared" ca="1" si="101"/>
        <v>2351431.8160736002</v>
      </c>
      <c r="BL89" s="234">
        <f t="shared" ca="1" si="101"/>
        <v>2351431.8160736002</v>
      </c>
      <c r="BM89" s="234">
        <f t="shared" ca="1" si="101"/>
        <v>2351431.8160736002</v>
      </c>
      <c r="BN89" s="234">
        <f t="shared" ca="1" si="101"/>
        <v>2351431.8160736002</v>
      </c>
      <c r="BO89" s="234">
        <f t="shared" ca="1" si="101"/>
        <v>2351431.8160736002</v>
      </c>
      <c r="BP89" s="234">
        <f t="shared" ca="1" si="101"/>
        <v>2351431.8160736002</v>
      </c>
      <c r="BQ89" s="234">
        <f t="shared" ca="1" si="101"/>
        <v>2351431.8160736002</v>
      </c>
      <c r="BR89" s="234">
        <f t="shared" ca="1" si="101"/>
        <v>2351431.8160736002</v>
      </c>
      <c r="BS89" s="234">
        <f t="shared" ca="1" si="101"/>
        <v>2351431.8160736002</v>
      </c>
      <c r="BT89" s="234">
        <f t="shared" ca="1" si="101"/>
        <v>2351431.8160736002</v>
      </c>
      <c r="BU89" s="234">
        <f t="shared" ref="BU89:DC89" ca="1" si="102">SUM(BU90:BU99)</f>
        <v>2351431.8160736002</v>
      </c>
      <c r="BV89" s="234">
        <f t="shared" ca="1" si="102"/>
        <v>2351431.8160736002</v>
      </c>
      <c r="BW89" s="234">
        <f t="shared" ca="1" si="102"/>
        <v>2351431.8160736002</v>
      </c>
      <c r="BX89" s="234">
        <f t="shared" ca="1" si="102"/>
        <v>2351431.8160736002</v>
      </c>
      <c r="BY89" s="234">
        <f t="shared" ca="1" si="102"/>
        <v>2351431.8160736002</v>
      </c>
      <c r="BZ89" s="234">
        <f t="shared" ca="1" si="102"/>
        <v>2351431.8160736002</v>
      </c>
      <c r="CA89" s="234">
        <f t="shared" ca="1" si="102"/>
        <v>2351431.8160736002</v>
      </c>
      <c r="CB89" s="234">
        <f t="shared" ca="1" si="102"/>
        <v>2351431.8160736002</v>
      </c>
      <c r="CC89" s="234">
        <f t="shared" ca="1" si="102"/>
        <v>2351431.8160736002</v>
      </c>
      <c r="CD89" s="234">
        <f t="shared" ca="1" si="102"/>
        <v>2351431.8160736002</v>
      </c>
      <c r="CE89" s="234">
        <f t="shared" ca="1" si="102"/>
        <v>2351431.8160736002</v>
      </c>
      <c r="CF89" s="234">
        <f t="shared" ca="1" si="102"/>
        <v>2351431.8160736002</v>
      </c>
      <c r="CG89" s="234">
        <f t="shared" ca="1" si="102"/>
        <v>2351431.8160736002</v>
      </c>
      <c r="CH89" s="234">
        <f t="shared" ca="1" si="102"/>
        <v>2351431.8160736002</v>
      </c>
      <c r="CI89" s="234">
        <f t="shared" ca="1" si="102"/>
        <v>2351431.8160736002</v>
      </c>
      <c r="CJ89" s="234">
        <f t="shared" ca="1" si="102"/>
        <v>2351431.8160736002</v>
      </c>
      <c r="CK89" s="234">
        <f t="shared" ca="1" si="102"/>
        <v>2351431.8160736002</v>
      </c>
      <c r="CL89" s="234">
        <f t="shared" ca="1" si="102"/>
        <v>2351431.8160736002</v>
      </c>
      <c r="CM89" s="234">
        <f t="shared" ca="1" si="102"/>
        <v>2351431.8160736002</v>
      </c>
      <c r="CN89" s="234">
        <f t="shared" ca="1" si="102"/>
        <v>2351431.8160736002</v>
      </c>
      <c r="CO89" s="234">
        <f t="shared" ca="1" si="102"/>
        <v>2351431.8160736002</v>
      </c>
      <c r="CP89" s="234">
        <f t="shared" ca="1" si="102"/>
        <v>2351431.8160736002</v>
      </c>
      <c r="CQ89" s="234">
        <f t="shared" ca="1" si="102"/>
        <v>2351431.8160736002</v>
      </c>
      <c r="CR89" s="234">
        <f t="shared" ca="1" si="102"/>
        <v>2351431.8160736002</v>
      </c>
      <c r="CS89" s="234">
        <f t="shared" ca="1" si="102"/>
        <v>2351431.8160736002</v>
      </c>
      <c r="CT89" s="234">
        <f t="shared" ca="1" si="102"/>
        <v>2351431.8160736002</v>
      </c>
      <c r="CU89" s="234">
        <f t="shared" ca="1" si="102"/>
        <v>2351431.8160736002</v>
      </c>
      <c r="CV89" s="234">
        <f t="shared" ca="1" si="102"/>
        <v>2351431.8160736002</v>
      </c>
      <c r="CW89" s="234">
        <f t="shared" ca="1" si="102"/>
        <v>2351431.8160736002</v>
      </c>
      <c r="CX89" s="234">
        <f t="shared" ca="1" si="102"/>
        <v>2351431.8160736002</v>
      </c>
      <c r="CY89" s="234">
        <f t="shared" ca="1" si="102"/>
        <v>2351431.8160736002</v>
      </c>
      <c r="CZ89" s="234">
        <f t="shared" ca="1" si="102"/>
        <v>2351431.8160736002</v>
      </c>
      <c r="DA89" s="234">
        <f t="shared" ca="1" si="102"/>
        <v>2351431.8160736002</v>
      </c>
      <c r="DB89" s="234">
        <f t="shared" ca="1" si="102"/>
        <v>2351431.8160736002</v>
      </c>
      <c r="DC89" s="234">
        <f t="shared" ca="1" si="102"/>
        <v>2351431.8160736002</v>
      </c>
      <c r="DE89" s="254"/>
    </row>
    <row r="90" spans="1:112" hidden="1">
      <c r="A90" s="124">
        <v>78</v>
      </c>
      <c r="B90" s="205" t="str">
        <f t="shared" ca="1" si="84"/>
        <v>G.1.</v>
      </c>
      <c r="C90" s="129" t="str">
        <f t="shared" ca="1" si="85"/>
        <v>Ekonominės diplomatijos funkcijų stiprinimas</v>
      </c>
      <c r="D90" s="114"/>
      <c r="E90" s="148">
        <f t="shared" ca="1" si="86"/>
        <v>0</v>
      </c>
      <c r="F90" s="139">
        <f ca="1">H90+NPV(FD,I90:INDEX(I90:DC90,PAL))</f>
        <v>24145558.859936103</v>
      </c>
      <c r="G90" s="140">
        <f ca="1">SUMIF($H$5:$DC$5,"&lt;="&amp;PAL,$H90:$DC90)</f>
        <v>37346779.051397339</v>
      </c>
      <c r="H90" s="138">
        <f t="shared" ref="H90:W99" ca="1" si="103">OFFSET(INDIRECT("'"&amp;Opt_alt&amp;"'!H12"),$A90,H$5)*$DF90</f>
        <v>0</v>
      </c>
      <c r="I90" s="138">
        <f t="shared" ca="1" si="103"/>
        <v>0</v>
      </c>
      <c r="J90" s="138">
        <f t="shared" ca="1" si="103"/>
        <v>186128.66753199999</v>
      </c>
      <c r="K90" s="138">
        <f t="shared" ca="1" si="103"/>
        <v>1314156.3272221333</v>
      </c>
      <c r="L90" s="138">
        <f t="shared" ca="1" si="103"/>
        <v>2108617.2974496004</v>
      </c>
      <c r="M90" s="138">
        <f t="shared" ca="1" si="103"/>
        <v>2108617.2974496004</v>
      </c>
      <c r="N90" s="138">
        <f t="shared" ca="1" si="103"/>
        <v>2108617.2974496004</v>
      </c>
      <c r="O90" s="138">
        <f t="shared" ca="1" si="103"/>
        <v>2108617.2974496004</v>
      </c>
      <c r="P90" s="138">
        <f t="shared" ca="1" si="103"/>
        <v>2108617.2974496004</v>
      </c>
      <c r="Q90" s="138">
        <f t="shared" ca="1" si="103"/>
        <v>2108617.2974496004</v>
      </c>
      <c r="R90" s="138">
        <f t="shared" ca="1" si="103"/>
        <v>2108617.2974496004</v>
      </c>
      <c r="S90" s="138">
        <f t="shared" ca="1" si="103"/>
        <v>2108617.2974496004</v>
      </c>
      <c r="T90" s="138">
        <f t="shared" ca="1" si="103"/>
        <v>2108617.2974496004</v>
      </c>
      <c r="U90" s="138">
        <f t="shared" ca="1" si="103"/>
        <v>2108617.2974496004</v>
      </c>
      <c r="V90" s="138">
        <f t="shared" ca="1" si="103"/>
        <v>2108617.2974496004</v>
      </c>
      <c r="W90" s="138">
        <f t="shared" ca="1" si="103"/>
        <v>2108617.2974496004</v>
      </c>
      <c r="X90" s="138">
        <f t="shared" ref="X90:AM99" ca="1" si="104">OFFSET(INDIRECT("'"&amp;Opt_alt&amp;"'!H12"),$A90,X$5)*$DF90</f>
        <v>2108617.2974496004</v>
      </c>
      <c r="Y90" s="138">
        <f t="shared" ca="1" si="104"/>
        <v>2108617.2974496004</v>
      </c>
      <c r="Z90" s="138">
        <f t="shared" ca="1" si="104"/>
        <v>2108617.2974496004</v>
      </c>
      <c r="AA90" s="138">
        <f t="shared" ca="1" si="104"/>
        <v>2108617.2974496004</v>
      </c>
      <c r="AB90" s="138">
        <f t="shared" ca="1" si="104"/>
        <v>2108617.2974496004</v>
      </c>
      <c r="AC90" s="138">
        <f t="shared" ca="1" si="104"/>
        <v>881431.81607360009</v>
      </c>
      <c r="AD90" s="138">
        <f t="shared" ca="1" si="104"/>
        <v>881431.81607360009</v>
      </c>
      <c r="AE90" s="138">
        <f t="shared" ca="1" si="104"/>
        <v>881431.81607360009</v>
      </c>
      <c r="AF90" s="138">
        <f t="shared" ca="1" si="104"/>
        <v>881431.81607360009</v>
      </c>
      <c r="AG90" s="138">
        <f t="shared" ca="1" si="104"/>
        <v>881431.81607360009</v>
      </c>
      <c r="AH90" s="138">
        <f t="shared" ca="1" si="104"/>
        <v>881431.81607360009</v>
      </c>
      <c r="AI90" s="138">
        <f t="shared" ca="1" si="104"/>
        <v>881431.81607360009</v>
      </c>
      <c r="AJ90" s="138">
        <f t="shared" ca="1" si="104"/>
        <v>881431.81607360009</v>
      </c>
      <c r="AK90" s="138">
        <f t="shared" ca="1" si="104"/>
        <v>881431.81607360009</v>
      </c>
      <c r="AL90" s="138">
        <f t="shared" ca="1" si="104"/>
        <v>881431.81607360009</v>
      </c>
      <c r="AM90" s="138">
        <f t="shared" ca="1" si="104"/>
        <v>881431.81607360009</v>
      </c>
      <c r="AN90" s="138">
        <f t="shared" ref="AN90:BC99" ca="1" si="105">OFFSET(INDIRECT("'"&amp;Opt_alt&amp;"'!H12"),$A90,AN$5)*$DF90</f>
        <v>881431.81607360009</v>
      </c>
      <c r="AO90" s="138">
        <f t="shared" ca="1" si="105"/>
        <v>881431.81607360009</v>
      </c>
      <c r="AP90" s="138">
        <f t="shared" ca="1" si="105"/>
        <v>881431.81607360009</v>
      </c>
      <c r="AQ90" s="138">
        <f t="shared" ca="1" si="105"/>
        <v>881431.81607360009</v>
      </c>
      <c r="AR90" s="138">
        <f t="shared" ca="1" si="105"/>
        <v>881431.81607360009</v>
      </c>
      <c r="AS90" s="138">
        <f t="shared" ca="1" si="105"/>
        <v>881431.81607360009</v>
      </c>
      <c r="AT90" s="138">
        <f t="shared" ca="1" si="105"/>
        <v>881431.81607360009</v>
      </c>
      <c r="AU90" s="138">
        <f t="shared" ca="1" si="105"/>
        <v>881431.81607360009</v>
      </c>
      <c r="AV90" s="138">
        <f t="shared" ca="1" si="105"/>
        <v>881431.81607360009</v>
      </c>
      <c r="AW90" s="138">
        <f t="shared" ca="1" si="105"/>
        <v>881431.81607360009</v>
      </c>
      <c r="AX90" s="138">
        <f t="shared" ca="1" si="105"/>
        <v>881431.81607360009</v>
      </c>
      <c r="AY90" s="138">
        <f t="shared" ca="1" si="105"/>
        <v>881431.81607360009</v>
      </c>
      <c r="AZ90" s="138">
        <f t="shared" ca="1" si="105"/>
        <v>881431.81607360009</v>
      </c>
      <c r="BA90" s="138">
        <f t="shared" ca="1" si="105"/>
        <v>881431.81607360009</v>
      </c>
      <c r="BB90" s="138">
        <f t="shared" ca="1" si="105"/>
        <v>881431.81607360009</v>
      </c>
      <c r="BC90" s="138">
        <f t="shared" ca="1" si="105"/>
        <v>881431.81607360009</v>
      </c>
      <c r="BD90" s="138">
        <f t="shared" ref="BD90:BS99" ca="1" si="106">OFFSET(INDIRECT("'"&amp;Opt_alt&amp;"'!H12"),$A90,BD$5)*$DF90</f>
        <v>881431.81607360009</v>
      </c>
      <c r="BE90" s="138">
        <f t="shared" ca="1" si="106"/>
        <v>881431.81607360009</v>
      </c>
      <c r="BF90" s="138">
        <f t="shared" ca="1" si="106"/>
        <v>881431.81607360009</v>
      </c>
      <c r="BG90" s="138">
        <f t="shared" ca="1" si="106"/>
        <v>881431.81607360009</v>
      </c>
      <c r="BH90" s="138">
        <f t="shared" ca="1" si="106"/>
        <v>881431.81607360009</v>
      </c>
      <c r="BI90" s="138">
        <f t="shared" ca="1" si="106"/>
        <v>881431.81607360009</v>
      </c>
      <c r="BJ90" s="138">
        <f t="shared" ca="1" si="106"/>
        <v>881431.81607360009</v>
      </c>
      <c r="BK90" s="138">
        <f t="shared" ca="1" si="106"/>
        <v>881431.81607360009</v>
      </c>
      <c r="BL90" s="138">
        <f t="shared" ca="1" si="106"/>
        <v>881431.81607360009</v>
      </c>
      <c r="BM90" s="138">
        <f t="shared" ca="1" si="106"/>
        <v>881431.81607360009</v>
      </c>
      <c r="BN90" s="138">
        <f t="shared" ca="1" si="106"/>
        <v>881431.81607360009</v>
      </c>
      <c r="BO90" s="138">
        <f t="shared" ca="1" si="106"/>
        <v>881431.81607360009</v>
      </c>
      <c r="BP90" s="138">
        <f t="shared" ca="1" si="106"/>
        <v>881431.81607360009</v>
      </c>
      <c r="BQ90" s="138">
        <f t="shared" ca="1" si="106"/>
        <v>881431.81607360009</v>
      </c>
      <c r="BR90" s="138">
        <f t="shared" ca="1" si="106"/>
        <v>881431.81607360009</v>
      </c>
      <c r="BS90" s="138">
        <f t="shared" ca="1" si="106"/>
        <v>881431.81607360009</v>
      </c>
      <c r="BT90" s="138">
        <f t="shared" ref="BT90:CI99" ca="1" si="107">OFFSET(INDIRECT("'"&amp;Opt_alt&amp;"'!H12"),$A90,BT$5)*$DF90</f>
        <v>881431.81607360009</v>
      </c>
      <c r="BU90" s="138">
        <f t="shared" ca="1" si="107"/>
        <v>881431.81607360009</v>
      </c>
      <c r="BV90" s="138">
        <f t="shared" ca="1" si="107"/>
        <v>881431.81607360009</v>
      </c>
      <c r="BW90" s="138">
        <f t="shared" ca="1" si="107"/>
        <v>881431.81607360009</v>
      </c>
      <c r="BX90" s="138">
        <f t="shared" ca="1" si="107"/>
        <v>881431.81607360009</v>
      </c>
      <c r="BY90" s="138">
        <f t="shared" ca="1" si="107"/>
        <v>881431.81607360009</v>
      </c>
      <c r="BZ90" s="138">
        <f t="shared" ca="1" si="107"/>
        <v>881431.81607360009</v>
      </c>
      <c r="CA90" s="138">
        <f t="shared" ca="1" si="107"/>
        <v>881431.81607360009</v>
      </c>
      <c r="CB90" s="138">
        <f t="shared" ca="1" si="107"/>
        <v>881431.81607360009</v>
      </c>
      <c r="CC90" s="138">
        <f t="shared" ca="1" si="107"/>
        <v>881431.81607360009</v>
      </c>
      <c r="CD90" s="138">
        <f t="shared" ca="1" si="107"/>
        <v>881431.81607360009</v>
      </c>
      <c r="CE90" s="138">
        <f t="shared" ca="1" si="107"/>
        <v>881431.81607360009</v>
      </c>
      <c r="CF90" s="138">
        <f t="shared" ca="1" si="107"/>
        <v>881431.81607360009</v>
      </c>
      <c r="CG90" s="138">
        <f t="shared" ca="1" si="107"/>
        <v>881431.81607360009</v>
      </c>
      <c r="CH90" s="138">
        <f t="shared" ca="1" si="107"/>
        <v>881431.81607360009</v>
      </c>
      <c r="CI90" s="138">
        <f t="shared" ca="1" si="107"/>
        <v>881431.81607360009</v>
      </c>
      <c r="CJ90" s="138">
        <f t="shared" ref="CJ90:CY99" ca="1" si="108">OFFSET(INDIRECT("'"&amp;Opt_alt&amp;"'!H12"),$A90,CJ$5)*$DF90</f>
        <v>881431.81607360009</v>
      </c>
      <c r="CK90" s="138">
        <f t="shared" ca="1" si="108"/>
        <v>881431.81607360009</v>
      </c>
      <c r="CL90" s="138">
        <f t="shared" ca="1" si="108"/>
        <v>881431.81607360009</v>
      </c>
      <c r="CM90" s="138">
        <f t="shared" ca="1" si="108"/>
        <v>881431.81607360009</v>
      </c>
      <c r="CN90" s="138">
        <f t="shared" ca="1" si="108"/>
        <v>881431.81607360009</v>
      </c>
      <c r="CO90" s="138">
        <f t="shared" ca="1" si="108"/>
        <v>881431.81607360009</v>
      </c>
      <c r="CP90" s="138">
        <f t="shared" ca="1" si="108"/>
        <v>881431.81607360009</v>
      </c>
      <c r="CQ90" s="138">
        <f t="shared" ca="1" si="108"/>
        <v>881431.81607360009</v>
      </c>
      <c r="CR90" s="138">
        <f t="shared" ca="1" si="108"/>
        <v>881431.81607360009</v>
      </c>
      <c r="CS90" s="138">
        <f t="shared" ca="1" si="108"/>
        <v>881431.81607360009</v>
      </c>
      <c r="CT90" s="138">
        <f t="shared" ca="1" si="108"/>
        <v>881431.81607360009</v>
      </c>
      <c r="CU90" s="138">
        <f t="shared" ca="1" si="108"/>
        <v>881431.81607360009</v>
      </c>
      <c r="CV90" s="138">
        <f t="shared" ca="1" si="108"/>
        <v>881431.81607360009</v>
      </c>
      <c r="CW90" s="138">
        <f t="shared" ca="1" si="108"/>
        <v>881431.81607360009</v>
      </c>
      <c r="CX90" s="138">
        <f t="shared" ca="1" si="108"/>
        <v>881431.81607360009</v>
      </c>
      <c r="CY90" s="138">
        <f t="shared" ca="1" si="108"/>
        <v>881431.81607360009</v>
      </c>
      <c r="CZ90" s="138">
        <f t="shared" ref="CT90:DC99" ca="1" si="109">OFFSET(INDIRECT("'"&amp;Opt_alt&amp;"'!H12"),$A90,CZ$5)*$DF90</f>
        <v>881431.81607360009</v>
      </c>
      <c r="DA90" s="138">
        <f t="shared" ca="1" si="109"/>
        <v>881431.81607360009</v>
      </c>
      <c r="DB90" s="138">
        <f t="shared" ca="1" si="109"/>
        <v>881431.81607360009</v>
      </c>
      <c r="DC90" s="138">
        <f t="shared" ca="1" si="109"/>
        <v>881431.81607360009</v>
      </c>
      <c r="DE90" s="254" t="str">
        <f t="shared" ca="1" si="87"/>
        <v>G.1.</v>
      </c>
      <c r="DF90">
        <f t="shared" ref="DF90:DF99" ca="1" si="110">VLOOKUP(DE90,scenarijai,$DF$6,FALSE)</f>
        <v>1</v>
      </c>
      <c r="DG90">
        <f t="shared" ref="DG90:DG99" ca="1" si="111">OFFSET(INDIRECT("'"&amp;Opt_alt&amp;"'!H12"),$A90,DG$5)</f>
        <v>0</v>
      </c>
    </row>
    <row r="91" spans="1:112" hidden="1">
      <c r="A91" s="124">
        <v>79</v>
      </c>
      <c r="B91" s="205" t="str">
        <f t="shared" ca="1" si="84"/>
        <v>G.2.</v>
      </c>
      <c r="C91" s="129" t="str">
        <f t="shared" ca="1" si="85"/>
        <v>Darbo su diaspora funkcijų stiprinimas</v>
      </c>
      <c r="D91" s="114"/>
      <c r="E91" s="148">
        <f t="shared" ca="1" si="86"/>
        <v>0</v>
      </c>
      <c r="F91" s="139">
        <f ca="1">H91+NPV(FD,I91:INDEX(I91:DC91,PAL))</f>
        <v>8183456.1680627093</v>
      </c>
      <c r="G91" s="140">
        <f ca="1">SUMIF($H$5:$DC$5,"&lt;="&amp;PAL,$H91:$DC91)</f>
        <v>12742086.725755204</v>
      </c>
      <c r="H91" s="138">
        <f t="shared" ca="1" si="103"/>
        <v>0</v>
      </c>
      <c r="I91" s="138">
        <f t="shared" ca="1" si="103"/>
        <v>0</v>
      </c>
      <c r="J91" s="138">
        <f t="shared" ca="1" si="103"/>
        <v>0</v>
      </c>
      <c r="K91" s="138">
        <f t="shared" ca="1" si="103"/>
        <v>304834.61066400004</v>
      </c>
      <c r="L91" s="138">
        <f t="shared" ca="1" si="103"/>
        <v>731603.06559360004</v>
      </c>
      <c r="M91" s="138">
        <f t="shared" ca="1" si="103"/>
        <v>731603.06559360004</v>
      </c>
      <c r="N91" s="138">
        <f t="shared" ca="1" si="103"/>
        <v>731603.06559360004</v>
      </c>
      <c r="O91" s="138">
        <f t="shared" ca="1" si="103"/>
        <v>731603.06559360004</v>
      </c>
      <c r="P91" s="138">
        <f t="shared" ca="1" si="103"/>
        <v>731603.06559360004</v>
      </c>
      <c r="Q91" s="138">
        <f t="shared" ca="1" si="103"/>
        <v>731603.06559360004</v>
      </c>
      <c r="R91" s="138">
        <f t="shared" ca="1" si="103"/>
        <v>731603.06559360004</v>
      </c>
      <c r="S91" s="138">
        <f t="shared" ca="1" si="103"/>
        <v>731603.06559360004</v>
      </c>
      <c r="T91" s="138">
        <f t="shared" ca="1" si="103"/>
        <v>731603.06559360004</v>
      </c>
      <c r="U91" s="138">
        <f t="shared" ca="1" si="103"/>
        <v>731603.06559360004</v>
      </c>
      <c r="V91" s="138">
        <f t="shared" ca="1" si="103"/>
        <v>731603.06559360004</v>
      </c>
      <c r="W91" s="138">
        <f t="shared" ca="1" si="103"/>
        <v>731603.06559360004</v>
      </c>
      <c r="X91" s="138">
        <f t="shared" ca="1" si="104"/>
        <v>731603.06559360004</v>
      </c>
      <c r="Y91" s="138">
        <f t="shared" ca="1" si="104"/>
        <v>731603.06559360004</v>
      </c>
      <c r="Z91" s="138">
        <f t="shared" ca="1" si="104"/>
        <v>731603.06559360004</v>
      </c>
      <c r="AA91" s="138">
        <f t="shared" ca="1" si="104"/>
        <v>731603.06559360004</v>
      </c>
      <c r="AB91" s="138">
        <f t="shared" ca="1" si="104"/>
        <v>731603.06559360004</v>
      </c>
      <c r="AC91" s="138">
        <f t="shared" ca="1" si="104"/>
        <v>0</v>
      </c>
      <c r="AD91" s="138">
        <f t="shared" ca="1" si="104"/>
        <v>0</v>
      </c>
      <c r="AE91" s="138">
        <f t="shared" ca="1" si="104"/>
        <v>0</v>
      </c>
      <c r="AF91" s="138">
        <f t="shared" ca="1" si="104"/>
        <v>0</v>
      </c>
      <c r="AG91" s="138">
        <f t="shared" ca="1" si="104"/>
        <v>0</v>
      </c>
      <c r="AH91" s="138">
        <f t="shared" ca="1" si="104"/>
        <v>0</v>
      </c>
      <c r="AI91" s="138">
        <f t="shared" ca="1" si="104"/>
        <v>0</v>
      </c>
      <c r="AJ91" s="138">
        <f t="shared" ca="1" si="104"/>
        <v>0</v>
      </c>
      <c r="AK91" s="138">
        <f t="shared" ca="1" si="104"/>
        <v>0</v>
      </c>
      <c r="AL91" s="138">
        <f t="shared" ca="1" si="104"/>
        <v>0</v>
      </c>
      <c r="AM91" s="138">
        <f t="shared" ca="1" si="104"/>
        <v>0</v>
      </c>
      <c r="AN91" s="138">
        <f t="shared" ca="1" si="105"/>
        <v>0</v>
      </c>
      <c r="AO91" s="138">
        <f t="shared" ca="1" si="105"/>
        <v>0</v>
      </c>
      <c r="AP91" s="138">
        <f t="shared" ca="1" si="105"/>
        <v>0</v>
      </c>
      <c r="AQ91" s="138">
        <f t="shared" ca="1" si="105"/>
        <v>0</v>
      </c>
      <c r="AR91" s="138">
        <f t="shared" ca="1" si="105"/>
        <v>0</v>
      </c>
      <c r="AS91" s="138">
        <f t="shared" ca="1" si="105"/>
        <v>0</v>
      </c>
      <c r="AT91" s="138">
        <f t="shared" ca="1" si="105"/>
        <v>0</v>
      </c>
      <c r="AU91" s="138">
        <f t="shared" ca="1" si="105"/>
        <v>0</v>
      </c>
      <c r="AV91" s="138">
        <f t="shared" ca="1" si="105"/>
        <v>0</v>
      </c>
      <c r="AW91" s="138">
        <f t="shared" ca="1" si="105"/>
        <v>0</v>
      </c>
      <c r="AX91" s="138">
        <f t="shared" ca="1" si="105"/>
        <v>0</v>
      </c>
      <c r="AY91" s="138">
        <f t="shared" ca="1" si="105"/>
        <v>0</v>
      </c>
      <c r="AZ91" s="138">
        <f t="shared" ca="1" si="105"/>
        <v>0</v>
      </c>
      <c r="BA91" s="138">
        <f t="shared" ca="1" si="105"/>
        <v>0</v>
      </c>
      <c r="BB91" s="138">
        <f t="shared" ca="1" si="105"/>
        <v>0</v>
      </c>
      <c r="BC91" s="138">
        <f t="shared" ca="1" si="105"/>
        <v>0</v>
      </c>
      <c r="BD91" s="138">
        <f t="shared" ca="1" si="106"/>
        <v>0</v>
      </c>
      <c r="BE91" s="138">
        <f t="shared" ca="1" si="106"/>
        <v>0</v>
      </c>
      <c r="BF91" s="138">
        <f t="shared" ca="1" si="106"/>
        <v>0</v>
      </c>
      <c r="BG91" s="138">
        <f t="shared" ca="1" si="106"/>
        <v>0</v>
      </c>
      <c r="BH91" s="138">
        <f t="shared" ca="1" si="106"/>
        <v>0</v>
      </c>
      <c r="BI91" s="138">
        <f t="shared" ca="1" si="106"/>
        <v>0</v>
      </c>
      <c r="BJ91" s="138">
        <f t="shared" ca="1" si="106"/>
        <v>0</v>
      </c>
      <c r="BK91" s="138">
        <f t="shared" ca="1" si="106"/>
        <v>0</v>
      </c>
      <c r="BL91" s="138">
        <f t="shared" ca="1" si="106"/>
        <v>0</v>
      </c>
      <c r="BM91" s="138">
        <f t="shared" ca="1" si="106"/>
        <v>0</v>
      </c>
      <c r="BN91" s="138">
        <f t="shared" ca="1" si="106"/>
        <v>0</v>
      </c>
      <c r="BO91" s="138">
        <f t="shared" ca="1" si="106"/>
        <v>0</v>
      </c>
      <c r="BP91" s="138">
        <f t="shared" ca="1" si="106"/>
        <v>0</v>
      </c>
      <c r="BQ91" s="138">
        <f t="shared" ca="1" si="106"/>
        <v>0</v>
      </c>
      <c r="BR91" s="138">
        <f t="shared" ca="1" si="106"/>
        <v>0</v>
      </c>
      <c r="BS91" s="138">
        <f t="shared" ca="1" si="106"/>
        <v>0</v>
      </c>
      <c r="BT91" s="138">
        <f t="shared" ca="1" si="107"/>
        <v>0</v>
      </c>
      <c r="BU91" s="138">
        <f t="shared" ca="1" si="107"/>
        <v>0</v>
      </c>
      <c r="BV91" s="138">
        <f t="shared" ca="1" si="107"/>
        <v>0</v>
      </c>
      <c r="BW91" s="138">
        <f t="shared" ca="1" si="107"/>
        <v>0</v>
      </c>
      <c r="BX91" s="138">
        <f t="shared" ca="1" si="107"/>
        <v>0</v>
      </c>
      <c r="BY91" s="138">
        <f t="shared" ca="1" si="107"/>
        <v>0</v>
      </c>
      <c r="BZ91" s="138">
        <f t="shared" ca="1" si="107"/>
        <v>0</v>
      </c>
      <c r="CA91" s="138">
        <f t="shared" ca="1" si="107"/>
        <v>0</v>
      </c>
      <c r="CB91" s="138">
        <f t="shared" ca="1" si="107"/>
        <v>0</v>
      </c>
      <c r="CC91" s="138">
        <f t="shared" ca="1" si="107"/>
        <v>0</v>
      </c>
      <c r="CD91" s="138">
        <f t="shared" ca="1" si="107"/>
        <v>0</v>
      </c>
      <c r="CE91" s="138">
        <f t="shared" ca="1" si="107"/>
        <v>0</v>
      </c>
      <c r="CF91" s="138">
        <f t="shared" ca="1" si="107"/>
        <v>0</v>
      </c>
      <c r="CG91" s="138">
        <f t="shared" ca="1" si="107"/>
        <v>0</v>
      </c>
      <c r="CH91" s="138">
        <f t="shared" ca="1" si="107"/>
        <v>0</v>
      </c>
      <c r="CI91" s="138">
        <f t="shared" ca="1" si="107"/>
        <v>0</v>
      </c>
      <c r="CJ91" s="138">
        <f t="shared" ca="1" si="108"/>
        <v>0</v>
      </c>
      <c r="CK91" s="138">
        <f t="shared" ca="1" si="108"/>
        <v>0</v>
      </c>
      <c r="CL91" s="138">
        <f t="shared" ca="1" si="108"/>
        <v>0</v>
      </c>
      <c r="CM91" s="138">
        <f t="shared" ca="1" si="108"/>
        <v>0</v>
      </c>
      <c r="CN91" s="138">
        <f t="shared" ca="1" si="108"/>
        <v>0</v>
      </c>
      <c r="CO91" s="138">
        <f t="shared" ca="1" si="108"/>
        <v>0</v>
      </c>
      <c r="CP91" s="138">
        <f t="shared" ca="1" si="108"/>
        <v>0</v>
      </c>
      <c r="CQ91" s="138">
        <f t="shared" ca="1" si="108"/>
        <v>0</v>
      </c>
      <c r="CR91" s="138">
        <f t="shared" ca="1" si="108"/>
        <v>0</v>
      </c>
      <c r="CS91" s="138">
        <f t="shared" ca="1" si="108"/>
        <v>0</v>
      </c>
      <c r="CT91" s="138">
        <f t="shared" ca="1" si="109"/>
        <v>0</v>
      </c>
      <c r="CU91" s="138">
        <f t="shared" ca="1" si="109"/>
        <v>0</v>
      </c>
      <c r="CV91" s="138">
        <f t="shared" ca="1" si="109"/>
        <v>0</v>
      </c>
      <c r="CW91" s="138">
        <f t="shared" ca="1" si="109"/>
        <v>0</v>
      </c>
      <c r="CX91" s="138">
        <f t="shared" ca="1" si="109"/>
        <v>0</v>
      </c>
      <c r="CY91" s="138">
        <f t="shared" ca="1" si="109"/>
        <v>0</v>
      </c>
      <c r="CZ91" s="138">
        <f t="shared" ca="1" si="109"/>
        <v>0</v>
      </c>
      <c r="DA91" s="138">
        <f t="shared" ca="1" si="109"/>
        <v>0</v>
      </c>
      <c r="DB91" s="138">
        <f t="shared" ca="1" si="109"/>
        <v>0</v>
      </c>
      <c r="DC91" s="138">
        <f t="shared" ca="1" si="109"/>
        <v>0</v>
      </c>
      <c r="DE91" s="254" t="str">
        <f t="shared" ca="1" si="87"/>
        <v>G.2.</v>
      </c>
      <c r="DF91">
        <f t="shared" ca="1" si="110"/>
        <v>1</v>
      </c>
      <c r="DG91">
        <f t="shared" ca="1" si="111"/>
        <v>0</v>
      </c>
    </row>
    <row r="92" spans="1:112" hidden="1">
      <c r="A92" s="124">
        <v>80</v>
      </c>
      <c r="B92" s="205" t="str">
        <f t="shared" ca="1" si="84"/>
        <v>G.3.</v>
      </c>
      <c r="C92" s="129" t="str">
        <f t="shared" ca="1" si="85"/>
        <v xml:space="preserve">Kursai diplomatams, dirbantiems su Azijos regionu </v>
      </c>
      <c r="D92" s="114"/>
      <c r="E92" s="148">
        <f t="shared" ca="1" si="86"/>
        <v>0</v>
      </c>
      <c r="F92" s="139">
        <f ca="1">H92+NPV(FD,I92:INDEX(I92:DC92,PAL))</f>
        <v>252575.75766858441</v>
      </c>
      <c r="G92" s="140">
        <f ca="1">SUMIF($H$5:$DC$5,"&lt;="&amp;PAL,$H92:$DC92)</f>
        <v>380000</v>
      </c>
      <c r="H92" s="138">
        <f t="shared" ca="1" si="103"/>
        <v>0</v>
      </c>
      <c r="I92" s="138">
        <f t="shared" ca="1" si="103"/>
        <v>0</v>
      </c>
      <c r="J92" s="138">
        <f t="shared" ca="1" si="103"/>
        <v>20000</v>
      </c>
      <c r="K92" s="138">
        <f t="shared" ca="1" si="103"/>
        <v>20000</v>
      </c>
      <c r="L92" s="138">
        <f t="shared" ca="1" si="103"/>
        <v>20000</v>
      </c>
      <c r="M92" s="138">
        <f t="shared" ca="1" si="103"/>
        <v>20000</v>
      </c>
      <c r="N92" s="138">
        <f t="shared" ca="1" si="103"/>
        <v>20000</v>
      </c>
      <c r="O92" s="138">
        <f t="shared" ca="1" si="103"/>
        <v>20000</v>
      </c>
      <c r="P92" s="138">
        <f t="shared" ca="1" si="103"/>
        <v>20000</v>
      </c>
      <c r="Q92" s="138">
        <f t="shared" ca="1" si="103"/>
        <v>20000</v>
      </c>
      <c r="R92" s="138">
        <f t="shared" ca="1" si="103"/>
        <v>20000</v>
      </c>
      <c r="S92" s="138">
        <f t="shared" ca="1" si="103"/>
        <v>20000</v>
      </c>
      <c r="T92" s="138">
        <f t="shared" ca="1" si="103"/>
        <v>20000</v>
      </c>
      <c r="U92" s="138">
        <f t="shared" ca="1" si="103"/>
        <v>20000</v>
      </c>
      <c r="V92" s="138">
        <f t="shared" ca="1" si="103"/>
        <v>20000</v>
      </c>
      <c r="W92" s="138">
        <f t="shared" ca="1" si="103"/>
        <v>20000</v>
      </c>
      <c r="X92" s="138">
        <f t="shared" ca="1" si="104"/>
        <v>20000</v>
      </c>
      <c r="Y92" s="138">
        <f t="shared" ca="1" si="104"/>
        <v>20000</v>
      </c>
      <c r="Z92" s="138">
        <f t="shared" ca="1" si="104"/>
        <v>20000</v>
      </c>
      <c r="AA92" s="138">
        <f t="shared" ca="1" si="104"/>
        <v>20000</v>
      </c>
      <c r="AB92" s="138">
        <f t="shared" ca="1" si="104"/>
        <v>20000</v>
      </c>
      <c r="AC92" s="138">
        <f t="shared" ca="1" si="104"/>
        <v>0</v>
      </c>
      <c r="AD92" s="138">
        <f t="shared" ca="1" si="104"/>
        <v>0</v>
      </c>
      <c r="AE92" s="138">
        <f t="shared" ca="1" si="104"/>
        <v>0</v>
      </c>
      <c r="AF92" s="138">
        <f t="shared" ca="1" si="104"/>
        <v>0</v>
      </c>
      <c r="AG92" s="138">
        <f t="shared" ca="1" si="104"/>
        <v>0</v>
      </c>
      <c r="AH92" s="138">
        <f t="shared" ca="1" si="104"/>
        <v>0</v>
      </c>
      <c r="AI92" s="138">
        <f t="shared" ca="1" si="104"/>
        <v>0</v>
      </c>
      <c r="AJ92" s="138">
        <f t="shared" ca="1" si="104"/>
        <v>0</v>
      </c>
      <c r="AK92" s="138">
        <f t="shared" ca="1" si="104"/>
        <v>0</v>
      </c>
      <c r="AL92" s="138">
        <f t="shared" ca="1" si="104"/>
        <v>0</v>
      </c>
      <c r="AM92" s="138">
        <f t="shared" ca="1" si="104"/>
        <v>0</v>
      </c>
      <c r="AN92" s="138">
        <f t="shared" ca="1" si="105"/>
        <v>0</v>
      </c>
      <c r="AO92" s="138">
        <f t="shared" ca="1" si="105"/>
        <v>0</v>
      </c>
      <c r="AP92" s="138">
        <f t="shared" ca="1" si="105"/>
        <v>0</v>
      </c>
      <c r="AQ92" s="138">
        <f t="shared" ca="1" si="105"/>
        <v>0</v>
      </c>
      <c r="AR92" s="138">
        <f t="shared" ca="1" si="105"/>
        <v>0</v>
      </c>
      <c r="AS92" s="138">
        <f t="shared" ca="1" si="105"/>
        <v>0</v>
      </c>
      <c r="AT92" s="138">
        <f t="shared" ca="1" si="105"/>
        <v>0</v>
      </c>
      <c r="AU92" s="138">
        <f t="shared" ca="1" si="105"/>
        <v>0</v>
      </c>
      <c r="AV92" s="138">
        <f t="shared" ca="1" si="105"/>
        <v>0</v>
      </c>
      <c r="AW92" s="138">
        <f t="shared" ca="1" si="105"/>
        <v>0</v>
      </c>
      <c r="AX92" s="138">
        <f t="shared" ca="1" si="105"/>
        <v>0</v>
      </c>
      <c r="AY92" s="138">
        <f t="shared" ca="1" si="105"/>
        <v>0</v>
      </c>
      <c r="AZ92" s="138">
        <f t="shared" ca="1" si="105"/>
        <v>0</v>
      </c>
      <c r="BA92" s="138">
        <f t="shared" ca="1" si="105"/>
        <v>0</v>
      </c>
      <c r="BB92" s="138">
        <f t="shared" ca="1" si="105"/>
        <v>0</v>
      </c>
      <c r="BC92" s="138">
        <f t="shared" ca="1" si="105"/>
        <v>0</v>
      </c>
      <c r="BD92" s="138">
        <f t="shared" ca="1" si="106"/>
        <v>0</v>
      </c>
      <c r="BE92" s="138">
        <f t="shared" ca="1" si="106"/>
        <v>0</v>
      </c>
      <c r="BF92" s="138">
        <f t="shared" ca="1" si="106"/>
        <v>0</v>
      </c>
      <c r="BG92" s="138">
        <f t="shared" ca="1" si="106"/>
        <v>0</v>
      </c>
      <c r="BH92" s="138">
        <f t="shared" ca="1" si="106"/>
        <v>0</v>
      </c>
      <c r="BI92" s="138">
        <f t="shared" ca="1" si="106"/>
        <v>0</v>
      </c>
      <c r="BJ92" s="138">
        <f t="shared" ca="1" si="106"/>
        <v>0</v>
      </c>
      <c r="BK92" s="138">
        <f t="shared" ca="1" si="106"/>
        <v>0</v>
      </c>
      <c r="BL92" s="138">
        <f t="shared" ca="1" si="106"/>
        <v>0</v>
      </c>
      <c r="BM92" s="138">
        <f t="shared" ca="1" si="106"/>
        <v>0</v>
      </c>
      <c r="BN92" s="138">
        <f t="shared" ca="1" si="106"/>
        <v>0</v>
      </c>
      <c r="BO92" s="138">
        <f t="shared" ca="1" si="106"/>
        <v>0</v>
      </c>
      <c r="BP92" s="138">
        <f t="shared" ca="1" si="106"/>
        <v>0</v>
      </c>
      <c r="BQ92" s="138">
        <f t="shared" ca="1" si="106"/>
        <v>0</v>
      </c>
      <c r="BR92" s="138">
        <f t="shared" ca="1" si="106"/>
        <v>0</v>
      </c>
      <c r="BS92" s="138">
        <f t="shared" ca="1" si="106"/>
        <v>0</v>
      </c>
      <c r="BT92" s="138">
        <f t="shared" ca="1" si="107"/>
        <v>0</v>
      </c>
      <c r="BU92" s="138">
        <f t="shared" ca="1" si="107"/>
        <v>0</v>
      </c>
      <c r="BV92" s="138">
        <f t="shared" ca="1" si="107"/>
        <v>0</v>
      </c>
      <c r="BW92" s="138">
        <f t="shared" ca="1" si="107"/>
        <v>0</v>
      </c>
      <c r="BX92" s="138">
        <f t="shared" ca="1" si="107"/>
        <v>0</v>
      </c>
      <c r="BY92" s="138">
        <f t="shared" ca="1" si="107"/>
        <v>0</v>
      </c>
      <c r="BZ92" s="138">
        <f t="shared" ca="1" si="107"/>
        <v>0</v>
      </c>
      <c r="CA92" s="138">
        <f t="shared" ca="1" si="107"/>
        <v>0</v>
      </c>
      <c r="CB92" s="138">
        <f t="shared" ca="1" si="107"/>
        <v>0</v>
      </c>
      <c r="CC92" s="138">
        <f t="shared" ca="1" si="107"/>
        <v>0</v>
      </c>
      <c r="CD92" s="138">
        <f t="shared" ca="1" si="107"/>
        <v>0</v>
      </c>
      <c r="CE92" s="138">
        <f t="shared" ca="1" si="107"/>
        <v>0</v>
      </c>
      <c r="CF92" s="138">
        <f t="shared" ca="1" si="107"/>
        <v>0</v>
      </c>
      <c r="CG92" s="138">
        <f t="shared" ca="1" si="107"/>
        <v>0</v>
      </c>
      <c r="CH92" s="138">
        <f t="shared" ca="1" si="107"/>
        <v>0</v>
      </c>
      <c r="CI92" s="138">
        <f t="shared" ca="1" si="107"/>
        <v>0</v>
      </c>
      <c r="CJ92" s="138">
        <f t="shared" ca="1" si="108"/>
        <v>0</v>
      </c>
      <c r="CK92" s="138">
        <f t="shared" ca="1" si="108"/>
        <v>0</v>
      </c>
      <c r="CL92" s="138">
        <f t="shared" ca="1" si="108"/>
        <v>0</v>
      </c>
      <c r="CM92" s="138">
        <f t="shared" ca="1" si="108"/>
        <v>0</v>
      </c>
      <c r="CN92" s="138">
        <f t="shared" ca="1" si="108"/>
        <v>0</v>
      </c>
      <c r="CO92" s="138">
        <f t="shared" ca="1" si="108"/>
        <v>0</v>
      </c>
      <c r="CP92" s="138">
        <f t="shared" ca="1" si="108"/>
        <v>0</v>
      </c>
      <c r="CQ92" s="138">
        <f t="shared" ca="1" si="108"/>
        <v>0</v>
      </c>
      <c r="CR92" s="138">
        <f t="shared" ca="1" si="108"/>
        <v>0</v>
      </c>
      <c r="CS92" s="138">
        <f t="shared" ca="1" si="108"/>
        <v>0</v>
      </c>
      <c r="CT92" s="138">
        <f t="shared" ca="1" si="109"/>
        <v>0</v>
      </c>
      <c r="CU92" s="138">
        <f t="shared" ca="1" si="109"/>
        <v>0</v>
      </c>
      <c r="CV92" s="138">
        <f t="shared" ca="1" si="109"/>
        <v>0</v>
      </c>
      <c r="CW92" s="138">
        <f t="shared" ca="1" si="109"/>
        <v>0</v>
      </c>
      <c r="CX92" s="138">
        <f t="shared" ca="1" si="109"/>
        <v>0</v>
      </c>
      <c r="CY92" s="138">
        <f t="shared" ca="1" si="109"/>
        <v>0</v>
      </c>
      <c r="CZ92" s="138">
        <f t="shared" ca="1" si="109"/>
        <v>0</v>
      </c>
      <c r="DA92" s="138">
        <f t="shared" ca="1" si="109"/>
        <v>0</v>
      </c>
      <c r="DB92" s="138">
        <f t="shared" ca="1" si="109"/>
        <v>0</v>
      </c>
      <c r="DC92" s="138">
        <f t="shared" ca="1" si="109"/>
        <v>0</v>
      </c>
      <c r="DE92" s="254" t="str">
        <f t="shared" ca="1" si="87"/>
        <v>G.3.</v>
      </c>
      <c r="DF92">
        <f t="shared" ca="1" si="110"/>
        <v>1</v>
      </c>
      <c r="DG92">
        <f t="shared" ca="1" si="111"/>
        <v>0</v>
      </c>
    </row>
    <row r="93" spans="1:112" hidden="1">
      <c r="A93" s="124">
        <v>81</v>
      </c>
      <c r="B93" s="205" t="str">
        <f t="shared" ca="1" si="84"/>
        <v>G.4.</v>
      </c>
      <c r="C93" s="129" t="str">
        <f t="shared" ca="1" si="85"/>
        <v>Stipendijų fondas Azijos regiono studijų studentams</v>
      </c>
      <c r="D93" s="114"/>
      <c r="E93" s="148">
        <f t="shared" ca="1" si="86"/>
        <v>0</v>
      </c>
      <c r="F93" s="139">
        <f ca="1">H93+NPV(FD,I93:INDEX(I93:DC93,PAL))</f>
        <v>86235.411599828483</v>
      </c>
      <c r="G93" s="140">
        <f ca="1">SUMIF($H$5:$DC$5,"&lt;="&amp;PAL,$H93:$DC93)</f>
        <v>139500</v>
      </c>
      <c r="H93" s="138">
        <f t="shared" ca="1" si="103"/>
        <v>0</v>
      </c>
      <c r="I93" s="138">
        <f t="shared" ca="1" si="103"/>
        <v>0</v>
      </c>
      <c r="J93" s="138">
        <f t="shared" ca="1" si="103"/>
        <v>0</v>
      </c>
      <c r="K93" s="138">
        <f t="shared" ca="1" si="103"/>
        <v>0</v>
      </c>
      <c r="L93" s="138">
        <f t="shared" ca="1" si="103"/>
        <v>4500</v>
      </c>
      <c r="M93" s="138">
        <f t="shared" ca="1" si="103"/>
        <v>4500</v>
      </c>
      <c r="N93" s="138">
        <f t="shared" ca="1" si="103"/>
        <v>4500</v>
      </c>
      <c r="O93" s="138">
        <f t="shared" ca="1" si="103"/>
        <v>9000</v>
      </c>
      <c r="P93" s="138">
        <f t="shared" ca="1" si="103"/>
        <v>9000</v>
      </c>
      <c r="Q93" s="138">
        <f t="shared" ca="1" si="103"/>
        <v>9000</v>
      </c>
      <c r="R93" s="138">
        <f t="shared" ca="1" si="103"/>
        <v>9000</v>
      </c>
      <c r="S93" s="138">
        <f t="shared" ca="1" si="103"/>
        <v>9000</v>
      </c>
      <c r="T93" s="138">
        <f t="shared" ca="1" si="103"/>
        <v>9000</v>
      </c>
      <c r="U93" s="138">
        <f t="shared" ca="1" si="103"/>
        <v>9000</v>
      </c>
      <c r="V93" s="138">
        <f t="shared" ca="1" si="103"/>
        <v>9000</v>
      </c>
      <c r="W93" s="138">
        <f t="shared" ca="1" si="103"/>
        <v>9000</v>
      </c>
      <c r="X93" s="138">
        <f t="shared" ca="1" si="104"/>
        <v>9000</v>
      </c>
      <c r="Y93" s="138">
        <f t="shared" ca="1" si="104"/>
        <v>9000</v>
      </c>
      <c r="Z93" s="138">
        <f t="shared" ca="1" si="104"/>
        <v>9000</v>
      </c>
      <c r="AA93" s="138">
        <f t="shared" ca="1" si="104"/>
        <v>9000</v>
      </c>
      <c r="AB93" s="138">
        <f t="shared" ca="1" si="104"/>
        <v>9000</v>
      </c>
      <c r="AC93" s="138">
        <f t="shared" ca="1" si="104"/>
        <v>0</v>
      </c>
      <c r="AD93" s="138">
        <f t="shared" ca="1" si="104"/>
        <v>0</v>
      </c>
      <c r="AE93" s="138">
        <f t="shared" ca="1" si="104"/>
        <v>0</v>
      </c>
      <c r="AF93" s="138">
        <f t="shared" ca="1" si="104"/>
        <v>0</v>
      </c>
      <c r="AG93" s="138">
        <f t="shared" ca="1" si="104"/>
        <v>0</v>
      </c>
      <c r="AH93" s="138">
        <f t="shared" ca="1" si="104"/>
        <v>0</v>
      </c>
      <c r="AI93" s="138">
        <f t="shared" ca="1" si="104"/>
        <v>0</v>
      </c>
      <c r="AJ93" s="138">
        <f t="shared" ca="1" si="104"/>
        <v>0</v>
      </c>
      <c r="AK93" s="138">
        <f t="shared" ca="1" si="104"/>
        <v>0</v>
      </c>
      <c r="AL93" s="138">
        <f t="shared" ca="1" si="104"/>
        <v>0</v>
      </c>
      <c r="AM93" s="138">
        <f t="shared" ca="1" si="104"/>
        <v>0</v>
      </c>
      <c r="AN93" s="138">
        <f t="shared" ca="1" si="105"/>
        <v>0</v>
      </c>
      <c r="AO93" s="138">
        <f t="shared" ca="1" si="105"/>
        <v>0</v>
      </c>
      <c r="AP93" s="138">
        <f t="shared" ca="1" si="105"/>
        <v>0</v>
      </c>
      <c r="AQ93" s="138">
        <f t="shared" ca="1" si="105"/>
        <v>0</v>
      </c>
      <c r="AR93" s="138">
        <f t="shared" ca="1" si="105"/>
        <v>0</v>
      </c>
      <c r="AS93" s="138">
        <f t="shared" ca="1" si="105"/>
        <v>0</v>
      </c>
      <c r="AT93" s="138">
        <f t="shared" ca="1" si="105"/>
        <v>0</v>
      </c>
      <c r="AU93" s="138">
        <f t="shared" ca="1" si="105"/>
        <v>0</v>
      </c>
      <c r="AV93" s="138">
        <f t="shared" ca="1" si="105"/>
        <v>0</v>
      </c>
      <c r="AW93" s="138">
        <f t="shared" ca="1" si="105"/>
        <v>0</v>
      </c>
      <c r="AX93" s="138">
        <f t="shared" ca="1" si="105"/>
        <v>0</v>
      </c>
      <c r="AY93" s="138">
        <f t="shared" ca="1" si="105"/>
        <v>0</v>
      </c>
      <c r="AZ93" s="138">
        <f t="shared" ca="1" si="105"/>
        <v>0</v>
      </c>
      <c r="BA93" s="138">
        <f t="shared" ca="1" si="105"/>
        <v>0</v>
      </c>
      <c r="BB93" s="138">
        <f t="shared" ca="1" si="105"/>
        <v>0</v>
      </c>
      <c r="BC93" s="138">
        <f t="shared" ca="1" si="105"/>
        <v>0</v>
      </c>
      <c r="BD93" s="138">
        <f t="shared" ca="1" si="106"/>
        <v>0</v>
      </c>
      <c r="BE93" s="138">
        <f t="shared" ca="1" si="106"/>
        <v>0</v>
      </c>
      <c r="BF93" s="138">
        <f t="shared" ca="1" si="106"/>
        <v>0</v>
      </c>
      <c r="BG93" s="138">
        <f t="shared" ca="1" si="106"/>
        <v>0</v>
      </c>
      <c r="BH93" s="138">
        <f t="shared" ca="1" si="106"/>
        <v>0</v>
      </c>
      <c r="BI93" s="138">
        <f t="shared" ca="1" si="106"/>
        <v>0</v>
      </c>
      <c r="BJ93" s="138">
        <f t="shared" ca="1" si="106"/>
        <v>0</v>
      </c>
      <c r="BK93" s="138">
        <f t="shared" ca="1" si="106"/>
        <v>0</v>
      </c>
      <c r="BL93" s="138">
        <f t="shared" ca="1" si="106"/>
        <v>0</v>
      </c>
      <c r="BM93" s="138">
        <f t="shared" ca="1" si="106"/>
        <v>0</v>
      </c>
      <c r="BN93" s="138">
        <f t="shared" ca="1" si="106"/>
        <v>0</v>
      </c>
      <c r="BO93" s="138">
        <f t="shared" ca="1" si="106"/>
        <v>0</v>
      </c>
      <c r="BP93" s="138">
        <f t="shared" ca="1" si="106"/>
        <v>0</v>
      </c>
      <c r="BQ93" s="138">
        <f t="shared" ca="1" si="106"/>
        <v>0</v>
      </c>
      <c r="BR93" s="138">
        <f t="shared" ca="1" si="106"/>
        <v>0</v>
      </c>
      <c r="BS93" s="138">
        <f t="shared" ca="1" si="106"/>
        <v>0</v>
      </c>
      <c r="BT93" s="138">
        <f t="shared" ca="1" si="107"/>
        <v>0</v>
      </c>
      <c r="BU93" s="138">
        <f t="shared" ca="1" si="107"/>
        <v>0</v>
      </c>
      <c r="BV93" s="138">
        <f t="shared" ca="1" si="107"/>
        <v>0</v>
      </c>
      <c r="BW93" s="138">
        <f t="shared" ca="1" si="107"/>
        <v>0</v>
      </c>
      <c r="BX93" s="138">
        <f t="shared" ca="1" si="107"/>
        <v>0</v>
      </c>
      <c r="BY93" s="138">
        <f t="shared" ca="1" si="107"/>
        <v>0</v>
      </c>
      <c r="BZ93" s="138">
        <f t="shared" ca="1" si="107"/>
        <v>0</v>
      </c>
      <c r="CA93" s="138">
        <f t="shared" ca="1" si="107"/>
        <v>0</v>
      </c>
      <c r="CB93" s="138">
        <f t="shared" ca="1" si="107"/>
        <v>0</v>
      </c>
      <c r="CC93" s="138">
        <f t="shared" ca="1" si="107"/>
        <v>0</v>
      </c>
      <c r="CD93" s="138">
        <f t="shared" ca="1" si="107"/>
        <v>0</v>
      </c>
      <c r="CE93" s="138">
        <f t="shared" ca="1" si="107"/>
        <v>0</v>
      </c>
      <c r="CF93" s="138">
        <f t="shared" ca="1" si="107"/>
        <v>0</v>
      </c>
      <c r="CG93" s="138">
        <f t="shared" ca="1" si="107"/>
        <v>0</v>
      </c>
      <c r="CH93" s="138">
        <f t="shared" ca="1" si="107"/>
        <v>0</v>
      </c>
      <c r="CI93" s="138">
        <f t="shared" ca="1" si="107"/>
        <v>0</v>
      </c>
      <c r="CJ93" s="138">
        <f t="shared" ca="1" si="108"/>
        <v>0</v>
      </c>
      <c r="CK93" s="138">
        <f t="shared" ca="1" si="108"/>
        <v>0</v>
      </c>
      <c r="CL93" s="138">
        <f t="shared" ca="1" si="108"/>
        <v>0</v>
      </c>
      <c r="CM93" s="138">
        <f t="shared" ca="1" si="108"/>
        <v>0</v>
      </c>
      <c r="CN93" s="138">
        <f t="shared" ca="1" si="108"/>
        <v>0</v>
      </c>
      <c r="CO93" s="138">
        <f t="shared" ca="1" si="108"/>
        <v>0</v>
      </c>
      <c r="CP93" s="138">
        <f t="shared" ca="1" si="108"/>
        <v>0</v>
      </c>
      <c r="CQ93" s="138">
        <f t="shared" ca="1" si="108"/>
        <v>0</v>
      </c>
      <c r="CR93" s="138">
        <f t="shared" ca="1" si="108"/>
        <v>0</v>
      </c>
      <c r="CS93" s="138">
        <f t="shared" ca="1" si="108"/>
        <v>0</v>
      </c>
      <c r="CT93" s="138">
        <f t="shared" ca="1" si="109"/>
        <v>0</v>
      </c>
      <c r="CU93" s="138">
        <f t="shared" ca="1" si="109"/>
        <v>0</v>
      </c>
      <c r="CV93" s="138">
        <f t="shared" ca="1" si="109"/>
        <v>0</v>
      </c>
      <c r="CW93" s="138">
        <f t="shared" ca="1" si="109"/>
        <v>0</v>
      </c>
      <c r="CX93" s="138">
        <f t="shared" ca="1" si="109"/>
        <v>0</v>
      </c>
      <c r="CY93" s="138">
        <f t="shared" ca="1" si="109"/>
        <v>0</v>
      </c>
      <c r="CZ93" s="138">
        <f t="shared" ca="1" si="109"/>
        <v>0</v>
      </c>
      <c r="DA93" s="138">
        <f t="shared" ca="1" si="109"/>
        <v>0</v>
      </c>
      <c r="DB93" s="138">
        <f t="shared" ca="1" si="109"/>
        <v>0</v>
      </c>
      <c r="DC93" s="138">
        <f t="shared" ca="1" si="109"/>
        <v>0</v>
      </c>
      <c r="DE93" s="254" t="str">
        <f t="shared" ca="1" si="87"/>
        <v>G.4.</v>
      </c>
      <c r="DF93">
        <f t="shared" ca="1" si="110"/>
        <v>1</v>
      </c>
      <c r="DG93">
        <f t="shared" ca="1" si="111"/>
        <v>0</v>
      </c>
    </row>
    <row r="94" spans="1:112" hidden="1">
      <c r="A94" s="124">
        <v>82</v>
      </c>
      <c r="B94" s="205" t="str">
        <f t="shared" ca="1" si="84"/>
        <v>G.5.</v>
      </c>
      <c r="C94" s="129" t="str">
        <f t="shared" ca="1" si="85"/>
        <v xml:space="preserve">Ambasados Singapūre išlaikymo išlaidos </v>
      </c>
      <c r="D94" s="114"/>
      <c r="E94" s="148">
        <f t="shared" ca="1" si="86"/>
        <v>0</v>
      </c>
      <c r="F94" s="139">
        <f ca="1">H94+NPV(FD,I94:INDEX(I94:DC94,PAL))</f>
        <v>22179412.594987258</v>
      </c>
      <c r="G94" s="140">
        <f ca="1">SUMIF($H$5:$DC$5,"&lt;="&amp;PAL,$H94:$DC94)</f>
        <v>32640000</v>
      </c>
      <c r="H94" s="138">
        <f t="shared" ca="1" si="103"/>
        <v>0</v>
      </c>
      <c r="I94" s="138">
        <f t="shared" ca="1" si="103"/>
        <v>1632000</v>
      </c>
      <c r="J94" s="138">
        <f t="shared" ca="1" si="103"/>
        <v>1632000</v>
      </c>
      <c r="K94" s="138">
        <f t="shared" ca="1" si="103"/>
        <v>1632000</v>
      </c>
      <c r="L94" s="138">
        <f t="shared" ca="1" si="103"/>
        <v>1632000</v>
      </c>
      <c r="M94" s="138">
        <f t="shared" ca="1" si="103"/>
        <v>1632000</v>
      </c>
      <c r="N94" s="138">
        <f t="shared" ca="1" si="103"/>
        <v>1632000</v>
      </c>
      <c r="O94" s="138">
        <f t="shared" ca="1" si="103"/>
        <v>1632000</v>
      </c>
      <c r="P94" s="138">
        <f t="shared" ca="1" si="103"/>
        <v>1632000</v>
      </c>
      <c r="Q94" s="138">
        <f t="shared" ca="1" si="103"/>
        <v>1632000</v>
      </c>
      <c r="R94" s="138">
        <f t="shared" ca="1" si="103"/>
        <v>1632000</v>
      </c>
      <c r="S94" s="138">
        <f t="shared" ca="1" si="103"/>
        <v>1632000</v>
      </c>
      <c r="T94" s="138">
        <f t="shared" ca="1" si="103"/>
        <v>1632000</v>
      </c>
      <c r="U94" s="138">
        <f t="shared" ca="1" si="103"/>
        <v>1632000</v>
      </c>
      <c r="V94" s="138">
        <f t="shared" ca="1" si="103"/>
        <v>1632000</v>
      </c>
      <c r="W94" s="138">
        <f t="shared" ca="1" si="103"/>
        <v>1632000</v>
      </c>
      <c r="X94" s="138">
        <f t="shared" ca="1" si="104"/>
        <v>1632000</v>
      </c>
      <c r="Y94" s="138">
        <f t="shared" ca="1" si="104"/>
        <v>1632000</v>
      </c>
      <c r="Z94" s="138">
        <f t="shared" ca="1" si="104"/>
        <v>1632000</v>
      </c>
      <c r="AA94" s="138">
        <f t="shared" ca="1" si="104"/>
        <v>1632000</v>
      </c>
      <c r="AB94" s="138">
        <f t="shared" ca="1" si="104"/>
        <v>1632000</v>
      </c>
      <c r="AC94" s="138">
        <f t="shared" ca="1" si="104"/>
        <v>1470000</v>
      </c>
      <c r="AD94" s="138">
        <f t="shared" ca="1" si="104"/>
        <v>1470000</v>
      </c>
      <c r="AE94" s="138">
        <f t="shared" ca="1" si="104"/>
        <v>1470000</v>
      </c>
      <c r="AF94" s="138">
        <f t="shared" ca="1" si="104"/>
        <v>1470000</v>
      </c>
      <c r="AG94" s="138">
        <f t="shared" ca="1" si="104"/>
        <v>1470000</v>
      </c>
      <c r="AH94" s="138">
        <f t="shared" ca="1" si="104"/>
        <v>1470000</v>
      </c>
      <c r="AI94" s="138">
        <f t="shared" ca="1" si="104"/>
        <v>1470000</v>
      </c>
      <c r="AJ94" s="138">
        <f t="shared" ca="1" si="104"/>
        <v>1470000</v>
      </c>
      <c r="AK94" s="138">
        <f t="shared" ca="1" si="104"/>
        <v>1470000</v>
      </c>
      <c r="AL94" s="138">
        <f t="shared" ca="1" si="104"/>
        <v>1470000</v>
      </c>
      <c r="AM94" s="138">
        <f t="shared" ca="1" si="104"/>
        <v>1470000</v>
      </c>
      <c r="AN94" s="138">
        <f t="shared" ca="1" si="105"/>
        <v>1470000</v>
      </c>
      <c r="AO94" s="138">
        <f t="shared" ca="1" si="105"/>
        <v>1470000</v>
      </c>
      <c r="AP94" s="138">
        <f t="shared" ca="1" si="105"/>
        <v>1470000</v>
      </c>
      <c r="AQ94" s="138">
        <f t="shared" ca="1" si="105"/>
        <v>1470000</v>
      </c>
      <c r="AR94" s="138">
        <f t="shared" ca="1" si="105"/>
        <v>1470000</v>
      </c>
      <c r="AS94" s="138">
        <f t="shared" ca="1" si="105"/>
        <v>1470000</v>
      </c>
      <c r="AT94" s="138">
        <f t="shared" ca="1" si="105"/>
        <v>1470000</v>
      </c>
      <c r="AU94" s="138">
        <f t="shared" ca="1" si="105"/>
        <v>1470000</v>
      </c>
      <c r="AV94" s="138">
        <f t="shared" ca="1" si="105"/>
        <v>1470000</v>
      </c>
      <c r="AW94" s="138">
        <f t="shared" ca="1" si="105"/>
        <v>1470000</v>
      </c>
      <c r="AX94" s="138">
        <f t="shared" ca="1" si="105"/>
        <v>1470000</v>
      </c>
      <c r="AY94" s="138">
        <f t="shared" ca="1" si="105"/>
        <v>1470000</v>
      </c>
      <c r="AZ94" s="138">
        <f t="shared" ca="1" si="105"/>
        <v>1470000</v>
      </c>
      <c r="BA94" s="138">
        <f t="shared" ca="1" si="105"/>
        <v>1470000</v>
      </c>
      <c r="BB94" s="138">
        <f t="shared" ca="1" si="105"/>
        <v>1470000</v>
      </c>
      <c r="BC94" s="138">
        <f t="shared" ca="1" si="105"/>
        <v>1470000</v>
      </c>
      <c r="BD94" s="138">
        <f t="shared" ca="1" si="106"/>
        <v>1470000</v>
      </c>
      <c r="BE94" s="138">
        <f t="shared" ca="1" si="106"/>
        <v>1470000</v>
      </c>
      <c r="BF94" s="138">
        <f t="shared" ca="1" si="106"/>
        <v>1470000</v>
      </c>
      <c r="BG94" s="138">
        <f t="shared" ca="1" si="106"/>
        <v>1470000</v>
      </c>
      <c r="BH94" s="138">
        <f t="shared" ca="1" si="106"/>
        <v>1470000</v>
      </c>
      <c r="BI94" s="138">
        <f t="shared" ca="1" si="106"/>
        <v>1470000</v>
      </c>
      <c r="BJ94" s="138">
        <f t="shared" ca="1" si="106"/>
        <v>1470000</v>
      </c>
      <c r="BK94" s="138">
        <f t="shared" ca="1" si="106"/>
        <v>1470000</v>
      </c>
      <c r="BL94" s="138">
        <f t="shared" ca="1" si="106"/>
        <v>1470000</v>
      </c>
      <c r="BM94" s="138">
        <f t="shared" ca="1" si="106"/>
        <v>1470000</v>
      </c>
      <c r="BN94" s="138">
        <f t="shared" ca="1" si="106"/>
        <v>1470000</v>
      </c>
      <c r="BO94" s="138">
        <f t="shared" ca="1" si="106"/>
        <v>1470000</v>
      </c>
      <c r="BP94" s="138">
        <f t="shared" ca="1" si="106"/>
        <v>1470000</v>
      </c>
      <c r="BQ94" s="138">
        <f t="shared" ca="1" si="106"/>
        <v>1470000</v>
      </c>
      <c r="BR94" s="138">
        <f t="shared" ca="1" si="106"/>
        <v>1470000</v>
      </c>
      <c r="BS94" s="138">
        <f t="shared" ca="1" si="106"/>
        <v>1470000</v>
      </c>
      <c r="BT94" s="138">
        <f t="shared" ca="1" si="107"/>
        <v>1470000</v>
      </c>
      <c r="BU94" s="138">
        <f t="shared" ca="1" si="107"/>
        <v>1470000</v>
      </c>
      <c r="BV94" s="138">
        <f t="shared" ca="1" si="107"/>
        <v>1470000</v>
      </c>
      <c r="BW94" s="138">
        <f t="shared" ca="1" si="107"/>
        <v>1470000</v>
      </c>
      <c r="BX94" s="138">
        <f t="shared" ca="1" si="107"/>
        <v>1470000</v>
      </c>
      <c r="BY94" s="138">
        <f t="shared" ca="1" si="107"/>
        <v>1470000</v>
      </c>
      <c r="BZ94" s="138">
        <f t="shared" ca="1" si="107"/>
        <v>1470000</v>
      </c>
      <c r="CA94" s="138">
        <f t="shared" ca="1" si="107"/>
        <v>1470000</v>
      </c>
      <c r="CB94" s="138">
        <f t="shared" ca="1" si="107"/>
        <v>1470000</v>
      </c>
      <c r="CC94" s="138">
        <f t="shared" ca="1" si="107"/>
        <v>1470000</v>
      </c>
      <c r="CD94" s="138">
        <f t="shared" ca="1" si="107"/>
        <v>1470000</v>
      </c>
      <c r="CE94" s="138">
        <f t="shared" ca="1" si="107"/>
        <v>1470000</v>
      </c>
      <c r="CF94" s="138">
        <f t="shared" ca="1" si="107"/>
        <v>1470000</v>
      </c>
      <c r="CG94" s="138">
        <f t="shared" ca="1" si="107"/>
        <v>1470000</v>
      </c>
      <c r="CH94" s="138">
        <f t="shared" ca="1" si="107"/>
        <v>1470000</v>
      </c>
      <c r="CI94" s="138">
        <f t="shared" ca="1" si="107"/>
        <v>1470000</v>
      </c>
      <c r="CJ94" s="138">
        <f t="shared" ca="1" si="108"/>
        <v>1470000</v>
      </c>
      <c r="CK94" s="138">
        <f t="shared" ca="1" si="108"/>
        <v>1470000</v>
      </c>
      <c r="CL94" s="138">
        <f t="shared" ca="1" si="108"/>
        <v>1470000</v>
      </c>
      <c r="CM94" s="138">
        <f t="shared" ca="1" si="108"/>
        <v>1470000</v>
      </c>
      <c r="CN94" s="138">
        <f t="shared" ca="1" si="108"/>
        <v>1470000</v>
      </c>
      <c r="CO94" s="138">
        <f t="shared" ca="1" si="108"/>
        <v>1470000</v>
      </c>
      <c r="CP94" s="138">
        <f t="shared" ca="1" si="108"/>
        <v>1470000</v>
      </c>
      <c r="CQ94" s="138">
        <f t="shared" ca="1" si="108"/>
        <v>1470000</v>
      </c>
      <c r="CR94" s="138">
        <f t="shared" ca="1" si="108"/>
        <v>1470000</v>
      </c>
      <c r="CS94" s="138">
        <f t="shared" ca="1" si="108"/>
        <v>1470000</v>
      </c>
      <c r="CT94" s="138">
        <f t="shared" ca="1" si="109"/>
        <v>1470000</v>
      </c>
      <c r="CU94" s="138">
        <f t="shared" ca="1" si="109"/>
        <v>1470000</v>
      </c>
      <c r="CV94" s="138">
        <f t="shared" ca="1" si="109"/>
        <v>1470000</v>
      </c>
      <c r="CW94" s="138">
        <f t="shared" ca="1" si="109"/>
        <v>1470000</v>
      </c>
      <c r="CX94" s="138">
        <f t="shared" ca="1" si="109"/>
        <v>1470000</v>
      </c>
      <c r="CY94" s="138">
        <f t="shared" ca="1" si="109"/>
        <v>1470000</v>
      </c>
      <c r="CZ94" s="138">
        <f t="shared" ca="1" si="109"/>
        <v>1470000</v>
      </c>
      <c r="DA94" s="138">
        <f t="shared" ca="1" si="109"/>
        <v>1470000</v>
      </c>
      <c r="DB94" s="138">
        <f t="shared" ca="1" si="109"/>
        <v>1470000</v>
      </c>
      <c r="DC94" s="138">
        <f t="shared" ca="1" si="109"/>
        <v>1470000</v>
      </c>
      <c r="DE94" s="254" t="str">
        <f t="shared" ca="1" si="87"/>
        <v>G.5.</v>
      </c>
      <c r="DF94">
        <f t="shared" ca="1" si="110"/>
        <v>1</v>
      </c>
      <c r="DG94">
        <f t="shared" ca="1" si="111"/>
        <v>0</v>
      </c>
    </row>
    <row r="95" spans="1:112" ht="15.75" hidden="1" customHeight="1">
      <c r="A95" s="124">
        <v>83</v>
      </c>
      <c r="B95" s="205" t="str">
        <f t="shared" ca="1" si="84"/>
        <v>G.6.</v>
      </c>
      <c r="C95" s="129" t="str">
        <f t="shared" ca="1" si="85"/>
        <v>Kitų, naujai įsteigtų, ambasadų užsienio valstybėse išlaikymo išlaidos</v>
      </c>
      <c r="D95" s="114"/>
      <c r="E95" s="148">
        <f t="shared" ca="1" si="86"/>
        <v>0</v>
      </c>
      <c r="F95" s="139">
        <f ca="1">H95+NPV(FD,I95:INDEX(I95:DC95,PAL))</f>
        <v>70619668.107303977</v>
      </c>
      <c r="G95" s="140">
        <f ca="1">SUMIF($H$5:$DC$5,"&lt;="&amp;PAL,$H95:$DC95)</f>
        <v>108392500</v>
      </c>
      <c r="H95" s="138">
        <f t="shared" ca="1" si="103"/>
        <v>0</v>
      </c>
      <c r="I95" s="138">
        <f t="shared" ca="1" si="103"/>
        <v>0</v>
      </c>
      <c r="J95" s="138">
        <f t="shared" ca="1" si="103"/>
        <v>2580500</v>
      </c>
      <c r="K95" s="138">
        <f t="shared" ca="1" si="103"/>
        <v>3628400</v>
      </c>
      <c r="L95" s="138">
        <f t="shared" ca="1" si="103"/>
        <v>6010800</v>
      </c>
      <c r="M95" s="138">
        <f t="shared" ca="1" si="103"/>
        <v>6010800</v>
      </c>
      <c r="N95" s="138">
        <f t="shared" ca="1" si="103"/>
        <v>6010800</v>
      </c>
      <c r="O95" s="138">
        <f t="shared" ca="1" si="103"/>
        <v>6010800</v>
      </c>
      <c r="P95" s="138">
        <f t="shared" ca="1" si="103"/>
        <v>6010800</v>
      </c>
      <c r="Q95" s="138">
        <f t="shared" ca="1" si="103"/>
        <v>6010800</v>
      </c>
      <c r="R95" s="138">
        <f t="shared" ca="1" si="103"/>
        <v>6010800</v>
      </c>
      <c r="S95" s="138">
        <f t="shared" ca="1" si="103"/>
        <v>6010800</v>
      </c>
      <c r="T95" s="138">
        <f t="shared" ca="1" si="103"/>
        <v>6010800</v>
      </c>
      <c r="U95" s="138">
        <f t="shared" ca="1" si="103"/>
        <v>6010800</v>
      </c>
      <c r="V95" s="138">
        <f t="shared" ca="1" si="103"/>
        <v>6010800</v>
      </c>
      <c r="W95" s="138">
        <f t="shared" ca="1" si="103"/>
        <v>6010800</v>
      </c>
      <c r="X95" s="138">
        <f t="shared" ca="1" si="104"/>
        <v>6010800</v>
      </c>
      <c r="Y95" s="138">
        <f t="shared" ca="1" si="104"/>
        <v>6010800</v>
      </c>
      <c r="Z95" s="138">
        <f t="shared" ca="1" si="104"/>
        <v>6010800</v>
      </c>
      <c r="AA95" s="138">
        <f t="shared" ca="1" si="104"/>
        <v>6010800</v>
      </c>
      <c r="AB95" s="138">
        <f t="shared" ca="1" si="104"/>
        <v>6010800</v>
      </c>
      <c r="AC95" s="138">
        <f t="shared" ca="1" si="104"/>
        <v>0</v>
      </c>
      <c r="AD95" s="138">
        <f t="shared" ca="1" si="104"/>
        <v>0</v>
      </c>
      <c r="AE95" s="138">
        <f t="shared" ca="1" si="104"/>
        <v>0</v>
      </c>
      <c r="AF95" s="138">
        <f t="shared" ca="1" si="104"/>
        <v>0</v>
      </c>
      <c r="AG95" s="138">
        <f t="shared" ca="1" si="104"/>
        <v>0</v>
      </c>
      <c r="AH95" s="138">
        <f t="shared" ca="1" si="104"/>
        <v>0</v>
      </c>
      <c r="AI95" s="138">
        <f t="shared" ca="1" si="104"/>
        <v>0</v>
      </c>
      <c r="AJ95" s="138">
        <f t="shared" ca="1" si="104"/>
        <v>0</v>
      </c>
      <c r="AK95" s="138">
        <f t="shared" ca="1" si="104"/>
        <v>0</v>
      </c>
      <c r="AL95" s="138">
        <f t="shared" ca="1" si="104"/>
        <v>0</v>
      </c>
      <c r="AM95" s="138">
        <f t="shared" ca="1" si="104"/>
        <v>0</v>
      </c>
      <c r="AN95" s="138">
        <f t="shared" ca="1" si="105"/>
        <v>0</v>
      </c>
      <c r="AO95" s="138">
        <f t="shared" ca="1" si="105"/>
        <v>0</v>
      </c>
      <c r="AP95" s="138">
        <f t="shared" ca="1" si="105"/>
        <v>0</v>
      </c>
      <c r="AQ95" s="138">
        <f t="shared" ca="1" si="105"/>
        <v>0</v>
      </c>
      <c r="AR95" s="138">
        <f t="shared" ca="1" si="105"/>
        <v>0</v>
      </c>
      <c r="AS95" s="138">
        <f t="shared" ca="1" si="105"/>
        <v>0</v>
      </c>
      <c r="AT95" s="138">
        <f t="shared" ca="1" si="105"/>
        <v>0</v>
      </c>
      <c r="AU95" s="138">
        <f t="shared" ca="1" si="105"/>
        <v>0</v>
      </c>
      <c r="AV95" s="138">
        <f t="shared" ca="1" si="105"/>
        <v>0</v>
      </c>
      <c r="AW95" s="138">
        <f t="shared" ca="1" si="105"/>
        <v>0</v>
      </c>
      <c r="AX95" s="138">
        <f t="shared" ca="1" si="105"/>
        <v>0</v>
      </c>
      <c r="AY95" s="138">
        <f t="shared" ca="1" si="105"/>
        <v>0</v>
      </c>
      <c r="AZ95" s="138">
        <f t="shared" ca="1" si="105"/>
        <v>0</v>
      </c>
      <c r="BA95" s="138">
        <f t="shared" ca="1" si="105"/>
        <v>0</v>
      </c>
      <c r="BB95" s="138">
        <f t="shared" ca="1" si="105"/>
        <v>0</v>
      </c>
      <c r="BC95" s="138">
        <f t="shared" ca="1" si="105"/>
        <v>0</v>
      </c>
      <c r="BD95" s="138">
        <f t="shared" ca="1" si="106"/>
        <v>0</v>
      </c>
      <c r="BE95" s="138">
        <f t="shared" ca="1" si="106"/>
        <v>0</v>
      </c>
      <c r="BF95" s="138">
        <f t="shared" ca="1" si="106"/>
        <v>0</v>
      </c>
      <c r="BG95" s="138">
        <f t="shared" ca="1" si="106"/>
        <v>0</v>
      </c>
      <c r="BH95" s="138">
        <f t="shared" ca="1" si="106"/>
        <v>0</v>
      </c>
      <c r="BI95" s="138">
        <f t="shared" ca="1" si="106"/>
        <v>0</v>
      </c>
      <c r="BJ95" s="138">
        <f t="shared" ca="1" si="106"/>
        <v>0</v>
      </c>
      <c r="BK95" s="138">
        <f t="shared" ca="1" si="106"/>
        <v>0</v>
      </c>
      <c r="BL95" s="138">
        <f t="shared" ca="1" si="106"/>
        <v>0</v>
      </c>
      <c r="BM95" s="138">
        <f t="shared" ca="1" si="106"/>
        <v>0</v>
      </c>
      <c r="BN95" s="138">
        <f t="shared" ca="1" si="106"/>
        <v>0</v>
      </c>
      <c r="BO95" s="138">
        <f t="shared" ca="1" si="106"/>
        <v>0</v>
      </c>
      <c r="BP95" s="138">
        <f t="shared" ca="1" si="106"/>
        <v>0</v>
      </c>
      <c r="BQ95" s="138">
        <f t="shared" ca="1" si="106"/>
        <v>0</v>
      </c>
      <c r="BR95" s="138">
        <f t="shared" ca="1" si="106"/>
        <v>0</v>
      </c>
      <c r="BS95" s="138">
        <f t="shared" ca="1" si="106"/>
        <v>0</v>
      </c>
      <c r="BT95" s="138">
        <f t="shared" ca="1" si="107"/>
        <v>0</v>
      </c>
      <c r="BU95" s="138">
        <f t="shared" ca="1" si="107"/>
        <v>0</v>
      </c>
      <c r="BV95" s="138">
        <f t="shared" ca="1" si="107"/>
        <v>0</v>
      </c>
      <c r="BW95" s="138">
        <f t="shared" ca="1" si="107"/>
        <v>0</v>
      </c>
      <c r="BX95" s="138">
        <f t="shared" ca="1" si="107"/>
        <v>0</v>
      </c>
      <c r="BY95" s="138">
        <f t="shared" ca="1" si="107"/>
        <v>0</v>
      </c>
      <c r="BZ95" s="138">
        <f t="shared" ca="1" si="107"/>
        <v>0</v>
      </c>
      <c r="CA95" s="138">
        <f t="shared" ca="1" si="107"/>
        <v>0</v>
      </c>
      <c r="CB95" s="138">
        <f t="shared" ca="1" si="107"/>
        <v>0</v>
      </c>
      <c r="CC95" s="138">
        <f t="shared" ca="1" si="107"/>
        <v>0</v>
      </c>
      <c r="CD95" s="138">
        <f t="shared" ca="1" si="107"/>
        <v>0</v>
      </c>
      <c r="CE95" s="138">
        <f t="shared" ca="1" si="107"/>
        <v>0</v>
      </c>
      <c r="CF95" s="138">
        <f t="shared" ca="1" si="107"/>
        <v>0</v>
      </c>
      <c r="CG95" s="138">
        <f t="shared" ca="1" si="107"/>
        <v>0</v>
      </c>
      <c r="CH95" s="138">
        <f t="shared" ca="1" si="107"/>
        <v>0</v>
      </c>
      <c r="CI95" s="138">
        <f t="shared" ca="1" si="107"/>
        <v>0</v>
      </c>
      <c r="CJ95" s="138">
        <f t="shared" ca="1" si="108"/>
        <v>0</v>
      </c>
      <c r="CK95" s="138">
        <f t="shared" ca="1" si="108"/>
        <v>0</v>
      </c>
      <c r="CL95" s="138">
        <f t="shared" ca="1" si="108"/>
        <v>0</v>
      </c>
      <c r="CM95" s="138">
        <f t="shared" ca="1" si="108"/>
        <v>0</v>
      </c>
      <c r="CN95" s="138">
        <f t="shared" ca="1" si="108"/>
        <v>0</v>
      </c>
      <c r="CO95" s="138">
        <f t="shared" ca="1" si="108"/>
        <v>0</v>
      </c>
      <c r="CP95" s="138">
        <f t="shared" ca="1" si="108"/>
        <v>0</v>
      </c>
      <c r="CQ95" s="138">
        <f t="shared" ca="1" si="108"/>
        <v>0</v>
      </c>
      <c r="CR95" s="138">
        <f t="shared" ca="1" si="108"/>
        <v>0</v>
      </c>
      <c r="CS95" s="138">
        <f t="shared" ca="1" si="108"/>
        <v>0</v>
      </c>
      <c r="CT95" s="138">
        <f t="shared" ca="1" si="109"/>
        <v>0</v>
      </c>
      <c r="CU95" s="138">
        <f t="shared" ca="1" si="109"/>
        <v>0</v>
      </c>
      <c r="CV95" s="138">
        <f t="shared" ca="1" si="109"/>
        <v>0</v>
      </c>
      <c r="CW95" s="138">
        <f t="shared" ca="1" si="109"/>
        <v>0</v>
      </c>
      <c r="CX95" s="138">
        <f t="shared" ca="1" si="109"/>
        <v>0</v>
      </c>
      <c r="CY95" s="138">
        <f t="shared" ca="1" si="109"/>
        <v>0</v>
      </c>
      <c r="CZ95" s="138">
        <f t="shared" ca="1" si="109"/>
        <v>0</v>
      </c>
      <c r="DA95" s="138">
        <f t="shared" ca="1" si="109"/>
        <v>0</v>
      </c>
      <c r="DB95" s="138">
        <f t="shared" ca="1" si="109"/>
        <v>0</v>
      </c>
      <c r="DC95" s="138">
        <f t="shared" ca="1" si="109"/>
        <v>0</v>
      </c>
      <c r="DE95" s="254" t="str">
        <f t="shared" ca="1" si="87"/>
        <v>G.6.</v>
      </c>
      <c r="DF95">
        <f t="shared" ca="1" si="110"/>
        <v>1</v>
      </c>
      <c r="DG95">
        <f t="shared" ca="1" si="111"/>
        <v>0</v>
      </c>
    </row>
    <row r="96" spans="1:112" ht="15.75" hidden="1" customHeight="1">
      <c r="A96" s="124">
        <v>84</v>
      </c>
      <c r="B96" s="205" t="str">
        <f t="shared" ca="1" si="84"/>
        <v>G.7.</v>
      </c>
      <c r="C96" s="129" t="str">
        <f t="shared" ca="1" si="85"/>
        <v/>
      </c>
      <c r="D96" s="114"/>
      <c r="E96" s="148">
        <f t="shared" ca="1" si="86"/>
        <v>0.21</v>
      </c>
      <c r="F96" s="139">
        <f ca="1">H96+NPV(FD,I96:INDEX(I96:DC96,PAL))</f>
        <v>0</v>
      </c>
      <c r="G96" s="140">
        <f ca="1">SUMIF($H$5:$DC$5,"&lt;="&amp;PAL,$H96:$DC96)</f>
        <v>0</v>
      </c>
      <c r="H96" s="138">
        <f t="shared" ca="1" si="103"/>
        <v>0</v>
      </c>
      <c r="I96" s="138">
        <f t="shared" ca="1" si="103"/>
        <v>0</v>
      </c>
      <c r="J96" s="138">
        <f t="shared" ca="1" si="103"/>
        <v>0</v>
      </c>
      <c r="K96" s="138">
        <f t="shared" ca="1" si="103"/>
        <v>0</v>
      </c>
      <c r="L96" s="138">
        <f t="shared" ca="1" si="103"/>
        <v>0</v>
      </c>
      <c r="M96" s="138">
        <f t="shared" ca="1" si="103"/>
        <v>0</v>
      </c>
      <c r="N96" s="138">
        <f t="shared" ca="1" si="103"/>
        <v>0</v>
      </c>
      <c r="O96" s="138">
        <f t="shared" ca="1" si="103"/>
        <v>0</v>
      </c>
      <c r="P96" s="138">
        <f t="shared" ca="1" si="103"/>
        <v>0</v>
      </c>
      <c r="Q96" s="138">
        <f t="shared" ca="1" si="103"/>
        <v>0</v>
      </c>
      <c r="R96" s="138">
        <f t="shared" ca="1" si="103"/>
        <v>0</v>
      </c>
      <c r="S96" s="138">
        <f t="shared" ca="1" si="103"/>
        <v>0</v>
      </c>
      <c r="T96" s="138">
        <f t="shared" ca="1" si="103"/>
        <v>0</v>
      </c>
      <c r="U96" s="138">
        <f t="shared" ca="1" si="103"/>
        <v>0</v>
      </c>
      <c r="V96" s="138">
        <f t="shared" ca="1" si="103"/>
        <v>0</v>
      </c>
      <c r="W96" s="138">
        <f t="shared" ca="1" si="103"/>
        <v>0</v>
      </c>
      <c r="X96" s="138">
        <f t="shared" ca="1" si="104"/>
        <v>0</v>
      </c>
      <c r="Y96" s="138">
        <f t="shared" ca="1" si="104"/>
        <v>0</v>
      </c>
      <c r="Z96" s="138">
        <f t="shared" ca="1" si="104"/>
        <v>0</v>
      </c>
      <c r="AA96" s="138">
        <f t="shared" ca="1" si="104"/>
        <v>0</v>
      </c>
      <c r="AB96" s="138">
        <f t="shared" ca="1" si="104"/>
        <v>0</v>
      </c>
      <c r="AC96" s="138">
        <f t="shared" ca="1" si="104"/>
        <v>0</v>
      </c>
      <c r="AD96" s="138">
        <f t="shared" ca="1" si="104"/>
        <v>0</v>
      </c>
      <c r="AE96" s="138">
        <f t="shared" ca="1" si="104"/>
        <v>0</v>
      </c>
      <c r="AF96" s="138">
        <f t="shared" ca="1" si="104"/>
        <v>0</v>
      </c>
      <c r="AG96" s="138">
        <f t="shared" ca="1" si="104"/>
        <v>0</v>
      </c>
      <c r="AH96" s="138">
        <f t="shared" ca="1" si="104"/>
        <v>0</v>
      </c>
      <c r="AI96" s="138">
        <f t="shared" ca="1" si="104"/>
        <v>0</v>
      </c>
      <c r="AJ96" s="138">
        <f t="shared" ca="1" si="104"/>
        <v>0</v>
      </c>
      <c r="AK96" s="138">
        <f t="shared" ca="1" si="104"/>
        <v>0</v>
      </c>
      <c r="AL96" s="138">
        <f t="shared" ca="1" si="104"/>
        <v>0</v>
      </c>
      <c r="AM96" s="138">
        <f t="shared" ca="1" si="104"/>
        <v>0</v>
      </c>
      <c r="AN96" s="138">
        <f t="shared" ca="1" si="105"/>
        <v>0</v>
      </c>
      <c r="AO96" s="138">
        <f t="shared" ca="1" si="105"/>
        <v>0</v>
      </c>
      <c r="AP96" s="138">
        <f t="shared" ca="1" si="105"/>
        <v>0</v>
      </c>
      <c r="AQ96" s="138">
        <f t="shared" ca="1" si="105"/>
        <v>0</v>
      </c>
      <c r="AR96" s="138">
        <f t="shared" ca="1" si="105"/>
        <v>0</v>
      </c>
      <c r="AS96" s="138">
        <f t="shared" ca="1" si="105"/>
        <v>0</v>
      </c>
      <c r="AT96" s="138">
        <f t="shared" ca="1" si="105"/>
        <v>0</v>
      </c>
      <c r="AU96" s="138">
        <f t="shared" ca="1" si="105"/>
        <v>0</v>
      </c>
      <c r="AV96" s="138">
        <f t="shared" ca="1" si="105"/>
        <v>0</v>
      </c>
      <c r="AW96" s="138">
        <f t="shared" ca="1" si="105"/>
        <v>0</v>
      </c>
      <c r="AX96" s="138">
        <f t="shared" ca="1" si="105"/>
        <v>0</v>
      </c>
      <c r="AY96" s="138">
        <f t="shared" ca="1" si="105"/>
        <v>0</v>
      </c>
      <c r="AZ96" s="138">
        <f t="shared" ca="1" si="105"/>
        <v>0</v>
      </c>
      <c r="BA96" s="138">
        <f t="shared" ca="1" si="105"/>
        <v>0</v>
      </c>
      <c r="BB96" s="138">
        <f t="shared" ca="1" si="105"/>
        <v>0</v>
      </c>
      <c r="BC96" s="138">
        <f t="shared" ca="1" si="105"/>
        <v>0</v>
      </c>
      <c r="BD96" s="138">
        <f t="shared" ca="1" si="106"/>
        <v>0</v>
      </c>
      <c r="BE96" s="138">
        <f t="shared" ca="1" si="106"/>
        <v>0</v>
      </c>
      <c r="BF96" s="138">
        <f t="shared" ca="1" si="106"/>
        <v>0</v>
      </c>
      <c r="BG96" s="138">
        <f t="shared" ca="1" si="106"/>
        <v>0</v>
      </c>
      <c r="BH96" s="138">
        <f t="shared" ca="1" si="106"/>
        <v>0</v>
      </c>
      <c r="BI96" s="138">
        <f t="shared" ca="1" si="106"/>
        <v>0</v>
      </c>
      <c r="BJ96" s="138">
        <f t="shared" ca="1" si="106"/>
        <v>0</v>
      </c>
      <c r="BK96" s="138">
        <f t="shared" ca="1" si="106"/>
        <v>0</v>
      </c>
      <c r="BL96" s="138">
        <f t="shared" ca="1" si="106"/>
        <v>0</v>
      </c>
      <c r="BM96" s="138">
        <f t="shared" ca="1" si="106"/>
        <v>0</v>
      </c>
      <c r="BN96" s="138">
        <f t="shared" ca="1" si="106"/>
        <v>0</v>
      </c>
      <c r="BO96" s="138">
        <f t="shared" ca="1" si="106"/>
        <v>0</v>
      </c>
      <c r="BP96" s="138">
        <f t="shared" ca="1" si="106"/>
        <v>0</v>
      </c>
      <c r="BQ96" s="138">
        <f t="shared" ca="1" si="106"/>
        <v>0</v>
      </c>
      <c r="BR96" s="138">
        <f t="shared" ca="1" si="106"/>
        <v>0</v>
      </c>
      <c r="BS96" s="138">
        <f t="shared" ca="1" si="106"/>
        <v>0</v>
      </c>
      <c r="BT96" s="138">
        <f t="shared" ca="1" si="107"/>
        <v>0</v>
      </c>
      <c r="BU96" s="138">
        <f t="shared" ca="1" si="107"/>
        <v>0</v>
      </c>
      <c r="BV96" s="138">
        <f t="shared" ca="1" si="107"/>
        <v>0</v>
      </c>
      <c r="BW96" s="138">
        <f t="shared" ca="1" si="107"/>
        <v>0</v>
      </c>
      <c r="BX96" s="138">
        <f t="shared" ca="1" si="107"/>
        <v>0</v>
      </c>
      <c r="BY96" s="138">
        <f t="shared" ca="1" si="107"/>
        <v>0</v>
      </c>
      <c r="BZ96" s="138">
        <f t="shared" ca="1" si="107"/>
        <v>0</v>
      </c>
      <c r="CA96" s="138">
        <f t="shared" ca="1" si="107"/>
        <v>0</v>
      </c>
      <c r="CB96" s="138">
        <f t="shared" ca="1" si="107"/>
        <v>0</v>
      </c>
      <c r="CC96" s="138">
        <f t="shared" ca="1" si="107"/>
        <v>0</v>
      </c>
      <c r="CD96" s="138">
        <f t="shared" ca="1" si="107"/>
        <v>0</v>
      </c>
      <c r="CE96" s="138">
        <f t="shared" ca="1" si="107"/>
        <v>0</v>
      </c>
      <c r="CF96" s="138">
        <f t="shared" ca="1" si="107"/>
        <v>0</v>
      </c>
      <c r="CG96" s="138">
        <f t="shared" ca="1" si="107"/>
        <v>0</v>
      </c>
      <c r="CH96" s="138">
        <f t="shared" ca="1" si="107"/>
        <v>0</v>
      </c>
      <c r="CI96" s="138">
        <f t="shared" ca="1" si="107"/>
        <v>0</v>
      </c>
      <c r="CJ96" s="138">
        <f t="shared" ca="1" si="108"/>
        <v>0</v>
      </c>
      <c r="CK96" s="138">
        <f t="shared" ca="1" si="108"/>
        <v>0</v>
      </c>
      <c r="CL96" s="138">
        <f t="shared" ca="1" si="108"/>
        <v>0</v>
      </c>
      <c r="CM96" s="138">
        <f t="shared" ca="1" si="108"/>
        <v>0</v>
      </c>
      <c r="CN96" s="138">
        <f t="shared" ca="1" si="108"/>
        <v>0</v>
      </c>
      <c r="CO96" s="138">
        <f t="shared" ca="1" si="108"/>
        <v>0</v>
      </c>
      <c r="CP96" s="138">
        <f t="shared" ca="1" si="108"/>
        <v>0</v>
      </c>
      <c r="CQ96" s="138">
        <f t="shared" ca="1" si="108"/>
        <v>0</v>
      </c>
      <c r="CR96" s="138">
        <f t="shared" ca="1" si="108"/>
        <v>0</v>
      </c>
      <c r="CS96" s="138">
        <f t="shared" ca="1" si="108"/>
        <v>0</v>
      </c>
      <c r="CT96" s="138">
        <f t="shared" ca="1" si="109"/>
        <v>0</v>
      </c>
      <c r="CU96" s="138">
        <f t="shared" ca="1" si="109"/>
        <v>0</v>
      </c>
      <c r="CV96" s="138">
        <f t="shared" ca="1" si="109"/>
        <v>0</v>
      </c>
      <c r="CW96" s="138">
        <f t="shared" ca="1" si="109"/>
        <v>0</v>
      </c>
      <c r="CX96" s="138">
        <f t="shared" ca="1" si="109"/>
        <v>0</v>
      </c>
      <c r="CY96" s="138">
        <f t="shared" ca="1" si="109"/>
        <v>0</v>
      </c>
      <c r="CZ96" s="138">
        <f t="shared" ca="1" si="109"/>
        <v>0</v>
      </c>
      <c r="DA96" s="138">
        <f t="shared" ca="1" si="109"/>
        <v>0</v>
      </c>
      <c r="DB96" s="138">
        <f t="shared" ca="1" si="109"/>
        <v>0</v>
      </c>
      <c r="DC96" s="138">
        <f t="shared" ca="1" si="109"/>
        <v>0</v>
      </c>
      <c r="DE96" s="254" t="str">
        <f t="shared" ca="1" si="87"/>
        <v>G.7.</v>
      </c>
      <c r="DF96">
        <f t="shared" ca="1" si="110"/>
        <v>1</v>
      </c>
      <c r="DG96">
        <f t="shared" ca="1" si="111"/>
        <v>21</v>
      </c>
    </row>
    <row r="97" spans="1:111" ht="15.75" hidden="1" customHeight="1">
      <c r="A97" s="124">
        <v>85</v>
      </c>
      <c r="B97" s="205" t="str">
        <f t="shared" ca="1" si="84"/>
        <v>G.8.</v>
      </c>
      <c r="C97" s="129" t="str">
        <f t="shared" ca="1" si="85"/>
        <v/>
      </c>
      <c r="D97" s="114"/>
      <c r="E97" s="148">
        <f t="shared" ca="1" si="86"/>
        <v>0.21</v>
      </c>
      <c r="F97" s="139">
        <f ca="1">H97+NPV(FD,I97:INDEX(I97:DC97,PAL))</f>
        <v>0</v>
      </c>
      <c r="G97" s="140">
        <f ca="1">SUMIF($H$5:$DC$5,"&lt;="&amp;PAL,$H97:$DC97)</f>
        <v>0</v>
      </c>
      <c r="H97" s="138">
        <f t="shared" ca="1" si="103"/>
        <v>0</v>
      </c>
      <c r="I97" s="138">
        <f t="shared" ca="1" si="103"/>
        <v>0</v>
      </c>
      <c r="J97" s="138">
        <f t="shared" ca="1" si="103"/>
        <v>0</v>
      </c>
      <c r="K97" s="138">
        <f t="shared" ca="1" si="103"/>
        <v>0</v>
      </c>
      <c r="L97" s="138">
        <f t="shared" ca="1" si="103"/>
        <v>0</v>
      </c>
      <c r="M97" s="138">
        <f t="shared" ca="1" si="103"/>
        <v>0</v>
      </c>
      <c r="N97" s="138">
        <f t="shared" ca="1" si="103"/>
        <v>0</v>
      </c>
      <c r="O97" s="138">
        <f t="shared" ca="1" si="103"/>
        <v>0</v>
      </c>
      <c r="P97" s="138">
        <f t="shared" ca="1" si="103"/>
        <v>0</v>
      </c>
      <c r="Q97" s="138">
        <f t="shared" ca="1" si="103"/>
        <v>0</v>
      </c>
      <c r="R97" s="138">
        <f t="shared" ca="1" si="103"/>
        <v>0</v>
      </c>
      <c r="S97" s="138">
        <f t="shared" ca="1" si="103"/>
        <v>0</v>
      </c>
      <c r="T97" s="138">
        <f t="shared" ca="1" si="103"/>
        <v>0</v>
      </c>
      <c r="U97" s="138">
        <f t="shared" ca="1" si="103"/>
        <v>0</v>
      </c>
      <c r="V97" s="138">
        <f t="shared" ca="1" si="103"/>
        <v>0</v>
      </c>
      <c r="W97" s="138">
        <f t="shared" ca="1" si="103"/>
        <v>0</v>
      </c>
      <c r="X97" s="138">
        <f t="shared" ca="1" si="104"/>
        <v>0</v>
      </c>
      <c r="Y97" s="138">
        <f t="shared" ca="1" si="104"/>
        <v>0</v>
      </c>
      <c r="Z97" s="138">
        <f t="shared" ca="1" si="104"/>
        <v>0</v>
      </c>
      <c r="AA97" s="138">
        <f t="shared" ca="1" si="104"/>
        <v>0</v>
      </c>
      <c r="AB97" s="138">
        <f t="shared" ca="1" si="104"/>
        <v>0</v>
      </c>
      <c r="AC97" s="138">
        <f t="shared" ca="1" si="104"/>
        <v>0</v>
      </c>
      <c r="AD97" s="138">
        <f t="shared" ca="1" si="104"/>
        <v>0</v>
      </c>
      <c r="AE97" s="138">
        <f t="shared" ca="1" si="104"/>
        <v>0</v>
      </c>
      <c r="AF97" s="138">
        <f t="shared" ca="1" si="104"/>
        <v>0</v>
      </c>
      <c r="AG97" s="138">
        <f t="shared" ca="1" si="104"/>
        <v>0</v>
      </c>
      <c r="AH97" s="138">
        <f t="shared" ca="1" si="104"/>
        <v>0</v>
      </c>
      <c r="AI97" s="138">
        <f t="shared" ca="1" si="104"/>
        <v>0</v>
      </c>
      <c r="AJ97" s="138">
        <f t="shared" ca="1" si="104"/>
        <v>0</v>
      </c>
      <c r="AK97" s="138">
        <f t="shared" ca="1" si="104"/>
        <v>0</v>
      </c>
      <c r="AL97" s="138">
        <f t="shared" ca="1" si="104"/>
        <v>0</v>
      </c>
      <c r="AM97" s="138">
        <f t="shared" ca="1" si="104"/>
        <v>0</v>
      </c>
      <c r="AN97" s="138">
        <f t="shared" ca="1" si="105"/>
        <v>0</v>
      </c>
      <c r="AO97" s="138">
        <f t="shared" ca="1" si="105"/>
        <v>0</v>
      </c>
      <c r="AP97" s="138">
        <f t="shared" ca="1" si="105"/>
        <v>0</v>
      </c>
      <c r="AQ97" s="138">
        <f t="shared" ca="1" si="105"/>
        <v>0</v>
      </c>
      <c r="AR97" s="138">
        <f t="shared" ca="1" si="105"/>
        <v>0</v>
      </c>
      <c r="AS97" s="138">
        <f t="shared" ca="1" si="105"/>
        <v>0</v>
      </c>
      <c r="AT97" s="138">
        <f t="shared" ca="1" si="105"/>
        <v>0</v>
      </c>
      <c r="AU97" s="138">
        <f t="shared" ca="1" si="105"/>
        <v>0</v>
      </c>
      <c r="AV97" s="138">
        <f t="shared" ca="1" si="105"/>
        <v>0</v>
      </c>
      <c r="AW97" s="138">
        <f t="shared" ca="1" si="105"/>
        <v>0</v>
      </c>
      <c r="AX97" s="138">
        <f t="shared" ca="1" si="105"/>
        <v>0</v>
      </c>
      <c r="AY97" s="138">
        <f t="shared" ca="1" si="105"/>
        <v>0</v>
      </c>
      <c r="AZ97" s="138">
        <f t="shared" ca="1" si="105"/>
        <v>0</v>
      </c>
      <c r="BA97" s="138">
        <f t="shared" ca="1" si="105"/>
        <v>0</v>
      </c>
      <c r="BB97" s="138">
        <f t="shared" ca="1" si="105"/>
        <v>0</v>
      </c>
      <c r="BC97" s="138">
        <f t="shared" ca="1" si="105"/>
        <v>0</v>
      </c>
      <c r="BD97" s="138">
        <f t="shared" ca="1" si="106"/>
        <v>0</v>
      </c>
      <c r="BE97" s="138">
        <f t="shared" ca="1" si="106"/>
        <v>0</v>
      </c>
      <c r="BF97" s="138">
        <f t="shared" ca="1" si="106"/>
        <v>0</v>
      </c>
      <c r="BG97" s="138">
        <f t="shared" ca="1" si="106"/>
        <v>0</v>
      </c>
      <c r="BH97" s="138">
        <f t="shared" ca="1" si="106"/>
        <v>0</v>
      </c>
      <c r="BI97" s="138">
        <f t="shared" ca="1" si="106"/>
        <v>0</v>
      </c>
      <c r="BJ97" s="138">
        <f t="shared" ca="1" si="106"/>
        <v>0</v>
      </c>
      <c r="BK97" s="138">
        <f t="shared" ca="1" si="106"/>
        <v>0</v>
      </c>
      <c r="BL97" s="138">
        <f t="shared" ca="1" si="106"/>
        <v>0</v>
      </c>
      <c r="BM97" s="138">
        <f t="shared" ca="1" si="106"/>
        <v>0</v>
      </c>
      <c r="BN97" s="138">
        <f t="shared" ca="1" si="106"/>
        <v>0</v>
      </c>
      <c r="BO97" s="138">
        <f t="shared" ca="1" si="106"/>
        <v>0</v>
      </c>
      <c r="BP97" s="138">
        <f t="shared" ca="1" si="106"/>
        <v>0</v>
      </c>
      <c r="BQ97" s="138">
        <f t="shared" ca="1" si="106"/>
        <v>0</v>
      </c>
      <c r="BR97" s="138">
        <f t="shared" ca="1" si="106"/>
        <v>0</v>
      </c>
      <c r="BS97" s="138">
        <f t="shared" ca="1" si="106"/>
        <v>0</v>
      </c>
      <c r="BT97" s="138">
        <f t="shared" ca="1" si="107"/>
        <v>0</v>
      </c>
      <c r="BU97" s="138">
        <f t="shared" ca="1" si="107"/>
        <v>0</v>
      </c>
      <c r="BV97" s="138">
        <f t="shared" ca="1" si="107"/>
        <v>0</v>
      </c>
      <c r="BW97" s="138">
        <f t="shared" ca="1" si="107"/>
        <v>0</v>
      </c>
      <c r="BX97" s="138">
        <f t="shared" ca="1" si="107"/>
        <v>0</v>
      </c>
      <c r="BY97" s="138">
        <f t="shared" ca="1" si="107"/>
        <v>0</v>
      </c>
      <c r="BZ97" s="138">
        <f t="shared" ca="1" si="107"/>
        <v>0</v>
      </c>
      <c r="CA97" s="138">
        <f t="shared" ca="1" si="107"/>
        <v>0</v>
      </c>
      <c r="CB97" s="138">
        <f t="shared" ca="1" si="107"/>
        <v>0</v>
      </c>
      <c r="CC97" s="138">
        <f t="shared" ca="1" si="107"/>
        <v>0</v>
      </c>
      <c r="CD97" s="138">
        <f t="shared" ca="1" si="107"/>
        <v>0</v>
      </c>
      <c r="CE97" s="138">
        <f t="shared" ca="1" si="107"/>
        <v>0</v>
      </c>
      <c r="CF97" s="138">
        <f t="shared" ca="1" si="107"/>
        <v>0</v>
      </c>
      <c r="CG97" s="138">
        <f t="shared" ca="1" si="107"/>
        <v>0</v>
      </c>
      <c r="CH97" s="138">
        <f t="shared" ca="1" si="107"/>
        <v>0</v>
      </c>
      <c r="CI97" s="138">
        <f t="shared" ca="1" si="107"/>
        <v>0</v>
      </c>
      <c r="CJ97" s="138">
        <f t="shared" ca="1" si="108"/>
        <v>0</v>
      </c>
      <c r="CK97" s="138">
        <f t="shared" ca="1" si="108"/>
        <v>0</v>
      </c>
      <c r="CL97" s="138">
        <f t="shared" ca="1" si="108"/>
        <v>0</v>
      </c>
      <c r="CM97" s="138">
        <f t="shared" ca="1" si="108"/>
        <v>0</v>
      </c>
      <c r="CN97" s="138">
        <f t="shared" ca="1" si="108"/>
        <v>0</v>
      </c>
      <c r="CO97" s="138">
        <f t="shared" ca="1" si="108"/>
        <v>0</v>
      </c>
      <c r="CP97" s="138">
        <f t="shared" ca="1" si="108"/>
        <v>0</v>
      </c>
      <c r="CQ97" s="138">
        <f t="shared" ca="1" si="108"/>
        <v>0</v>
      </c>
      <c r="CR97" s="138">
        <f t="shared" ca="1" si="108"/>
        <v>0</v>
      </c>
      <c r="CS97" s="138">
        <f t="shared" ca="1" si="108"/>
        <v>0</v>
      </c>
      <c r="CT97" s="138">
        <f t="shared" ca="1" si="109"/>
        <v>0</v>
      </c>
      <c r="CU97" s="138">
        <f t="shared" ca="1" si="109"/>
        <v>0</v>
      </c>
      <c r="CV97" s="138">
        <f t="shared" ca="1" si="109"/>
        <v>0</v>
      </c>
      <c r="CW97" s="138">
        <f t="shared" ca="1" si="109"/>
        <v>0</v>
      </c>
      <c r="CX97" s="138">
        <f t="shared" ca="1" si="109"/>
        <v>0</v>
      </c>
      <c r="CY97" s="138">
        <f t="shared" ca="1" si="109"/>
        <v>0</v>
      </c>
      <c r="CZ97" s="138">
        <f t="shared" ca="1" si="109"/>
        <v>0</v>
      </c>
      <c r="DA97" s="138">
        <f t="shared" ca="1" si="109"/>
        <v>0</v>
      </c>
      <c r="DB97" s="138">
        <f t="shared" ca="1" si="109"/>
        <v>0</v>
      </c>
      <c r="DC97" s="138">
        <f t="shared" ca="1" si="109"/>
        <v>0</v>
      </c>
      <c r="DE97" s="254" t="str">
        <f t="shared" ca="1" si="87"/>
        <v>G.8.</v>
      </c>
      <c r="DF97">
        <f t="shared" ca="1" si="110"/>
        <v>1</v>
      </c>
      <c r="DG97">
        <f t="shared" ca="1" si="111"/>
        <v>21</v>
      </c>
    </row>
    <row r="98" spans="1:111" ht="15.75" hidden="1" customHeight="1">
      <c r="A98" s="124">
        <v>86</v>
      </c>
      <c r="B98" s="205" t="str">
        <f t="shared" ca="1" si="84"/>
        <v>G.9.</v>
      </c>
      <c r="C98" s="129" t="str">
        <f t="shared" ca="1" si="85"/>
        <v/>
      </c>
      <c r="D98" s="114"/>
      <c r="E98" s="148">
        <f t="shared" ca="1" si="86"/>
        <v>0.21</v>
      </c>
      <c r="F98" s="139">
        <f ca="1">H98+NPV(FD,I98:INDEX(I98:DC98,PAL))</f>
        <v>0</v>
      </c>
      <c r="G98" s="140">
        <f ca="1">SUMIF($H$5:$DC$5,"&lt;="&amp;PAL,$H98:$DC98)</f>
        <v>0</v>
      </c>
      <c r="H98" s="138">
        <f t="shared" ca="1" si="103"/>
        <v>0</v>
      </c>
      <c r="I98" s="138">
        <f t="shared" ca="1" si="103"/>
        <v>0</v>
      </c>
      <c r="J98" s="138">
        <f t="shared" ca="1" si="103"/>
        <v>0</v>
      </c>
      <c r="K98" s="138">
        <f t="shared" ca="1" si="103"/>
        <v>0</v>
      </c>
      <c r="L98" s="138">
        <f t="shared" ca="1" si="103"/>
        <v>0</v>
      </c>
      <c r="M98" s="138">
        <f t="shared" ca="1" si="103"/>
        <v>0</v>
      </c>
      <c r="N98" s="138">
        <f t="shared" ca="1" si="103"/>
        <v>0</v>
      </c>
      <c r="O98" s="138">
        <f t="shared" ca="1" si="103"/>
        <v>0</v>
      </c>
      <c r="P98" s="138">
        <f t="shared" ca="1" si="103"/>
        <v>0</v>
      </c>
      <c r="Q98" s="138">
        <f t="shared" ca="1" si="103"/>
        <v>0</v>
      </c>
      <c r="R98" s="138">
        <f t="shared" ca="1" si="103"/>
        <v>0</v>
      </c>
      <c r="S98" s="138">
        <f t="shared" ca="1" si="103"/>
        <v>0</v>
      </c>
      <c r="T98" s="138">
        <f t="shared" ca="1" si="103"/>
        <v>0</v>
      </c>
      <c r="U98" s="138">
        <f t="shared" ca="1" si="103"/>
        <v>0</v>
      </c>
      <c r="V98" s="138">
        <f t="shared" ca="1" si="103"/>
        <v>0</v>
      </c>
      <c r="W98" s="138">
        <f t="shared" ca="1" si="103"/>
        <v>0</v>
      </c>
      <c r="X98" s="138">
        <f t="shared" ca="1" si="104"/>
        <v>0</v>
      </c>
      <c r="Y98" s="138">
        <f t="shared" ca="1" si="104"/>
        <v>0</v>
      </c>
      <c r="Z98" s="138">
        <f t="shared" ca="1" si="104"/>
        <v>0</v>
      </c>
      <c r="AA98" s="138">
        <f t="shared" ca="1" si="104"/>
        <v>0</v>
      </c>
      <c r="AB98" s="138">
        <f t="shared" ca="1" si="104"/>
        <v>0</v>
      </c>
      <c r="AC98" s="138">
        <f t="shared" ca="1" si="104"/>
        <v>0</v>
      </c>
      <c r="AD98" s="138">
        <f t="shared" ca="1" si="104"/>
        <v>0</v>
      </c>
      <c r="AE98" s="138">
        <f t="shared" ca="1" si="104"/>
        <v>0</v>
      </c>
      <c r="AF98" s="138">
        <f t="shared" ca="1" si="104"/>
        <v>0</v>
      </c>
      <c r="AG98" s="138">
        <f t="shared" ca="1" si="104"/>
        <v>0</v>
      </c>
      <c r="AH98" s="138">
        <f t="shared" ca="1" si="104"/>
        <v>0</v>
      </c>
      <c r="AI98" s="138">
        <f t="shared" ca="1" si="104"/>
        <v>0</v>
      </c>
      <c r="AJ98" s="138">
        <f t="shared" ca="1" si="104"/>
        <v>0</v>
      </c>
      <c r="AK98" s="138">
        <f t="shared" ca="1" si="104"/>
        <v>0</v>
      </c>
      <c r="AL98" s="138">
        <f t="shared" ca="1" si="104"/>
        <v>0</v>
      </c>
      <c r="AM98" s="138">
        <f t="shared" ca="1" si="104"/>
        <v>0</v>
      </c>
      <c r="AN98" s="138">
        <f t="shared" ca="1" si="105"/>
        <v>0</v>
      </c>
      <c r="AO98" s="138">
        <f t="shared" ca="1" si="105"/>
        <v>0</v>
      </c>
      <c r="AP98" s="138">
        <f t="shared" ca="1" si="105"/>
        <v>0</v>
      </c>
      <c r="AQ98" s="138">
        <f t="shared" ca="1" si="105"/>
        <v>0</v>
      </c>
      <c r="AR98" s="138">
        <f t="shared" ca="1" si="105"/>
        <v>0</v>
      </c>
      <c r="AS98" s="138">
        <f t="shared" ca="1" si="105"/>
        <v>0</v>
      </c>
      <c r="AT98" s="138">
        <f t="shared" ca="1" si="105"/>
        <v>0</v>
      </c>
      <c r="AU98" s="138">
        <f t="shared" ca="1" si="105"/>
        <v>0</v>
      </c>
      <c r="AV98" s="138">
        <f t="shared" ca="1" si="105"/>
        <v>0</v>
      </c>
      <c r="AW98" s="138">
        <f t="shared" ca="1" si="105"/>
        <v>0</v>
      </c>
      <c r="AX98" s="138">
        <f t="shared" ca="1" si="105"/>
        <v>0</v>
      </c>
      <c r="AY98" s="138">
        <f t="shared" ca="1" si="105"/>
        <v>0</v>
      </c>
      <c r="AZ98" s="138">
        <f t="shared" ca="1" si="105"/>
        <v>0</v>
      </c>
      <c r="BA98" s="138">
        <f t="shared" ca="1" si="105"/>
        <v>0</v>
      </c>
      <c r="BB98" s="138">
        <f t="shared" ca="1" si="105"/>
        <v>0</v>
      </c>
      <c r="BC98" s="138">
        <f t="shared" ca="1" si="105"/>
        <v>0</v>
      </c>
      <c r="BD98" s="138">
        <f t="shared" ca="1" si="106"/>
        <v>0</v>
      </c>
      <c r="BE98" s="138">
        <f t="shared" ca="1" si="106"/>
        <v>0</v>
      </c>
      <c r="BF98" s="138">
        <f t="shared" ca="1" si="106"/>
        <v>0</v>
      </c>
      <c r="BG98" s="138">
        <f t="shared" ca="1" si="106"/>
        <v>0</v>
      </c>
      <c r="BH98" s="138">
        <f t="shared" ca="1" si="106"/>
        <v>0</v>
      </c>
      <c r="BI98" s="138">
        <f t="shared" ca="1" si="106"/>
        <v>0</v>
      </c>
      <c r="BJ98" s="138">
        <f t="shared" ca="1" si="106"/>
        <v>0</v>
      </c>
      <c r="BK98" s="138">
        <f t="shared" ca="1" si="106"/>
        <v>0</v>
      </c>
      <c r="BL98" s="138">
        <f t="shared" ca="1" si="106"/>
        <v>0</v>
      </c>
      <c r="BM98" s="138">
        <f t="shared" ca="1" si="106"/>
        <v>0</v>
      </c>
      <c r="BN98" s="138">
        <f t="shared" ca="1" si="106"/>
        <v>0</v>
      </c>
      <c r="BO98" s="138">
        <f t="shared" ca="1" si="106"/>
        <v>0</v>
      </c>
      <c r="BP98" s="138">
        <f t="shared" ca="1" si="106"/>
        <v>0</v>
      </c>
      <c r="BQ98" s="138">
        <f t="shared" ca="1" si="106"/>
        <v>0</v>
      </c>
      <c r="BR98" s="138">
        <f t="shared" ca="1" si="106"/>
        <v>0</v>
      </c>
      <c r="BS98" s="138">
        <f t="shared" ca="1" si="106"/>
        <v>0</v>
      </c>
      <c r="BT98" s="138">
        <f t="shared" ca="1" si="107"/>
        <v>0</v>
      </c>
      <c r="BU98" s="138">
        <f t="shared" ca="1" si="107"/>
        <v>0</v>
      </c>
      <c r="BV98" s="138">
        <f t="shared" ca="1" si="107"/>
        <v>0</v>
      </c>
      <c r="BW98" s="138">
        <f t="shared" ca="1" si="107"/>
        <v>0</v>
      </c>
      <c r="BX98" s="138">
        <f t="shared" ca="1" si="107"/>
        <v>0</v>
      </c>
      <c r="BY98" s="138">
        <f t="shared" ca="1" si="107"/>
        <v>0</v>
      </c>
      <c r="BZ98" s="138">
        <f t="shared" ca="1" si="107"/>
        <v>0</v>
      </c>
      <c r="CA98" s="138">
        <f t="shared" ca="1" si="107"/>
        <v>0</v>
      </c>
      <c r="CB98" s="138">
        <f t="shared" ca="1" si="107"/>
        <v>0</v>
      </c>
      <c r="CC98" s="138">
        <f t="shared" ca="1" si="107"/>
        <v>0</v>
      </c>
      <c r="CD98" s="138">
        <f t="shared" ca="1" si="107"/>
        <v>0</v>
      </c>
      <c r="CE98" s="138">
        <f t="shared" ca="1" si="107"/>
        <v>0</v>
      </c>
      <c r="CF98" s="138">
        <f t="shared" ca="1" si="107"/>
        <v>0</v>
      </c>
      <c r="CG98" s="138">
        <f t="shared" ca="1" si="107"/>
        <v>0</v>
      </c>
      <c r="CH98" s="138">
        <f t="shared" ca="1" si="107"/>
        <v>0</v>
      </c>
      <c r="CI98" s="138">
        <f t="shared" ca="1" si="107"/>
        <v>0</v>
      </c>
      <c r="CJ98" s="138">
        <f t="shared" ca="1" si="108"/>
        <v>0</v>
      </c>
      <c r="CK98" s="138">
        <f t="shared" ca="1" si="108"/>
        <v>0</v>
      </c>
      <c r="CL98" s="138">
        <f t="shared" ca="1" si="108"/>
        <v>0</v>
      </c>
      <c r="CM98" s="138">
        <f t="shared" ca="1" si="108"/>
        <v>0</v>
      </c>
      <c r="CN98" s="138">
        <f t="shared" ca="1" si="108"/>
        <v>0</v>
      </c>
      <c r="CO98" s="138">
        <f t="shared" ca="1" si="108"/>
        <v>0</v>
      </c>
      <c r="CP98" s="138">
        <f t="shared" ca="1" si="108"/>
        <v>0</v>
      </c>
      <c r="CQ98" s="138">
        <f t="shared" ca="1" si="108"/>
        <v>0</v>
      </c>
      <c r="CR98" s="138">
        <f t="shared" ca="1" si="108"/>
        <v>0</v>
      </c>
      <c r="CS98" s="138">
        <f t="shared" ca="1" si="108"/>
        <v>0</v>
      </c>
      <c r="CT98" s="138">
        <f t="shared" ca="1" si="109"/>
        <v>0</v>
      </c>
      <c r="CU98" s="138">
        <f t="shared" ca="1" si="109"/>
        <v>0</v>
      </c>
      <c r="CV98" s="138">
        <f t="shared" ca="1" si="109"/>
        <v>0</v>
      </c>
      <c r="CW98" s="138">
        <f t="shared" ca="1" si="109"/>
        <v>0</v>
      </c>
      <c r="CX98" s="138">
        <f t="shared" ca="1" si="109"/>
        <v>0</v>
      </c>
      <c r="CY98" s="138">
        <f t="shared" ca="1" si="109"/>
        <v>0</v>
      </c>
      <c r="CZ98" s="138">
        <f t="shared" ca="1" si="109"/>
        <v>0</v>
      </c>
      <c r="DA98" s="138">
        <f t="shared" ca="1" si="109"/>
        <v>0</v>
      </c>
      <c r="DB98" s="138">
        <f t="shared" ca="1" si="109"/>
        <v>0</v>
      </c>
      <c r="DC98" s="138">
        <f t="shared" ca="1" si="109"/>
        <v>0</v>
      </c>
      <c r="DE98" s="254" t="str">
        <f t="shared" ca="1" si="87"/>
        <v>G.9.</v>
      </c>
      <c r="DF98">
        <f t="shared" ca="1" si="110"/>
        <v>1</v>
      </c>
      <c r="DG98">
        <f t="shared" ca="1" si="111"/>
        <v>21</v>
      </c>
    </row>
    <row r="99" spans="1:111" ht="15.75" hidden="1" customHeight="1">
      <c r="A99" s="124">
        <v>87</v>
      </c>
      <c r="B99" s="205" t="str">
        <f t="shared" ca="1" si="84"/>
        <v>G.10.</v>
      </c>
      <c r="C99" s="129" t="str">
        <f t="shared" ca="1" si="85"/>
        <v/>
      </c>
      <c r="D99" s="114"/>
      <c r="E99" s="148">
        <f t="shared" ca="1" si="86"/>
        <v>0.21</v>
      </c>
      <c r="F99" s="139">
        <f ca="1">H99+NPV(FD,I99:INDEX(I99:DC99,PAL))</f>
        <v>0</v>
      </c>
      <c r="G99" s="140">
        <f ca="1">SUMIF($H$5:$DC$5,"&lt;="&amp;PAL,$H99:$DC99)</f>
        <v>0</v>
      </c>
      <c r="H99" s="138">
        <f t="shared" ca="1" si="103"/>
        <v>0</v>
      </c>
      <c r="I99" s="138">
        <f t="shared" ca="1" si="103"/>
        <v>0</v>
      </c>
      <c r="J99" s="138">
        <f t="shared" ca="1" si="103"/>
        <v>0</v>
      </c>
      <c r="K99" s="138">
        <f t="shared" ca="1" si="103"/>
        <v>0</v>
      </c>
      <c r="L99" s="138">
        <f t="shared" ca="1" si="103"/>
        <v>0</v>
      </c>
      <c r="M99" s="138">
        <f t="shared" ca="1" si="103"/>
        <v>0</v>
      </c>
      <c r="N99" s="138">
        <f t="shared" ca="1" si="103"/>
        <v>0</v>
      </c>
      <c r="O99" s="138">
        <f t="shared" ca="1" si="103"/>
        <v>0</v>
      </c>
      <c r="P99" s="138">
        <f t="shared" ca="1" si="103"/>
        <v>0</v>
      </c>
      <c r="Q99" s="138">
        <f t="shared" ca="1" si="103"/>
        <v>0</v>
      </c>
      <c r="R99" s="138">
        <f t="shared" ca="1" si="103"/>
        <v>0</v>
      </c>
      <c r="S99" s="138">
        <f t="shared" ca="1" si="103"/>
        <v>0</v>
      </c>
      <c r="T99" s="138">
        <f t="shared" ca="1" si="103"/>
        <v>0</v>
      </c>
      <c r="U99" s="138">
        <f t="shared" ca="1" si="103"/>
        <v>0</v>
      </c>
      <c r="V99" s="138">
        <f t="shared" ca="1" si="103"/>
        <v>0</v>
      </c>
      <c r="W99" s="138">
        <f t="shared" ca="1" si="103"/>
        <v>0</v>
      </c>
      <c r="X99" s="138">
        <f t="shared" ca="1" si="104"/>
        <v>0</v>
      </c>
      <c r="Y99" s="138">
        <f t="shared" ca="1" si="104"/>
        <v>0</v>
      </c>
      <c r="Z99" s="138">
        <f t="shared" ca="1" si="104"/>
        <v>0</v>
      </c>
      <c r="AA99" s="138">
        <f t="shared" ca="1" si="104"/>
        <v>0</v>
      </c>
      <c r="AB99" s="138">
        <f t="shared" ca="1" si="104"/>
        <v>0</v>
      </c>
      <c r="AC99" s="138">
        <f t="shared" ca="1" si="104"/>
        <v>0</v>
      </c>
      <c r="AD99" s="138">
        <f t="shared" ca="1" si="104"/>
        <v>0</v>
      </c>
      <c r="AE99" s="138">
        <f t="shared" ca="1" si="104"/>
        <v>0</v>
      </c>
      <c r="AF99" s="138">
        <f t="shared" ca="1" si="104"/>
        <v>0</v>
      </c>
      <c r="AG99" s="138">
        <f t="shared" ca="1" si="104"/>
        <v>0</v>
      </c>
      <c r="AH99" s="138">
        <f t="shared" ca="1" si="104"/>
        <v>0</v>
      </c>
      <c r="AI99" s="138">
        <f t="shared" ca="1" si="104"/>
        <v>0</v>
      </c>
      <c r="AJ99" s="138">
        <f t="shared" ca="1" si="104"/>
        <v>0</v>
      </c>
      <c r="AK99" s="138">
        <f t="shared" ca="1" si="104"/>
        <v>0</v>
      </c>
      <c r="AL99" s="138">
        <f t="shared" ca="1" si="104"/>
        <v>0</v>
      </c>
      <c r="AM99" s="138">
        <f t="shared" ca="1" si="104"/>
        <v>0</v>
      </c>
      <c r="AN99" s="138">
        <f t="shared" ca="1" si="105"/>
        <v>0</v>
      </c>
      <c r="AO99" s="138">
        <f t="shared" ca="1" si="105"/>
        <v>0</v>
      </c>
      <c r="AP99" s="138">
        <f t="shared" ca="1" si="105"/>
        <v>0</v>
      </c>
      <c r="AQ99" s="138">
        <f t="shared" ca="1" si="105"/>
        <v>0</v>
      </c>
      <c r="AR99" s="138">
        <f t="shared" ca="1" si="105"/>
        <v>0</v>
      </c>
      <c r="AS99" s="138">
        <f t="shared" ca="1" si="105"/>
        <v>0</v>
      </c>
      <c r="AT99" s="138">
        <f t="shared" ca="1" si="105"/>
        <v>0</v>
      </c>
      <c r="AU99" s="138">
        <f t="shared" ca="1" si="105"/>
        <v>0</v>
      </c>
      <c r="AV99" s="138">
        <f t="shared" ca="1" si="105"/>
        <v>0</v>
      </c>
      <c r="AW99" s="138">
        <f t="shared" ca="1" si="105"/>
        <v>0</v>
      </c>
      <c r="AX99" s="138">
        <f t="shared" ca="1" si="105"/>
        <v>0</v>
      </c>
      <c r="AY99" s="138">
        <f t="shared" ca="1" si="105"/>
        <v>0</v>
      </c>
      <c r="AZ99" s="138">
        <f t="shared" ca="1" si="105"/>
        <v>0</v>
      </c>
      <c r="BA99" s="138">
        <f t="shared" ca="1" si="105"/>
        <v>0</v>
      </c>
      <c r="BB99" s="138">
        <f t="shared" ca="1" si="105"/>
        <v>0</v>
      </c>
      <c r="BC99" s="138">
        <f t="shared" ca="1" si="105"/>
        <v>0</v>
      </c>
      <c r="BD99" s="138">
        <f t="shared" ca="1" si="106"/>
        <v>0</v>
      </c>
      <c r="BE99" s="138">
        <f t="shared" ca="1" si="106"/>
        <v>0</v>
      </c>
      <c r="BF99" s="138">
        <f t="shared" ca="1" si="106"/>
        <v>0</v>
      </c>
      <c r="BG99" s="138">
        <f t="shared" ca="1" si="106"/>
        <v>0</v>
      </c>
      <c r="BH99" s="138">
        <f t="shared" ca="1" si="106"/>
        <v>0</v>
      </c>
      <c r="BI99" s="138">
        <f t="shared" ca="1" si="106"/>
        <v>0</v>
      </c>
      <c r="BJ99" s="138">
        <f t="shared" ca="1" si="106"/>
        <v>0</v>
      </c>
      <c r="BK99" s="138">
        <f t="shared" ca="1" si="106"/>
        <v>0</v>
      </c>
      <c r="BL99" s="138">
        <f t="shared" ca="1" si="106"/>
        <v>0</v>
      </c>
      <c r="BM99" s="138">
        <f t="shared" ca="1" si="106"/>
        <v>0</v>
      </c>
      <c r="BN99" s="138">
        <f t="shared" ca="1" si="106"/>
        <v>0</v>
      </c>
      <c r="BO99" s="138">
        <f t="shared" ca="1" si="106"/>
        <v>0</v>
      </c>
      <c r="BP99" s="138">
        <f t="shared" ca="1" si="106"/>
        <v>0</v>
      </c>
      <c r="BQ99" s="138">
        <f t="shared" ca="1" si="106"/>
        <v>0</v>
      </c>
      <c r="BR99" s="138">
        <f t="shared" ca="1" si="106"/>
        <v>0</v>
      </c>
      <c r="BS99" s="138">
        <f t="shared" ca="1" si="106"/>
        <v>0</v>
      </c>
      <c r="BT99" s="138">
        <f t="shared" ca="1" si="107"/>
        <v>0</v>
      </c>
      <c r="BU99" s="138">
        <f t="shared" ca="1" si="107"/>
        <v>0</v>
      </c>
      <c r="BV99" s="138">
        <f t="shared" ca="1" si="107"/>
        <v>0</v>
      </c>
      <c r="BW99" s="138">
        <f t="shared" ca="1" si="107"/>
        <v>0</v>
      </c>
      <c r="BX99" s="138">
        <f t="shared" ca="1" si="107"/>
        <v>0</v>
      </c>
      <c r="BY99" s="138">
        <f t="shared" ca="1" si="107"/>
        <v>0</v>
      </c>
      <c r="BZ99" s="138">
        <f t="shared" ca="1" si="107"/>
        <v>0</v>
      </c>
      <c r="CA99" s="138">
        <f t="shared" ca="1" si="107"/>
        <v>0</v>
      </c>
      <c r="CB99" s="138">
        <f t="shared" ca="1" si="107"/>
        <v>0</v>
      </c>
      <c r="CC99" s="138">
        <f t="shared" ca="1" si="107"/>
        <v>0</v>
      </c>
      <c r="CD99" s="138">
        <f t="shared" ca="1" si="107"/>
        <v>0</v>
      </c>
      <c r="CE99" s="138">
        <f t="shared" ca="1" si="107"/>
        <v>0</v>
      </c>
      <c r="CF99" s="138">
        <f t="shared" ca="1" si="107"/>
        <v>0</v>
      </c>
      <c r="CG99" s="138">
        <f t="shared" ca="1" si="107"/>
        <v>0</v>
      </c>
      <c r="CH99" s="138">
        <f t="shared" ca="1" si="107"/>
        <v>0</v>
      </c>
      <c r="CI99" s="138">
        <f t="shared" ca="1" si="107"/>
        <v>0</v>
      </c>
      <c r="CJ99" s="138">
        <f t="shared" ca="1" si="108"/>
        <v>0</v>
      </c>
      <c r="CK99" s="138">
        <f t="shared" ca="1" si="108"/>
        <v>0</v>
      </c>
      <c r="CL99" s="138">
        <f t="shared" ca="1" si="108"/>
        <v>0</v>
      </c>
      <c r="CM99" s="138">
        <f t="shared" ca="1" si="108"/>
        <v>0</v>
      </c>
      <c r="CN99" s="138">
        <f t="shared" ca="1" si="108"/>
        <v>0</v>
      </c>
      <c r="CO99" s="138">
        <f t="shared" ca="1" si="108"/>
        <v>0</v>
      </c>
      <c r="CP99" s="138">
        <f t="shared" ca="1" si="108"/>
        <v>0</v>
      </c>
      <c r="CQ99" s="138">
        <f t="shared" ca="1" si="108"/>
        <v>0</v>
      </c>
      <c r="CR99" s="138">
        <f t="shared" ca="1" si="108"/>
        <v>0</v>
      </c>
      <c r="CS99" s="138">
        <f t="shared" ca="1" si="108"/>
        <v>0</v>
      </c>
      <c r="CT99" s="138">
        <f t="shared" ca="1" si="109"/>
        <v>0</v>
      </c>
      <c r="CU99" s="138">
        <f t="shared" ca="1" si="109"/>
        <v>0</v>
      </c>
      <c r="CV99" s="138">
        <f t="shared" ca="1" si="109"/>
        <v>0</v>
      </c>
      <c r="CW99" s="138">
        <f t="shared" ca="1" si="109"/>
        <v>0</v>
      </c>
      <c r="CX99" s="138">
        <f t="shared" ca="1" si="109"/>
        <v>0</v>
      </c>
      <c r="CY99" s="138">
        <f t="shared" ca="1" si="109"/>
        <v>0</v>
      </c>
      <c r="CZ99" s="138">
        <f t="shared" ca="1" si="109"/>
        <v>0</v>
      </c>
      <c r="DA99" s="138">
        <f t="shared" ca="1" si="109"/>
        <v>0</v>
      </c>
      <c r="DB99" s="138">
        <f t="shared" ca="1" si="109"/>
        <v>0</v>
      </c>
      <c r="DC99" s="138">
        <f t="shared" ca="1" si="109"/>
        <v>0</v>
      </c>
      <c r="DE99" s="254" t="str">
        <f t="shared" ca="1" si="87"/>
        <v>G.10.</v>
      </c>
      <c r="DF99">
        <f t="shared" ca="1" si="110"/>
        <v>1</v>
      </c>
      <c r="DG99">
        <f t="shared" ca="1" si="111"/>
        <v>21</v>
      </c>
    </row>
    <row r="100" spans="1:111" hidden="1">
      <c r="A100" s="124">
        <v>88</v>
      </c>
      <c r="B100" s="205" t="str">
        <f t="shared" ca="1" si="84"/>
        <v>H.</v>
      </c>
      <c r="C100" s="197" t="str">
        <f t="shared" ca="1" si="85"/>
        <v>VEIKLOS PAJAMOS, IŠ VISO (išskyrus mokestines pajamas)</v>
      </c>
      <c r="D100" s="132"/>
      <c r="E100" s="233" t="str">
        <f t="shared" ca="1" si="86"/>
        <v/>
      </c>
      <c r="F100" s="141">
        <f ca="1">SUM(F101:F110)</f>
        <v>4180347.5450091604</v>
      </c>
      <c r="G100" s="143">
        <f ca="1">SUM(G101:G110)</f>
        <v>6272000</v>
      </c>
      <c r="H100" s="234">
        <f ca="1">SUM(H101:H110)</f>
        <v>22000</v>
      </c>
      <c r="I100" s="234">
        <f t="shared" ref="I100:BT100" ca="1" si="112">SUM(I101:I110)</f>
        <v>119000</v>
      </c>
      <c r="J100" s="234">
        <f t="shared" ca="1" si="112"/>
        <v>209000</v>
      </c>
      <c r="K100" s="234">
        <f t="shared" ca="1" si="112"/>
        <v>329000</v>
      </c>
      <c r="L100" s="234">
        <f t="shared" ca="1" si="112"/>
        <v>329000</v>
      </c>
      <c r="M100" s="234">
        <f t="shared" ca="1" si="112"/>
        <v>329000</v>
      </c>
      <c r="N100" s="234">
        <f t="shared" ca="1" si="112"/>
        <v>329000</v>
      </c>
      <c r="O100" s="234">
        <f t="shared" ca="1" si="112"/>
        <v>329000</v>
      </c>
      <c r="P100" s="234">
        <f t="shared" ca="1" si="112"/>
        <v>329000</v>
      </c>
      <c r="Q100" s="234">
        <f t="shared" ca="1" si="112"/>
        <v>329000</v>
      </c>
      <c r="R100" s="234">
        <f t="shared" ca="1" si="112"/>
        <v>329000</v>
      </c>
      <c r="S100" s="234">
        <f t="shared" ca="1" si="112"/>
        <v>329000</v>
      </c>
      <c r="T100" s="234">
        <f t="shared" ca="1" si="112"/>
        <v>329000</v>
      </c>
      <c r="U100" s="234">
        <f t="shared" ca="1" si="112"/>
        <v>329000</v>
      </c>
      <c r="V100" s="234">
        <f t="shared" ca="1" si="112"/>
        <v>329000</v>
      </c>
      <c r="W100" s="234">
        <f t="shared" ca="1" si="112"/>
        <v>329000</v>
      </c>
      <c r="X100" s="234">
        <f t="shared" ca="1" si="112"/>
        <v>329000</v>
      </c>
      <c r="Y100" s="234">
        <f t="shared" ca="1" si="112"/>
        <v>329000</v>
      </c>
      <c r="Z100" s="234">
        <f t="shared" ca="1" si="112"/>
        <v>329000</v>
      </c>
      <c r="AA100" s="234">
        <f t="shared" ca="1" si="112"/>
        <v>329000</v>
      </c>
      <c r="AB100" s="234">
        <f t="shared" ca="1" si="112"/>
        <v>329000</v>
      </c>
      <c r="AC100" s="234">
        <f t="shared" ca="1" si="112"/>
        <v>22000</v>
      </c>
      <c r="AD100" s="234">
        <f t="shared" ca="1" si="112"/>
        <v>22000</v>
      </c>
      <c r="AE100" s="234">
        <f t="shared" ca="1" si="112"/>
        <v>22000</v>
      </c>
      <c r="AF100" s="234">
        <f t="shared" ca="1" si="112"/>
        <v>22000</v>
      </c>
      <c r="AG100" s="234">
        <f t="shared" ca="1" si="112"/>
        <v>22000</v>
      </c>
      <c r="AH100" s="234">
        <f t="shared" ca="1" si="112"/>
        <v>22000</v>
      </c>
      <c r="AI100" s="234">
        <f t="shared" ca="1" si="112"/>
        <v>22000</v>
      </c>
      <c r="AJ100" s="234">
        <f t="shared" ca="1" si="112"/>
        <v>22000</v>
      </c>
      <c r="AK100" s="234">
        <f t="shared" ca="1" si="112"/>
        <v>22000</v>
      </c>
      <c r="AL100" s="234">
        <f t="shared" ca="1" si="112"/>
        <v>22000</v>
      </c>
      <c r="AM100" s="234">
        <f t="shared" ca="1" si="112"/>
        <v>22000</v>
      </c>
      <c r="AN100" s="234">
        <f t="shared" ca="1" si="112"/>
        <v>22000</v>
      </c>
      <c r="AO100" s="234">
        <f t="shared" ca="1" si="112"/>
        <v>22000</v>
      </c>
      <c r="AP100" s="234">
        <f t="shared" ca="1" si="112"/>
        <v>22000</v>
      </c>
      <c r="AQ100" s="234">
        <f t="shared" ca="1" si="112"/>
        <v>22000</v>
      </c>
      <c r="AR100" s="234">
        <f t="shared" ca="1" si="112"/>
        <v>22000</v>
      </c>
      <c r="AS100" s="234">
        <f t="shared" ca="1" si="112"/>
        <v>22000</v>
      </c>
      <c r="AT100" s="234">
        <f t="shared" ca="1" si="112"/>
        <v>22000</v>
      </c>
      <c r="AU100" s="234">
        <f t="shared" ca="1" si="112"/>
        <v>22000</v>
      </c>
      <c r="AV100" s="234">
        <f t="shared" ca="1" si="112"/>
        <v>22000</v>
      </c>
      <c r="AW100" s="234">
        <f t="shared" ca="1" si="112"/>
        <v>22000</v>
      </c>
      <c r="AX100" s="234">
        <f t="shared" ca="1" si="112"/>
        <v>22000</v>
      </c>
      <c r="AY100" s="234">
        <f t="shared" ca="1" si="112"/>
        <v>22000</v>
      </c>
      <c r="AZ100" s="234">
        <f t="shared" ca="1" si="112"/>
        <v>22000</v>
      </c>
      <c r="BA100" s="234">
        <f t="shared" ca="1" si="112"/>
        <v>22000</v>
      </c>
      <c r="BB100" s="234">
        <f t="shared" ca="1" si="112"/>
        <v>22000</v>
      </c>
      <c r="BC100" s="234">
        <f t="shared" ca="1" si="112"/>
        <v>22000</v>
      </c>
      <c r="BD100" s="234">
        <f t="shared" ca="1" si="112"/>
        <v>22000</v>
      </c>
      <c r="BE100" s="234">
        <f t="shared" ca="1" si="112"/>
        <v>22000</v>
      </c>
      <c r="BF100" s="234">
        <f t="shared" ca="1" si="112"/>
        <v>22000</v>
      </c>
      <c r="BG100" s="234">
        <f t="shared" ca="1" si="112"/>
        <v>22000</v>
      </c>
      <c r="BH100" s="234">
        <f t="shared" ca="1" si="112"/>
        <v>22000</v>
      </c>
      <c r="BI100" s="234">
        <f t="shared" ca="1" si="112"/>
        <v>22000</v>
      </c>
      <c r="BJ100" s="234">
        <f t="shared" ca="1" si="112"/>
        <v>22000</v>
      </c>
      <c r="BK100" s="234">
        <f t="shared" ca="1" si="112"/>
        <v>22000</v>
      </c>
      <c r="BL100" s="234">
        <f t="shared" ca="1" si="112"/>
        <v>22000</v>
      </c>
      <c r="BM100" s="234">
        <f t="shared" ca="1" si="112"/>
        <v>22000</v>
      </c>
      <c r="BN100" s="234">
        <f t="shared" ca="1" si="112"/>
        <v>22000</v>
      </c>
      <c r="BO100" s="234">
        <f t="shared" ca="1" si="112"/>
        <v>22000</v>
      </c>
      <c r="BP100" s="234">
        <f t="shared" ca="1" si="112"/>
        <v>22000</v>
      </c>
      <c r="BQ100" s="234">
        <f t="shared" ca="1" si="112"/>
        <v>22000</v>
      </c>
      <c r="BR100" s="234">
        <f t="shared" ca="1" si="112"/>
        <v>22000</v>
      </c>
      <c r="BS100" s="234">
        <f t="shared" ca="1" si="112"/>
        <v>22000</v>
      </c>
      <c r="BT100" s="234">
        <f t="shared" ca="1" si="112"/>
        <v>22000</v>
      </c>
      <c r="BU100" s="234">
        <f t="shared" ref="BU100:DC100" ca="1" si="113">SUM(BU101:BU110)</f>
        <v>22000</v>
      </c>
      <c r="BV100" s="234">
        <f t="shared" ca="1" si="113"/>
        <v>22000</v>
      </c>
      <c r="BW100" s="234">
        <f t="shared" ca="1" si="113"/>
        <v>22000</v>
      </c>
      <c r="BX100" s="234">
        <f t="shared" ca="1" si="113"/>
        <v>22000</v>
      </c>
      <c r="BY100" s="234">
        <f t="shared" ca="1" si="113"/>
        <v>22000</v>
      </c>
      <c r="BZ100" s="234">
        <f t="shared" ca="1" si="113"/>
        <v>22000</v>
      </c>
      <c r="CA100" s="234">
        <f t="shared" ca="1" si="113"/>
        <v>22000</v>
      </c>
      <c r="CB100" s="234">
        <f t="shared" ca="1" si="113"/>
        <v>22000</v>
      </c>
      <c r="CC100" s="234">
        <f t="shared" ca="1" si="113"/>
        <v>22000</v>
      </c>
      <c r="CD100" s="234">
        <f t="shared" ca="1" si="113"/>
        <v>22000</v>
      </c>
      <c r="CE100" s="234">
        <f t="shared" ca="1" si="113"/>
        <v>22000</v>
      </c>
      <c r="CF100" s="234">
        <f t="shared" ca="1" si="113"/>
        <v>22000</v>
      </c>
      <c r="CG100" s="234">
        <f t="shared" ca="1" si="113"/>
        <v>22000</v>
      </c>
      <c r="CH100" s="234">
        <f t="shared" ca="1" si="113"/>
        <v>22000</v>
      </c>
      <c r="CI100" s="234">
        <f t="shared" ca="1" si="113"/>
        <v>22000</v>
      </c>
      <c r="CJ100" s="234">
        <f t="shared" ca="1" si="113"/>
        <v>22000</v>
      </c>
      <c r="CK100" s="234">
        <f t="shared" ca="1" si="113"/>
        <v>22000</v>
      </c>
      <c r="CL100" s="234">
        <f t="shared" ca="1" si="113"/>
        <v>22000</v>
      </c>
      <c r="CM100" s="234">
        <f t="shared" ca="1" si="113"/>
        <v>22000</v>
      </c>
      <c r="CN100" s="234">
        <f t="shared" ca="1" si="113"/>
        <v>22000</v>
      </c>
      <c r="CO100" s="234">
        <f t="shared" ca="1" si="113"/>
        <v>22000</v>
      </c>
      <c r="CP100" s="234">
        <f t="shared" ca="1" si="113"/>
        <v>22000</v>
      </c>
      <c r="CQ100" s="234">
        <f t="shared" ca="1" si="113"/>
        <v>22000</v>
      </c>
      <c r="CR100" s="234">
        <f t="shared" ca="1" si="113"/>
        <v>22000</v>
      </c>
      <c r="CS100" s="234">
        <f t="shared" ca="1" si="113"/>
        <v>22000</v>
      </c>
      <c r="CT100" s="234">
        <f t="shared" ca="1" si="113"/>
        <v>22000</v>
      </c>
      <c r="CU100" s="234">
        <f t="shared" ca="1" si="113"/>
        <v>22000</v>
      </c>
      <c r="CV100" s="234">
        <f t="shared" ca="1" si="113"/>
        <v>22000</v>
      </c>
      <c r="CW100" s="234">
        <f t="shared" ca="1" si="113"/>
        <v>22000</v>
      </c>
      <c r="CX100" s="234">
        <f t="shared" ca="1" si="113"/>
        <v>22000</v>
      </c>
      <c r="CY100" s="234">
        <f t="shared" ca="1" si="113"/>
        <v>22000</v>
      </c>
      <c r="CZ100" s="234">
        <f t="shared" ca="1" si="113"/>
        <v>22000</v>
      </c>
      <c r="DA100" s="234">
        <f t="shared" ca="1" si="113"/>
        <v>22000</v>
      </c>
      <c r="DB100" s="234">
        <f t="shared" ca="1" si="113"/>
        <v>22000</v>
      </c>
      <c r="DC100" s="234">
        <f t="shared" ca="1" si="113"/>
        <v>22000</v>
      </c>
      <c r="DE100" s="254"/>
    </row>
    <row r="101" spans="1:111" ht="14.25" hidden="1" customHeight="1">
      <c r="A101" s="124">
        <v>89</v>
      </c>
      <c r="B101" s="205" t="str">
        <f t="shared" ca="1" si="84"/>
        <v>H.1.</v>
      </c>
      <c r="C101" s="129" t="str">
        <f t="shared" ca="1" si="85"/>
        <v>Konsulinės paslaugos (Singapūras)</v>
      </c>
      <c r="D101" s="114"/>
      <c r="E101" s="148" t="str">
        <f t="shared" ca="1" si="86"/>
        <v>Be PVM</v>
      </c>
      <c r="F101" s="139">
        <f ca="1">H101+NPV(FD,I101:INDEX(I101:DC101,PAL))</f>
        <v>320987.17958928895</v>
      </c>
      <c r="G101" s="140">
        <f ca="1">SUMIF($H$5:$DC$5,"&lt;="&amp;PAL,$H101:$DC101)</f>
        <v>462000</v>
      </c>
      <c r="H101" s="138">
        <f t="shared" ref="H101:W111" ca="1" si="114">OFFSET(INDIRECT("'"&amp;Opt_alt&amp;"'!H12"),$A101,H$5)*$DF101</f>
        <v>22000</v>
      </c>
      <c r="I101" s="138">
        <f t="shared" ca="1" si="114"/>
        <v>22000</v>
      </c>
      <c r="J101" s="138">
        <f t="shared" ca="1" si="114"/>
        <v>22000</v>
      </c>
      <c r="K101" s="138">
        <f t="shared" ca="1" si="114"/>
        <v>22000</v>
      </c>
      <c r="L101" s="138">
        <f t="shared" ca="1" si="114"/>
        <v>22000</v>
      </c>
      <c r="M101" s="138">
        <f t="shared" ca="1" si="114"/>
        <v>22000</v>
      </c>
      <c r="N101" s="138">
        <f t="shared" ca="1" si="114"/>
        <v>22000</v>
      </c>
      <c r="O101" s="138">
        <f t="shared" ca="1" si="114"/>
        <v>22000</v>
      </c>
      <c r="P101" s="138">
        <f t="shared" ca="1" si="114"/>
        <v>22000</v>
      </c>
      <c r="Q101" s="138">
        <f t="shared" ca="1" si="114"/>
        <v>22000</v>
      </c>
      <c r="R101" s="138">
        <f t="shared" ca="1" si="114"/>
        <v>22000</v>
      </c>
      <c r="S101" s="138">
        <f t="shared" ca="1" si="114"/>
        <v>22000</v>
      </c>
      <c r="T101" s="138">
        <f t="shared" ca="1" si="114"/>
        <v>22000</v>
      </c>
      <c r="U101" s="138">
        <f t="shared" ca="1" si="114"/>
        <v>22000</v>
      </c>
      <c r="V101" s="138">
        <f t="shared" ca="1" si="114"/>
        <v>22000</v>
      </c>
      <c r="W101" s="138">
        <f t="shared" ca="1" si="114"/>
        <v>22000</v>
      </c>
      <c r="X101" s="138">
        <f t="shared" ref="X101:AM111" ca="1" si="115">OFFSET(INDIRECT("'"&amp;Opt_alt&amp;"'!H12"),$A101,X$5)*$DF101</f>
        <v>22000</v>
      </c>
      <c r="Y101" s="138">
        <f t="shared" ca="1" si="115"/>
        <v>22000</v>
      </c>
      <c r="Z101" s="138">
        <f t="shared" ca="1" si="115"/>
        <v>22000</v>
      </c>
      <c r="AA101" s="138">
        <f t="shared" ca="1" si="115"/>
        <v>22000</v>
      </c>
      <c r="AB101" s="138">
        <f t="shared" ca="1" si="115"/>
        <v>22000</v>
      </c>
      <c r="AC101" s="138">
        <f t="shared" ca="1" si="115"/>
        <v>22000</v>
      </c>
      <c r="AD101" s="138">
        <f t="shared" ca="1" si="115"/>
        <v>22000</v>
      </c>
      <c r="AE101" s="138">
        <f t="shared" ca="1" si="115"/>
        <v>22000</v>
      </c>
      <c r="AF101" s="138">
        <f t="shared" ca="1" si="115"/>
        <v>22000</v>
      </c>
      <c r="AG101" s="138">
        <f t="shared" ca="1" si="115"/>
        <v>22000</v>
      </c>
      <c r="AH101" s="138">
        <f t="shared" ca="1" si="115"/>
        <v>22000</v>
      </c>
      <c r="AI101" s="138">
        <f t="shared" ca="1" si="115"/>
        <v>22000</v>
      </c>
      <c r="AJ101" s="138">
        <f t="shared" ca="1" si="115"/>
        <v>22000</v>
      </c>
      <c r="AK101" s="138">
        <f t="shared" ca="1" si="115"/>
        <v>22000</v>
      </c>
      <c r="AL101" s="138">
        <f t="shared" ca="1" si="115"/>
        <v>22000</v>
      </c>
      <c r="AM101" s="138">
        <f t="shared" ca="1" si="115"/>
        <v>22000</v>
      </c>
      <c r="AN101" s="138">
        <f t="shared" ref="AN101:BC111" ca="1" si="116">OFFSET(INDIRECT("'"&amp;Opt_alt&amp;"'!H12"),$A101,AN$5)*$DF101</f>
        <v>22000</v>
      </c>
      <c r="AO101" s="138">
        <f t="shared" ca="1" si="116"/>
        <v>22000</v>
      </c>
      <c r="AP101" s="138">
        <f t="shared" ca="1" si="116"/>
        <v>22000</v>
      </c>
      <c r="AQ101" s="138">
        <f t="shared" ca="1" si="116"/>
        <v>22000</v>
      </c>
      <c r="AR101" s="138">
        <f t="shared" ca="1" si="116"/>
        <v>22000</v>
      </c>
      <c r="AS101" s="138">
        <f t="shared" ca="1" si="116"/>
        <v>22000</v>
      </c>
      <c r="AT101" s="138">
        <f t="shared" ca="1" si="116"/>
        <v>22000</v>
      </c>
      <c r="AU101" s="138">
        <f t="shared" ca="1" si="116"/>
        <v>22000</v>
      </c>
      <c r="AV101" s="138">
        <f t="shared" ca="1" si="116"/>
        <v>22000</v>
      </c>
      <c r="AW101" s="138">
        <f t="shared" ca="1" si="116"/>
        <v>22000</v>
      </c>
      <c r="AX101" s="138">
        <f t="shared" ca="1" si="116"/>
        <v>22000</v>
      </c>
      <c r="AY101" s="138">
        <f t="shared" ca="1" si="116"/>
        <v>22000</v>
      </c>
      <c r="AZ101" s="138">
        <f t="shared" ca="1" si="116"/>
        <v>22000</v>
      </c>
      <c r="BA101" s="138">
        <f t="shared" ca="1" si="116"/>
        <v>22000</v>
      </c>
      <c r="BB101" s="138">
        <f t="shared" ca="1" si="116"/>
        <v>22000</v>
      </c>
      <c r="BC101" s="138">
        <f t="shared" ca="1" si="116"/>
        <v>22000</v>
      </c>
      <c r="BD101" s="138">
        <f t="shared" ref="BD101:BS111" ca="1" si="117">OFFSET(INDIRECT("'"&amp;Opt_alt&amp;"'!H12"),$A101,BD$5)*$DF101</f>
        <v>22000</v>
      </c>
      <c r="BE101" s="138">
        <f t="shared" ca="1" si="117"/>
        <v>22000</v>
      </c>
      <c r="BF101" s="138">
        <f t="shared" ca="1" si="117"/>
        <v>22000</v>
      </c>
      <c r="BG101" s="138">
        <f t="shared" ca="1" si="117"/>
        <v>22000</v>
      </c>
      <c r="BH101" s="138">
        <f t="shared" ca="1" si="117"/>
        <v>22000</v>
      </c>
      <c r="BI101" s="138">
        <f t="shared" ca="1" si="117"/>
        <v>22000</v>
      </c>
      <c r="BJ101" s="138">
        <f t="shared" ca="1" si="117"/>
        <v>22000</v>
      </c>
      <c r="BK101" s="138">
        <f t="shared" ca="1" si="117"/>
        <v>22000</v>
      </c>
      <c r="BL101" s="138">
        <f t="shared" ca="1" si="117"/>
        <v>22000</v>
      </c>
      <c r="BM101" s="138">
        <f t="shared" ca="1" si="117"/>
        <v>22000</v>
      </c>
      <c r="BN101" s="138">
        <f t="shared" ca="1" si="117"/>
        <v>22000</v>
      </c>
      <c r="BO101" s="138">
        <f t="shared" ca="1" si="117"/>
        <v>22000</v>
      </c>
      <c r="BP101" s="138">
        <f t="shared" ca="1" si="117"/>
        <v>22000</v>
      </c>
      <c r="BQ101" s="138">
        <f t="shared" ca="1" si="117"/>
        <v>22000</v>
      </c>
      <c r="BR101" s="138">
        <f t="shared" ca="1" si="117"/>
        <v>22000</v>
      </c>
      <c r="BS101" s="138">
        <f t="shared" ca="1" si="117"/>
        <v>22000</v>
      </c>
      <c r="BT101" s="138">
        <f t="shared" ref="BT101:CI111" ca="1" si="118">OFFSET(INDIRECT("'"&amp;Opt_alt&amp;"'!H12"),$A101,BT$5)*$DF101</f>
        <v>22000</v>
      </c>
      <c r="BU101" s="138">
        <f t="shared" ca="1" si="118"/>
        <v>22000</v>
      </c>
      <c r="BV101" s="138">
        <f t="shared" ca="1" si="118"/>
        <v>22000</v>
      </c>
      <c r="BW101" s="138">
        <f t="shared" ca="1" si="118"/>
        <v>22000</v>
      </c>
      <c r="BX101" s="138">
        <f t="shared" ca="1" si="118"/>
        <v>22000</v>
      </c>
      <c r="BY101" s="138">
        <f t="shared" ca="1" si="118"/>
        <v>22000</v>
      </c>
      <c r="BZ101" s="138">
        <f t="shared" ca="1" si="118"/>
        <v>22000</v>
      </c>
      <c r="CA101" s="138">
        <f t="shared" ca="1" si="118"/>
        <v>22000</v>
      </c>
      <c r="CB101" s="138">
        <f t="shared" ca="1" si="118"/>
        <v>22000</v>
      </c>
      <c r="CC101" s="138">
        <f t="shared" ca="1" si="118"/>
        <v>22000</v>
      </c>
      <c r="CD101" s="138">
        <f t="shared" ca="1" si="118"/>
        <v>22000</v>
      </c>
      <c r="CE101" s="138">
        <f t="shared" ca="1" si="118"/>
        <v>22000</v>
      </c>
      <c r="CF101" s="138">
        <f t="shared" ca="1" si="118"/>
        <v>22000</v>
      </c>
      <c r="CG101" s="138">
        <f t="shared" ca="1" si="118"/>
        <v>22000</v>
      </c>
      <c r="CH101" s="138">
        <f t="shared" ca="1" si="118"/>
        <v>22000</v>
      </c>
      <c r="CI101" s="138">
        <f t="shared" ca="1" si="118"/>
        <v>22000</v>
      </c>
      <c r="CJ101" s="138">
        <f t="shared" ref="CJ101:CY111" ca="1" si="119">OFFSET(INDIRECT("'"&amp;Opt_alt&amp;"'!H12"),$A101,CJ$5)*$DF101</f>
        <v>22000</v>
      </c>
      <c r="CK101" s="138">
        <f t="shared" ca="1" si="119"/>
        <v>22000</v>
      </c>
      <c r="CL101" s="138">
        <f t="shared" ca="1" si="119"/>
        <v>22000</v>
      </c>
      <c r="CM101" s="138">
        <f t="shared" ca="1" si="119"/>
        <v>22000</v>
      </c>
      <c r="CN101" s="138">
        <f t="shared" ca="1" si="119"/>
        <v>22000</v>
      </c>
      <c r="CO101" s="138">
        <f t="shared" ca="1" si="119"/>
        <v>22000</v>
      </c>
      <c r="CP101" s="138">
        <f t="shared" ca="1" si="119"/>
        <v>22000</v>
      </c>
      <c r="CQ101" s="138">
        <f t="shared" ca="1" si="119"/>
        <v>22000</v>
      </c>
      <c r="CR101" s="138">
        <f t="shared" ca="1" si="119"/>
        <v>22000</v>
      </c>
      <c r="CS101" s="138">
        <f t="shared" ca="1" si="119"/>
        <v>22000</v>
      </c>
      <c r="CT101" s="138">
        <f t="shared" ca="1" si="119"/>
        <v>22000</v>
      </c>
      <c r="CU101" s="138">
        <f t="shared" ca="1" si="119"/>
        <v>22000</v>
      </c>
      <c r="CV101" s="138">
        <f t="shared" ca="1" si="119"/>
        <v>22000</v>
      </c>
      <c r="CW101" s="138">
        <f t="shared" ca="1" si="119"/>
        <v>22000</v>
      </c>
      <c r="CX101" s="138">
        <f t="shared" ca="1" si="119"/>
        <v>22000</v>
      </c>
      <c r="CY101" s="138">
        <f t="shared" ca="1" si="119"/>
        <v>22000</v>
      </c>
      <c r="CZ101" s="138">
        <f t="shared" ref="CT101:DC111" ca="1" si="120">OFFSET(INDIRECT("'"&amp;Opt_alt&amp;"'!H12"),$A101,CZ$5)*$DF101</f>
        <v>22000</v>
      </c>
      <c r="DA101" s="138">
        <f t="shared" ca="1" si="120"/>
        <v>22000</v>
      </c>
      <c r="DB101" s="138">
        <f t="shared" ca="1" si="120"/>
        <v>22000</v>
      </c>
      <c r="DC101" s="138">
        <f t="shared" ca="1" si="120"/>
        <v>22000</v>
      </c>
      <c r="DE101" s="254" t="str">
        <f t="shared" ca="1" si="87"/>
        <v>H.1.</v>
      </c>
      <c r="DF101">
        <f t="shared" ref="DF101:DF111" ca="1" si="121">VLOOKUP(DE101,scenarijai,$DF$6,FALSE)</f>
        <v>1</v>
      </c>
      <c r="DG101">
        <f t="shared" ref="DG101:DG110" ca="1" si="122">OFFSET(INDIRECT("'"&amp;Opt_alt&amp;"'!H12"),$A101,DG$5)</f>
        <v>0</v>
      </c>
    </row>
    <row r="102" spans="1:111" ht="14.25" hidden="1" customHeight="1">
      <c r="A102" s="124">
        <v>90</v>
      </c>
      <c r="B102" s="205" t="str">
        <f t="shared" ca="1" si="84"/>
        <v>H.2.</v>
      </c>
      <c r="C102" s="129" t="str">
        <f t="shared" ca="1" si="85"/>
        <v>Konsulines paslaugos (kitų, naujai įsteigtų atstovybių)</v>
      </c>
      <c r="D102" s="114"/>
      <c r="E102" s="148" t="str">
        <f t="shared" ca="1" si="86"/>
        <v>Be PVM</v>
      </c>
      <c r="F102" s="139">
        <f ca="1">H102+NPV(FD,I102:INDEX(I102:DC102,PAL))</f>
        <v>3859360.3654198716</v>
      </c>
      <c r="G102" s="140">
        <f ca="1">SUMIF($H$5:$DC$5,"&lt;="&amp;PAL,$H102:$DC102)</f>
        <v>5810000</v>
      </c>
      <c r="H102" s="138">
        <f t="shared" ca="1" si="114"/>
        <v>0</v>
      </c>
      <c r="I102" s="138">
        <f t="shared" ca="1" si="114"/>
        <v>97000</v>
      </c>
      <c r="J102" s="138">
        <f t="shared" ca="1" si="114"/>
        <v>187000</v>
      </c>
      <c r="K102" s="138">
        <f t="shared" ca="1" si="114"/>
        <v>307000</v>
      </c>
      <c r="L102" s="138">
        <f t="shared" ca="1" si="114"/>
        <v>307000</v>
      </c>
      <c r="M102" s="138">
        <f t="shared" ca="1" si="114"/>
        <v>307000</v>
      </c>
      <c r="N102" s="138">
        <f t="shared" ca="1" si="114"/>
        <v>307000</v>
      </c>
      <c r="O102" s="138">
        <f t="shared" ca="1" si="114"/>
        <v>307000</v>
      </c>
      <c r="P102" s="138">
        <f t="shared" ca="1" si="114"/>
        <v>307000</v>
      </c>
      <c r="Q102" s="138">
        <f t="shared" ca="1" si="114"/>
        <v>307000</v>
      </c>
      <c r="R102" s="138">
        <f t="shared" ca="1" si="114"/>
        <v>307000</v>
      </c>
      <c r="S102" s="138">
        <f t="shared" ca="1" si="114"/>
        <v>307000</v>
      </c>
      <c r="T102" s="138">
        <f t="shared" ca="1" si="114"/>
        <v>307000</v>
      </c>
      <c r="U102" s="138">
        <f t="shared" ca="1" si="114"/>
        <v>307000</v>
      </c>
      <c r="V102" s="138">
        <f t="shared" ca="1" si="114"/>
        <v>307000</v>
      </c>
      <c r="W102" s="138">
        <f t="shared" ca="1" si="114"/>
        <v>307000</v>
      </c>
      <c r="X102" s="138">
        <f t="shared" ca="1" si="115"/>
        <v>307000</v>
      </c>
      <c r="Y102" s="138">
        <f t="shared" ca="1" si="115"/>
        <v>307000</v>
      </c>
      <c r="Z102" s="138">
        <f t="shared" ca="1" si="115"/>
        <v>307000</v>
      </c>
      <c r="AA102" s="138">
        <f t="shared" ca="1" si="115"/>
        <v>307000</v>
      </c>
      <c r="AB102" s="138">
        <f t="shared" ca="1" si="115"/>
        <v>307000</v>
      </c>
      <c r="AC102" s="138">
        <f t="shared" ca="1" si="115"/>
        <v>0</v>
      </c>
      <c r="AD102" s="138">
        <f t="shared" ca="1" si="115"/>
        <v>0</v>
      </c>
      <c r="AE102" s="138">
        <f t="shared" ca="1" si="115"/>
        <v>0</v>
      </c>
      <c r="AF102" s="138">
        <f t="shared" ca="1" si="115"/>
        <v>0</v>
      </c>
      <c r="AG102" s="138">
        <f t="shared" ca="1" si="115"/>
        <v>0</v>
      </c>
      <c r="AH102" s="138">
        <f t="shared" ca="1" si="115"/>
        <v>0</v>
      </c>
      <c r="AI102" s="138">
        <f t="shared" ca="1" si="115"/>
        <v>0</v>
      </c>
      <c r="AJ102" s="138">
        <f t="shared" ca="1" si="115"/>
        <v>0</v>
      </c>
      <c r="AK102" s="138">
        <f t="shared" ca="1" si="115"/>
        <v>0</v>
      </c>
      <c r="AL102" s="138">
        <f t="shared" ca="1" si="115"/>
        <v>0</v>
      </c>
      <c r="AM102" s="138">
        <f t="shared" ca="1" si="115"/>
        <v>0</v>
      </c>
      <c r="AN102" s="138">
        <f t="shared" ca="1" si="116"/>
        <v>0</v>
      </c>
      <c r="AO102" s="138">
        <f t="shared" ca="1" si="116"/>
        <v>0</v>
      </c>
      <c r="AP102" s="138">
        <f t="shared" ca="1" si="116"/>
        <v>0</v>
      </c>
      <c r="AQ102" s="138">
        <f t="shared" ca="1" si="116"/>
        <v>0</v>
      </c>
      <c r="AR102" s="138">
        <f t="shared" ca="1" si="116"/>
        <v>0</v>
      </c>
      <c r="AS102" s="138">
        <f t="shared" ca="1" si="116"/>
        <v>0</v>
      </c>
      <c r="AT102" s="138">
        <f t="shared" ca="1" si="116"/>
        <v>0</v>
      </c>
      <c r="AU102" s="138">
        <f t="shared" ca="1" si="116"/>
        <v>0</v>
      </c>
      <c r="AV102" s="138">
        <f t="shared" ca="1" si="116"/>
        <v>0</v>
      </c>
      <c r="AW102" s="138">
        <f t="shared" ca="1" si="116"/>
        <v>0</v>
      </c>
      <c r="AX102" s="138">
        <f t="shared" ca="1" si="116"/>
        <v>0</v>
      </c>
      <c r="AY102" s="138">
        <f t="shared" ca="1" si="116"/>
        <v>0</v>
      </c>
      <c r="AZ102" s="138">
        <f t="shared" ca="1" si="116"/>
        <v>0</v>
      </c>
      <c r="BA102" s="138">
        <f t="shared" ca="1" si="116"/>
        <v>0</v>
      </c>
      <c r="BB102" s="138">
        <f t="shared" ca="1" si="116"/>
        <v>0</v>
      </c>
      <c r="BC102" s="138">
        <f t="shared" ca="1" si="116"/>
        <v>0</v>
      </c>
      <c r="BD102" s="138">
        <f t="shared" ca="1" si="117"/>
        <v>0</v>
      </c>
      <c r="BE102" s="138">
        <f t="shared" ca="1" si="117"/>
        <v>0</v>
      </c>
      <c r="BF102" s="138">
        <f t="shared" ca="1" si="117"/>
        <v>0</v>
      </c>
      <c r="BG102" s="138">
        <f t="shared" ca="1" si="117"/>
        <v>0</v>
      </c>
      <c r="BH102" s="138">
        <f t="shared" ca="1" si="117"/>
        <v>0</v>
      </c>
      <c r="BI102" s="138">
        <f t="shared" ca="1" si="117"/>
        <v>0</v>
      </c>
      <c r="BJ102" s="138">
        <f t="shared" ca="1" si="117"/>
        <v>0</v>
      </c>
      <c r="BK102" s="138">
        <f t="shared" ca="1" si="117"/>
        <v>0</v>
      </c>
      <c r="BL102" s="138">
        <f t="shared" ca="1" si="117"/>
        <v>0</v>
      </c>
      <c r="BM102" s="138">
        <f t="shared" ca="1" si="117"/>
        <v>0</v>
      </c>
      <c r="BN102" s="138">
        <f t="shared" ca="1" si="117"/>
        <v>0</v>
      </c>
      <c r="BO102" s="138">
        <f t="shared" ca="1" si="117"/>
        <v>0</v>
      </c>
      <c r="BP102" s="138">
        <f t="shared" ca="1" si="117"/>
        <v>0</v>
      </c>
      <c r="BQ102" s="138">
        <f t="shared" ca="1" si="117"/>
        <v>0</v>
      </c>
      <c r="BR102" s="138">
        <f t="shared" ca="1" si="117"/>
        <v>0</v>
      </c>
      <c r="BS102" s="138">
        <f t="shared" ca="1" si="117"/>
        <v>0</v>
      </c>
      <c r="BT102" s="138">
        <f t="shared" ca="1" si="118"/>
        <v>0</v>
      </c>
      <c r="BU102" s="138">
        <f t="shared" ca="1" si="118"/>
        <v>0</v>
      </c>
      <c r="BV102" s="138">
        <f t="shared" ca="1" si="118"/>
        <v>0</v>
      </c>
      <c r="BW102" s="138">
        <f t="shared" ca="1" si="118"/>
        <v>0</v>
      </c>
      <c r="BX102" s="138">
        <f t="shared" ca="1" si="118"/>
        <v>0</v>
      </c>
      <c r="BY102" s="138">
        <f t="shared" ca="1" si="118"/>
        <v>0</v>
      </c>
      <c r="BZ102" s="138">
        <f t="shared" ca="1" si="118"/>
        <v>0</v>
      </c>
      <c r="CA102" s="138">
        <f t="shared" ca="1" si="118"/>
        <v>0</v>
      </c>
      <c r="CB102" s="138">
        <f t="shared" ca="1" si="118"/>
        <v>0</v>
      </c>
      <c r="CC102" s="138">
        <f t="shared" ca="1" si="118"/>
        <v>0</v>
      </c>
      <c r="CD102" s="138">
        <f t="shared" ca="1" si="118"/>
        <v>0</v>
      </c>
      <c r="CE102" s="138">
        <f t="shared" ca="1" si="118"/>
        <v>0</v>
      </c>
      <c r="CF102" s="138">
        <f t="shared" ca="1" si="118"/>
        <v>0</v>
      </c>
      <c r="CG102" s="138">
        <f t="shared" ca="1" si="118"/>
        <v>0</v>
      </c>
      <c r="CH102" s="138">
        <f t="shared" ca="1" si="118"/>
        <v>0</v>
      </c>
      <c r="CI102" s="138">
        <f t="shared" ca="1" si="118"/>
        <v>0</v>
      </c>
      <c r="CJ102" s="138">
        <f t="shared" ca="1" si="119"/>
        <v>0</v>
      </c>
      <c r="CK102" s="138">
        <f t="shared" ca="1" si="119"/>
        <v>0</v>
      </c>
      <c r="CL102" s="138">
        <f t="shared" ca="1" si="119"/>
        <v>0</v>
      </c>
      <c r="CM102" s="138">
        <f t="shared" ca="1" si="119"/>
        <v>0</v>
      </c>
      <c r="CN102" s="138">
        <f t="shared" ca="1" si="119"/>
        <v>0</v>
      </c>
      <c r="CO102" s="138">
        <f t="shared" ca="1" si="119"/>
        <v>0</v>
      </c>
      <c r="CP102" s="138">
        <f t="shared" ca="1" si="119"/>
        <v>0</v>
      </c>
      <c r="CQ102" s="138">
        <f t="shared" ca="1" si="119"/>
        <v>0</v>
      </c>
      <c r="CR102" s="138">
        <f t="shared" ca="1" si="119"/>
        <v>0</v>
      </c>
      <c r="CS102" s="138">
        <f t="shared" ca="1" si="119"/>
        <v>0</v>
      </c>
      <c r="CT102" s="138">
        <f t="shared" ca="1" si="120"/>
        <v>0</v>
      </c>
      <c r="CU102" s="138">
        <f t="shared" ca="1" si="120"/>
        <v>0</v>
      </c>
      <c r="CV102" s="138">
        <f t="shared" ca="1" si="120"/>
        <v>0</v>
      </c>
      <c r="CW102" s="138">
        <f t="shared" ca="1" si="120"/>
        <v>0</v>
      </c>
      <c r="CX102" s="138">
        <f t="shared" ca="1" si="120"/>
        <v>0</v>
      </c>
      <c r="CY102" s="138">
        <f t="shared" ca="1" si="120"/>
        <v>0</v>
      </c>
      <c r="CZ102" s="138">
        <f t="shared" ca="1" si="120"/>
        <v>0</v>
      </c>
      <c r="DA102" s="138">
        <f t="shared" ca="1" si="120"/>
        <v>0</v>
      </c>
      <c r="DB102" s="138">
        <f t="shared" ca="1" si="120"/>
        <v>0</v>
      </c>
      <c r="DC102" s="138">
        <f t="shared" ca="1" si="120"/>
        <v>0</v>
      </c>
      <c r="DE102" s="254" t="str">
        <f t="shared" ca="1" si="87"/>
        <v>H.2.</v>
      </c>
      <c r="DF102">
        <f t="shared" ca="1" si="121"/>
        <v>1</v>
      </c>
      <c r="DG102">
        <f t="shared" ca="1" si="122"/>
        <v>0</v>
      </c>
    </row>
    <row r="103" spans="1:111" ht="14.25" hidden="1" customHeight="1">
      <c r="A103" s="124">
        <v>91</v>
      </c>
      <c r="B103" s="205" t="str">
        <f t="shared" ca="1" si="84"/>
        <v>H.3.</v>
      </c>
      <c r="C103" s="129" t="str">
        <f t="shared" ca="1" si="85"/>
        <v/>
      </c>
      <c r="D103" s="114"/>
      <c r="E103" s="148" t="str">
        <f t="shared" ca="1" si="86"/>
        <v>Be PVM</v>
      </c>
      <c r="F103" s="139">
        <f ca="1">H103+NPV(FD,I103:INDEX(I103:DC103,PAL))</f>
        <v>0</v>
      </c>
      <c r="G103" s="140">
        <f ca="1">SUMIF($H$5:$DC$5,"&lt;="&amp;PAL,$H103:$DC103)</f>
        <v>0</v>
      </c>
      <c r="H103" s="138">
        <f t="shared" ca="1" si="114"/>
        <v>0</v>
      </c>
      <c r="I103" s="138">
        <f t="shared" ca="1" si="114"/>
        <v>0</v>
      </c>
      <c r="J103" s="138">
        <f t="shared" ca="1" si="114"/>
        <v>0</v>
      </c>
      <c r="K103" s="138">
        <f t="shared" ca="1" si="114"/>
        <v>0</v>
      </c>
      <c r="L103" s="138">
        <f t="shared" ca="1" si="114"/>
        <v>0</v>
      </c>
      <c r="M103" s="138">
        <f t="shared" ca="1" si="114"/>
        <v>0</v>
      </c>
      <c r="N103" s="138">
        <f t="shared" ca="1" si="114"/>
        <v>0</v>
      </c>
      <c r="O103" s="138">
        <f t="shared" ca="1" si="114"/>
        <v>0</v>
      </c>
      <c r="P103" s="138">
        <f t="shared" ca="1" si="114"/>
        <v>0</v>
      </c>
      <c r="Q103" s="138">
        <f t="shared" ca="1" si="114"/>
        <v>0</v>
      </c>
      <c r="R103" s="138">
        <f t="shared" ca="1" si="114"/>
        <v>0</v>
      </c>
      <c r="S103" s="138">
        <f t="shared" ca="1" si="114"/>
        <v>0</v>
      </c>
      <c r="T103" s="138">
        <f t="shared" ca="1" si="114"/>
        <v>0</v>
      </c>
      <c r="U103" s="138">
        <f t="shared" ca="1" si="114"/>
        <v>0</v>
      </c>
      <c r="V103" s="138">
        <f t="shared" ca="1" si="114"/>
        <v>0</v>
      </c>
      <c r="W103" s="138">
        <f t="shared" ca="1" si="114"/>
        <v>0</v>
      </c>
      <c r="X103" s="138">
        <f t="shared" ca="1" si="115"/>
        <v>0</v>
      </c>
      <c r="Y103" s="138">
        <f t="shared" ca="1" si="115"/>
        <v>0</v>
      </c>
      <c r="Z103" s="138">
        <f t="shared" ca="1" si="115"/>
        <v>0</v>
      </c>
      <c r="AA103" s="138">
        <f t="shared" ca="1" si="115"/>
        <v>0</v>
      </c>
      <c r="AB103" s="138">
        <f t="shared" ca="1" si="115"/>
        <v>0</v>
      </c>
      <c r="AC103" s="138">
        <f t="shared" ca="1" si="115"/>
        <v>0</v>
      </c>
      <c r="AD103" s="138">
        <f t="shared" ca="1" si="115"/>
        <v>0</v>
      </c>
      <c r="AE103" s="138">
        <f t="shared" ca="1" si="115"/>
        <v>0</v>
      </c>
      <c r="AF103" s="138">
        <f t="shared" ca="1" si="115"/>
        <v>0</v>
      </c>
      <c r="AG103" s="138">
        <f t="shared" ca="1" si="115"/>
        <v>0</v>
      </c>
      <c r="AH103" s="138">
        <f t="shared" ca="1" si="115"/>
        <v>0</v>
      </c>
      <c r="AI103" s="138">
        <f t="shared" ca="1" si="115"/>
        <v>0</v>
      </c>
      <c r="AJ103" s="138">
        <f t="shared" ca="1" si="115"/>
        <v>0</v>
      </c>
      <c r="AK103" s="138">
        <f t="shared" ca="1" si="115"/>
        <v>0</v>
      </c>
      <c r="AL103" s="138">
        <f t="shared" ca="1" si="115"/>
        <v>0</v>
      </c>
      <c r="AM103" s="138">
        <f t="shared" ca="1" si="115"/>
        <v>0</v>
      </c>
      <c r="AN103" s="138">
        <f t="shared" ca="1" si="116"/>
        <v>0</v>
      </c>
      <c r="AO103" s="138">
        <f t="shared" ca="1" si="116"/>
        <v>0</v>
      </c>
      <c r="AP103" s="138">
        <f t="shared" ca="1" si="116"/>
        <v>0</v>
      </c>
      <c r="AQ103" s="138">
        <f t="shared" ca="1" si="116"/>
        <v>0</v>
      </c>
      <c r="AR103" s="138">
        <f t="shared" ca="1" si="116"/>
        <v>0</v>
      </c>
      <c r="AS103" s="138">
        <f t="shared" ca="1" si="116"/>
        <v>0</v>
      </c>
      <c r="AT103" s="138">
        <f t="shared" ca="1" si="116"/>
        <v>0</v>
      </c>
      <c r="AU103" s="138">
        <f t="shared" ca="1" si="116"/>
        <v>0</v>
      </c>
      <c r="AV103" s="138">
        <f t="shared" ca="1" si="116"/>
        <v>0</v>
      </c>
      <c r="AW103" s="138">
        <f t="shared" ca="1" si="116"/>
        <v>0</v>
      </c>
      <c r="AX103" s="138">
        <f t="shared" ca="1" si="116"/>
        <v>0</v>
      </c>
      <c r="AY103" s="138">
        <f t="shared" ca="1" si="116"/>
        <v>0</v>
      </c>
      <c r="AZ103" s="138">
        <f t="shared" ca="1" si="116"/>
        <v>0</v>
      </c>
      <c r="BA103" s="138">
        <f t="shared" ca="1" si="116"/>
        <v>0</v>
      </c>
      <c r="BB103" s="138">
        <f t="shared" ca="1" si="116"/>
        <v>0</v>
      </c>
      <c r="BC103" s="138">
        <f t="shared" ca="1" si="116"/>
        <v>0</v>
      </c>
      <c r="BD103" s="138">
        <f t="shared" ca="1" si="117"/>
        <v>0</v>
      </c>
      <c r="BE103" s="138">
        <f t="shared" ca="1" si="117"/>
        <v>0</v>
      </c>
      <c r="BF103" s="138">
        <f t="shared" ca="1" si="117"/>
        <v>0</v>
      </c>
      <c r="BG103" s="138">
        <f t="shared" ca="1" si="117"/>
        <v>0</v>
      </c>
      <c r="BH103" s="138">
        <f t="shared" ca="1" si="117"/>
        <v>0</v>
      </c>
      <c r="BI103" s="138">
        <f t="shared" ca="1" si="117"/>
        <v>0</v>
      </c>
      <c r="BJ103" s="138">
        <f t="shared" ca="1" si="117"/>
        <v>0</v>
      </c>
      <c r="BK103" s="138">
        <f t="shared" ca="1" si="117"/>
        <v>0</v>
      </c>
      <c r="BL103" s="138">
        <f t="shared" ca="1" si="117"/>
        <v>0</v>
      </c>
      <c r="BM103" s="138">
        <f t="shared" ca="1" si="117"/>
        <v>0</v>
      </c>
      <c r="BN103" s="138">
        <f t="shared" ca="1" si="117"/>
        <v>0</v>
      </c>
      <c r="BO103" s="138">
        <f t="shared" ca="1" si="117"/>
        <v>0</v>
      </c>
      <c r="BP103" s="138">
        <f t="shared" ca="1" si="117"/>
        <v>0</v>
      </c>
      <c r="BQ103" s="138">
        <f t="shared" ca="1" si="117"/>
        <v>0</v>
      </c>
      <c r="BR103" s="138">
        <f t="shared" ca="1" si="117"/>
        <v>0</v>
      </c>
      <c r="BS103" s="138">
        <f t="shared" ca="1" si="117"/>
        <v>0</v>
      </c>
      <c r="BT103" s="138">
        <f t="shared" ca="1" si="118"/>
        <v>0</v>
      </c>
      <c r="BU103" s="138">
        <f t="shared" ca="1" si="118"/>
        <v>0</v>
      </c>
      <c r="BV103" s="138">
        <f t="shared" ca="1" si="118"/>
        <v>0</v>
      </c>
      <c r="BW103" s="138">
        <f t="shared" ca="1" si="118"/>
        <v>0</v>
      </c>
      <c r="BX103" s="138">
        <f t="shared" ca="1" si="118"/>
        <v>0</v>
      </c>
      <c r="BY103" s="138">
        <f t="shared" ca="1" si="118"/>
        <v>0</v>
      </c>
      <c r="BZ103" s="138">
        <f t="shared" ca="1" si="118"/>
        <v>0</v>
      </c>
      <c r="CA103" s="138">
        <f t="shared" ca="1" si="118"/>
        <v>0</v>
      </c>
      <c r="CB103" s="138">
        <f t="shared" ca="1" si="118"/>
        <v>0</v>
      </c>
      <c r="CC103" s="138">
        <f t="shared" ca="1" si="118"/>
        <v>0</v>
      </c>
      <c r="CD103" s="138">
        <f t="shared" ca="1" si="118"/>
        <v>0</v>
      </c>
      <c r="CE103" s="138">
        <f t="shared" ca="1" si="118"/>
        <v>0</v>
      </c>
      <c r="CF103" s="138">
        <f t="shared" ca="1" si="118"/>
        <v>0</v>
      </c>
      <c r="CG103" s="138">
        <f t="shared" ca="1" si="118"/>
        <v>0</v>
      </c>
      <c r="CH103" s="138">
        <f t="shared" ca="1" si="118"/>
        <v>0</v>
      </c>
      <c r="CI103" s="138">
        <f t="shared" ca="1" si="118"/>
        <v>0</v>
      </c>
      <c r="CJ103" s="138">
        <f t="shared" ca="1" si="119"/>
        <v>0</v>
      </c>
      <c r="CK103" s="138">
        <f t="shared" ca="1" si="119"/>
        <v>0</v>
      </c>
      <c r="CL103" s="138">
        <f t="shared" ca="1" si="119"/>
        <v>0</v>
      </c>
      <c r="CM103" s="138">
        <f t="shared" ca="1" si="119"/>
        <v>0</v>
      </c>
      <c r="CN103" s="138">
        <f t="shared" ca="1" si="119"/>
        <v>0</v>
      </c>
      <c r="CO103" s="138">
        <f t="shared" ca="1" si="119"/>
        <v>0</v>
      </c>
      <c r="CP103" s="138">
        <f t="shared" ca="1" si="119"/>
        <v>0</v>
      </c>
      <c r="CQ103" s="138">
        <f t="shared" ca="1" si="119"/>
        <v>0</v>
      </c>
      <c r="CR103" s="138">
        <f t="shared" ca="1" si="119"/>
        <v>0</v>
      </c>
      <c r="CS103" s="138">
        <f t="shared" ca="1" si="119"/>
        <v>0</v>
      </c>
      <c r="CT103" s="138">
        <f t="shared" ca="1" si="120"/>
        <v>0</v>
      </c>
      <c r="CU103" s="138">
        <f t="shared" ca="1" si="120"/>
        <v>0</v>
      </c>
      <c r="CV103" s="138">
        <f t="shared" ca="1" si="120"/>
        <v>0</v>
      </c>
      <c r="CW103" s="138">
        <f t="shared" ca="1" si="120"/>
        <v>0</v>
      </c>
      <c r="CX103" s="138">
        <f t="shared" ca="1" si="120"/>
        <v>0</v>
      </c>
      <c r="CY103" s="138">
        <f t="shared" ca="1" si="120"/>
        <v>0</v>
      </c>
      <c r="CZ103" s="138">
        <f t="shared" ca="1" si="120"/>
        <v>0</v>
      </c>
      <c r="DA103" s="138">
        <f t="shared" ca="1" si="120"/>
        <v>0</v>
      </c>
      <c r="DB103" s="138">
        <f t="shared" ca="1" si="120"/>
        <v>0</v>
      </c>
      <c r="DC103" s="138">
        <f t="shared" ca="1" si="120"/>
        <v>0</v>
      </c>
      <c r="DE103" s="254" t="str">
        <f t="shared" ca="1" si="87"/>
        <v>H.3.</v>
      </c>
      <c r="DF103">
        <f t="shared" ca="1" si="121"/>
        <v>1</v>
      </c>
      <c r="DG103">
        <f t="shared" ca="1" si="122"/>
        <v>0</v>
      </c>
    </row>
    <row r="104" spans="1:111" ht="14.25" hidden="1" customHeight="1">
      <c r="A104" s="124">
        <v>92</v>
      </c>
      <c r="B104" s="205" t="str">
        <f t="shared" ca="1" si="84"/>
        <v>H.4.</v>
      </c>
      <c r="C104" s="129" t="str">
        <f t="shared" ca="1" si="85"/>
        <v>Veiklos pajamos 4 (viešojo sektoriaus)</v>
      </c>
      <c r="D104" s="114"/>
      <c r="E104" s="148" t="str">
        <f t="shared" ca="1" si="86"/>
        <v>Be PVM</v>
      </c>
      <c r="F104" s="139">
        <f ca="1">H104+NPV(FD,I104:INDEX(I104:DC104,PAL))</f>
        <v>0</v>
      </c>
      <c r="G104" s="140">
        <f ca="1">SUMIF($H$5:$DC$5,"&lt;="&amp;PAL,$H104:$DC104)</f>
        <v>0</v>
      </c>
      <c r="H104" s="138">
        <f t="shared" ca="1" si="114"/>
        <v>0</v>
      </c>
      <c r="I104" s="138">
        <f t="shared" ca="1" si="114"/>
        <v>0</v>
      </c>
      <c r="J104" s="138">
        <f t="shared" ca="1" si="114"/>
        <v>0</v>
      </c>
      <c r="K104" s="138">
        <f t="shared" ca="1" si="114"/>
        <v>0</v>
      </c>
      <c r="L104" s="138">
        <f t="shared" ca="1" si="114"/>
        <v>0</v>
      </c>
      <c r="M104" s="138">
        <f t="shared" ca="1" si="114"/>
        <v>0</v>
      </c>
      <c r="N104" s="138">
        <f t="shared" ca="1" si="114"/>
        <v>0</v>
      </c>
      <c r="O104" s="138">
        <f t="shared" ca="1" si="114"/>
        <v>0</v>
      </c>
      <c r="P104" s="138">
        <f t="shared" ca="1" si="114"/>
        <v>0</v>
      </c>
      <c r="Q104" s="138">
        <f t="shared" ca="1" si="114"/>
        <v>0</v>
      </c>
      <c r="R104" s="138">
        <f t="shared" ca="1" si="114"/>
        <v>0</v>
      </c>
      <c r="S104" s="138">
        <f t="shared" ca="1" si="114"/>
        <v>0</v>
      </c>
      <c r="T104" s="138">
        <f t="shared" ca="1" si="114"/>
        <v>0</v>
      </c>
      <c r="U104" s="138">
        <f t="shared" ca="1" si="114"/>
        <v>0</v>
      </c>
      <c r="V104" s="138">
        <f t="shared" ca="1" si="114"/>
        <v>0</v>
      </c>
      <c r="W104" s="138">
        <f t="shared" ca="1" si="114"/>
        <v>0</v>
      </c>
      <c r="X104" s="138">
        <f t="shared" ca="1" si="115"/>
        <v>0</v>
      </c>
      <c r="Y104" s="138">
        <f t="shared" ca="1" si="115"/>
        <v>0</v>
      </c>
      <c r="Z104" s="138">
        <f t="shared" ca="1" si="115"/>
        <v>0</v>
      </c>
      <c r="AA104" s="138">
        <f t="shared" ca="1" si="115"/>
        <v>0</v>
      </c>
      <c r="AB104" s="138">
        <f t="shared" ca="1" si="115"/>
        <v>0</v>
      </c>
      <c r="AC104" s="138">
        <f t="shared" ca="1" si="115"/>
        <v>0</v>
      </c>
      <c r="AD104" s="138">
        <f t="shared" ca="1" si="115"/>
        <v>0</v>
      </c>
      <c r="AE104" s="138">
        <f t="shared" ca="1" si="115"/>
        <v>0</v>
      </c>
      <c r="AF104" s="138">
        <f t="shared" ca="1" si="115"/>
        <v>0</v>
      </c>
      <c r="AG104" s="138">
        <f t="shared" ca="1" si="115"/>
        <v>0</v>
      </c>
      <c r="AH104" s="138">
        <f t="shared" ca="1" si="115"/>
        <v>0</v>
      </c>
      <c r="AI104" s="138">
        <f t="shared" ca="1" si="115"/>
        <v>0</v>
      </c>
      <c r="AJ104" s="138">
        <f t="shared" ca="1" si="115"/>
        <v>0</v>
      </c>
      <c r="AK104" s="138">
        <f t="shared" ca="1" si="115"/>
        <v>0</v>
      </c>
      <c r="AL104" s="138">
        <f t="shared" ca="1" si="115"/>
        <v>0</v>
      </c>
      <c r="AM104" s="138">
        <f t="shared" ca="1" si="115"/>
        <v>0</v>
      </c>
      <c r="AN104" s="138">
        <f t="shared" ca="1" si="116"/>
        <v>0</v>
      </c>
      <c r="AO104" s="138">
        <f t="shared" ca="1" si="116"/>
        <v>0</v>
      </c>
      <c r="AP104" s="138">
        <f t="shared" ca="1" si="116"/>
        <v>0</v>
      </c>
      <c r="AQ104" s="138">
        <f t="shared" ca="1" si="116"/>
        <v>0</v>
      </c>
      <c r="AR104" s="138">
        <f t="shared" ca="1" si="116"/>
        <v>0</v>
      </c>
      <c r="AS104" s="138">
        <f t="shared" ca="1" si="116"/>
        <v>0</v>
      </c>
      <c r="AT104" s="138">
        <f t="shared" ca="1" si="116"/>
        <v>0</v>
      </c>
      <c r="AU104" s="138">
        <f t="shared" ca="1" si="116"/>
        <v>0</v>
      </c>
      <c r="AV104" s="138">
        <f t="shared" ca="1" si="116"/>
        <v>0</v>
      </c>
      <c r="AW104" s="138">
        <f t="shared" ca="1" si="116"/>
        <v>0</v>
      </c>
      <c r="AX104" s="138">
        <f t="shared" ca="1" si="116"/>
        <v>0</v>
      </c>
      <c r="AY104" s="138">
        <f t="shared" ca="1" si="116"/>
        <v>0</v>
      </c>
      <c r="AZ104" s="138">
        <f t="shared" ca="1" si="116"/>
        <v>0</v>
      </c>
      <c r="BA104" s="138">
        <f t="shared" ca="1" si="116"/>
        <v>0</v>
      </c>
      <c r="BB104" s="138">
        <f t="shared" ca="1" si="116"/>
        <v>0</v>
      </c>
      <c r="BC104" s="138">
        <f t="shared" ca="1" si="116"/>
        <v>0</v>
      </c>
      <c r="BD104" s="138">
        <f t="shared" ca="1" si="117"/>
        <v>0</v>
      </c>
      <c r="BE104" s="138">
        <f t="shared" ca="1" si="117"/>
        <v>0</v>
      </c>
      <c r="BF104" s="138">
        <f t="shared" ca="1" si="117"/>
        <v>0</v>
      </c>
      <c r="BG104" s="138">
        <f t="shared" ca="1" si="117"/>
        <v>0</v>
      </c>
      <c r="BH104" s="138">
        <f t="shared" ca="1" si="117"/>
        <v>0</v>
      </c>
      <c r="BI104" s="138">
        <f t="shared" ca="1" si="117"/>
        <v>0</v>
      </c>
      <c r="BJ104" s="138">
        <f t="shared" ca="1" si="117"/>
        <v>0</v>
      </c>
      <c r="BK104" s="138">
        <f t="shared" ca="1" si="117"/>
        <v>0</v>
      </c>
      <c r="BL104" s="138">
        <f t="shared" ca="1" si="117"/>
        <v>0</v>
      </c>
      <c r="BM104" s="138">
        <f t="shared" ca="1" si="117"/>
        <v>0</v>
      </c>
      <c r="BN104" s="138">
        <f t="shared" ca="1" si="117"/>
        <v>0</v>
      </c>
      <c r="BO104" s="138">
        <f t="shared" ca="1" si="117"/>
        <v>0</v>
      </c>
      <c r="BP104" s="138">
        <f t="shared" ca="1" si="117"/>
        <v>0</v>
      </c>
      <c r="BQ104" s="138">
        <f t="shared" ca="1" si="117"/>
        <v>0</v>
      </c>
      <c r="BR104" s="138">
        <f t="shared" ca="1" si="117"/>
        <v>0</v>
      </c>
      <c r="BS104" s="138">
        <f t="shared" ca="1" si="117"/>
        <v>0</v>
      </c>
      <c r="BT104" s="138">
        <f t="shared" ca="1" si="118"/>
        <v>0</v>
      </c>
      <c r="BU104" s="138">
        <f t="shared" ca="1" si="118"/>
        <v>0</v>
      </c>
      <c r="BV104" s="138">
        <f t="shared" ca="1" si="118"/>
        <v>0</v>
      </c>
      <c r="BW104" s="138">
        <f t="shared" ca="1" si="118"/>
        <v>0</v>
      </c>
      <c r="BX104" s="138">
        <f t="shared" ca="1" si="118"/>
        <v>0</v>
      </c>
      <c r="BY104" s="138">
        <f t="shared" ca="1" si="118"/>
        <v>0</v>
      </c>
      <c r="BZ104" s="138">
        <f t="shared" ca="1" si="118"/>
        <v>0</v>
      </c>
      <c r="CA104" s="138">
        <f t="shared" ca="1" si="118"/>
        <v>0</v>
      </c>
      <c r="CB104" s="138">
        <f t="shared" ca="1" si="118"/>
        <v>0</v>
      </c>
      <c r="CC104" s="138">
        <f t="shared" ca="1" si="118"/>
        <v>0</v>
      </c>
      <c r="CD104" s="138">
        <f t="shared" ca="1" si="118"/>
        <v>0</v>
      </c>
      <c r="CE104" s="138">
        <f t="shared" ca="1" si="118"/>
        <v>0</v>
      </c>
      <c r="CF104" s="138">
        <f t="shared" ca="1" si="118"/>
        <v>0</v>
      </c>
      <c r="CG104" s="138">
        <f t="shared" ca="1" si="118"/>
        <v>0</v>
      </c>
      <c r="CH104" s="138">
        <f t="shared" ca="1" si="118"/>
        <v>0</v>
      </c>
      <c r="CI104" s="138">
        <f t="shared" ca="1" si="118"/>
        <v>0</v>
      </c>
      <c r="CJ104" s="138">
        <f t="shared" ca="1" si="119"/>
        <v>0</v>
      </c>
      <c r="CK104" s="138">
        <f t="shared" ca="1" si="119"/>
        <v>0</v>
      </c>
      <c r="CL104" s="138">
        <f t="shared" ca="1" si="119"/>
        <v>0</v>
      </c>
      <c r="CM104" s="138">
        <f t="shared" ca="1" si="119"/>
        <v>0</v>
      </c>
      <c r="CN104" s="138">
        <f t="shared" ca="1" si="119"/>
        <v>0</v>
      </c>
      <c r="CO104" s="138">
        <f t="shared" ca="1" si="119"/>
        <v>0</v>
      </c>
      <c r="CP104" s="138">
        <f t="shared" ca="1" si="119"/>
        <v>0</v>
      </c>
      <c r="CQ104" s="138">
        <f t="shared" ca="1" si="119"/>
        <v>0</v>
      </c>
      <c r="CR104" s="138">
        <f t="shared" ca="1" si="119"/>
        <v>0</v>
      </c>
      <c r="CS104" s="138">
        <f t="shared" ca="1" si="119"/>
        <v>0</v>
      </c>
      <c r="CT104" s="138">
        <f t="shared" ca="1" si="120"/>
        <v>0</v>
      </c>
      <c r="CU104" s="138">
        <f t="shared" ca="1" si="120"/>
        <v>0</v>
      </c>
      <c r="CV104" s="138">
        <f t="shared" ca="1" si="120"/>
        <v>0</v>
      </c>
      <c r="CW104" s="138">
        <f t="shared" ca="1" si="120"/>
        <v>0</v>
      </c>
      <c r="CX104" s="138">
        <f t="shared" ca="1" si="120"/>
        <v>0</v>
      </c>
      <c r="CY104" s="138">
        <f t="shared" ca="1" si="120"/>
        <v>0</v>
      </c>
      <c r="CZ104" s="138">
        <f t="shared" ca="1" si="120"/>
        <v>0</v>
      </c>
      <c r="DA104" s="138">
        <f t="shared" ca="1" si="120"/>
        <v>0</v>
      </c>
      <c r="DB104" s="138">
        <f t="shared" ca="1" si="120"/>
        <v>0</v>
      </c>
      <c r="DC104" s="138">
        <f t="shared" ca="1" si="120"/>
        <v>0</v>
      </c>
      <c r="DE104" s="254" t="str">
        <f t="shared" ca="1" si="87"/>
        <v>H.4.</v>
      </c>
      <c r="DF104">
        <f t="shared" ca="1" si="121"/>
        <v>1</v>
      </c>
      <c r="DG104">
        <f t="shared" ca="1" si="122"/>
        <v>0</v>
      </c>
    </row>
    <row r="105" spans="1:111" ht="14.25" hidden="1" customHeight="1">
      <c r="A105" s="124">
        <v>93</v>
      </c>
      <c r="B105" s="205" t="str">
        <f t="shared" ca="1" si="84"/>
        <v>H.5.</v>
      </c>
      <c r="C105" s="129" t="str">
        <f t="shared" ca="1" si="85"/>
        <v>Veiklos pajamos 5 (viešojo sektoriaus)</v>
      </c>
      <c r="D105" s="114"/>
      <c r="E105" s="148" t="str">
        <f t="shared" ca="1" si="86"/>
        <v>Be PVM</v>
      </c>
      <c r="F105" s="139">
        <f ca="1">H105+NPV(FD,I105:INDEX(I105:DC105,PAL))</f>
        <v>0</v>
      </c>
      <c r="G105" s="140">
        <f ca="1">SUMIF($H$5:$DC$5,"&lt;="&amp;PAL,$H105:$DC105)</f>
        <v>0</v>
      </c>
      <c r="H105" s="138">
        <f t="shared" ca="1" si="114"/>
        <v>0</v>
      </c>
      <c r="I105" s="138">
        <f t="shared" ca="1" si="114"/>
        <v>0</v>
      </c>
      <c r="J105" s="138">
        <f t="shared" ca="1" si="114"/>
        <v>0</v>
      </c>
      <c r="K105" s="138">
        <f t="shared" ca="1" si="114"/>
        <v>0</v>
      </c>
      <c r="L105" s="138">
        <f t="shared" ca="1" si="114"/>
        <v>0</v>
      </c>
      <c r="M105" s="138">
        <f t="shared" ca="1" si="114"/>
        <v>0</v>
      </c>
      <c r="N105" s="138">
        <f t="shared" ca="1" si="114"/>
        <v>0</v>
      </c>
      <c r="O105" s="138">
        <f t="shared" ca="1" si="114"/>
        <v>0</v>
      </c>
      <c r="P105" s="138">
        <f t="shared" ca="1" si="114"/>
        <v>0</v>
      </c>
      <c r="Q105" s="138">
        <f t="shared" ca="1" si="114"/>
        <v>0</v>
      </c>
      <c r="R105" s="138">
        <f t="shared" ca="1" si="114"/>
        <v>0</v>
      </c>
      <c r="S105" s="138">
        <f t="shared" ca="1" si="114"/>
        <v>0</v>
      </c>
      <c r="T105" s="138">
        <f t="shared" ca="1" si="114"/>
        <v>0</v>
      </c>
      <c r="U105" s="138">
        <f t="shared" ca="1" si="114"/>
        <v>0</v>
      </c>
      <c r="V105" s="138">
        <f t="shared" ca="1" si="114"/>
        <v>0</v>
      </c>
      <c r="W105" s="138">
        <f t="shared" ca="1" si="114"/>
        <v>0</v>
      </c>
      <c r="X105" s="138">
        <f t="shared" ca="1" si="115"/>
        <v>0</v>
      </c>
      <c r="Y105" s="138">
        <f t="shared" ca="1" si="115"/>
        <v>0</v>
      </c>
      <c r="Z105" s="138">
        <f t="shared" ca="1" si="115"/>
        <v>0</v>
      </c>
      <c r="AA105" s="138">
        <f t="shared" ca="1" si="115"/>
        <v>0</v>
      </c>
      <c r="AB105" s="138">
        <f t="shared" ca="1" si="115"/>
        <v>0</v>
      </c>
      <c r="AC105" s="138">
        <f t="shared" ca="1" si="115"/>
        <v>0</v>
      </c>
      <c r="AD105" s="138">
        <f t="shared" ca="1" si="115"/>
        <v>0</v>
      </c>
      <c r="AE105" s="138">
        <f t="shared" ca="1" si="115"/>
        <v>0</v>
      </c>
      <c r="AF105" s="138">
        <f t="shared" ca="1" si="115"/>
        <v>0</v>
      </c>
      <c r="AG105" s="138">
        <f t="shared" ca="1" si="115"/>
        <v>0</v>
      </c>
      <c r="AH105" s="138">
        <f t="shared" ca="1" si="115"/>
        <v>0</v>
      </c>
      <c r="AI105" s="138">
        <f t="shared" ca="1" si="115"/>
        <v>0</v>
      </c>
      <c r="AJ105" s="138">
        <f t="shared" ca="1" si="115"/>
        <v>0</v>
      </c>
      <c r="AK105" s="138">
        <f t="shared" ca="1" si="115"/>
        <v>0</v>
      </c>
      <c r="AL105" s="138">
        <f t="shared" ca="1" si="115"/>
        <v>0</v>
      </c>
      <c r="AM105" s="138">
        <f t="shared" ca="1" si="115"/>
        <v>0</v>
      </c>
      <c r="AN105" s="138">
        <f t="shared" ca="1" si="116"/>
        <v>0</v>
      </c>
      <c r="AO105" s="138">
        <f t="shared" ca="1" si="116"/>
        <v>0</v>
      </c>
      <c r="AP105" s="138">
        <f t="shared" ca="1" si="116"/>
        <v>0</v>
      </c>
      <c r="AQ105" s="138">
        <f t="shared" ca="1" si="116"/>
        <v>0</v>
      </c>
      <c r="AR105" s="138">
        <f t="shared" ca="1" si="116"/>
        <v>0</v>
      </c>
      <c r="AS105" s="138">
        <f t="shared" ca="1" si="116"/>
        <v>0</v>
      </c>
      <c r="AT105" s="138">
        <f t="shared" ca="1" si="116"/>
        <v>0</v>
      </c>
      <c r="AU105" s="138">
        <f t="shared" ca="1" si="116"/>
        <v>0</v>
      </c>
      <c r="AV105" s="138">
        <f t="shared" ca="1" si="116"/>
        <v>0</v>
      </c>
      <c r="AW105" s="138">
        <f t="shared" ca="1" si="116"/>
        <v>0</v>
      </c>
      <c r="AX105" s="138">
        <f t="shared" ca="1" si="116"/>
        <v>0</v>
      </c>
      <c r="AY105" s="138">
        <f t="shared" ca="1" si="116"/>
        <v>0</v>
      </c>
      <c r="AZ105" s="138">
        <f t="shared" ca="1" si="116"/>
        <v>0</v>
      </c>
      <c r="BA105" s="138">
        <f t="shared" ca="1" si="116"/>
        <v>0</v>
      </c>
      <c r="BB105" s="138">
        <f t="shared" ca="1" si="116"/>
        <v>0</v>
      </c>
      <c r="BC105" s="138">
        <f t="shared" ca="1" si="116"/>
        <v>0</v>
      </c>
      <c r="BD105" s="138">
        <f t="shared" ca="1" si="117"/>
        <v>0</v>
      </c>
      <c r="BE105" s="138">
        <f t="shared" ca="1" si="117"/>
        <v>0</v>
      </c>
      <c r="BF105" s="138">
        <f t="shared" ca="1" si="117"/>
        <v>0</v>
      </c>
      <c r="BG105" s="138">
        <f t="shared" ca="1" si="117"/>
        <v>0</v>
      </c>
      <c r="BH105" s="138">
        <f t="shared" ca="1" si="117"/>
        <v>0</v>
      </c>
      <c r="BI105" s="138">
        <f t="shared" ca="1" si="117"/>
        <v>0</v>
      </c>
      <c r="BJ105" s="138">
        <f t="shared" ca="1" si="117"/>
        <v>0</v>
      </c>
      <c r="BK105" s="138">
        <f t="shared" ca="1" si="117"/>
        <v>0</v>
      </c>
      <c r="BL105" s="138">
        <f t="shared" ca="1" si="117"/>
        <v>0</v>
      </c>
      <c r="BM105" s="138">
        <f t="shared" ca="1" si="117"/>
        <v>0</v>
      </c>
      <c r="BN105" s="138">
        <f t="shared" ca="1" si="117"/>
        <v>0</v>
      </c>
      <c r="BO105" s="138">
        <f t="shared" ca="1" si="117"/>
        <v>0</v>
      </c>
      <c r="BP105" s="138">
        <f t="shared" ca="1" si="117"/>
        <v>0</v>
      </c>
      <c r="BQ105" s="138">
        <f t="shared" ca="1" si="117"/>
        <v>0</v>
      </c>
      <c r="BR105" s="138">
        <f t="shared" ca="1" si="117"/>
        <v>0</v>
      </c>
      <c r="BS105" s="138">
        <f t="shared" ca="1" si="117"/>
        <v>0</v>
      </c>
      <c r="BT105" s="138">
        <f t="shared" ca="1" si="118"/>
        <v>0</v>
      </c>
      <c r="BU105" s="138">
        <f t="shared" ca="1" si="118"/>
        <v>0</v>
      </c>
      <c r="BV105" s="138">
        <f t="shared" ca="1" si="118"/>
        <v>0</v>
      </c>
      <c r="BW105" s="138">
        <f t="shared" ca="1" si="118"/>
        <v>0</v>
      </c>
      <c r="BX105" s="138">
        <f t="shared" ca="1" si="118"/>
        <v>0</v>
      </c>
      <c r="BY105" s="138">
        <f t="shared" ca="1" si="118"/>
        <v>0</v>
      </c>
      <c r="BZ105" s="138">
        <f t="shared" ca="1" si="118"/>
        <v>0</v>
      </c>
      <c r="CA105" s="138">
        <f t="shared" ca="1" si="118"/>
        <v>0</v>
      </c>
      <c r="CB105" s="138">
        <f t="shared" ca="1" si="118"/>
        <v>0</v>
      </c>
      <c r="CC105" s="138">
        <f t="shared" ca="1" si="118"/>
        <v>0</v>
      </c>
      <c r="CD105" s="138">
        <f t="shared" ca="1" si="118"/>
        <v>0</v>
      </c>
      <c r="CE105" s="138">
        <f t="shared" ca="1" si="118"/>
        <v>0</v>
      </c>
      <c r="CF105" s="138">
        <f t="shared" ca="1" si="118"/>
        <v>0</v>
      </c>
      <c r="CG105" s="138">
        <f t="shared" ca="1" si="118"/>
        <v>0</v>
      </c>
      <c r="CH105" s="138">
        <f t="shared" ca="1" si="118"/>
        <v>0</v>
      </c>
      <c r="CI105" s="138">
        <f t="shared" ca="1" si="118"/>
        <v>0</v>
      </c>
      <c r="CJ105" s="138">
        <f t="shared" ca="1" si="119"/>
        <v>0</v>
      </c>
      <c r="CK105" s="138">
        <f t="shared" ca="1" si="119"/>
        <v>0</v>
      </c>
      <c r="CL105" s="138">
        <f t="shared" ca="1" si="119"/>
        <v>0</v>
      </c>
      <c r="CM105" s="138">
        <f t="shared" ca="1" si="119"/>
        <v>0</v>
      </c>
      <c r="CN105" s="138">
        <f t="shared" ca="1" si="119"/>
        <v>0</v>
      </c>
      <c r="CO105" s="138">
        <f t="shared" ca="1" si="119"/>
        <v>0</v>
      </c>
      <c r="CP105" s="138">
        <f t="shared" ca="1" si="119"/>
        <v>0</v>
      </c>
      <c r="CQ105" s="138">
        <f t="shared" ca="1" si="119"/>
        <v>0</v>
      </c>
      <c r="CR105" s="138">
        <f t="shared" ca="1" si="119"/>
        <v>0</v>
      </c>
      <c r="CS105" s="138">
        <f t="shared" ca="1" si="119"/>
        <v>0</v>
      </c>
      <c r="CT105" s="138">
        <f t="shared" ca="1" si="120"/>
        <v>0</v>
      </c>
      <c r="CU105" s="138">
        <f t="shared" ca="1" si="120"/>
        <v>0</v>
      </c>
      <c r="CV105" s="138">
        <f t="shared" ca="1" si="120"/>
        <v>0</v>
      </c>
      <c r="CW105" s="138">
        <f t="shared" ca="1" si="120"/>
        <v>0</v>
      </c>
      <c r="CX105" s="138">
        <f t="shared" ca="1" si="120"/>
        <v>0</v>
      </c>
      <c r="CY105" s="138">
        <f t="shared" ca="1" si="120"/>
        <v>0</v>
      </c>
      <c r="CZ105" s="138">
        <f t="shared" ca="1" si="120"/>
        <v>0</v>
      </c>
      <c r="DA105" s="138">
        <f t="shared" ca="1" si="120"/>
        <v>0</v>
      </c>
      <c r="DB105" s="138">
        <f t="shared" ca="1" si="120"/>
        <v>0</v>
      </c>
      <c r="DC105" s="138">
        <f t="shared" ca="1" si="120"/>
        <v>0</v>
      </c>
      <c r="DE105" s="254" t="str">
        <f t="shared" ca="1" si="87"/>
        <v>H.5.</v>
      </c>
      <c r="DF105">
        <f t="shared" ca="1" si="121"/>
        <v>1</v>
      </c>
      <c r="DG105">
        <f t="shared" ca="1" si="122"/>
        <v>0</v>
      </c>
    </row>
    <row r="106" spans="1:111" hidden="1">
      <c r="A106" s="124">
        <v>94</v>
      </c>
      <c r="B106" s="205" t="str">
        <f t="shared" ca="1" si="84"/>
        <v>H.6.</v>
      </c>
      <c r="C106" s="129" t="str">
        <f t="shared" ca="1" si="85"/>
        <v>Veiklos pajamos 1 (privataus ir NVO sektoriaus)</v>
      </c>
      <c r="D106" s="114"/>
      <c r="E106" s="148" t="str">
        <f t="shared" ca="1" si="86"/>
        <v/>
      </c>
      <c r="F106" s="139">
        <f ca="1">H106+NPV(FD,I106:INDEX(I106:DC106,PAL))</f>
        <v>0</v>
      </c>
      <c r="G106" s="140">
        <f ca="1">SUMIF($H$5:$DC$5,"&lt;="&amp;PAL,$H106:$DC106)</f>
        <v>0</v>
      </c>
      <c r="H106" s="138">
        <f t="shared" ca="1" si="114"/>
        <v>0</v>
      </c>
      <c r="I106" s="138">
        <f t="shared" ca="1" si="114"/>
        <v>0</v>
      </c>
      <c r="J106" s="138">
        <f t="shared" ca="1" si="114"/>
        <v>0</v>
      </c>
      <c r="K106" s="138">
        <f t="shared" ca="1" si="114"/>
        <v>0</v>
      </c>
      <c r="L106" s="138">
        <f t="shared" ca="1" si="114"/>
        <v>0</v>
      </c>
      <c r="M106" s="138">
        <f t="shared" ca="1" si="114"/>
        <v>0</v>
      </c>
      <c r="N106" s="138">
        <f t="shared" ca="1" si="114"/>
        <v>0</v>
      </c>
      <c r="O106" s="138">
        <f t="shared" ca="1" si="114"/>
        <v>0</v>
      </c>
      <c r="P106" s="138">
        <f t="shared" ca="1" si="114"/>
        <v>0</v>
      </c>
      <c r="Q106" s="138">
        <f t="shared" ca="1" si="114"/>
        <v>0</v>
      </c>
      <c r="R106" s="138">
        <f t="shared" ca="1" si="114"/>
        <v>0</v>
      </c>
      <c r="S106" s="138">
        <f t="shared" ca="1" si="114"/>
        <v>0</v>
      </c>
      <c r="T106" s="138">
        <f t="shared" ca="1" si="114"/>
        <v>0</v>
      </c>
      <c r="U106" s="138">
        <f t="shared" ca="1" si="114"/>
        <v>0</v>
      </c>
      <c r="V106" s="138">
        <f t="shared" ca="1" si="114"/>
        <v>0</v>
      </c>
      <c r="W106" s="138">
        <f t="shared" ca="1" si="114"/>
        <v>0</v>
      </c>
      <c r="X106" s="138">
        <f t="shared" ca="1" si="115"/>
        <v>0</v>
      </c>
      <c r="Y106" s="138">
        <f t="shared" ca="1" si="115"/>
        <v>0</v>
      </c>
      <c r="Z106" s="138">
        <f t="shared" ca="1" si="115"/>
        <v>0</v>
      </c>
      <c r="AA106" s="138">
        <f t="shared" ca="1" si="115"/>
        <v>0</v>
      </c>
      <c r="AB106" s="138">
        <f t="shared" ca="1" si="115"/>
        <v>0</v>
      </c>
      <c r="AC106" s="138">
        <f t="shared" ca="1" si="115"/>
        <v>0</v>
      </c>
      <c r="AD106" s="138">
        <f t="shared" ca="1" si="115"/>
        <v>0</v>
      </c>
      <c r="AE106" s="138">
        <f t="shared" ca="1" si="115"/>
        <v>0</v>
      </c>
      <c r="AF106" s="138">
        <f t="shared" ca="1" si="115"/>
        <v>0</v>
      </c>
      <c r="AG106" s="138">
        <f t="shared" ca="1" si="115"/>
        <v>0</v>
      </c>
      <c r="AH106" s="138">
        <f t="shared" ca="1" si="115"/>
        <v>0</v>
      </c>
      <c r="AI106" s="138">
        <f t="shared" ca="1" si="115"/>
        <v>0</v>
      </c>
      <c r="AJ106" s="138">
        <f t="shared" ca="1" si="115"/>
        <v>0</v>
      </c>
      <c r="AK106" s="138">
        <f t="shared" ca="1" si="115"/>
        <v>0</v>
      </c>
      <c r="AL106" s="138">
        <f t="shared" ca="1" si="115"/>
        <v>0</v>
      </c>
      <c r="AM106" s="138">
        <f t="shared" ca="1" si="115"/>
        <v>0</v>
      </c>
      <c r="AN106" s="138">
        <f t="shared" ca="1" si="116"/>
        <v>0</v>
      </c>
      <c r="AO106" s="138">
        <f t="shared" ca="1" si="116"/>
        <v>0</v>
      </c>
      <c r="AP106" s="138">
        <f t="shared" ca="1" si="116"/>
        <v>0</v>
      </c>
      <c r="AQ106" s="138">
        <f t="shared" ca="1" si="116"/>
        <v>0</v>
      </c>
      <c r="AR106" s="138">
        <f t="shared" ca="1" si="116"/>
        <v>0</v>
      </c>
      <c r="AS106" s="138">
        <f t="shared" ca="1" si="116"/>
        <v>0</v>
      </c>
      <c r="AT106" s="138">
        <f t="shared" ca="1" si="116"/>
        <v>0</v>
      </c>
      <c r="AU106" s="138">
        <f t="shared" ca="1" si="116"/>
        <v>0</v>
      </c>
      <c r="AV106" s="138">
        <f t="shared" ca="1" si="116"/>
        <v>0</v>
      </c>
      <c r="AW106" s="138">
        <f t="shared" ca="1" si="116"/>
        <v>0</v>
      </c>
      <c r="AX106" s="138">
        <f t="shared" ca="1" si="116"/>
        <v>0</v>
      </c>
      <c r="AY106" s="138">
        <f t="shared" ca="1" si="116"/>
        <v>0</v>
      </c>
      <c r="AZ106" s="138">
        <f t="shared" ca="1" si="116"/>
        <v>0</v>
      </c>
      <c r="BA106" s="138">
        <f t="shared" ca="1" si="116"/>
        <v>0</v>
      </c>
      <c r="BB106" s="138">
        <f t="shared" ca="1" si="116"/>
        <v>0</v>
      </c>
      <c r="BC106" s="138">
        <f t="shared" ca="1" si="116"/>
        <v>0</v>
      </c>
      <c r="BD106" s="138">
        <f t="shared" ca="1" si="117"/>
        <v>0</v>
      </c>
      <c r="BE106" s="138">
        <f t="shared" ca="1" si="117"/>
        <v>0</v>
      </c>
      <c r="BF106" s="138">
        <f t="shared" ca="1" si="117"/>
        <v>0</v>
      </c>
      <c r="BG106" s="138">
        <f t="shared" ca="1" si="117"/>
        <v>0</v>
      </c>
      <c r="BH106" s="138">
        <f t="shared" ca="1" si="117"/>
        <v>0</v>
      </c>
      <c r="BI106" s="138">
        <f t="shared" ca="1" si="117"/>
        <v>0</v>
      </c>
      <c r="BJ106" s="138">
        <f t="shared" ca="1" si="117"/>
        <v>0</v>
      </c>
      <c r="BK106" s="138">
        <f t="shared" ca="1" si="117"/>
        <v>0</v>
      </c>
      <c r="BL106" s="138">
        <f t="shared" ca="1" si="117"/>
        <v>0</v>
      </c>
      <c r="BM106" s="138">
        <f t="shared" ca="1" si="117"/>
        <v>0</v>
      </c>
      <c r="BN106" s="138">
        <f t="shared" ca="1" si="117"/>
        <v>0</v>
      </c>
      <c r="BO106" s="138">
        <f t="shared" ca="1" si="117"/>
        <v>0</v>
      </c>
      <c r="BP106" s="138">
        <f t="shared" ca="1" si="117"/>
        <v>0</v>
      </c>
      <c r="BQ106" s="138">
        <f t="shared" ca="1" si="117"/>
        <v>0</v>
      </c>
      <c r="BR106" s="138">
        <f t="shared" ca="1" si="117"/>
        <v>0</v>
      </c>
      <c r="BS106" s="138">
        <f t="shared" ca="1" si="117"/>
        <v>0</v>
      </c>
      <c r="BT106" s="138">
        <f t="shared" ca="1" si="118"/>
        <v>0</v>
      </c>
      <c r="BU106" s="138">
        <f t="shared" ca="1" si="118"/>
        <v>0</v>
      </c>
      <c r="BV106" s="138">
        <f t="shared" ca="1" si="118"/>
        <v>0</v>
      </c>
      <c r="BW106" s="138">
        <f t="shared" ca="1" si="118"/>
        <v>0</v>
      </c>
      <c r="BX106" s="138">
        <f t="shared" ca="1" si="118"/>
        <v>0</v>
      </c>
      <c r="BY106" s="138">
        <f t="shared" ca="1" si="118"/>
        <v>0</v>
      </c>
      <c r="BZ106" s="138">
        <f t="shared" ca="1" si="118"/>
        <v>0</v>
      </c>
      <c r="CA106" s="138">
        <f t="shared" ca="1" si="118"/>
        <v>0</v>
      </c>
      <c r="CB106" s="138">
        <f t="shared" ca="1" si="118"/>
        <v>0</v>
      </c>
      <c r="CC106" s="138">
        <f t="shared" ca="1" si="118"/>
        <v>0</v>
      </c>
      <c r="CD106" s="138">
        <f t="shared" ca="1" si="118"/>
        <v>0</v>
      </c>
      <c r="CE106" s="138">
        <f t="shared" ca="1" si="118"/>
        <v>0</v>
      </c>
      <c r="CF106" s="138">
        <f t="shared" ca="1" si="118"/>
        <v>0</v>
      </c>
      <c r="CG106" s="138">
        <f t="shared" ca="1" si="118"/>
        <v>0</v>
      </c>
      <c r="CH106" s="138">
        <f t="shared" ca="1" si="118"/>
        <v>0</v>
      </c>
      <c r="CI106" s="138">
        <f t="shared" ca="1" si="118"/>
        <v>0</v>
      </c>
      <c r="CJ106" s="138">
        <f t="shared" ca="1" si="119"/>
        <v>0</v>
      </c>
      <c r="CK106" s="138">
        <f t="shared" ca="1" si="119"/>
        <v>0</v>
      </c>
      <c r="CL106" s="138">
        <f t="shared" ca="1" si="119"/>
        <v>0</v>
      </c>
      <c r="CM106" s="138">
        <f t="shared" ca="1" si="119"/>
        <v>0</v>
      </c>
      <c r="CN106" s="138">
        <f t="shared" ca="1" si="119"/>
        <v>0</v>
      </c>
      <c r="CO106" s="138">
        <f t="shared" ca="1" si="119"/>
        <v>0</v>
      </c>
      <c r="CP106" s="138">
        <f t="shared" ca="1" si="119"/>
        <v>0</v>
      </c>
      <c r="CQ106" s="138">
        <f t="shared" ca="1" si="119"/>
        <v>0</v>
      </c>
      <c r="CR106" s="138">
        <f t="shared" ca="1" si="119"/>
        <v>0</v>
      </c>
      <c r="CS106" s="138">
        <f t="shared" ca="1" si="119"/>
        <v>0</v>
      </c>
      <c r="CT106" s="138">
        <f t="shared" ca="1" si="120"/>
        <v>0</v>
      </c>
      <c r="CU106" s="138">
        <f t="shared" ca="1" si="120"/>
        <v>0</v>
      </c>
      <c r="CV106" s="138">
        <f t="shared" ca="1" si="120"/>
        <v>0</v>
      </c>
      <c r="CW106" s="138">
        <f t="shared" ca="1" si="120"/>
        <v>0</v>
      </c>
      <c r="CX106" s="138">
        <f t="shared" ca="1" si="120"/>
        <v>0</v>
      </c>
      <c r="CY106" s="138">
        <f t="shared" ca="1" si="120"/>
        <v>0</v>
      </c>
      <c r="CZ106" s="138">
        <f t="shared" ca="1" si="120"/>
        <v>0</v>
      </c>
      <c r="DA106" s="138">
        <f t="shared" ca="1" si="120"/>
        <v>0</v>
      </c>
      <c r="DB106" s="138">
        <f t="shared" ca="1" si="120"/>
        <v>0</v>
      </c>
      <c r="DC106" s="138">
        <f t="shared" ca="1" si="120"/>
        <v>0</v>
      </c>
      <c r="DE106" s="254" t="str">
        <f t="shared" ca="1" si="87"/>
        <v>H.6.</v>
      </c>
      <c r="DF106">
        <f t="shared" ca="1" si="121"/>
        <v>1</v>
      </c>
      <c r="DG106">
        <f t="shared" ca="1" si="122"/>
        <v>0</v>
      </c>
    </row>
    <row r="107" spans="1:111" hidden="1">
      <c r="A107" s="124">
        <v>95</v>
      </c>
      <c r="B107" s="205" t="str">
        <f t="shared" ca="1" si="84"/>
        <v>H.7.</v>
      </c>
      <c r="C107" s="129" t="str">
        <f t="shared" ca="1" si="85"/>
        <v>Veiklos pajamos 2 (privataus ir NVO sektoriaus)</v>
      </c>
      <c r="D107" s="114"/>
      <c r="E107" s="148" t="str">
        <f t="shared" ca="1" si="86"/>
        <v/>
      </c>
      <c r="F107" s="139">
        <f ca="1">H107+NPV(FD,I107:INDEX(I107:DC107,PAL))</f>
        <v>0</v>
      </c>
      <c r="G107" s="140">
        <f ca="1">SUMIF($H$5:$DC$5,"&lt;="&amp;PAL,$H107:$DC107)</f>
        <v>0</v>
      </c>
      <c r="H107" s="138">
        <f t="shared" ca="1" si="114"/>
        <v>0</v>
      </c>
      <c r="I107" s="138">
        <f t="shared" ca="1" si="114"/>
        <v>0</v>
      </c>
      <c r="J107" s="138">
        <f t="shared" ca="1" si="114"/>
        <v>0</v>
      </c>
      <c r="K107" s="138">
        <f t="shared" ca="1" si="114"/>
        <v>0</v>
      </c>
      <c r="L107" s="138">
        <f t="shared" ca="1" si="114"/>
        <v>0</v>
      </c>
      <c r="M107" s="138">
        <f t="shared" ca="1" si="114"/>
        <v>0</v>
      </c>
      <c r="N107" s="138">
        <f t="shared" ca="1" si="114"/>
        <v>0</v>
      </c>
      <c r="O107" s="138">
        <f t="shared" ca="1" si="114"/>
        <v>0</v>
      </c>
      <c r="P107" s="138">
        <f t="shared" ca="1" si="114"/>
        <v>0</v>
      </c>
      <c r="Q107" s="138">
        <f t="shared" ca="1" si="114"/>
        <v>0</v>
      </c>
      <c r="R107" s="138">
        <f t="shared" ca="1" si="114"/>
        <v>0</v>
      </c>
      <c r="S107" s="138">
        <f t="shared" ca="1" si="114"/>
        <v>0</v>
      </c>
      <c r="T107" s="138">
        <f t="shared" ca="1" si="114"/>
        <v>0</v>
      </c>
      <c r="U107" s="138">
        <f t="shared" ca="1" si="114"/>
        <v>0</v>
      </c>
      <c r="V107" s="138">
        <f t="shared" ca="1" si="114"/>
        <v>0</v>
      </c>
      <c r="W107" s="138">
        <f t="shared" ca="1" si="114"/>
        <v>0</v>
      </c>
      <c r="X107" s="138">
        <f t="shared" ca="1" si="115"/>
        <v>0</v>
      </c>
      <c r="Y107" s="138">
        <f t="shared" ca="1" si="115"/>
        <v>0</v>
      </c>
      <c r="Z107" s="138">
        <f t="shared" ca="1" si="115"/>
        <v>0</v>
      </c>
      <c r="AA107" s="138">
        <f t="shared" ca="1" si="115"/>
        <v>0</v>
      </c>
      <c r="AB107" s="138">
        <f t="shared" ca="1" si="115"/>
        <v>0</v>
      </c>
      <c r="AC107" s="138">
        <f t="shared" ca="1" si="115"/>
        <v>0</v>
      </c>
      <c r="AD107" s="138">
        <f t="shared" ca="1" si="115"/>
        <v>0</v>
      </c>
      <c r="AE107" s="138">
        <f t="shared" ca="1" si="115"/>
        <v>0</v>
      </c>
      <c r="AF107" s="138">
        <f t="shared" ca="1" si="115"/>
        <v>0</v>
      </c>
      <c r="AG107" s="138">
        <f t="shared" ca="1" si="115"/>
        <v>0</v>
      </c>
      <c r="AH107" s="138">
        <f t="shared" ca="1" si="115"/>
        <v>0</v>
      </c>
      <c r="AI107" s="138">
        <f t="shared" ca="1" si="115"/>
        <v>0</v>
      </c>
      <c r="AJ107" s="138">
        <f t="shared" ca="1" si="115"/>
        <v>0</v>
      </c>
      <c r="AK107" s="138">
        <f t="shared" ca="1" si="115"/>
        <v>0</v>
      </c>
      <c r="AL107" s="138">
        <f t="shared" ca="1" si="115"/>
        <v>0</v>
      </c>
      <c r="AM107" s="138">
        <f t="shared" ca="1" si="115"/>
        <v>0</v>
      </c>
      <c r="AN107" s="138">
        <f t="shared" ca="1" si="116"/>
        <v>0</v>
      </c>
      <c r="AO107" s="138">
        <f t="shared" ca="1" si="116"/>
        <v>0</v>
      </c>
      <c r="AP107" s="138">
        <f t="shared" ca="1" si="116"/>
        <v>0</v>
      </c>
      <c r="AQ107" s="138">
        <f t="shared" ca="1" si="116"/>
        <v>0</v>
      </c>
      <c r="AR107" s="138">
        <f t="shared" ca="1" si="116"/>
        <v>0</v>
      </c>
      <c r="AS107" s="138">
        <f t="shared" ca="1" si="116"/>
        <v>0</v>
      </c>
      <c r="AT107" s="138">
        <f t="shared" ca="1" si="116"/>
        <v>0</v>
      </c>
      <c r="AU107" s="138">
        <f t="shared" ca="1" si="116"/>
        <v>0</v>
      </c>
      <c r="AV107" s="138">
        <f t="shared" ca="1" si="116"/>
        <v>0</v>
      </c>
      <c r="AW107" s="138">
        <f t="shared" ca="1" si="116"/>
        <v>0</v>
      </c>
      <c r="AX107" s="138">
        <f t="shared" ca="1" si="116"/>
        <v>0</v>
      </c>
      <c r="AY107" s="138">
        <f t="shared" ca="1" si="116"/>
        <v>0</v>
      </c>
      <c r="AZ107" s="138">
        <f t="shared" ca="1" si="116"/>
        <v>0</v>
      </c>
      <c r="BA107" s="138">
        <f t="shared" ca="1" si="116"/>
        <v>0</v>
      </c>
      <c r="BB107" s="138">
        <f t="shared" ca="1" si="116"/>
        <v>0</v>
      </c>
      <c r="BC107" s="138">
        <f t="shared" ca="1" si="116"/>
        <v>0</v>
      </c>
      <c r="BD107" s="138">
        <f t="shared" ca="1" si="117"/>
        <v>0</v>
      </c>
      <c r="BE107" s="138">
        <f t="shared" ca="1" si="117"/>
        <v>0</v>
      </c>
      <c r="BF107" s="138">
        <f t="shared" ca="1" si="117"/>
        <v>0</v>
      </c>
      <c r="BG107" s="138">
        <f t="shared" ca="1" si="117"/>
        <v>0</v>
      </c>
      <c r="BH107" s="138">
        <f t="shared" ca="1" si="117"/>
        <v>0</v>
      </c>
      <c r="BI107" s="138">
        <f t="shared" ca="1" si="117"/>
        <v>0</v>
      </c>
      <c r="BJ107" s="138">
        <f t="shared" ca="1" si="117"/>
        <v>0</v>
      </c>
      <c r="BK107" s="138">
        <f t="shared" ca="1" si="117"/>
        <v>0</v>
      </c>
      <c r="BL107" s="138">
        <f t="shared" ca="1" si="117"/>
        <v>0</v>
      </c>
      <c r="BM107" s="138">
        <f t="shared" ca="1" si="117"/>
        <v>0</v>
      </c>
      <c r="BN107" s="138">
        <f t="shared" ca="1" si="117"/>
        <v>0</v>
      </c>
      <c r="BO107" s="138">
        <f t="shared" ca="1" si="117"/>
        <v>0</v>
      </c>
      <c r="BP107" s="138">
        <f t="shared" ca="1" si="117"/>
        <v>0</v>
      </c>
      <c r="BQ107" s="138">
        <f t="shared" ca="1" si="117"/>
        <v>0</v>
      </c>
      <c r="BR107" s="138">
        <f t="shared" ca="1" si="117"/>
        <v>0</v>
      </c>
      <c r="BS107" s="138">
        <f t="shared" ca="1" si="117"/>
        <v>0</v>
      </c>
      <c r="BT107" s="138">
        <f t="shared" ca="1" si="118"/>
        <v>0</v>
      </c>
      <c r="BU107" s="138">
        <f t="shared" ca="1" si="118"/>
        <v>0</v>
      </c>
      <c r="BV107" s="138">
        <f t="shared" ca="1" si="118"/>
        <v>0</v>
      </c>
      <c r="BW107" s="138">
        <f t="shared" ca="1" si="118"/>
        <v>0</v>
      </c>
      <c r="BX107" s="138">
        <f t="shared" ca="1" si="118"/>
        <v>0</v>
      </c>
      <c r="BY107" s="138">
        <f t="shared" ca="1" si="118"/>
        <v>0</v>
      </c>
      <c r="BZ107" s="138">
        <f t="shared" ca="1" si="118"/>
        <v>0</v>
      </c>
      <c r="CA107" s="138">
        <f t="shared" ca="1" si="118"/>
        <v>0</v>
      </c>
      <c r="CB107" s="138">
        <f t="shared" ca="1" si="118"/>
        <v>0</v>
      </c>
      <c r="CC107" s="138">
        <f t="shared" ca="1" si="118"/>
        <v>0</v>
      </c>
      <c r="CD107" s="138">
        <f t="shared" ca="1" si="118"/>
        <v>0</v>
      </c>
      <c r="CE107" s="138">
        <f t="shared" ca="1" si="118"/>
        <v>0</v>
      </c>
      <c r="CF107" s="138">
        <f t="shared" ca="1" si="118"/>
        <v>0</v>
      </c>
      <c r="CG107" s="138">
        <f t="shared" ca="1" si="118"/>
        <v>0</v>
      </c>
      <c r="CH107" s="138">
        <f t="shared" ca="1" si="118"/>
        <v>0</v>
      </c>
      <c r="CI107" s="138">
        <f t="shared" ca="1" si="118"/>
        <v>0</v>
      </c>
      <c r="CJ107" s="138">
        <f t="shared" ca="1" si="119"/>
        <v>0</v>
      </c>
      <c r="CK107" s="138">
        <f t="shared" ca="1" si="119"/>
        <v>0</v>
      </c>
      <c r="CL107" s="138">
        <f t="shared" ca="1" si="119"/>
        <v>0</v>
      </c>
      <c r="CM107" s="138">
        <f t="shared" ca="1" si="119"/>
        <v>0</v>
      </c>
      <c r="CN107" s="138">
        <f t="shared" ca="1" si="119"/>
        <v>0</v>
      </c>
      <c r="CO107" s="138">
        <f t="shared" ca="1" si="119"/>
        <v>0</v>
      </c>
      <c r="CP107" s="138">
        <f t="shared" ca="1" si="119"/>
        <v>0</v>
      </c>
      <c r="CQ107" s="138">
        <f t="shared" ca="1" si="119"/>
        <v>0</v>
      </c>
      <c r="CR107" s="138">
        <f t="shared" ca="1" si="119"/>
        <v>0</v>
      </c>
      <c r="CS107" s="138">
        <f t="shared" ca="1" si="119"/>
        <v>0</v>
      </c>
      <c r="CT107" s="138">
        <f t="shared" ca="1" si="120"/>
        <v>0</v>
      </c>
      <c r="CU107" s="138">
        <f t="shared" ca="1" si="120"/>
        <v>0</v>
      </c>
      <c r="CV107" s="138">
        <f t="shared" ca="1" si="120"/>
        <v>0</v>
      </c>
      <c r="CW107" s="138">
        <f t="shared" ca="1" si="120"/>
        <v>0</v>
      </c>
      <c r="CX107" s="138">
        <f t="shared" ca="1" si="120"/>
        <v>0</v>
      </c>
      <c r="CY107" s="138">
        <f t="shared" ca="1" si="120"/>
        <v>0</v>
      </c>
      <c r="CZ107" s="138">
        <f t="shared" ca="1" si="120"/>
        <v>0</v>
      </c>
      <c r="DA107" s="138">
        <f t="shared" ca="1" si="120"/>
        <v>0</v>
      </c>
      <c r="DB107" s="138">
        <f t="shared" ca="1" si="120"/>
        <v>0</v>
      </c>
      <c r="DC107" s="138">
        <f t="shared" ca="1" si="120"/>
        <v>0</v>
      </c>
      <c r="DE107" s="254" t="str">
        <f t="shared" ca="1" si="87"/>
        <v>H.7.</v>
      </c>
      <c r="DF107">
        <f t="shared" ca="1" si="121"/>
        <v>1</v>
      </c>
      <c r="DG107">
        <f t="shared" ca="1" si="122"/>
        <v>0</v>
      </c>
    </row>
    <row r="108" spans="1:111" hidden="1">
      <c r="A108" s="124">
        <v>96</v>
      </c>
      <c r="B108" s="205" t="str">
        <f t="shared" ca="1" si="84"/>
        <v>H.8.</v>
      </c>
      <c r="C108" s="129" t="str">
        <f t="shared" ca="1" si="85"/>
        <v>Veiklos pajamos 3 (privataus ir NVO sektoriaus)</v>
      </c>
      <c r="D108" s="114"/>
      <c r="E108" s="148" t="str">
        <f t="shared" ca="1" si="86"/>
        <v/>
      </c>
      <c r="F108" s="139">
        <f ca="1">H108+NPV(FD,I108:INDEX(I108:DC108,PAL))</f>
        <v>0</v>
      </c>
      <c r="G108" s="140">
        <f ca="1">SUMIF($H$5:$DC$5,"&lt;="&amp;PAL,$H108:$DC108)</f>
        <v>0</v>
      </c>
      <c r="H108" s="138">
        <f t="shared" ca="1" si="114"/>
        <v>0</v>
      </c>
      <c r="I108" s="138">
        <f t="shared" ca="1" si="114"/>
        <v>0</v>
      </c>
      <c r="J108" s="138">
        <f t="shared" ca="1" si="114"/>
        <v>0</v>
      </c>
      <c r="K108" s="138">
        <f t="shared" ca="1" si="114"/>
        <v>0</v>
      </c>
      <c r="L108" s="138">
        <f t="shared" ca="1" si="114"/>
        <v>0</v>
      </c>
      <c r="M108" s="138">
        <f t="shared" ca="1" si="114"/>
        <v>0</v>
      </c>
      <c r="N108" s="138">
        <f t="shared" ca="1" si="114"/>
        <v>0</v>
      </c>
      <c r="O108" s="138">
        <f t="shared" ca="1" si="114"/>
        <v>0</v>
      </c>
      <c r="P108" s="138">
        <f t="shared" ca="1" si="114"/>
        <v>0</v>
      </c>
      <c r="Q108" s="138">
        <f t="shared" ca="1" si="114"/>
        <v>0</v>
      </c>
      <c r="R108" s="138">
        <f t="shared" ca="1" si="114"/>
        <v>0</v>
      </c>
      <c r="S108" s="138">
        <f t="shared" ca="1" si="114"/>
        <v>0</v>
      </c>
      <c r="T108" s="138">
        <f t="shared" ca="1" si="114"/>
        <v>0</v>
      </c>
      <c r="U108" s="138">
        <f t="shared" ca="1" si="114"/>
        <v>0</v>
      </c>
      <c r="V108" s="138">
        <f t="shared" ca="1" si="114"/>
        <v>0</v>
      </c>
      <c r="W108" s="138">
        <f t="shared" ca="1" si="114"/>
        <v>0</v>
      </c>
      <c r="X108" s="138">
        <f t="shared" ca="1" si="115"/>
        <v>0</v>
      </c>
      <c r="Y108" s="138">
        <f t="shared" ca="1" si="115"/>
        <v>0</v>
      </c>
      <c r="Z108" s="138">
        <f t="shared" ca="1" si="115"/>
        <v>0</v>
      </c>
      <c r="AA108" s="138">
        <f t="shared" ca="1" si="115"/>
        <v>0</v>
      </c>
      <c r="AB108" s="138">
        <f t="shared" ca="1" si="115"/>
        <v>0</v>
      </c>
      <c r="AC108" s="138">
        <f t="shared" ca="1" si="115"/>
        <v>0</v>
      </c>
      <c r="AD108" s="138">
        <f t="shared" ca="1" si="115"/>
        <v>0</v>
      </c>
      <c r="AE108" s="138">
        <f t="shared" ca="1" si="115"/>
        <v>0</v>
      </c>
      <c r="AF108" s="138">
        <f t="shared" ca="1" si="115"/>
        <v>0</v>
      </c>
      <c r="AG108" s="138">
        <f t="shared" ca="1" si="115"/>
        <v>0</v>
      </c>
      <c r="AH108" s="138">
        <f t="shared" ca="1" si="115"/>
        <v>0</v>
      </c>
      <c r="AI108" s="138">
        <f t="shared" ca="1" si="115"/>
        <v>0</v>
      </c>
      <c r="AJ108" s="138">
        <f t="shared" ca="1" si="115"/>
        <v>0</v>
      </c>
      <c r="AK108" s="138">
        <f t="shared" ca="1" si="115"/>
        <v>0</v>
      </c>
      <c r="AL108" s="138">
        <f t="shared" ca="1" si="115"/>
        <v>0</v>
      </c>
      <c r="AM108" s="138">
        <f t="shared" ca="1" si="115"/>
        <v>0</v>
      </c>
      <c r="AN108" s="138">
        <f t="shared" ca="1" si="116"/>
        <v>0</v>
      </c>
      <c r="AO108" s="138">
        <f t="shared" ca="1" si="116"/>
        <v>0</v>
      </c>
      <c r="AP108" s="138">
        <f t="shared" ca="1" si="116"/>
        <v>0</v>
      </c>
      <c r="AQ108" s="138">
        <f t="shared" ca="1" si="116"/>
        <v>0</v>
      </c>
      <c r="AR108" s="138">
        <f t="shared" ca="1" si="116"/>
        <v>0</v>
      </c>
      <c r="AS108" s="138">
        <f t="shared" ca="1" si="116"/>
        <v>0</v>
      </c>
      <c r="AT108" s="138">
        <f t="shared" ca="1" si="116"/>
        <v>0</v>
      </c>
      <c r="AU108" s="138">
        <f t="shared" ca="1" si="116"/>
        <v>0</v>
      </c>
      <c r="AV108" s="138">
        <f t="shared" ca="1" si="116"/>
        <v>0</v>
      </c>
      <c r="AW108" s="138">
        <f t="shared" ca="1" si="116"/>
        <v>0</v>
      </c>
      <c r="AX108" s="138">
        <f t="shared" ca="1" si="116"/>
        <v>0</v>
      </c>
      <c r="AY108" s="138">
        <f t="shared" ca="1" si="116"/>
        <v>0</v>
      </c>
      <c r="AZ108" s="138">
        <f t="shared" ca="1" si="116"/>
        <v>0</v>
      </c>
      <c r="BA108" s="138">
        <f t="shared" ca="1" si="116"/>
        <v>0</v>
      </c>
      <c r="BB108" s="138">
        <f t="shared" ca="1" si="116"/>
        <v>0</v>
      </c>
      <c r="BC108" s="138">
        <f t="shared" ca="1" si="116"/>
        <v>0</v>
      </c>
      <c r="BD108" s="138">
        <f t="shared" ca="1" si="117"/>
        <v>0</v>
      </c>
      <c r="BE108" s="138">
        <f t="shared" ca="1" si="117"/>
        <v>0</v>
      </c>
      <c r="BF108" s="138">
        <f t="shared" ca="1" si="117"/>
        <v>0</v>
      </c>
      <c r="BG108" s="138">
        <f t="shared" ca="1" si="117"/>
        <v>0</v>
      </c>
      <c r="BH108" s="138">
        <f t="shared" ca="1" si="117"/>
        <v>0</v>
      </c>
      <c r="BI108" s="138">
        <f t="shared" ca="1" si="117"/>
        <v>0</v>
      </c>
      <c r="BJ108" s="138">
        <f t="shared" ca="1" si="117"/>
        <v>0</v>
      </c>
      <c r="BK108" s="138">
        <f t="shared" ca="1" si="117"/>
        <v>0</v>
      </c>
      <c r="BL108" s="138">
        <f t="shared" ca="1" si="117"/>
        <v>0</v>
      </c>
      <c r="BM108" s="138">
        <f t="shared" ca="1" si="117"/>
        <v>0</v>
      </c>
      <c r="BN108" s="138">
        <f t="shared" ca="1" si="117"/>
        <v>0</v>
      </c>
      <c r="BO108" s="138">
        <f t="shared" ca="1" si="117"/>
        <v>0</v>
      </c>
      <c r="BP108" s="138">
        <f t="shared" ca="1" si="117"/>
        <v>0</v>
      </c>
      <c r="BQ108" s="138">
        <f t="shared" ca="1" si="117"/>
        <v>0</v>
      </c>
      <c r="BR108" s="138">
        <f t="shared" ca="1" si="117"/>
        <v>0</v>
      </c>
      <c r="BS108" s="138">
        <f t="shared" ca="1" si="117"/>
        <v>0</v>
      </c>
      <c r="BT108" s="138">
        <f t="shared" ca="1" si="118"/>
        <v>0</v>
      </c>
      <c r="BU108" s="138">
        <f t="shared" ca="1" si="118"/>
        <v>0</v>
      </c>
      <c r="BV108" s="138">
        <f t="shared" ca="1" si="118"/>
        <v>0</v>
      </c>
      <c r="BW108" s="138">
        <f t="shared" ca="1" si="118"/>
        <v>0</v>
      </c>
      <c r="BX108" s="138">
        <f t="shared" ca="1" si="118"/>
        <v>0</v>
      </c>
      <c r="BY108" s="138">
        <f t="shared" ca="1" si="118"/>
        <v>0</v>
      </c>
      <c r="BZ108" s="138">
        <f t="shared" ca="1" si="118"/>
        <v>0</v>
      </c>
      <c r="CA108" s="138">
        <f t="shared" ca="1" si="118"/>
        <v>0</v>
      </c>
      <c r="CB108" s="138">
        <f t="shared" ca="1" si="118"/>
        <v>0</v>
      </c>
      <c r="CC108" s="138">
        <f t="shared" ca="1" si="118"/>
        <v>0</v>
      </c>
      <c r="CD108" s="138">
        <f t="shared" ca="1" si="118"/>
        <v>0</v>
      </c>
      <c r="CE108" s="138">
        <f t="shared" ca="1" si="118"/>
        <v>0</v>
      </c>
      <c r="CF108" s="138">
        <f t="shared" ca="1" si="118"/>
        <v>0</v>
      </c>
      <c r="CG108" s="138">
        <f t="shared" ca="1" si="118"/>
        <v>0</v>
      </c>
      <c r="CH108" s="138">
        <f t="shared" ca="1" si="118"/>
        <v>0</v>
      </c>
      <c r="CI108" s="138">
        <f t="shared" ca="1" si="118"/>
        <v>0</v>
      </c>
      <c r="CJ108" s="138">
        <f t="shared" ca="1" si="119"/>
        <v>0</v>
      </c>
      <c r="CK108" s="138">
        <f t="shared" ca="1" si="119"/>
        <v>0</v>
      </c>
      <c r="CL108" s="138">
        <f t="shared" ca="1" si="119"/>
        <v>0</v>
      </c>
      <c r="CM108" s="138">
        <f t="shared" ca="1" si="119"/>
        <v>0</v>
      </c>
      <c r="CN108" s="138">
        <f t="shared" ca="1" si="119"/>
        <v>0</v>
      </c>
      <c r="CO108" s="138">
        <f t="shared" ca="1" si="119"/>
        <v>0</v>
      </c>
      <c r="CP108" s="138">
        <f t="shared" ca="1" si="119"/>
        <v>0</v>
      </c>
      <c r="CQ108" s="138">
        <f t="shared" ca="1" si="119"/>
        <v>0</v>
      </c>
      <c r="CR108" s="138">
        <f t="shared" ca="1" si="119"/>
        <v>0</v>
      </c>
      <c r="CS108" s="138">
        <f t="shared" ca="1" si="119"/>
        <v>0</v>
      </c>
      <c r="CT108" s="138">
        <f t="shared" ca="1" si="120"/>
        <v>0</v>
      </c>
      <c r="CU108" s="138">
        <f t="shared" ca="1" si="120"/>
        <v>0</v>
      </c>
      <c r="CV108" s="138">
        <f t="shared" ca="1" si="120"/>
        <v>0</v>
      </c>
      <c r="CW108" s="138">
        <f t="shared" ca="1" si="120"/>
        <v>0</v>
      </c>
      <c r="CX108" s="138">
        <f t="shared" ca="1" si="120"/>
        <v>0</v>
      </c>
      <c r="CY108" s="138">
        <f t="shared" ca="1" si="120"/>
        <v>0</v>
      </c>
      <c r="CZ108" s="138">
        <f t="shared" ca="1" si="120"/>
        <v>0</v>
      </c>
      <c r="DA108" s="138">
        <f t="shared" ca="1" si="120"/>
        <v>0</v>
      </c>
      <c r="DB108" s="138">
        <f t="shared" ca="1" si="120"/>
        <v>0</v>
      </c>
      <c r="DC108" s="138">
        <f t="shared" ca="1" si="120"/>
        <v>0</v>
      </c>
      <c r="DE108" s="254" t="str">
        <f t="shared" ca="1" si="87"/>
        <v>H.8.</v>
      </c>
      <c r="DF108">
        <f t="shared" ca="1" si="121"/>
        <v>1</v>
      </c>
      <c r="DG108">
        <f t="shared" ca="1" si="122"/>
        <v>0</v>
      </c>
    </row>
    <row r="109" spans="1:111" hidden="1">
      <c r="A109" s="124">
        <v>97</v>
      </c>
      <c r="B109" s="205" t="str">
        <f t="shared" ca="1" si="84"/>
        <v>H.9.</v>
      </c>
      <c r="C109" s="129" t="str">
        <f t="shared" ca="1" si="85"/>
        <v>Veiklos pajamos 4 (privataus ir NVO sektoriaus)</v>
      </c>
      <c r="D109" s="114"/>
      <c r="E109" s="148" t="str">
        <f t="shared" ca="1" si="86"/>
        <v/>
      </c>
      <c r="F109" s="139">
        <f ca="1">H109+NPV(FD,I109:INDEX(I109:DC109,PAL))</f>
        <v>0</v>
      </c>
      <c r="G109" s="140">
        <f ca="1">SUMIF($H$5:$DC$5,"&lt;="&amp;PAL,$H109:$DC109)</f>
        <v>0</v>
      </c>
      <c r="H109" s="138">
        <f t="shared" ca="1" si="114"/>
        <v>0</v>
      </c>
      <c r="I109" s="138">
        <f t="shared" ca="1" si="114"/>
        <v>0</v>
      </c>
      <c r="J109" s="138">
        <f t="shared" ca="1" si="114"/>
        <v>0</v>
      </c>
      <c r="K109" s="138">
        <f t="shared" ca="1" si="114"/>
        <v>0</v>
      </c>
      <c r="L109" s="138">
        <f t="shared" ca="1" si="114"/>
        <v>0</v>
      </c>
      <c r="M109" s="138">
        <f t="shared" ca="1" si="114"/>
        <v>0</v>
      </c>
      <c r="N109" s="138">
        <f t="shared" ca="1" si="114"/>
        <v>0</v>
      </c>
      <c r="O109" s="138">
        <f t="shared" ca="1" si="114"/>
        <v>0</v>
      </c>
      <c r="P109" s="138">
        <f t="shared" ca="1" si="114"/>
        <v>0</v>
      </c>
      <c r="Q109" s="138">
        <f t="shared" ca="1" si="114"/>
        <v>0</v>
      </c>
      <c r="R109" s="138">
        <f t="shared" ca="1" si="114"/>
        <v>0</v>
      </c>
      <c r="S109" s="138">
        <f t="shared" ca="1" si="114"/>
        <v>0</v>
      </c>
      <c r="T109" s="138">
        <f t="shared" ca="1" si="114"/>
        <v>0</v>
      </c>
      <c r="U109" s="138">
        <f t="shared" ca="1" si="114"/>
        <v>0</v>
      </c>
      <c r="V109" s="138">
        <f t="shared" ca="1" si="114"/>
        <v>0</v>
      </c>
      <c r="W109" s="138">
        <f t="shared" ca="1" si="114"/>
        <v>0</v>
      </c>
      <c r="X109" s="138">
        <f t="shared" ca="1" si="115"/>
        <v>0</v>
      </c>
      <c r="Y109" s="138">
        <f t="shared" ca="1" si="115"/>
        <v>0</v>
      </c>
      <c r="Z109" s="138">
        <f t="shared" ca="1" si="115"/>
        <v>0</v>
      </c>
      <c r="AA109" s="138">
        <f t="shared" ca="1" si="115"/>
        <v>0</v>
      </c>
      <c r="AB109" s="138">
        <f t="shared" ca="1" si="115"/>
        <v>0</v>
      </c>
      <c r="AC109" s="138">
        <f t="shared" ca="1" si="115"/>
        <v>0</v>
      </c>
      <c r="AD109" s="138">
        <f t="shared" ca="1" si="115"/>
        <v>0</v>
      </c>
      <c r="AE109" s="138">
        <f t="shared" ca="1" si="115"/>
        <v>0</v>
      </c>
      <c r="AF109" s="138">
        <f t="shared" ca="1" si="115"/>
        <v>0</v>
      </c>
      <c r="AG109" s="138">
        <f t="shared" ca="1" si="115"/>
        <v>0</v>
      </c>
      <c r="AH109" s="138">
        <f t="shared" ca="1" si="115"/>
        <v>0</v>
      </c>
      <c r="AI109" s="138">
        <f t="shared" ca="1" si="115"/>
        <v>0</v>
      </c>
      <c r="AJ109" s="138">
        <f t="shared" ca="1" si="115"/>
        <v>0</v>
      </c>
      <c r="AK109" s="138">
        <f t="shared" ca="1" si="115"/>
        <v>0</v>
      </c>
      <c r="AL109" s="138">
        <f t="shared" ca="1" si="115"/>
        <v>0</v>
      </c>
      <c r="AM109" s="138">
        <f t="shared" ca="1" si="115"/>
        <v>0</v>
      </c>
      <c r="AN109" s="138">
        <f t="shared" ca="1" si="116"/>
        <v>0</v>
      </c>
      <c r="AO109" s="138">
        <f t="shared" ca="1" si="116"/>
        <v>0</v>
      </c>
      <c r="AP109" s="138">
        <f t="shared" ca="1" si="116"/>
        <v>0</v>
      </c>
      <c r="AQ109" s="138">
        <f t="shared" ca="1" si="116"/>
        <v>0</v>
      </c>
      <c r="AR109" s="138">
        <f t="shared" ca="1" si="116"/>
        <v>0</v>
      </c>
      <c r="AS109" s="138">
        <f t="shared" ca="1" si="116"/>
        <v>0</v>
      </c>
      <c r="AT109" s="138">
        <f t="shared" ca="1" si="116"/>
        <v>0</v>
      </c>
      <c r="AU109" s="138">
        <f t="shared" ca="1" si="116"/>
        <v>0</v>
      </c>
      <c r="AV109" s="138">
        <f t="shared" ca="1" si="116"/>
        <v>0</v>
      </c>
      <c r="AW109" s="138">
        <f t="shared" ca="1" si="116"/>
        <v>0</v>
      </c>
      <c r="AX109" s="138">
        <f t="shared" ca="1" si="116"/>
        <v>0</v>
      </c>
      <c r="AY109" s="138">
        <f t="shared" ca="1" si="116"/>
        <v>0</v>
      </c>
      <c r="AZ109" s="138">
        <f t="shared" ca="1" si="116"/>
        <v>0</v>
      </c>
      <c r="BA109" s="138">
        <f t="shared" ca="1" si="116"/>
        <v>0</v>
      </c>
      <c r="BB109" s="138">
        <f t="shared" ca="1" si="116"/>
        <v>0</v>
      </c>
      <c r="BC109" s="138">
        <f t="shared" ca="1" si="116"/>
        <v>0</v>
      </c>
      <c r="BD109" s="138">
        <f t="shared" ca="1" si="117"/>
        <v>0</v>
      </c>
      <c r="BE109" s="138">
        <f t="shared" ca="1" si="117"/>
        <v>0</v>
      </c>
      <c r="BF109" s="138">
        <f t="shared" ca="1" si="117"/>
        <v>0</v>
      </c>
      <c r="BG109" s="138">
        <f t="shared" ca="1" si="117"/>
        <v>0</v>
      </c>
      <c r="BH109" s="138">
        <f t="shared" ca="1" si="117"/>
        <v>0</v>
      </c>
      <c r="BI109" s="138">
        <f t="shared" ca="1" si="117"/>
        <v>0</v>
      </c>
      <c r="BJ109" s="138">
        <f t="shared" ca="1" si="117"/>
        <v>0</v>
      </c>
      <c r="BK109" s="138">
        <f t="shared" ca="1" si="117"/>
        <v>0</v>
      </c>
      <c r="BL109" s="138">
        <f t="shared" ca="1" si="117"/>
        <v>0</v>
      </c>
      <c r="BM109" s="138">
        <f t="shared" ca="1" si="117"/>
        <v>0</v>
      </c>
      <c r="BN109" s="138">
        <f t="shared" ca="1" si="117"/>
        <v>0</v>
      </c>
      <c r="BO109" s="138">
        <f t="shared" ca="1" si="117"/>
        <v>0</v>
      </c>
      <c r="BP109" s="138">
        <f t="shared" ca="1" si="117"/>
        <v>0</v>
      </c>
      <c r="BQ109" s="138">
        <f t="shared" ca="1" si="117"/>
        <v>0</v>
      </c>
      <c r="BR109" s="138">
        <f t="shared" ca="1" si="117"/>
        <v>0</v>
      </c>
      <c r="BS109" s="138">
        <f t="shared" ca="1" si="117"/>
        <v>0</v>
      </c>
      <c r="BT109" s="138">
        <f t="shared" ca="1" si="118"/>
        <v>0</v>
      </c>
      <c r="BU109" s="138">
        <f t="shared" ca="1" si="118"/>
        <v>0</v>
      </c>
      <c r="BV109" s="138">
        <f t="shared" ca="1" si="118"/>
        <v>0</v>
      </c>
      <c r="BW109" s="138">
        <f t="shared" ca="1" si="118"/>
        <v>0</v>
      </c>
      <c r="BX109" s="138">
        <f t="shared" ca="1" si="118"/>
        <v>0</v>
      </c>
      <c r="BY109" s="138">
        <f t="shared" ca="1" si="118"/>
        <v>0</v>
      </c>
      <c r="BZ109" s="138">
        <f t="shared" ca="1" si="118"/>
        <v>0</v>
      </c>
      <c r="CA109" s="138">
        <f t="shared" ca="1" si="118"/>
        <v>0</v>
      </c>
      <c r="CB109" s="138">
        <f t="shared" ca="1" si="118"/>
        <v>0</v>
      </c>
      <c r="CC109" s="138">
        <f t="shared" ca="1" si="118"/>
        <v>0</v>
      </c>
      <c r="CD109" s="138">
        <f t="shared" ca="1" si="118"/>
        <v>0</v>
      </c>
      <c r="CE109" s="138">
        <f t="shared" ca="1" si="118"/>
        <v>0</v>
      </c>
      <c r="CF109" s="138">
        <f t="shared" ca="1" si="118"/>
        <v>0</v>
      </c>
      <c r="CG109" s="138">
        <f t="shared" ca="1" si="118"/>
        <v>0</v>
      </c>
      <c r="CH109" s="138">
        <f t="shared" ca="1" si="118"/>
        <v>0</v>
      </c>
      <c r="CI109" s="138">
        <f t="shared" ca="1" si="118"/>
        <v>0</v>
      </c>
      <c r="CJ109" s="138">
        <f t="shared" ca="1" si="119"/>
        <v>0</v>
      </c>
      <c r="CK109" s="138">
        <f t="shared" ca="1" si="119"/>
        <v>0</v>
      </c>
      <c r="CL109" s="138">
        <f t="shared" ca="1" si="119"/>
        <v>0</v>
      </c>
      <c r="CM109" s="138">
        <f t="shared" ca="1" si="119"/>
        <v>0</v>
      </c>
      <c r="CN109" s="138">
        <f t="shared" ca="1" si="119"/>
        <v>0</v>
      </c>
      <c r="CO109" s="138">
        <f t="shared" ca="1" si="119"/>
        <v>0</v>
      </c>
      <c r="CP109" s="138">
        <f t="shared" ca="1" si="119"/>
        <v>0</v>
      </c>
      <c r="CQ109" s="138">
        <f t="shared" ca="1" si="119"/>
        <v>0</v>
      </c>
      <c r="CR109" s="138">
        <f t="shared" ca="1" si="119"/>
        <v>0</v>
      </c>
      <c r="CS109" s="138">
        <f t="shared" ca="1" si="119"/>
        <v>0</v>
      </c>
      <c r="CT109" s="138">
        <f t="shared" ca="1" si="120"/>
        <v>0</v>
      </c>
      <c r="CU109" s="138">
        <f t="shared" ca="1" si="120"/>
        <v>0</v>
      </c>
      <c r="CV109" s="138">
        <f t="shared" ca="1" si="120"/>
        <v>0</v>
      </c>
      <c r="CW109" s="138">
        <f t="shared" ca="1" si="120"/>
        <v>0</v>
      </c>
      <c r="CX109" s="138">
        <f t="shared" ca="1" si="120"/>
        <v>0</v>
      </c>
      <c r="CY109" s="138">
        <f t="shared" ca="1" si="120"/>
        <v>0</v>
      </c>
      <c r="CZ109" s="138">
        <f t="shared" ca="1" si="120"/>
        <v>0</v>
      </c>
      <c r="DA109" s="138">
        <f t="shared" ca="1" si="120"/>
        <v>0</v>
      </c>
      <c r="DB109" s="138">
        <f t="shared" ca="1" si="120"/>
        <v>0</v>
      </c>
      <c r="DC109" s="138">
        <f t="shared" ca="1" si="120"/>
        <v>0</v>
      </c>
      <c r="DE109" s="254" t="str">
        <f t="shared" ca="1" si="87"/>
        <v>H.9.</v>
      </c>
      <c r="DF109">
        <f t="shared" ca="1" si="121"/>
        <v>1</v>
      </c>
      <c r="DG109">
        <f t="shared" ca="1" si="122"/>
        <v>0</v>
      </c>
    </row>
    <row r="110" spans="1:111" hidden="1">
      <c r="A110" s="124">
        <v>98</v>
      </c>
      <c r="B110" s="205" t="str">
        <f t="shared" ca="1" si="84"/>
        <v>H.10.</v>
      </c>
      <c r="C110" s="129" t="str">
        <f t="shared" ca="1" si="85"/>
        <v>Veiklos pajamos 5 (privataus ir NVO sektoriaus)</v>
      </c>
      <c r="D110" s="114"/>
      <c r="E110" s="148" t="str">
        <f t="shared" ca="1" si="86"/>
        <v/>
      </c>
      <c r="F110" s="139">
        <f ca="1">H110+NPV(FD,I110:INDEX(I110:DC110,PAL))</f>
        <v>0</v>
      </c>
      <c r="G110" s="140">
        <f ca="1">SUMIF($H$5:$DC$5,"&lt;="&amp;PAL,$H110:$DC110)</f>
        <v>0</v>
      </c>
      <c r="H110" s="138">
        <f t="shared" ca="1" si="114"/>
        <v>0</v>
      </c>
      <c r="I110" s="138">
        <f t="shared" ca="1" si="114"/>
        <v>0</v>
      </c>
      <c r="J110" s="138">
        <f t="shared" ca="1" si="114"/>
        <v>0</v>
      </c>
      <c r="K110" s="138">
        <f t="shared" ca="1" si="114"/>
        <v>0</v>
      </c>
      <c r="L110" s="138">
        <f t="shared" ca="1" si="114"/>
        <v>0</v>
      </c>
      <c r="M110" s="138">
        <f t="shared" ca="1" si="114"/>
        <v>0</v>
      </c>
      <c r="N110" s="138">
        <f t="shared" ca="1" si="114"/>
        <v>0</v>
      </c>
      <c r="O110" s="138">
        <f t="shared" ca="1" si="114"/>
        <v>0</v>
      </c>
      <c r="P110" s="138">
        <f t="shared" ca="1" si="114"/>
        <v>0</v>
      </c>
      <c r="Q110" s="138">
        <f t="shared" ca="1" si="114"/>
        <v>0</v>
      </c>
      <c r="R110" s="138">
        <f t="shared" ca="1" si="114"/>
        <v>0</v>
      </c>
      <c r="S110" s="138">
        <f t="shared" ca="1" si="114"/>
        <v>0</v>
      </c>
      <c r="T110" s="138">
        <f t="shared" ca="1" si="114"/>
        <v>0</v>
      </c>
      <c r="U110" s="138">
        <f t="shared" ca="1" si="114"/>
        <v>0</v>
      </c>
      <c r="V110" s="138">
        <f t="shared" ca="1" si="114"/>
        <v>0</v>
      </c>
      <c r="W110" s="138">
        <f t="shared" ca="1" si="114"/>
        <v>0</v>
      </c>
      <c r="X110" s="138">
        <f t="shared" ca="1" si="115"/>
        <v>0</v>
      </c>
      <c r="Y110" s="138">
        <f t="shared" ca="1" si="115"/>
        <v>0</v>
      </c>
      <c r="Z110" s="138">
        <f t="shared" ca="1" si="115"/>
        <v>0</v>
      </c>
      <c r="AA110" s="138">
        <f t="shared" ca="1" si="115"/>
        <v>0</v>
      </c>
      <c r="AB110" s="138">
        <f t="shared" ca="1" si="115"/>
        <v>0</v>
      </c>
      <c r="AC110" s="138">
        <f t="shared" ca="1" si="115"/>
        <v>0</v>
      </c>
      <c r="AD110" s="138">
        <f t="shared" ca="1" si="115"/>
        <v>0</v>
      </c>
      <c r="AE110" s="138">
        <f t="shared" ca="1" si="115"/>
        <v>0</v>
      </c>
      <c r="AF110" s="138">
        <f t="shared" ca="1" si="115"/>
        <v>0</v>
      </c>
      <c r="AG110" s="138">
        <f t="shared" ca="1" si="115"/>
        <v>0</v>
      </c>
      <c r="AH110" s="138">
        <f t="shared" ca="1" si="115"/>
        <v>0</v>
      </c>
      <c r="AI110" s="138">
        <f t="shared" ca="1" si="115"/>
        <v>0</v>
      </c>
      <c r="AJ110" s="138">
        <f t="shared" ca="1" si="115"/>
        <v>0</v>
      </c>
      <c r="AK110" s="138">
        <f t="shared" ca="1" si="115"/>
        <v>0</v>
      </c>
      <c r="AL110" s="138">
        <f t="shared" ca="1" si="115"/>
        <v>0</v>
      </c>
      <c r="AM110" s="138">
        <f t="shared" ca="1" si="115"/>
        <v>0</v>
      </c>
      <c r="AN110" s="138">
        <f t="shared" ca="1" si="116"/>
        <v>0</v>
      </c>
      <c r="AO110" s="138">
        <f t="shared" ca="1" si="116"/>
        <v>0</v>
      </c>
      <c r="AP110" s="138">
        <f t="shared" ca="1" si="116"/>
        <v>0</v>
      </c>
      <c r="AQ110" s="138">
        <f t="shared" ca="1" si="116"/>
        <v>0</v>
      </c>
      <c r="AR110" s="138">
        <f t="shared" ca="1" si="116"/>
        <v>0</v>
      </c>
      <c r="AS110" s="138">
        <f t="shared" ca="1" si="116"/>
        <v>0</v>
      </c>
      <c r="AT110" s="138">
        <f t="shared" ca="1" si="116"/>
        <v>0</v>
      </c>
      <c r="AU110" s="138">
        <f t="shared" ca="1" si="116"/>
        <v>0</v>
      </c>
      <c r="AV110" s="138">
        <f t="shared" ca="1" si="116"/>
        <v>0</v>
      </c>
      <c r="AW110" s="138">
        <f t="shared" ca="1" si="116"/>
        <v>0</v>
      </c>
      <c r="AX110" s="138">
        <f t="shared" ca="1" si="116"/>
        <v>0</v>
      </c>
      <c r="AY110" s="138">
        <f t="shared" ca="1" si="116"/>
        <v>0</v>
      </c>
      <c r="AZ110" s="138">
        <f t="shared" ca="1" si="116"/>
        <v>0</v>
      </c>
      <c r="BA110" s="138">
        <f t="shared" ca="1" si="116"/>
        <v>0</v>
      </c>
      <c r="BB110" s="138">
        <f t="shared" ca="1" si="116"/>
        <v>0</v>
      </c>
      <c r="BC110" s="138">
        <f t="shared" ca="1" si="116"/>
        <v>0</v>
      </c>
      <c r="BD110" s="138">
        <f t="shared" ca="1" si="117"/>
        <v>0</v>
      </c>
      <c r="BE110" s="138">
        <f t="shared" ca="1" si="117"/>
        <v>0</v>
      </c>
      <c r="BF110" s="138">
        <f t="shared" ca="1" si="117"/>
        <v>0</v>
      </c>
      <c r="BG110" s="138">
        <f t="shared" ca="1" si="117"/>
        <v>0</v>
      </c>
      <c r="BH110" s="138">
        <f t="shared" ca="1" si="117"/>
        <v>0</v>
      </c>
      <c r="BI110" s="138">
        <f t="shared" ca="1" si="117"/>
        <v>0</v>
      </c>
      <c r="BJ110" s="138">
        <f t="shared" ca="1" si="117"/>
        <v>0</v>
      </c>
      <c r="BK110" s="138">
        <f t="shared" ca="1" si="117"/>
        <v>0</v>
      </c>
      <c r="BL110" s="138">
        <f t="shared" ca="1" si="117"/>
        <v>0</v>
      </c>
      <c r="BM110" s="138">
        <f t="shared" ca="1" si="117"/>
        <v>0</v>
      </c>
      <c r="BN110" s="138">
        <f t="shared" ca="1" si="117"/>
        <v>0</v>
      </c>
      <c r="BO110" s="138">
        <f t="shared" ca="1" si="117"/>
        <v>0</v>
      </c>
      <c r="BP110" s="138">
        <f t="shared" ca="1" si="117"/>
        <v>0</v>
      </c>
      <c r="BQ110" s="138">
        <f t="shared" ca="1" si="117"/>
        <v>0</v>
      </c>
      <c r="BR110" s="138">
        <f t="shared" ca="1" si="117"/>
        <v>0</v>
      </c>
      <c r="BS110" s="138">
        <f t="shared" ca="1" si="117"/>
        <v>0</v>
      </c>
      <c r="BT110" s="138">
        <f t="shared" ca="1" si="118"/>
        <v>0</v>
      </c>
      <c r="BU110" s="138">
        <f t="shared" ca="1" si="118"/>
        <v>0</v>
      </c>
      <c r="BV110" s="138">
        <f t="shared" ca="1" si="118"/>
        <v>0</v>
      </c>
      <c r="BW110" s="138">
        <f t="shared" ca="1" si="118"/>
        <v>0</v>
      </c>
      <c r="BX110" s="138">
        <f t="shared" ca="1" si="118"/>
        <v>0</v>
      </c>
      <c r="BY110" s="138">
        <f t="shared" ca="1" si="118"/>
        <v>0</v>
      </c>
      <c r="BZ110" s="138">
        <f t="shared" ca="1" si="118"/>
        <v>0</v>
      </c>
      <c r="CA110" s="138">
        <f t="shared" ca="1" si="118"/>
        <v>0</v>
      </c>
      <c r="CB110" s="138">
        <f t="shared" ca="1" si="118"/>
        <v>0</v>
      </c>
      <c r="CC110" s="138">
        <f t="shared" ca="1" si="118"/>
        <v>0</v>
      </c>
      <c r="CD110" s="138">
        <f t="shared" ca="1" si="118"/>
        <v>0</v>
      </c>
      <c r="CE110" s="138">
        <f t="shared" ca="1" si="118"/>
        <v>0</v>
      </c>
      <c r="CF110" s="138">
        <f t="shared" ca="1" si="118"/>
        <v>0</v>
      </c>
      <c r="CG110" s="138">
        <f t="shared" ca="1" si="118"/>
        <v>0</v>
      </c>
      <c r="CH110" s="138">
        <f t="shared" ca="1" si="118"/>
        <v>0</v>
      </c>
      <c r="CI110" s="138">
        <f t="shared" ca="1" si="118"/>
        <v>0</v>
      </c>
      <c r="CJ110" s="138">
        <f t="shared" ca="1" si="119"/>
        <v>0</v>
      </c>
      <c r="CK110" s="138">
        <f t="shared" ca="1" si="119"/>
        <v>0</v>
      </c>
      <c r="CL110" s="138">
        <f t="shared" ca="1" si="119"/>
        <v>0</v>
      </c>
      <c r="CM110" s="138">
        <f t="shared" ca="1" si="119"/>
        <v>0</v>
      </c>
      <c r="CN110" s="138">
        <f t="shared" ca="1" si="119"/>
        <v>0</v>
      </c>
      <c r="CO110" s="138">
        <f t="shared" ca="1" si="119"/>
        <v>0</v>
      </c>
      <c r="CP110" s="138">
        <f t="shared" ca="1" si="119"/>
        <v>0</v>
      </c>
      <c r="CQ110" s="138">
        <f t="shared" ca="1" si="119"/>
        <v>0</v>
      </c>
      <c r="CR110" s="138">
        <f t="shared" ca="1" si="119"/>
        <v>0</v>
      </c>
      <c r="CS110" s="138">
        <f t="shared" ca="1" si="119"/>
        <v>0</v>
      </c>
      <c r="CT110" s="138">
        <f t="shared" ca="1" si="120"/>
        <v>0</v>
      </c>
      <c r="CU110" s="138">
        <f t="shared" ca="1" si="120"/>
        <v>0</v>
      </c>
      <c r="CV110" s="138">
        <f t="shared" ca="1" si="120"/>
        <v>0</v>
      </c>
      <c r="CW110" s="138">
        <f t="shared" ca="1" si="120"/>
        <v>0</v>
      </c>
      <c r="CX110" s="138">
        <f t="shared" ca="1" si="120"/>
        <v>0</v>
      </c>
      <c r="CY110" s="138">
        <f t="shared" ca="1" si="120"/>
        <v>0</v>
      </c>
      <c r="CZ110" s="138">
        <f t="shared" ca="1" si="120"/>
        <v>0</v>
      </c>
      <c r="DA110" s="138">
        <f t="shared" ca="1" si="120"/>
        <v>0</v>
      </c>
      <c r="DB110" s="138">
        <f t="shared" ca="1" si="120"/>
        <v>0</v>
      </c>
      <c r="DC110" s="138">
        <f t="shared" ca="1" si="120"/>
        <v>0</v>
      </c>
      <c r="DE110" s="254" t="str">
        <f t="shared" ca="1" si="87"/>
        <v>H.10.</v>
      </c>
      <c r="DF110">
        <f t="shared" ca="1" si="121"/>
        <v>1</v>
      </c>
      <c r="DG110">
        <f t="shared" ca="1" si="122"/>
        <v>0</v>
      </c>
    </row>
    <row r="111" spans="1:111" hidden="1">
      <c r="A111" s="124">
        <v>99</v>
      </c>
      <c r="B111" s="205" t="str">
        <f t="shared" ca="1" si="84"/>
        <v>I.</v>
      </c>
      <c r="C111" s="197" t="str">
        <f t="shared" ca="1" si="85"/>
        <v>MOKESTINĖS PAJAMOS</v>
      </c>
      <c r="D111" s="132"/>
      <c r="E111" s="148" t="str">
        <f t="shared" ca="1" si="86"/>
        <v/>
      </c>
      <c r="F111" s="139">
        <f ca="1">H111+NPV(FD,I111:INDEX(I111:DC111,PAL))</f>
        <v>0</v>
      </c>
      <c r="G111" s="140">
        <f ca="1">SUMIF($H$5:$DC$5,"&lt;="&amp;PAL,$H111:$DC111)</f>
        <v>0</v>
      </c>
      <c r="H111" s="138">
        <f t="shared" ca="1" si="114"/>
        <v>0</v>
      </c>
      <c r="I111" s="138">
        <f t="shared" ca="1" si="114"/>
        <v>0</v>
      </c>
      <c r="J111" s="138">
        <f t="shared" ca="1" si="114"/>
        <v>0</v>
      </c>
      <c r="K111" s="138">
        <f t="shared" ca="1" si="114"/>
        <v>0</v>
      </c>
      <c r="L111" s="138">
        <f t="shared" ca="1" si="114"/>
        <v>0</v>
      </c>
      <c r="M111" s="138">
        <f t="shared" ca="1" si="114"/>
        <v>0</v>
      </c>
      <c r="N111" s="138">
        <f t="shared" ca="1" si="114"/>
        <v>0</v>
      </c>
      <c r="O111" s="138">
        <f t="shared" ca="1" si="114"/>
        <v>0</v>
      </c>
      <c r="P111" s="138">
        <f t="shared" ca="1" si="114"/>
        <v>0</v>
      </c>
      <c r="Q111" s="138">
        <f t="shared" ca="1" si="114"/>
        <v>0</v>
      </c>
      <c r="R111" s="138">
        <f t="shared" ca="1" si="114"/>
        <v>0</v>
      </c>
      <c r="S111" s="138">
        <f t="shared" ca="1" si="114"/>
        <v>0</v>
      </c>
      <c r="T111" s="138">
        <f t="shared" ca="1" si="114"/>
        <v>0</v>
      </c>
      <c r="U111" s="138">
        <f t="shared" ca="1" si="114"/>
        <v>0</v>
      </c>
      <c r="V111" s="138">
        <f t="shared" ca="1" si="114"/>
        <v>0</v>
      </c>
      <c r="W111" s="138">
        <f t="shared" ca="1" si="114"/>
        <v>0</v>
      </c>
      <c r="X111" s="138">
        <f t="shared" ca="1" si="115"/>
        <v>0</v>
      </c>
      <c r="Y111" s="138">
        <f t="shared" ca="1" si="115"/>
        <v>0</v>
      </c>
      <c r="Z111" s="138">
        <f t="shared" ca="1" si="115"/>
        <v>0</v>
      </c>
      <c r="AA111" s="138">
        <f t="shared" ca="1" si="115"/>
        <v>0</v>
      </c>
      <c r="AB111" s="138">
        <f t="shared" ca="1" si="115"/>
        <v>0</v>
      </c>
      <c r="AC111" s="138">
        <f t="shared" ca="1" si="115"/>
        <v>0</v>
      </c>
      <c r="AD111" s="138">
        <f t="shared" ca="1" si="115"/>
        <v>0</v>
      </c>
      <c r="AE111" s="138">
        <f t="shared" ca="1" si="115"/>
        <v>0</v>
      </c>
      <c r="AF111" s="138">
        <f t="shared" ca="1" si="115"/>
        <v>0</v>
      </c>
      <c r="AG111" s="138">
        <f t="shared" ca="1" si="115"/>
        <v>0</v>
      </c>
      <c r="AH111" s="138">
        <f t="shared" ca="1" si="115"/>
        <v>0</v>
      </c>
      <c r="AI111" s="138">
        <f t="shared" ca="1" si="115"/>
        <v>0</v>
      </c>
      <c r="AJ111" s="138">
        <f t="shared" ca="1" si="115"/>
        <v>0</v>
      </c>
      <c r="AK111" s="138">
        <f t="shared" ca="1" si="115"/>
        <v>0</v>
      </c>
      <c r="AL111" s="138">
        <f t="shared" ca="1" si="115"/>
        <v>0</v>
      </c>
      <c r="AM111" s="138">
        <f t="shared" ca="1" si="115"/>
        <v>0</v>
      </c>
      <c r="AN111" s="138">
        <f t="shared" ca="1" si="116"/>
        <v>0</v>
      </c>
      <c r="AO111" s="138">
        <f t="shared" ca="1" si="116"/>
        <v>0</v>
      </c>
      <c r="AP111" s="138">
        <f t="shared" ca="1" si="116"/>
        <v>0</v>
      </c>
      <c r="AQ111" s="138">
        <f t="shared" ca="1" si="116"/>
        <v>0</v>
      </c>
      <c r="AR111" s="138">
        <f t="shared" ca="1" si="116"/>
        <v>0</v>
      </c>
      <c r="AS111" s="138">
        <f t="shared" ca="1" si="116"/>
        <v>0</v>
      </c>
      <c r="AT111" s="138">
        <f t="shared" ca="1" si="116"/>
        <v>0</v>
      </c>
      <c r="AU111" s="138">
        <f t="shared" ca="1" si="116"/>
        <v>0</v>
      </c>
      <c r="AV111" s="138">
        <f t="shared" ca="1" si="116"/>
        <v>0</v>
      </c>
      <c r="AW111" s="138">
        <f t="shared" ca="1" si="116"/>
        <v>0</v>
      </c>
      <c r="AX111" s="138">
        <f t="shared" ca="1" si="116"/>
        <v>0</v>
      </c>
      <c r="AY111" s="138">
        <f t="shared" ca="1" si="116"/>
        <v>0</v>
      </c>
      <c r="AZ111" s="138">
        <f t="shared" ca="1" si="116"/>
        <v>0</v>
      </c>
      <c r="BA111" s="138">
        <f t="shared" ca="1" si="116"/>
        <v>0</v>
      </c>
      <c r="BB111" s="138">
        <f t="shared" ca="1" si="116"/>
        <v>0</v>
      </c>
      <c r="BC111" s="138">
        <f t="shared" ca="1" si="116"/>
        <v>0</v>
      </c>
      <c r="BD111" s="138">
        <f t="shared" ca="1" si="117"/>
        <v>0</v>
      </c>
      <c r="BE111" s="138">
        <f t="shared" ca="1" si="117"/>
        <v>0</v>
      </c>
      <c r="BF111" s="138">
        <f t="shared" ca="1" si="117"/>
        <v>0</v>
      </c>
      <c r="BG111" s="138">
        <f t="shared" ca="1" si="117"/>
        <v>0</v>
      </c>
      <c r="BH111" s="138">
        <f t="shared" ca="1" si="117"/>
        <v>0</v>
      </c>
      <c r="BI111" s="138">
        <f t="shared" ca="1" si="117"/>
        <v>0</v>
      </c>
      <c r="BJ111" s="138">
        <f t="shared" ca="1" si="117"/>
        <v>0</v>
      </c>
      <c r="BK111" s="138">
        <f t="shared" ca="1" si="117"/>
        <v>0</v>
      </c>
      <c r="BL111" s="138">
        <f t="shared" ca="1" si="117"/>
        <v>0</v>
      </c>
      <c r="BM111" s="138">
        <f t="shared" ca="1" si="117"/>
        <v>0</v>
      </c>
      <c r="BN111" s="138">
        <f t="shared" ca="1" si="117"/>
        <v>0</v>
      </c>
      <c r="BO111" s="138">
        <f t="shared" ca="1" si="117"/>
        <v>0</v>
      </c>
      <c r="BP111" s="138">
        <f t="shared" ca="1" si="117"/>
        <v>0</v>
      </c>
      <c r="BQ111" s="138">
        <f t="shared" ca="1" si="117"/>
        <v>0</v>
      </c>
      <c r="BR111" s="138">
        <f t="shared" ca="1" si="117"/>
        <v>0</v>
      </c>
      <c r="BS111" s="138">
        <f t="shared" ca="1" si="117"/>
        <v>0</v>
      </c>
      <c r="BT111" s="138">
        <f t="shared" ca="1" si="118"/>
        <v>0</v>
      </c>
      <c r="BU111" s="138">
        <f t="shared" ca="1" si="118"/>
        <v>0</v>
      </c>
      <c r="BV111" s="138">
        <f t="shared" ca="1" si="118"/>
        <v>0</v>
      </c>
      <c r="BW111" s="138">
        <f t="shared" ca="1" si="118"/>
        <v>0</v>
      </c>
      <c r="BX111" s="138">
        <f t="shared" ca="1" si="118"/>
        <v>0</v>
      </c>
      <c r="BY111" s="138">
        <f t="shared" ca="1" si="118"/>
        <v>0</v>
      </c>
      <c r="BZ111" s="138">
        <f t="shared" ca="1" si="118"/>
        <v>0</v>
      </c>
      <c r="CA111" s="138">
        <f t="shared" ca="1" si="118"/>
        <v>0</v>
      </c>
      <c r="CB111" s="138">
        <f t="shared" ca="1" si="118"/>
        <v>0</v>
      </c>
      <c r="CC111" s="138">
        <f t="shared" ca="1" si="118"/>
        <v>0</v>
      </c>
      <c r="CD111" s="138">
        <f t="shared" ca="1" si="118"/>
        <v>0</v>
      </c>
      <c r="CE111" s="138">
        <f t="shared" ca="1" si="118"/>
        <v>0</v>
      </c>
      <c r="CF111" s="138">
        <f t="shared" ca="1" si="118"/>
        <v>0</v>
      </c>
      <c r="CG111" s="138">
        <f t="shared" ca="1" si="118"/>
        <v>0</v>
      </c>
      <c r="CH111" s="138">
        <f t="shared" ca="1" si="118"/>
        <v>0</v>
      </c>
      <c r="CI111" s="138">
        <f t="shared" ca="1" si="118"/>
        <v>0</v>
      </c>
      <c r="CJ111" s="138">
        <f t="shared" ca="1" si="119"/>
        <v>0</v>
      </c>
      <c r="CK111" s="138">
        <f t="shared" ca="1" si="119"/>
        <v>0</v>
      </c>
      <c r="CL111" s="138">
        <f t="shared" ca="1" si="119"/>
        <v>0</v>
      </c>
      <c r="CM111" s="138">
        <f t="shared" ca="1" si="119"/>
        <v>0</v>
      </c>
      <c r="CN111" s="138">
        <f t="shared" ca="1" si="119"/>
        <v>0</v>
      </c>
      <c r="CO111" s="138">
        <f t="shared" ca="1" si="119"/>
        <v>0</v>
      </c>
      <c r="CP111" s="138">
        <f t="shared" ca="1" si="119"/>
        <v>0</v>
      </c>
      <c r="CQ111" s="138">
        <f t="shared" ca="1" si="119"/>
        <v>0</v>
      </c>
      <c r="CR111" s="138">
        <f t="shared" ca="1" si="119"/>
        <v>0</v>
      </c>
      <c r="CS111" s="138">
        <f t="shared" ca="1" si="119"/>
        <v>0</v>
      </c>
      <c r="CT111" s="138">
        <f t="shared" ca="1" si="120"/>
        <v>0</v>
      </c>
      <c r="CU111" s="138">
        <f t="shared" ca="1" si="120"/>
        <v>0</v>
      </c>
      <c r="CV111" s="138">
        <f t="shared" ca="1" si="120"/>
        <v>0</v>
      </c>
      <c r="CW111" s="138">
        <f t="shared" ca="1" si="120"/>
        <v>0</v>
      </c>
      <c r="CX111" s="138">
        <f t="shared" ca="1" si="120"/>
        <v>0</v>
      </c>
      <c r="CY111" s="138">
        <f t="shared" ca="1" si="120"/>
        <v>0</v>
      </c>
      <c r="CZ111" s="138">
        <f t="shared" ca="1" si="120"/>
        <v>0</v>
      </c>
      <c r="DA111" s="138">
        <f t="shared" ca="1" si="120"/>
        <v>0</v>
      </c>
      <c r="DB111" s="138">
        <f t="shared" ca="1" si="120"/>
        <v>0</v>
      </c>
      <c r="DC111" s="138">
        <f t="shared" ca="1" si="120"/>
        <v>0</v>
      </c>
      <c r="DE111" s="254" t="str">
        <f t="shared" ca="1" si="87"/>
        <v>I.</v>
      </c>
      <c r="DF111">
        <f t="shared" ca="1" si="121"/>
        <v>1</v>
      </c>
    </row>
    <row r="112" spans="1:111" ht="15" hidden="1" customHeight="1">
      <c r="A112" s="124">
        <v>100</v>
      </c>
      <c r="B112" s="205" t="str">
        <f t="shared" ca="1" si="84"/>
        <v>J.</v>
      </c>
      <c r="C112" s="197" t="str">
        <f t="shared" ca="1" si="85"/>
        <v>PVM (kuris įskaičiuotas į investicijas, veiklos sąnaudas ir pajamas) BALANSAS</v>
      </c>
      <c r="D112" s="132"/>
      <c r="E112" s="233" t="str">
        <f t="shared" ca="1" si="86"/>
        <v/>
      </c>
      <c r="F112" s="139">
        <f ca="1">H112+NPV(FD,I112:INDEX(I112:DC112,PAL))</f>
        <v>180641.61392627735</v>
      </c>
      <c r="G112" s="140">
        <f ca="1">SUMIF($H$5:$DC$5,"&lt;="&amp;PAL,$H112:$DC112)</f>
        <v>235165.28925619836</v>
      </c>
      <c r="H112" s="234">
        <f t="shared" ref="H112:W112" ca="1" si="123">OFFSET(INDIRECT("'"&amp;Opt_alt&amp;"'!H12"),$A112,H$5)</f>
        <v>0</v>
      </c>
      <c r="I112" s="234">
        <f t="shared" ca="1" si="123"/>
        <v>8677.6859504132226</v>
      </c>
      <c r="J112" s="234">
        <f t="shared" ca="1" si="123"/>
        <v>90247.933884297527</v>
      </c>
      <c r="K112" s="234">
        <f t="shared" ca="1" si="123"/>
        <v>6074.3801652892562</v>
      </c>
      <c r="L112" s="234">
        <f t="shared" ca="1" si="123"/>
        <v>867.76859504132233</v>
      </c>
      <c r="M112" s="234">
        <f t="shared" ca="1" si="123"/>
        <v>4338.8429752066113</v>
      </c>
      <c r="N112" s="234">
        <f t="shared" ca="1" si="123"/>
        <v>0</v>
      </c>
      <c r="O112" s="234">
        <f t="shared" ca="1" si="123"/>
        <v>0</v>
      </c>
      <c r="P112" s="234">
        <f t="shared" ca="1" si="123"/>
        <v>0</v>
      </c>
      <c r="Q112" s="234">
        <f t="shared" ca="1" si="123"/>
        <v>0</v>
      </c>
      <c r="R112" s="234">
        <f t="shared" ca="1" si="123"/>
        <v>20826.446280991735</v>
      </c>
      <c r="S112" s="234">
        <f t="shared" ca="1" si="123"/>
        <v>41652.89256198347</v>
      </c>
      <c r="T112" s="234">
        <f t="shared" ca="1" si="123"/>
        <v>20826.446280991735</v>
      </c>
      <c r="U112" s="234">
        <f t="shared" ca="1" si="123"/>
        <v>41652.89256198347</v>
      </c>
      <c r="V112" s="234">
        <f t="shared" ca="1" si="123"/>
        <v>0</v>
      </c>
      <c r="W112" s="234">
        <f t="shared" ca="1" si="123"/>
        <v>0</v>
      </c>
      <c r="X112" s="234">
        <f t="shared" ref="X112:AM112" ca="1" si="124">OFFSET(INDIRECT("'"&amp;Opt_alt&amp;"'!H12"),$A112,X$5)</f>
        <v>0</v>
      </c>
      <c r="Y112" s="234">
        <f t="shared" ca="1" si="124"/>
        <v>0</v>
      </c>
      <c r="Z112" s="234">
        <f t="shared" ca="1" si="124"/>
        <v>0</v>
      </c>
      <c r="AA112" s="234">
        <f t="shared" ca="1" si="124"/>
        <v>0</v>
      </c>
      <c r="AB112" s="234">
        <f t="shared" ca="1" si="124"/>
        <v>0</v>
      </c>
      <c r="AC112" s="234">
        <f t="shared" ca="1" si="124"/>
        <v>0</v>
      </c>
      <c r="AD112" s="234">
        <f t="shared" ca="1" si="124"/>
        <v>0</v>
      </c>
      <c r="AE112" s="234">
        <f t="shared" ca="1" si="124"/>
        <v>0</v>
      </c>
      <c r="AF112" s="234">
        <f t="shared" ca="1" si="124"/>
        <v>0</v>
      </c>
      <c r="AG112" s="234">
        <f t="shared" ca="1" si="124"/>
        <v>0</v>
      </c>
      <c r="AH112" s="234">
        <f t="shared" ca="1" si="124"/>
        <v>0</v>
      </c>
      <c r="AI112" s="234">
        <f t="shared" ca="1" si="124"/>
        <v>0</v>
      </c>
      <c r="AJ112" s="234">
        <f t="shared" ca="1" si="124"/>
        <v>0</v>
      </c>
      <c r="AK112" s="234">
        <f t="shared" ca="1" si="124"/>
        <v>0</v>
      </c>
      <c r="AL112" s="234">
        <f t="shared" ca="1" si="124"/>
        <v>0</v>
      </c>
      <c r="AM112" s="234">
        <f t="shared" ca="1" si="124"/>
        <v>0</v>
      </c>
      <c r="AN112" s="234">
        <f t="shared" ref="AN112:BC112" ca="1" si="125">OFFSET(INDIRECT("'"&amp;Opt_alt&amp;"'!H12"),$A112,AN$5)</f>
        <v>0</v>
      </c>
      <c r="AO112" s="234">
        <f t="shared" ca="1" si="125"/>
        <v>0</v>
      </c>
      <c r="AP112" s="234">
        <f t="shared" ca="1" si="125"/>
        <v>0</v>
      </c>
      <c r="AQ112" s="234">
        <f t="shared" ca="1" si="125"/>
        <v>0</v>
      </c>
      <c r="AR112" s="234">
        <f t="shared" ca="1" si="125"/>
        <v>0</v>
      </c>
      <c r="AS112" s="234">
        <f t="shared" ca="1" si="125"/>
        <v>0</v>
      </c>
      <c r="AT112" s="234">
        <f t="shared" ca="1" si="125"/>
        <v>0</v>
      </c>
      <c r="AU112" s="234">
        <f t="shared" ca="1" si="125"/>
        <v>0</v>
      </c>
      <c r="AV112" s="234">
        <f t="shared" ca="1" si="125"/>
        <v>0</v>
      </c>
      <c r="AW112" s="234">
        <f t="shared" ca="1" si="125"/>
        <v>0</v>
      </c>
      <c r="AX112" s="234">
        <f t="shared" ca="1" si="125"/>
        <v>0</v>
      </c>
      <c r="AY112" s="234">
        <f t="shared" ca="1" si="125"/>
        <v>0</v>
      </c>
      <c r="AZ112" s="234">
        <f t="shared" ca="1" si="125"/>
        <v>0</v>
      </c>
      <c r="BA112" s="234">
        <f t="shared" ca="1" si="125"/>
        <v>0</v>
      </c>
      <c r="BB112" s="234">
        <f t="shared" ca="1" si="125"/>
        <v>0</v>
      </c>
      <c r="BC112" s="234">
        <f t="shared" ca="1" si="125"/>
        <v>0</v>
      </c>
      <c r="BD112" s="234">
        <f t="shared" ref="BD112:BS112" ca="1" si="126">OFFSET(INDIRECT("'"&amp;Opt_alt&amp;"'!H12"),$A112,BD$5)</f>
        <v>0</v>
      </c>
      <c r="BE112" s="234">
        <f t="shared" ca="1" si="126"/>
        <v>0</v>
      </c>
      <c r="BF112" s="234">
        <f t="shared" ca="1" si="126"/>
        <v>0</v>
      </c>
      <c r="BG112" s="234">
        <f t="shared" ca="1" si="126"/>
        <v>0</v>
      </c>
      <c r="BH112" s="234">
        <f t="shared" ca="1" si="126"/>
        <v>0</v>
      </c>
      <c r="BI112" s="234">
        <f t="shared" ca="1" si="126"/>
        <v>0</v>
      </c>
      <c r="BJ112" s="234">
        <f t="shared" ca="1" si="126"/>
        <v>0</v>
      </c>
      <c r="BK112" s="234">
        <f t="shared" ca="1" si="126"/>
        <v>0</v>
      </c>
      <c r="BL112" s="234">
        <f t="shared" ca="1" si="126"/>
        <v>0</v>
      </c>
      <c r="BM112" s="234">
        <f t="shared" ca="1" si="126"/>
        <v>0</v>
      </c>
      <c r="BN112" s="234">
        <f t="shared" ca="1" si="126"/>
        <v>0</v>
      </c>
      <c r="BO112" s="234">
        <f t="shared" ca="1" si="126"/>
        <v>0</v>
      </c>
      <c r="BP112" s="234">
        <f t="shared" ca="1" si="126"/>
        <v>0</v>
      </c>
      <c r="BQ112" s="234">
        <f t="shared" ca="1" si="126"/>
        <v>0</v>
      </c>
      <c r="BR112" s="234">
        <f t="shared" ca="1" si="126"/>
        <v>0</v>
      </c>
      <c r="BS112" s="234">
        <f t="shared" ca="1" si="126"/>
        <v>0</v>
      </c>
      <c r="BT112" s="234">
        <f t="shared" ref="BT112:CI112" ca="1" si="127">OFFSET(INDIRECT("'"&amp;Opt_alt&amp;"'!H12"),$A112,BT$5)</f>
        <v>0</v>
      </c>
      <c r="BU112" s="234">
        <f t="shared" ca="1" si="127"/>
        <v>0</v>
      </c>
      <c r="BV112" s="234">
        <f t="shared" ca="1" si="127"/>
        <v>0</v>
      </c>
      <c r="BW112" s="234">
        <f t="shared" ca="1" si="127"/>
        <v>0</v>
      </c>
      <c r="BX112" s="234">
        <f t="shared" ca="1" si="127"/>
        <v>0</v>
      </c>
      <c r="BY112" s="234">
        <f t="shared" ca="1" si="127"/>
        <v>0</v>
      </c>
      <c r="BZ112" s="234">
        <f t="shared" ca="1" si="127"/>
        <v>0</v>
      </c>
      <c r="CA112" s="234">
        <f t="shared" ca="1" si="127"/>
        <v>0</v>
      </c>
      <c r="CB112" s="234">
        <f t="shared" ca="1" si="127"/>
        <v>0</v>
      </c>
      <c r="CC112" s="234">
        <f t="shared" ca="1" si="127"/>
        <v>0</v>
      </c>
      <c r="CD112" s="234">
        <f t="shared" ca="1" si="127"/>
        <v>0</v>
      </c>
      <c r="CE112" s="234">
        <f t="shared" ca="1" si="127"/>
        <v>0</v>
      </c>
      <c r="CF112" s="234">
        <f t="shared" ca="1" si="127"/>
        <v>0</v>
      </c>
      <c r="CG112" s="234">
        <f t="shared" ca="1" si="127"/>
        <v>0</v>
      </c>
      <c r="CH112" s="234">
        <f t="shared" ca="1" si="127"/>
        <v>0</v>
      </c>
      <c r="CI112" s="234">
        <f t="shared" ca="1" si="127"/>
        <v>0</v>
      </c>
      <c r="CJ112" s="234">
        <f t="shared" ref="CJ112:CY112" ca="1" si="128">OFFSET(INDIRECT("'"&amp;Opt_alt&amp;"'!H12"),$A112,CJ$5)</f>
        <v>0</v>
      </c>
      <c r="CK112" s="234">
        <f t="shared" ca="1" si="128"/>
        <v>0</v>
      </c>
      <c r="CL112" s="234">
        <f t="shared" ca="1" si="128"/>
        <v>0</v>
      </c>
      <c r="CM112" s="234">
        <f t="shared" ca="1" si="128"/>
        <v>0</v>
      </c>
      <c r="CN112" s="234">
        <f t="shared" ca="1" si="128"/>
        <v>0</v>
      </c>
      <c r="CO112" s="234">
        <f t="shared" ca="1" si="128"/>
        <v>0</v>
      </c>
      <c r="CP112" s="234">
        <f t="shared" ca="1" si="128"/>
        <v>0</v>
      </c>
      <c r="CQ112" s="234">
        <f t="shared" ca="1" si="128"/>
        <v>0</v>
      </c>
      <c r="CR112" s="234">
        <f t="shared" ca="1" si="128"/>
        <v>0</v>
      </c>
      <c r="CS112" s="234">
        <f t="shared" ca="1" si="128"/>
        <v>0</v>
      </c>
      <c r="CT112" s="234">
        <f t="shared" ca="1" si="128"/>
        <v>0</v>
      </c>
      <c r="CU112" s="234">
        <f t="shared" ca="1" si="128"/>
        <v>0</v>
      </c>
      <c r="CV112" s="234">
        <f t="shared" ca="1" si="128"/>
        <v>0</v>
      </c>
      <c r="CW112" s="234">
        <f t="shared" ca="1" si="128"/>
        <v>0</v>
      </c>
      <c r="CX112" s="234">
        <f t="shared" ca="1" si="128"/>
        <v>0</v>
      </c>
      <c r="CY112" s="234">
        <f t="shared" ca="1" si="128"/>
        <v>0</v>
      </c>
      <c r="CZ112" s="234">
        <f ca="1">OFFSET(INDIRECT("'"&amp;Opt_alt&amp;"'!H12"),$A112,CZ$5)</f>
        <v>0</v>
      </c>
      <c r="DA112" s="234">
        <f ca="1">OFFSET(INDIRECT("'"&amp;Opt_alt&amp;"'!H12"),$A112,DA$5)</f>
        <v>0</v>
      </c>
      <c r="DB112" s="234">
        <f ca="1">OFFSET(INDIRECT("'"&amp;Opt_alt&amp;"'!H12"),$A112,DB$5)</f>
        <v>0</v>
      </c>
      <c r="DC112" s="235">
        <f ca="1">OFFSET(INDIRECT("'"&amp;Opt_alt&amp;"'!H12"),$A112,DC$5)</f>
        <v>0</v>
      </c>
      <c r="DE112" s="254" t="str">
        <f t="shared" ca="1" si="87"/>
        <v>J.</v>
      </c>
    </row>
    <row r="113" spans="1:110" hidden="1">
      <c r="A113" s="124">
        <v>101</v>
      </c>
      <c r="B113" s="205" t="str">
        <f t="shared" ca="1" si="84"/>
        <v>J.1.</v>
      </c>
      <c r="C113" s="129" t="str">
        <f t="shared" ca="1" si="85"/>
        <v>Bendra pirkimo PVM suma (investicijoms ir reinvesticijoms)</v>
      </c>
      <c r="D113" s="114"/>
      <c r="E113" s="148" t="str">
        <f t="shared" ca="1" si="86"/>
        <v/>
      </c>
      <c r="F113" s="139">
        <f ca="1">H113+NPV(FD,I113:INDEX(I113:DC113,PAL))</f>
        <v>180641.61392627735</v>
      </c>
      <c r="G113" s="140">
        <f ca="1">SUMIF($H$5:$DC$5,"&lt;="&amp;PAL,$H113:$DC113)</f>
        <v>235165.28925619836</v>
      </c>
      <c r="H113" s="66">
        <f ca="1">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8677.6859504132226</v>
      </c>
      <c r="J113" s="66">
        <f t="shared" ca="1" si="129"/>
        <v>90247.933884297527</v>
      </c>
      <c r="K113" s="66">
        <f t="shared" ca="1" si="129"/>
        <v>6074.3801652892562</v>
      </c>
      <c r="L113" s="66">
        <f t="shared" ca="1" si="129"/>
        <v>867.76859504132233</v>
      </c>
      <c r="M113" s="66">
        <f t="shared" ca="1" si="129"/>
        <v>4338.8429752066113</v>
      </c>
      <c r="N113" s="66">
        <f t="shared" ca="1" si="129"/>
        <v>0</v>
      </c>
      <c r="O113" s="66">
        <f t="shared" ca="1" si="129"/>
        <v>0</v>
      </c>
      <c r="P113" s="66">
        <f t="shared" ca="1" si="129"/>
        <v>0</v>
      </c>
      <c r="Q113" s="66">
        <f t="shared" ca="1" si="129"/>
        <v>0</v>
      </c>
      <c r="R113" s="66">
        <f t="shared" ca="1" si="129"/>
        <v>20826.446280991735</v>
      </c>
      <c r="S113" s="66">
        <f t="shared" ca="1" si="129"/>
        <v>41652.89256198347</v>
      </c>
      <c r="T113" s="66">
        <f t="shared" ca="1" si="129"/>
        <v>20826.446280991735</v>
      </c>
      <c r="U113" s="66">
        <f t="shared" ca="1" si="129"/>
        <v>41652.89256198347</v>
      </c>
      <c r="V113" s="66">
        <f t="shared" ca="1" si="129"/>
        <v>0</v>
      </c>
      <c r="W113" s="66">
        <f t="shared" ca="1" si="129"/>
        <v>0</v>
      </c>
      <c r="X113" s="66">
        <f t="shared" ca="1" si="129"/>
        <v>0</v>
      </c>
      <c r="Y113" s="66">
        <f t="shared" ca="1" si="129"/>
        <v>0</v>
      </c>
      <c r="Z113" s="66">
        <f t="shared" ca="1" si="129"/>
        <v>0</v>
      </c>
      <c r="AA113" s="66">
        <f t="shared" ca="1" si="129"/>
        <v>0</v>
      </c>
      <c r="AB113" s="66">
        <f t="shared" ca="1" si="129"/>
        <v>0</v>
      </c>
      <c r="AC113" s="66">
        <f t="shared" ca="1" si="129"/>
        <v>0</v>
      </c>
      <c r="AD113" s="66">
        <f t="shared" ca="1" si="129"/>
        <v>0</v>
      </c>
      <c r="AE113" s="66">
        <f t="shared" ca="1" si="129"/>
        <v>0</v>
      </c>
      <c r="AF113" s="66">
        <f t="shared" ca="1" si="129"/>
        <v>0</v>
      </c>
      <c r="AG113" s="66">
        <f t="shared" ca="1" si="129"/>
        <v>0</v>
      </c>
      <c r="AH113" s="66">
        <f t="shared" ca="1" si="129"/>
        <v>0</v>
      </c>
      <c r="AI113" s="66">
        <f t="shared" ca="1" si="129"/>
        <v>0</v>
      </c>
      <c r="AJ113" s="66">
        <f t="shared" ca="1" si="129"/>
        <v>0</v>
      </c>
      <c r="AK113" s="66">
        <f t="shared" ca="1" si="129"/>
        <v>0</v>
      </c>
      <c r="AL113" s="66">
        <f t="shared" ca="1" si="129"/>
        <v>0</v>
      </c>
      <c r="AM113" s="66">
        <f t="shared" ca="1" si="129"/>
        <v>0</v>
      </c>
      <c r="AN113" s="66">
        <f t="shared" ca="1" si="129"/>
        <v>0</v>
      </c>
      <c r="AO113" s="66">
        <f t="shared" ca="1" si="129"/>
        <v>0</v>
      </c>
      <c r="AP113" s="66">
        <f t="shared" ca="1" si="129"/>
        <v>0</v>
      </c>
      <c r="AQ113" s="66">
        <f t="shared" ca="1" si="129"/>
        <v>0</v>
      </c>
      <c r="AR113" s="66">
        <f t="shared" ca="1" si="129"/>
        <v>0</v>
      </c>
      <c r="AS113" s="66">
        <f t="shared" ca="1" si="129"/>
        <v>0</v>
      </c>
      <c r="AT113" s="66">
        <f t="shared" ca="1" si="129"/>
        <v>0</v>
      </c>
      <c r="AU113" s="66">
        <f t="shared" ca="1" si="129"/>
        <v>0</v>
      </c>
      <c r="AV113" s="66">
        <f t="shared" ca="1" si="129"/>
        <v>0</v>
      </c>
      <c r="AW113" s="66">
        <f t="shared" ca="1" si="129"/>
        <v>0</v>
      </c>
      <c r="AX113" s="66">
        <f t="shared" ca="1" si="129"/>
        <v>0</v>
      </c>
      <c r="AY113" s="66">
        <f t="shared" ca="1" si="129"/>
        <v>0</v>
      </c>
      <c r="AZ113" s="66">
        <f t="shared" ca="1" si="129"/>
        <v>0</v>
      </c>
      <c r="BA113" s="66">
        <f t="shared" ca="1" si="129"/>
        <v>0</v>
      </c>
      <c r="BB113" s="66">
        <f t="shared" ca="1" si="129"/>
        <v>0</v>
      </c>
      <c r="BC113" s="66">
        <f t="shared" ca="1" si="129"/>
        <v>0</v>
      </c>
      <c r="BD113" s="66">
        <f t="shared" ca="1" si="129"/>
        <v>0</v>
      </c>
      <c r="BE113" s="66">
        <f t="shared" ca="1" si="129"/>
        <v>0</v>
      </c>
      <c r="BF113" s="66">
        <f t="shared" ca="1" si="129"/>
        <v>0</v>
      </c>
      <c r="BG113" s="66">
        <f t="shared" ca="1" si="129"/>
        <v>0</v>
      </c>
      <c r="BH113" s="66">
        <f t="shared" ca="1" si="129"/>
        <v>0</v>
      </c>
      <c r="BI113" s="66">
        <f t="shared" ca="1" si="129"/>
        <v>0</v>
      </c>
      <c r="BJ113" s="66">
        <f t="shared" ca="1" si="129"/>
        <v>0</v>
      </c>
      <c r="BK113" s="66">
        <f t="shared" ca="1" si="129"/>
        <v>0</v>
      </c>
      <c r="BL113" s="66">
        <f t="shared" ca="1" si="129"/>
        <v>0</v>
      </c>
      <c r="BM113" s="66">
        <f t="shared" ca="1" si="129"/>
        <v>0</v>
      </c>
      <c r="BN113" s="66">
        <f t="shared" ca="1" si="129"/>
        <v>0</v>
      </c>
      <c r="BO113" s="66">
        <f t="shared" ca="1" si="129"/>
        <v>0</v>
      </c>
      <c r="BP113" s="66">
        <f t="shared" ca="1" si="129"/>
        <v>0</v>
      </c>
      <c r="BQ113" s="66">
        <f t="shared" ca="1" si="129"/>
        <v>0</v>
      </c>
      <c r="BR113" s="66">
        <f t="shared" ca="1" si="129"/>
        <v>0</v>
      </c>
      <c r="BS113" s="66">
        <f t="shared" ca="1" si="129"/>
        <v>0</v>
      </c>
      <c r="BT113" s="66">
        <f t="shared" ca="1" si="129"/>
        <v>0</v>
      </c>
      <c r="BU113" s="66">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6">
        <f t="shared" ca="1" si="130"/>
        <v>0</v>
      </c>
      <c r="BW113" s="66">
        <f t="shared" ca="1" si="130"/>
        <v>0</v>
      </c>
      <c r="BX113" s="66">
        <f t="shared" ca="1" si="130"/>
        <v>0</v>
      </c>
      <c r="BY113" s="66">
        <f t="shared" ca="1" si="130"/>
        <v>0</v>
      </c>
      <c r="BZ113" s="66">
        <f t="shared" ca="1" si="130"/>
        <v>0</v>
      </c>
      <c r="CA113" s="66">
        <f t="shared" ca="1" si="130"/>
        <v>0</v>
      </c>
      <c r="CB113" s="66">
        <f t="shared" ca="1" si="130"/>
        <v>0</v>
      </c>
      <c r="CC113" s="66">
        <f t="shared" ca="1" si="130"/>
        <v>0</v>
      </c>
      <c r="CD113" s="66">
        <f t="shared" ca="1" si="130"/>
        <v>0</v>
      </c>
      <c r="CE113" s="66">
        <f t="shared" ca="1" si="130"/>
        <v>0</v>
      </c>
      <c r="CF113" s="66">
        <f t="shared" ca="1" si="130"/>
        <v>0</v>
      </c>
      <c r="CG113" s="66">
        <f t="shared" ca="1" si="130"/>
        <v>0</v>
      </c>
      <c r="CH113" s="66">
        <f t="shared" ca="1" si="130"/>
        <v>0</v>
      </c>
      <c r="CI113" s="66">
        <f t="shared" ca="1" si="130"/>
        <v>0</v>
      </c>
      <c r="CJ113" s="66">
        <f t="shared" ca="1" si="130"/>
        <v>0</v>
      </c>
      <c r="CK113" s="66">
        <f t="shared" ca="1" si="130"/>
        <v>0</v>
      </c>
      <c r="CL113" s="66">
        <f t="shared" ca="1" si="130"/>
        <v>0</v>
      </c>
      <c r="CM113" s="66">
        <f t="shared" ca="1" si="130"/>
        <v>0</v>
      </c>
      <c r="CN113" s="66">
        <f t="shared" ca="1" si="130"/>
        <v>0</v>
      </c>
      <c r="CO113" s="66">
        <f t="shared" ca="1" si="130"/>
        <v>0</v>
      </c>
      <c r="CP113" s="66">
        <f t="shared" ca="1" si="130"/>
        <v>0</v>
      </c>
      <c r="CQ113" s="66">
        <f t="shared" ca="1" si="130"/>
        <v>0</v>
      </c>
      <c r="CR113" s="66">
        <f t="shared" ca="1" si="130"/>
        <v>0</v>
      </c>
      <c r="CS113" s="66">
        <f t="shared" ca="1" si="130"/>
        <v>0</v>
      </c>
      <c r="CT113" s="66">
        <f t="shared" ca="1" si="130"/>
        <v>0</v>
      </c>
      <c r="CU113" s="66">
        <f t="shared" ca="1" si="130"/>
        <v>0</v>
      </c>
      <c r="CV113" s="66">
        <f t="shared" ca="1" si="130"/>
        <v>0</v>
      </c>
      <c r="CW113" s="66">
        <f t="shared" ca="1" si="130"/>
        <v>0</v>
      </c>
      <c r="CX113" s="66">
        <f t="shared" ca="1" si="130"/>
        <v>0</v>
      </c>
      <c r="CY113" s="66">
        <f t="shared" ca="1" si="130"/>
        <v>0</v>
      </c>
      <c r="CZ113" s="66">
        <f t="shared" ca="1" si="130"/>
        <v>0</v>
      </c>
      <c r="DA113" s="66">
        <f t="shared" ca="1" si="130"/>
        <v>0</v>
      </c>
      <c r="DB113" s="66">
        <f t="shared" ca="1" si="130"/>
        <v>0</v>
      </c>
      <c r="DC113" s="66">
        <f t="shared" ca="1" si="130"/>
        <v>0</v>
      </c>
      <c r="DE113" s="254" t="str">
        <f t="shared" ca="1" si="87"/>
        <v>J.1.</v>
      </c>
    </row>
    <row r="114" spans="1:110" hidden="1">
      <c r="A114" s="124">
        <v>102</v>
      </c>
      <c r="B114" s="205" t="str">
        <f t="shared" ca="1" si="84"/>
        <v>J.2.</v>
      </c>
      <c r="C114" s="129" t="str">
        <f t="shared" ca="1" si="85"/>
        <v>Bendra pirkimo PVM suma (veiklos sąnaudoms)</v>
      </c>
      <c r="D114" s="130"/>
      <c r="E114" s="148" t="str">
        <f t="shared" ca="1" si="86"/>
        <v/>
      </c>
      <c r="F114" s="139">
        <f ca="1">H114+NPV(FD,I114:INDEX(I114:DC114,PAL))</f>
        <v>0</v>
      </c>
      <c r="G114" s="143">
        <f ca="1">G115+G116-G117</f>
        <v>-1744156871.0377769</v>
      </c>
      <c r="H114" s="66">
        <f ca="1">SUMPRODUCT($DG90:$DG99,H90:H99,1/($DG90:$DG99+100))</f>
        <v>0</v>
      </c>
      <c r="I114" s="66">
        <f t="shared" ref="I114:BT114" ca="1" si="131">SUMPRODUCT($DG90:$DG99,I90:I99,1/($DG90:$DG99+100))</f>
        <v>0</v>
      </c>
      <c r="J114" s="66">
        <f t="shared" ca="1" si="131"/>
        <v>0</v>
      </c>
      <c r="K114" s="66">
        <f t="shared" ca="1" si="131"/>
        <v>0</v>
      </c>
      <c r="L114" s="66">
        <f t="shared" ca="1" si="131"/>
        <v>0</v>
      </c>
      <c r="M114" s="66">
        <f t="shared" ca="1" si="131"/>
        <v>0</v>
      </c>
      <c r="N114" s="66">
        <f t="shared" ca="1" si="131"/>
        <v>0</v>
      </c>
      <c r="O114" s="66">
        <f t="shared" ca="1" si="131"/>
        <v>0</v>
      </c>
      <c r="P114" s="66">
        <f t="shared" ca="1" si="131"/>
        <v>0</v>
      </c>
      <c r="Q114" s="66">
        <f t="shared" ca="1" si="131"/>
        <v>0</v>
      </c>
      <c r="R114" s="66">
        <f t="shared" ca="1" si="131"/>
        <v>0</v>
      </c>
      <c r="S114" s="66">
        <f t="shared" ca="1" si="131"/>
        <v>0</v>
      </c>
      <c r="T114" s="66">
        <f t="shared" ca="1" si="131"/>
        <v>0</v>
      </c>
      <c r="U114" s="66">
        <f t="shared" ca="1" si="131"/>
        <v>0</v>
      </c>
      <c r="V114" s="66">
        <f t="shared" ca="1" si="131"/>
        <v>0</v>
      </c>
      <c r="W114" s="66">
        <f t="shared" ca="1" si="131"/>
        <v>0</v>
      </c>
      <c r="X114" s="66">
        <f t="shared" ca="1" si="131"/>
        <v>0</v>
      </c>
      <c r="Y114" s="66">
        <f t="shared" ca="1" si="131"/>
        <v>0</v>
      </c>
      <c r="Z114" s="66">
        <f t="shared" ca="1" si="131"/>
        <v>0</v>
      </c>
      <c r="AA114" s="66">
        <f t="shared" ca="1" si="131"/>
        <v>0</v>
      </c>
      <c r="AB114" s="66">
        <f t="shared" ca="1" si="131"/>
        <v>0</v>
      </c>
      <c r="AC114" s="66">
        <f t="shared" ca="1" si="131"/>
        <v>0</v>
      </c>
      <c r="AD114" s="66">
        <f t="shared" ca="1" si="131"/>
        <v>0</v>
      </c>
      <c r="AE114" s="66">
        <f t="shared" ca="1" si="131"/>
        <v>0</v>
      </c>
      <c r="AF114" s="66">
        <f t="shared" ca="1" si="131"/>
        <v>0</v>
      </c>
      <c r="AG114" s="66">
        <f t="shared" ca="1" si="131"/>
        <v>0</v>
      </c>
      <c r="AH114" s="66">
        <f t="shared" ca="1" si="131"/>
        <v>0</v>
      </c>
      <c r="AI114" s="66">
        <f t="shared" ca="1" si="131"/>
        <v>0</v>
      </c>
      <c r="AJ114" s="66">
        <f t="shared" ca="1" si="131"/>
        <v>0</v>
      </c>
      <c r="AK114" s="66">
        <f t="shared" ca="1" si="131"/>
        <v>0</v>
      </c>
      <c r="AL114" s="66">
        <f t="shared" ca="1" si="131"/>
        <v>0</v>
      </c>
      <c r="AM114" s="66">
        <f t="shared" ca="1" si="131"/>
        <v>0</v>
      </c>
      <c r="AN114" s="66">
        <f t="shared" ca="1" si="131"/>
        <v>0</v>
      </c>
      <c r="AO114" s="66">
        <f t="shared" ca="1" si="131"/>
        <v>0</v>
      </c>
      <c r="AP114" s="66">
        <f t="shared" ca="1" si="131"/>
        <v>0</v>
      </c>
      <c r="AQ114" s="66">
        <f t="shared" ca="1" si="131"/>
        <v>0</v>
      </c>
      <c r="AR114" s="66">
        <f t="shared" ca="1" si="131"/>
        <v>0</v>
      </c>
      <c r="AS114" s="66">
        <f t="shared" ca="1" si="131"/>
        <v>0</v>
      </c>
      <c r="AT114" s="66">
        <f t="shared" ca="1" si="131"/>
        <v>0</v>
      </c>
      <c r="AU114" s="66">
        <f t="shared" ca="1" si="131"/>
        <v>0</v>
      </c>
      <c r="AV114" s="66">
        <f t="shared" ca="1" si="131"/>
        <v>0</v>
      </c>
      <c r="AW114" s="66">
        <f t="shared" ca="1" si="131"/>
        <v>0</v>
      </c>
      <c r="AX114" s="66">
        <f t="shared" ca="1" si="131"/>
        <v>0</v>
      </c>
      <c r="AY114" s="66">
        <f t="shared" ca="1" si="131"/>
        <v>0</v>
      </c>
      <c r="AZ114" s="66">
        <f t="shared" ca="1" si="131"/>
        <v>0</v>
      </c>
      <c r="BA114" s="66">
        <f t="shared" ca="1" si="131"/>
        <v>0</v>
      </c>
      <c r="BB114" s="66">
        <f t="shared" ca="1" si="131"/>
        <v>0</v>
      </c>
      <c r="BC114" s="66">
        <f t="shared" ca="1" si="131"/>
        <v>0</v>
      </c>
      <c r="BD114" s="66">
        <f t="shared" ca="1" si="131"/>
        <v>0</v>
      </c>
      <c r="BE114" s="66">
        <f t="shared" ca="1" si="131"/>
        <v>0</v>
      </c>
      <c r="BF114" s="66">
        <f t="shared" ca="1" si="131"/>
        <v>0</v>
      </c>
      <c r="BG114" s="66">
        <f t="shared" ca="1" si="131"/>
        <v>0</v>
      </c>
      <c r="BH114" s="66">
        <f t="shared" ca="1" si="131"/>
        <v>0</v>
      </c>
      <c r="BI114" s="66">
        <f t="shared" ca="1" si="131"/>
        <v>0</v>
      </c>
      <c r="BJ114" s="66">
        <f t="shared" ca="1" si="131"/>
        <v>0</v>
      </c>
      <c r="BK114" s="66">
        <f t="shared" ca="1" si="131"/>
        <v>0</v>
      </c>
      <c r="BL114" s="66">
        <f t="shared" ca="1" si="131"/>
        <v>0</v>
      </c>
      <c r="BM114" s="66">
        <f t="shared" ca="1" si="131"/>
        <v>0</v>
      </c>
      <c r="BN114" s="66">
        <f t="shared" ca="1" si="131"/>
        <v>0</v>
      </c>
      <c r="BO114" s="66">
        <f t="shared" ca="1" si="131"/>
        <v>0</v>
      </c>
      <c r="BP114" s="66">
        <f t="shared" ca="1" si="131"/>
        <v>0</v>
      </c>
      <c r="BQ114" s="66">
        <f t="shared" ca="1" si="131"/>
        <v>0</v>
      </c>
      <c r="BR114" s="66">
        <f t="shared" ca="1" si="131"/>
        <v>0</v>
      </c>
      <c r="BS114" s="66">
        <f t="shared" ca="1" si="131"/>
        <v>0</v>
      </c>
      <c r="BT114" s="66">
        <f t="shared" ca="1" si="131"/>
        <v>0</v>
      </c>
      <c r="BU114" s="66">
        <f t="shared" ref="BU114:DC114" ca="1" si="132">SUMPRODUCT($DG90:$DG99,BU90:BU99,1/($DG90:$DG99+100))</f>
        <v>0</v>
      </c>
      <c r="BV114" s="66">
        <f t="shared" ca="1" si="132"/>
        <v>0</v>
      </c>
      <c r="BW114" s="66">
        <f t="shared" ca="1" si="132"/>
        <v>0</v>
      </c>
      <c r="BX114" s="66">
        <f t="shared" ca="1" si="132"/>
        <v>0</v>
      </c>
      <c r="BY114" s="66">
        <f t="shared" ca="1" si="132"/>
        <v>0</v>
      </c>
      <c r="BZ114" s="66">
        <f t="shared" ca="1" si="132"/>
        <v>0</v>
      </c>
      <c r="CA114" s="66">
        <f t="shared" ca="1" si="132"/>
        <v>0</v>
      </c>
      <c r="CB114" s="66">
        <f t="shared" ca="1" si="132"/>
        <v>0</v>
      </c>
      <c r="CC114" s="66">
        <f t="shared" ca="1" si="132"/>
        <v>0</v>
      </c>
      <c r="CD114" s="66">
        <f t="shared" ca="1" si="132"/>
        <v>0</v>
      </c>
      <c r="CE114" s="66">
        <f t="shared" ca="1" si="132"/>
        <v>0</v>
      </c>
      <c r="CF114" s="66">
        <f t="shared" ca="1" si="132"/>
        <v>0</v>
      </c>
      <c r="CG114" s="66">
        <f t="shared" ca="1" si="132"/>
        <v>0</v>
      </c>
      <c r="CH114" s="66">
        <f t="shared" ca="1" si="132"/>
        <v>0</v>
      </c>
      <c r="CI114" s="66">
        <f t="shared" ca="1" si="132"/>
        <v>0</v>
      </c>
      <c r="CJ114" s="66">
        <f t="shared" ca="1" si="132"/>
        <v>0</v>
      </c>
      <c r="CK114" s="66">
        <f t="shared" ca="1" si="132"/>
        <v>0</v>
      </c>
      <c r="CL114" s="66">
        <f t="shared" ca="1" si="132"/>
        <v>0</v>
      </c>
      <c r="CM114" s="66">
        <f t="shared" ca="1" si="132"/>
        <v>0</v>
      </c>
      <c r="CN114" s="66">
        <f t="shared" ca="1" si="132"/>
        <v>0</v>
      </c>
      <c r="CO114" s="66">
        <f t="shared" ca="1" si="132"/>
        <v>0</v>
      </c>
      <c r="CP114" s="66">
        <f t="shared" ca="1" si="132"/>
        <v>0</v>
      </c>
      <c r="CQ114" s="66">
        <f t="shared" ca="1" si="132"/>
        <v>0</v>
      </c>
      <c r="CR114" s="66">
        <f t="shared" ca="1" si="132"/>
        <v>0</v>
      </c>
      <c r="CS114" s="66">
        <f t="shared" ca="1" si="132"/>
        <v>0</v>
      </c>
      <c r="CT114" s="66">
        <f t="shared" ca="1" si="132"/>
        <v>0</v>
      </c>
      <c r="CU114" s="66">
        <f t="shared" ca="1" si="132"/>
        <v>0</v>
      </c>
      <c r="CV114" s="66">
        <f t="shared" ca="1" si="132"/>
        <v>0</v>
      </c>
      <c r="CW114" s="66">
        <f t="shared" ca="1" si="132"/>
        <v>0</v>
      </c>
      <c r="CX114" s="66">
        <f t="shared" ca="1" si="132"/>
        <v>0</v>
      </c>
      <c r="CY114" s="66">
        <f t="shared" ca="1" si="132"/>
        <v>0</v>
      </c>
      <c r="CZ114" s="66">
        <f t="shared" ca="1" si="132"/>
        <v>0</v>
      </c>
      <c r="DA114" s="66">
        <f t="shared" ca="1" si="132"/>
        <v>0</v>
      </c>
      <c r="DB114" s="66">
        <f t="shared" ca="1" si="132"/>
        <v>0</v>
      </c>
      <c r="DC114" s="66">
        <f t="shared" ca="1" si="132"/>
        <v>0</v>
      </c>
      <c r="DE114" s="254" t="str">
        <f t="shared" ca="1" si="87"/>
        <v>J.2.</v>
      </c>
    </row>
    <row r="115" spans="1:110" hidden="1">
      <c r="A115" s="124">
        <v>103</v>
      </c>
      <c r="B115" s="205" t="str">
        <f t="shared" ca="1" si="84"/>
        <v>J.3.</v>
      </c>
      <c r="C115" s="129" t="str">
        <f t="shared" ca="1" si="85"/>
        <v>Bendra pardavimo PVM suma</v>
      </c>
      <c r="D115" s="114"/>
      <c r="E115" s="148" t="str">
        <f t="shared" ca="1" si="86"/>
        <v/>
      </c>
      <c r="F115" s="139">
        <f ca="1">H115+NPV(FD,I115:INDEX(I115:DC115,PAL))</f>
        <v>0</v>
      </c>
      <c r="G115" s="140">
        <f ca="1">SUMIF($H$5:$DC$5,"&lt;="&amp;PAL,$H115:$DC115)</f>
        <v>0</v>
      </c>
      <c r="H115" s="66">
        <f ca="1">SUMPRODUCT($DG101:$DG110,H101:H110,1/($DG101:$DG110+100))</f>
        <v>0</v>
      </c>
      <c r="I115" s="66">
        <f t="shared" ref="I115:BT115" ca="1" si="133">SUMPRODUCT($DG101:$DG110,I101:I110,1/($DG101:$DG110+100))</f>
        <v>0</v>
      </c>
      <c r="J115" s="66">
        <f t="shared" ca="1" si="133"/>
        <v>0</v>
      </c>
      <c r="K115" s="66">
        <f t="shared" ca="1" si="133"/>
        <v>0</v>
      </c>
      <c r="L115" s="66">
        <f t="shared" ca="1" si="133"/>
        <v>0</v>
      </c>
      <c r="M115" s="66">
        <f t="shared" ca="1" si="133"/>
        <v>0</v>
      </c>
      <c r="N115" s="66">
        <f t="shared" ca="1" si="133"/>
        <v>0</v>
      </c>
      <c r="O115" s="66">
        <f t="shared" ca="1" si="133"/>
        <v>0</v>
      </c>
      <c r="P115" s="66">
        <f t="shared" ca="1" si="133"/>
        <v>0</v>
      </c>
      <c r="Q115" s="66">
        <f t="shared" ca="1" si="133"/>
        <v>0</v>
      </c>
      <c r="R115" s="66">
        <f t="shared" ca="1" si="133"/>
        <v>0</v>
      </c>
      <c r="S115" s="66">
        <f t="shared" ca="1" si="133"/>
        <v>0</v>
      </c>
      <c r="T115" s="66">
        <f t="shared" ca="1" si="133"/>
        <v>0</v>
      </c>
      <c r="U115" s="66">
        <f t="shared" ca="1" si="133"/>
        <v>0</v>
      </c>
      <c r="V115" s="66">
        <f t="shared" ca="1" si="133"/>
        <v>0</v>
      </c>
      <c r="W115" s="66">
        <f t="shared" ca="1" si="133"/>
        <v>0</v>
      </c>
      <c r="X115" s="66">
        <f t="shared" ca="1" si="133"/>
        <v>0</v>
      </c>
      <c r="Y115" s="66">
        <f t="shared" ca="1" si="133"/>
        <v>0</v>
      </c>
      <c r="Z115" s="66">
        <f t="shared" ca="1" si="133"/>
        <v>0</v>
      </c>
      <c r="AA115" s="66">
        <f t="shared" ca="1" si="133"/>
        <v>0</v>
      </c>
      <c r="AB115" s="66">
        <f t="shared" ca="1" si="133"/>
        <v>0</v>
      </c>
      <c r="AC115" s="66">
        <f t="shared" ca="1" si="133"/>
        <v>0</v>
      </c>
      <c r="AD115" s="66">
        <f t="shared" ca="1" si="133"/>
        <v>0</v>
      </c>
      <c r="AE115" s="66">
        <f t="shared" ca="1" si="133"/>
        <v>0</v>
      </c>
      <c r="AF115" s="66">
        <f t="shared" ca="1" si="133"/>
        <v>0</v>
      </c>
      <c r="AG115" s="66">
        <f t="shared" ca="1" si="133"/>
        <v>0</v>
      </c>
      <c r="AH115" s="66">
        <f t="shared" ca="1" si="133"/>
        <v>0</v>
      </c>
      <c r="AI115" s="66">
        <f t="shared" ca="1" si="133"/>
        <v>0</v>
      </c>
      <c r="AJ115" s="66">
        <f t="shared" ca="1" si="133"/>
        <v>0</v>
      </c>
      <c r="AK115" s="66">
        <f t="shared" ca="1" si="133"/>
        <v>0</v>
      </c>
      <c r="AL115" s="66">
        <f t="shared" ca="1" si="133"/>
        <v>0</v>
      </c>
      <c r="AM115" s="66">
        <f t="shared" ca="1" si="133"/>
        <v>0</v>
      </c>
      <c r="AN115" s="66">
        <f t="shared" ca="1" si="133"/>
        <v>0</v>
      </c>
      <c r="AO115" s="66">
        <f t="shared" ca="1" si="133"/>
        <v>0</v>
      </c>
      <c r="AP115" s="66">
        <f t="shared" ca="1" si="133"/>
        <v>0</v>
      </c>
      <c r="AQ115" s="66">
        <f t="shared" ca="1" si="133"/>
        <v>0</v>
      </c>
      <c r="AR115" s="66">
        <f t="shared" ca="1" si="133"/>
        <v>0</v>
      </c>
      <c r="AS115" s="66">
        <f t="shared" ca="1" si="133"/>
        <v>0</v>
      </c>
      <c r="AT115" s="66">
        <f t="shared" ca="1" si="133"/>
        <v>0</v>
      </c>
      <c r="AU115" s="66">
        <f t="shared" ca="1" si="133"/>
        <v>0</v>
      </c>
      <c r="AV115" s="66">
        <f t="shared" ca="1" si="133"/>
        <v>0</v>
      </c>
      <c r="AW115" s="66">
        <f t="shared" ca="1" si="133"/>
        <v>0</v>
      </c>
      <c r="AX115" s="66">
        <f t="shared" ca="1" si="133"/>
        <v>0</v>
      </c>
      <c r="AY115" s="66">
        <f t="shared" ca="1" si="133"/>
        <v>0</v>
      </c>
      <c r="AZ115" s="66">
        <f t="shared" ca="1" si="133"/>
        <v>0</v>
      </c>
      <c r="BA115" s="66">
        <f t="shared" ca="1" si="133"/>
        <v>0</v>
      </c>
      <c r="BB115" s="66">
        <f t="shared" ca="1" si="133"/>
        <v>0</v>
      </c>
      <c r="BC115" s="66">
        <f t="shared" ca="1" si="133"/>
        <v>0</v>
      </c>
      <c r="BD115" s="66">
        <f t="shared" ca="1" si="133"/>
        <v>0</v>
      </c>
      <c r="BE115" s="66">
        <f t="shared" ca="1" si="133"/>
        <v>0</v>
      </c>
      <c r="BF115" s="66">
        <f t="shared" ca="1" si="133"/>
        <v>0</v>
      </c>
      <c r="BG115" s="66">
        <f t="shared" ca="1" si="133"/>
        <v>0</v>
      </c>
      <c r="BH115" s="66">
        <f t="shared" ca="1" si="133"/>
        <v>0</v>
      </c>
      <c r="BI115" s="66">
        <f t="shared" ca="1" si="133"/>
        <v>0</v>
      </c>
      <c r="BJ115" s="66">
        <f t="shared" ca="1" si="133"/>
        <v>0</v>
      </c>
      <c r="BK115" s="66">
        <f t="shared" ca="1" si="133"/>
        <v>0</v>
      </c>
      <c r="BL115" s="66">
        <f t="shared" ca="1" si="133"/>
        <v>0</v>
      </c>
      <c r="BM115" s="66">
        <f t="shared" ca="1" si="133"/>
        <v>0</v>
      </c>
      <c r="BN115" s="66">
        <f t="shared" ca="1" si="133"/>
        <v>0</v>
      </c>
      <c r="BO115" s="66">
        <f t="shared" ca="1" si="133"/>
        <v>0</v>
      </c>
      <c r="BP115" s="66">
        <f t="shared" ca="1" si="133"/>
        <v>0</v>
      </c>
      <c r="BQ115" s="66">
        <f t="shared" ca="1" si="133"/>
        <v>0</v>
      </c>
      <c r="BR115" s="66">
        <f t="shared" ca="1" si="133"/>
        <v>0</v>
      </c>
      <c r="BS115" s="66">
        <f t="shared" ca="1" si="133"/>
        <v>0</v>
      </c>
      <c r="BT115" s="66">
        <f t="shared" ca="1" si="133"/>
        <v>0</v>
      </c>
      <c r="BU115" s="66">
        <f t="shared" ref="BU115:DC115" ca="1" si="134">SUMPRODUCT($DG101:$DG110,BU101:BU110,1/($DG101:$DG110+100))</f>
        <v>0</v>
      </c>
      <c r="BV115" s="66">
        <f t="shared" ca="1" si="134"/>
        <v>0</v>
      </c>
      <c r="BW115" s="66">
        <f t="shared" ca="1" si="134"/>
        <v>0</v>
      </c>
      <c r="BX115" s="66">
        <f t="shared" ca="1" si="134"/>
        <v>0</v>
      </c>
      <c r="BY115" s="66">
        <f t="shared" ca="1" si="134"/>
        <v>0</v>
      </c>
      <c r="BZ115" s="66">
        <f t="shared" ca="1" si="134"/>
        <v>0</v>
      </c>
      <c r="CA115" s="66">
        <f t="shared" ca="1" si="134"/>
        <v>0</v>
      </c>
      <c r="CB115" s="66">
        <f t="shared" ca="1" si="134"/>
        <v>0</v>
      </c>
      <c r="CC115" s="66">
        <f t="shared" ca="1" si="134"/>
        <v>0</v>
      </c>
      <c r="CD115" s="66">
        <f t="shared" ca="1" si="134"/>
        <v>0</v>
      </c>
      <c r="CE115" s="66">
        <f t="shared" ca="1" si="134"/>
        <v>0</v>
      </c>
      <c r="CF115" s="66">
        <f t="shared" ca="1" si="134"/>
        <v>0</v>
      </c>
      <c r="CG115" s="66">
        <f t="shared" ca="1" si="134"/>
        <v>0</v>
      </c>
      <c r="CH115" s="66">
        <f t="shared" ca="1" si="134"/>
        <v>0</v>
      </c>
      <c r="CI115" s="66">
        <f t="shared" ca="1" si="134"/>
        <v>0</v>
      </c>
      <c r="CJ115" s="66">
        <f t="shared" ca="1" si="134"/>
        <v>0</v>
      </c>
      <c r="CK115" s="66">
        <f t="shared" ca="1" si="134"/>
        <v>0</v>
      </c>
      <c r="CL115" s="66">
        <f t="shared" ca="1" si="134"/>
        <v>0</v>
      </c>
      <c r="CM115" s="66">
        <f t="shared" ca="1" si="134"/>
        <v>0</v>
      </c>
      <c r="CN115" s="66">
        <f t="shared" ca="1" si="134"/>
        <v>0</v>
      </c>
      <c r="CO115" s="66">
        <f t="shared" ca="1" si="134"/>
        <v>0</v>
      </c>
      <c r="CP115" s="66">
        <f t="shared" ca="1" si="134"/>
        <v>0</v>
      </c>
      <c r="CQ115" s="66">
        <f t="shared" ca="1" si="134"/>
        <v>0</v>
      </c>
      <c r="CR115" s="66">
        <f t="shared" ca="1" si="134"/>
        <v>0</v>
      </c>
      <c r="CS115" s="66">
        <f t="shared" ca="1" si="134"/>
        <v>0</v>
      </c>
      <c r="CT115" s="66">
        <f t="shared" ca="1" si="134"/>
        <v>0</v>
      </c>
      <c r="CU115" s="66">
        <f t="shared" ca="1" si="134"/>
        <v>0</v>
      </c>
      <c r="CV115" s="66">
        <f t="shared" ca="1" si="134"/>
        <v>0</v>
      </c>
      <c r="CW115" s="66">
        <f t="shared" ca="1" si="134"/>
        <v>0</v>
      </c>
      <c r="CX115" s="66">
        <f t="shared" ca="1" si="134"/>
        <v>0</v>
      </c>
      <c r="CY115" s="66">
        <f t="shared" ca="1" si="134"/>
        <v>0</v>
      </c>
      <c r="CZ115" s="66">
        <f t="shared" ca="1" si="134"/>
        <v>0</v>
      </c>
      <c r="DA115" s="66">
        <f t="shared" ca="1" si="134"/>
        <v>0</v>
      </c>
      <c r="DB115" s="66">
        <f t="shared" ca="1" si="134"/>
        <v>0</v>
      </c>
      <c r="DC115" s="66">
        <f t="shared" ca="1" si="134"/>
        <v>0</v>
      </c>
      <c r="DE115" s="254" t="str">
        <f t="shared" ca="1" si="87"/>
        <v>J.3.</v>
      </c>
    </row>
    <row r="116" spans="1:110" ht="57.6" hidden="1">
      <c r="A116" s="124">
        <v>104</v>
      </c>
      <c r="B116" s="205" t="str">
        <f t="shared" ca="1" si="84"/>
        <v>K.</v>
      </c>
      <c r="C116" s="197" t="str">
        <f t="shared" ca="1" si="85"/>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114"/>
      <c r="E116" s="148" t="str">
        <f t="shared" ca="1" si="86"/>
        <v/>
      </c>
      <c r="F116" s="139">
        <f ca="1">H116+NPV(FD,I116:INDEX(I116:DC116,PAL))</f>
        <v>34.342439635093235</v>
      </c>
      <c r="G116" s="140">
        <f ca="1">SUMIF($H$5:$DC$5,"&lt;="&amp;PAL,$H116:$DC116)</f>
        <v>47</v>
      </c>
      <c r="H116" s="138">
        <f t="shared" ref="H116:BS116" ca="1" si="135">OFFSET(INDIRECT("'"&amp;Opt_alt&amp;"'!H12"),$A116,H$5)*$DF116</f>
        <v>0</v>
      </c>
      <c r="I116" s="138">
        <f t="shared" ca="1" si="135"/>
        <v>0</v>
      </c>
      <c r="J116" s="138">
        <f t="shared" ca="1" si="135"/>
        <v>0</v>
      </c>
      <c r="K116" s="138">
        <f t="shared" ca="1" si="135"/>
        <v>0</v>
      </c>
      <c r="L116" s="138">
        <f t="shared" ca="1" si="135"/>
        <v>0</v>
      </c>
      <c r="M116" s="138">
        <f t="shared" ca="1" si="135"/>
        <v>0</v>
      </c>
      <c r="N116" s="138">
        <f t="shared" ca="1" si="135"/>
        <v>0</v>
      </c>
      <c r="O116" s="138">
        <f t="shared" ca="1" si="135"/>
        <v>0</v>
      </c>
      <c r="P116" s="138">
        <f t="shared" ca="1" si="135"/>
        <v>47</v>
      </c>
      <c r="Q116" s="138">
        <f t="shared" ca="1" si="135"/>
        <v>0</v>
      </c>
      <c r="R116" s="138">
        <f t="shared" ca="1" si="135"/>
        <v>0</v>
      </c>
      <c r="S116" s="138">
        <f t="shared" ca="1" si="135"/>
        <v>0</v>
      </c>
      <c r="T116" s="138">
        <f t="shared" ca="1" si="135"/>
        <v>0</v>
      </c>
      <c r="U116" s="138">
        <f t="shared" ca="1" si="135"/>
        <v>0</v>
      </c>
      <c r="V116" s="138">
        <f t="shared" ca="1" si="135"/>
        <v>0</v>
      </c>
      <c r="W116" s="138">
        <f t="shared" ca="1" si="135"/>
        <v>0</v>
      </c>
      <c r="X116" s="138">
        <f t="shared" ca="1" si="135"/>
        <v>0</v>
      </c>
      <c r="Y116" s="138">
        <f t="shared" ca="1" si="135"/>
        <v>0</v>
      </c>
      <c r="Z116" s="138">
        <f t="shared" ca="1" si="135"/>
        <v>0</v>
      </c>
      <c r="AA116" s="138">
        <f t="shared" ca="1" si="135"/>
        <v>0</v>
      </c>
      <c r="AB116" s="138">
        <f t="shared" ca="1" si="135"/>
        <v>0</v>
      </c>
      <c r="AC116" s="138">
        <f t="shared" ca="1" si="135"/>
        <v>0</v>
      </c>
      <c r="AD116" s="138">
        <f t="shared" ca="1" si="135"/>
        <v>0</v>
      </c>
      <c r="AE116" s="138">
        <f t="shared" ca="1" si="135"/>
        <v>0</v>
      </c>
      <c r="AF116" s="138">
        <f t="shared" ca="1" si="135"/>
        <v>0</v>
      </c>
      <c r="AG116" s="138">
        <f t="shared" ca="1" si="135"/>
        <v>0</v>
      </c>
      <c r="AH116" s="138">
        <f t="shared" ca="1" si="135"/>
        <v>0</v>
      </c>
      <c r="AI116" s="138">
        <f t="shared" ca="1" si="135"/>
        <v>0</v>
      </c>
      <c r="AJ116" s="138">
        <f t="shared" ca="1" si="135"/>
        <v>0</v>
      </c>
      <c r="AK116" s="138">
        <f t="shared" ca="1" si="135"/>
        <v>0</v>
      </c>
      <c r="AL116" s="138">
        <f t="shared" ca="1" si="135"/>
        <v>0</v>
      </c>
      <c r="AM116" s="138">
        <f t="shared" ca="1" si="135"/>
        <v>0</v>
      </c>
      <c r="AN116" s="138">
        <f t="shared" ca="1" si="135"/>
        <v>0</v>
      </c>
      <c r="AO116" s="138">
        <f t="shared" ca="1" si="135"/>
        <v>0</v>
      </c>
      <c r="AP116" s="138">
        <f t="shared" ca="1" si="135"/>
        <v>0</v>
      </c>
      <c r="AQ116" s="138">
        <f t="shared" ca="1" si="135"/>
        <v>0</v>
      </c>
      <c r="AR116" s="138">
        <f t="shared" ca="1" si="135"/>
        <v>0</v>
      </c>
      <c r="AS116" s="138">
        <f t="shared" ca="1" si="135"/>
        <v>0</v>
      </c>
      <c r="AT116" s="138">
        <f t="shared" ca="1" si="135"/>
        <v>0</v>
      </c>
      <c r="AU116" s="138">
        <f t="shared" ca="1" si="135"/>
        <v>0</v>
      </c>
      <c r="AV116" s="138">
        <f t="shared" ca="1" si="135"/>
        <v>0</v>
      </c>
      <c r="AW116" s="138">
        <f t="shared" ca="1" si="135"/>
        <v>0</v>
      </c>
      <c r="AX116" s="138">
        <f t="shared" ca="1" si="135"/>
        <v>0</v>
      </c>
      <c r="AY116" s="138">
        <f t="shared" ca="1" si="135"/>
        <v>0</v>
      </c>
      <c r="AZ116" s="138">
        <f t="shared" ca="1" si="135"/>
        <v>0</v>
      </c>
      <c r="BA116" s="138">
        <f t="shared" ca="1" si="135"/>
        <v>0</v>
      </c>
      <c r="BB116" s="138">
        <f t="shared" ca="1" si="135"/>
        <v>0</v>
      </c>
      <c r="BC116" s="138">
        <f t="shared" ca="1" si="135"/>
        <v>0</v>
      </c>
      <c r="BD116" s="138">
        <f t="shared" ca="1" si="135"/>
        <v>0</v>
      </c>
      <c r="BE116" s="138">
        <f t="shared" ca="1" si="135"/>
        <v>0</v>
      </c>
      <c r="BF116" s="138">
        <f t="shared" ca="1" si="135"/>
        <v>0</v>
      </c>
      <c r="BG116" s="138">
        <f t="shared" ca="1" si="135"/>
        <v>0</v>
      </c>
      <c r="BH116" s="138">
        <f t="shared" ca="1" si="135"/>
        <v>0</v>
      </c>
      <c r="BI116" s="138">
        <f t="shared" ca="1" si="135"/>
        <v>0</v>
      </c>
      <c r="BJ116" s="138">
        <f t="shared" ca="1" si="135"/>
        <v>0</v>
      </c>
      <c r="BK116" s="138">
        <f t="shared" ca="1" si="135"/>
        <v>0</v>
      </c>
      <c r="BL116" s="138">
        <f t="shared" ca="1" si="135"/>
        <v>0</v>
      </c>
      <c r="BM116" s="138">
        <f t="shared" ca="1" si="135"/>
        <v>0</v>
      </c>
      <c r="BN116" s="138">
        <f t="shared" ca="1" si="135"/>
        <v>0</v>
      </c>
      <c r="BO116" s="138">
        <f t="shared" ca="1" si="135"/>
        <v>0</v>
      </c>
      <c r="BP116" s="138">
        <f t="shared" ca="1" si="135"/>
        <v>0</v>
      </c>
      <c r="BQ116" s="138">
        <f t="shared" ca="1" si="135"/>
        <v>0</v>
      </c>
      <c r="BR116" s="138">
        <f t="shared" ca="1" si="135"/>
        <v>0</v>
      </c>
      <c r="BS116" s="138">
        <f t="shared" ca="1" si="135"/>
        <v>0</v>
      </c>
      <c r="BT116" s="138">
        <f t="shared" ref="BT116:DC116" ca="1" si="136">OFFSET(INDIRECT("'"&amp;Opt_alt&amp;"'!H12"),$A116,BT$5)*$DF116</f>
        <v>0</v>
      </c>
      <c r="BU116" s="138">
        <f t="shared" ca="1" si="136"/>
        <v>0</v>
      </c>
      <c r="BV116" s="138">
        <f t="shared" ca="1" si="136"/>
        <v>0</v>
      </c>
      <c r="BW116" s="138">
        <f t="shared" ca="1" si="136"/>
        <v>0</v>
      </c>
      <c r="BX116" s="138">
        <f t="shared" ca="1" si="136"/>
        <v>0</v>
      </c>
      <c r="BY116" s="138">
        <f t="shared" ca="1" si="136"/>
        <v>0</v>
      </c>
      <c r="BZ116" s="138">
        <f t="shared" ca="1" si="136"/>
        <v>0</v>
      </c>
      <c r="CA116" s="138">
        <f t="shared" ca="1" si="136"/>
        <v>0</v>
      </c>
      <c r="CB116" s="138">
        <f t="shared" ca="1" si="136"/>
        <v>0</v>
      </c>
      <c r="CC116" s="138">
        <f t="shared" ca="1" si="136"/>
        <v>0</v>
      </c>
      <c r="CD116" s="138">
        <f t="shared" ca="1" si="136"/>
        <v>0</v>
      </c>
      <c r="CE116" s="138">
        <f t="shared" ca="1" si="136"/>
        <v>0</v>
      </c>
      <c r="CF116" s="138">
        <f t="shared" ca="1" si="136"/>
        <v>0</v>
      </c>
      <c r="CG116" s="138">
        <f t="shared" ca="1" si="136"/>
        <v>0</v>
      </c>
      <c r="CH116" s="138">
        <f t="shared" ca="1" si="136"/>
        <v>0</v>
      </c>
      <c r="CI116" s="138">
        <f t="shared" ca="1" si="136"/>
        <v>0</v>
      </c>
      <c r="CJ116" s="138">
        <f t="shared" ca="1" si="136"/>
        <v>0</v>
      </c>
      <c r="CK116" s="138">
        <f t="shared" ca="1" si="136"/>
        <v>0</v>
      </c>
      <c r="CL116" s="138">
        <f t="shared" ca="1" si="136"/>
        <v>0</v>
      </c>
      <c r="CM116" s="138">
        <f t="shared" ca="1" si="136"/>
        <v>0</v>
      </c>
      <c r="CN116" s="138">
        <f t="shared" ca="1" si="136"/>
        <v>0</v>
      </c>
      <c r="CO116" s="138">
        <f t="shared" ca="1" si="136"/>
        <v>0</v>
      </c>
      <c r="CP116" s="138">
        <f t="shared" ca="1" si="136"/>
        <v>0</v>
      </c>
      <c r="CQ116" s="138">
        <f t="shared" ca="1" si="136"/>
        <v>0</v>
      </c>
      <c r="CR116" s="138">
        <f t="shared" ca="1" si="136"/>
        <v>0</v>
      </c>
      <c r="CS116" s="138">
        <f t="shared" ca="1" si="136"/>
        <v>0</v>
      </c>
      <c r="CT116" s="138">
        <f t="shared" ca="1" si="136"/>
        <v>0</v>
      </c>
      <c r="CU116" s="138">
        <f t="shared" ca="1" si="136"/>
        <v>0</v>
      </c>
      <c r="CV116" s="138">
        <f t="shared" ca="1" si="136"/>
        <v>0</v>
      </c>
      <c r="CW116" s="138">
        <f t="shared" ca="1" si="136"/>
        <v>0</v>
      </c>
      <c r="CX116" s="138">
        <f t="shared" ca="1" si="136"/>
        <v>0</v>
      </c>
      <c r="CY116" s="138">
        <f t="shared" ca="1" si="136"/>
        <v>0</v>
      </c>
      <c r="CZ116" s="138">
        <f t="shared" ca="1" si="136"/>
        <v>0</v>
      </c>
      <c r="DA116" s="138">
        <f t="shared" ca="1" si="136"/>
        <v>0</v>
      </c>
      <c r="DB116" s="138">
        <f t="shared" ca="1" si="136"/>
        <v>0</v>
      </c>
      <c r="DC116" s="138">
        <f t="shared" ca="1" si="136"/>
        <v>0</v>
      </c>
      <c r="DD116" s="65"/>
      <c r="DE116" s="254" t="str">
        <f t="shared" ca="1" si="87"/>
        <v>K.</v>
      </c>
      <c r="DF116">
        <f ca="1">VLOOKUP(DE116,scenarijai,$DF$6,FALSE)</f>
        <v>1</v>
      </c>
    </row>
    <row r="117" spans="1:110" hidden="1">
      <c r="A117" s="124">
        <v>105</v>
      </c>
      <c r="B117" s="205" t="str">
        <f t="shared" ca="1" si="84"/>
        <v>L.</v>
      </c>
      <c r="C117" s="197" t="str">
        <f t="shared" ca="1" si="85"/>
        <v>SOCIALINIS - EKONOMINIS POVEIKIS</v>
      </c>
      <c r="D117" s="130"/>
      <c r="E117" s="233" t="str">
        <f t="shared" ca="1" si="86"/>
        <v/>
      </c>
      <c r="F117" s="139">
        <f ca="1">H117+NPV(SD,I117:INDEX(I117:DC117,PAL))</f>
        <v>993494049.10936689</v>
      </c>
      <c r="G117" s="140">
        <f ca="1">SUMIF($H$5:$DC$5,"&lt;="&amp;PAL,$H117:$DC117)</f>
        <v>1744156918.0377769</v>
      </c>
      <c r="H117" s="234">
        <f ca="1">H118-H126</f>
        <v>0</v>
      </c>
      <c r="I117" s="234">
        <f t="shared" ref="I117:BT117" ca="1" si="137">I118-I126</f>
        <v>986517.07499999995</v>
      </c>
      <c r="J117" s="234">
        <f t="shared" ca="1" si="137"/>
        <v>29971710.582949981</v>
      </c>
      <c r="K117" s="234">
        <f t="shared" ca="1" si="137"/>
        <v>39813188.262664638</v>
      </c>
      <c r="L117" s="234">
        <f t="shared" ca="1" si="137"/>
        <v>79971113.424679369</v>
      </c>
      <c r="M117" s="234">
        <f t="shared" ca="1" si="137"/>
        <v>81973812.617989585</v>
      </c>
      <c r="N117" s="234">
        <f t="shared" ca="1" si="137"/>
        <v>84031667.615582794</v>
      </c>
      <c r="O117" s="234">
        <f t="shared" ca="1" si="137"/>
        <v>86146238.087174118</v>
      </c>
      <c r="P117" s="234">
        <f t="shared" ca="1" si="137"/>
        <v>88319128.153823182</v>
      </c>
      <c r="Q117" s="234">
        <f t="shared" ca="1" si="137"/>
        <v>90551987.658498988</v>
      </c>
      <c r="R117" s="234">
        <f t="shared" ca="1" si="137"/>
        <v>92846513.473009497</v>
      </c>
      <c r="S117" s="234">
        <f t="shared" ca="1" si="137"/>
        <v>95204450.842344388</v>
      </c>
      <c r="T117" s="234">
        <f t="shared" ca="1" si="137"/>
        <v>97627594.767496973</v>
      </c>
      <c r="U117" s="234">
        <f t="shared" ca="1" si="137"/>
        <v>100117791.42787302</v>
      </c>
      <c r="V117" s="234">
        <f t="shared" ca="1" si="137"/>
        <v>102676939.64441568</v>
      </c>
      <c r="W117" s="234">
        <f t="shared" ca="1" si="137"/>
        <v>105306992.38461655</v>
      </c>
      <c r="X117" s="234">
        <f t="shared" ca="1" si="137"/>
        <v>108009958.31061207</v>
      </c>
      <c r="Y117" s="234">
        <f t="shared" ca="1" si="137"/>
        <v>110787903.37159793</v>
      </c>
      <c r="Z117" s="234">
        <f t="shared" ca="1" si="137"/>
        <v>113642952.44183469</v>
      </c>
      <c r="AA117" s="234">
        <f t="shared" ca="1" si="137"/>
        <v>116577291.00554751</v>
      </c>
      <c r="AB117" s="234">
        <f t="shared" ca="1" si="137"/>
        <v>119593166.89006588</v>
      </c>
      <c r="AC117" s="234" t="e">
        <f t="shared" ca="1" si="137"/>
        <v>#REF!</v>
      </c>
      <c r="AD117" s="234" t="e">
        <f t="shared" ca="1" si="137"/>
        <v>#REF!</v>
      </c>
      <c r="AE117" s="234" t="e">
        <f t="shared" ca="1" si="137"/>
        <v>#REF!</v>
      </c>
      <c r="AF117" s="234" t="e">
        <f t="shared" ca="1" si="137"/>
        <v>#REF!</v>
      </c>
      <c r="AG117" s="234" t="e">
        <f t="shared" ca="1" si="137"/>
        <v>#REF!</v>
      </c>
      <c r="AH117" s="234" t="e">
        <f t="shared" ca="1" si="137"/>
        <v>#REF!</v>
      </c>
      <c r="AI117" s="234" t="e">
        <f t="shared" ca="1" si="137"/>
        <v>#REF!</v>
      </c>
      <c r="AJ117" s="234" t="e">
        <f t="shared" ca="1" si="137"/>
        <v>#REF!</v>
      </c>
      <c r="AK117" s="234" t="e">
        <f t="shared" ca="1" si="137"/>
        <v>#REF!</v>
      </c>
      <c r="AL117" s="234" t="e">
        <f t="shared" ca="1" si="137"/>
        <v>#REF!</v>
      </c>
      <c r="AM117" s="234" t="e">
        <f t="shared" ca="1" si="137"/>
        <v>#REF!</v>
      </c>
      <c r="AN117" s="234" t="e">
        <f t="shared" ca="1" si="137"/>
        <v>#REF!</v>
      </c>
      <c r="AO117" s="234" t="e">
        <f t="shared" ca="1" si="137"/>
        <v>#REF!</v>
      </c>
      <c r="AP117" s="234" t="e">
        <f t="shared" ca="1" si="137"/>
        <v>#REF!</v>
      </c>
      <c r="AQ117" s="234" t="e">
        <f t="shared" ca="1" si="137"/>
        <v>#REF!</v>
      </c>
      <c r="AR117" s="234" t="e">
        <f t="shared" ca="1" si="137"/>
        <v>#REF!</v>
      </c>
      <c r="AS117" s="234" t="e">
        <f t="shared" ca="1" si="137"/>
        <v>#REF!</v>
      </c>
      <c r="AT117" s="234" t="e">
        <f t="shared" ca="1" si="137"/>
        <v>#REF!</v>
      </c>
      <c r="AU117" s="234" t="e">
        <f t="shared" ca="1" si="137"/>
        <v>#REF!</v>
      </c>
      <c r="AV117" s="234" t="e">
        <f t="shared" ca="1" si="137"/>
        <v>#REF!</v>
      </c>
      <c r="AW117" s="234" t="e">
        <f t="shared" ca="1" si="137"/>
        <v>#REF!</v>
      </c>
      <c r="AX117" s="234" t="e">
        <f t="shared" ca="1" si="137"/>
        <v>#REF!</v>
      </c>
      <c r="AY117" s="234" t="e">
        <f t="shared" ca="1" si="137"/>
        <v>#REF!</v>
      </c>
      <c r="AZ117" s="234" t="e">
        <f t="shared" ca="1" si="137"/>
        <v>#REF!</v>
      </c>
      <c r="BA117" s="234" t="e">
        <f t="shared" ca="1" si="137"/>
        <v>#REF!</v>
      </c>
      <c r="BB117" s="234" t="e">
        <f t="shared" ca="1" si="137"/>
        <v>#REF!</v>
      </c>
      <c r="BC117" s="234" t="e">
        <f t="shared" ca="1" si="137"/>
        <v>#REF!</v>
      </c>
      <c r="BD117" s="234" t="e">
        <f t="shared" ca="1" si="137"/>
        <v>#REF!</v>
      </c>
      <c r="BE117" s="234" t="e">
        <f t="shared" ca="1" si="137"/>
        <v>#REF!</v>
      </c>
      <c r="BF117" s="234" t="e">
        <f t="shared" ca="1" si="137"/>
        <v>#REF!</v>
      </c>
      <c r="BG117" s="234" t="e">
        <f t="shared" ca="1" si="137"/>
        <v>#REF!</v>
      </c>
      <c r="BH117" s="234" t="e">
        <f t="shared" ca="1" si="137"/>
        <v>#REF!</v>
      </c>
      <c r="BI117" s="234" t="e">
        <f t="shared" ca="1" si="137"/>
        <v>#REF!</v>
      </c>
      <c r="BJ117" s="234" t="e">
        <f t="shared" ca="1" si="137"/>
        <v>#REF!</v>
      </c>
      <c r="BK117" s="234" t="e">
        <f t="shared" ca="1" si="137"/>
        <v>#REF!</v>
      </c>
      <c r="BL117" s="234" t="e">
        <f t="shared" ca="1" si="137"/>
        <v>#REF!</v>
      </c>
      <c r="BM117" s="234" t="e">
        <f t="shared" ca="1" si="137"/>
        <v>#REF!</v>
      </c>
      <c r="BN117" s="234" t="e">
        <f t="shared" ca="1" si="137"/>
        <v>#REF!</v>
      </c>
      <c r="BO117" s="234" t="e">
        <f t="shared" ca="1" si="137"/>
        <v>#REF!</v>
      </c>
      <c r="BP117" s="234" t="e">
        <f t="shared" ca="1" si="137"/>
        <v>#REF!</v>
      </c>
      <c r="BQ117" s="234" t="e">
        <f t="shared" ca="1" si="137"/>
        <v>#REF!</v>
      </c>
      <c r="BR117" s="234" t="e">
        <f t="shared" ca="1" si="137"/>
        <v>#REF!</v>
      </c>
      <c r="BS117" s="234" t="e">
        <f t="shared" ca="1" si="137"/>
        <v>#REF!</v>
      </c>
      <c r="BT117" s="234" t="e">
        <f t="shared" ca="1" si="137"/>
        <v>#REF!</v>
      </c>
      <c r="BU117" s="234" t="e">
        <f t="shared" ref="BU117:DC117" ca="1" si="138">BU118-BU126</f>
        <v>#REF!</v>
      </c>
      <c r="BV117" s="234" t="e">
        <f t="shared" ca="1" si="138"/>
        <v>#REF!</v>
      </c>
      <c r="BW117" s="234" t="e">
        <f t="shared" ca="1" si="138"/>
        <v>#REF!</v>
      </c>
      <c r="BX117" s="234" t="e">
        <f t="shared" ca="1" si="138"/>
        <v>#REF!</v>
      </c>
      <c r="BY117" s="234" t="e">
        <f t="shared" ca="1" si="138"/>
        <v>#REF!</v>
      </c>
      <c r="BZ117" s="234" t="e">
        <f t="shared" ca="1" si="138"/>
        <v>#REF!</v>
      </c>
      <c r="CA117" s="234" t="e">
        <f t="shared" ca="1" si="138"/>
        <v>#REF!</v>
      </c>
      <c r="CB117" s="234" t="e">
        <f t="shared" ca="1" si="138"/>
        <v>#REF!</v>
      </c>
      <c r="CC117" s="234" t="e">
        <f t="shared" ca="1" si="138"/>
        <v>#REF!</v>
      </c>
      <c r="CD117" s="234" t="e">
        <f t="shared" ca="1" si="138"/>
        <v>#REF!</v>
      </c>
      <c r="CE117" s="234" t="e">
        <f t="shared" ca="1" si="138"/>
        <v>#REF!</v>
      </c>
      <c r="CF117" s="234" t="e">
        <f t="shared" ca="1" si="138"/>
        <v>#REF!</v>
      </c>
      <c r="CG117" s="234" t="e">
        <f t="shared" ca="1" si="138"/>
        <v>#REF!</v>
      </c>
      <c r="CH117" s="234" t="e">
        <f t="shared" ca="1" si="138"/>
        <v>#REF!</v>
      </c>
      <c r="CI117" s="234" t="e">
        <f t="shared" ca="1" si="138"/>
        <v>#REF!</v>
      </c>
      <c r="CJ117" s="234" t="e">
        <f t="shared" ca="1" si="138"/>
        <v>#REF!</v>
      </c>
      <c r="CK117" s="234" t="e">
        <f t="shared" ca="1" si="138"/>
        <v>#REF!</v>
      </c>
      <c r="CL117" s="234" t="e">
        <f t="shared" ca="1" si="138"/>
        <v>#REF!</v>
      </c>
      <c r="CM117" s="234" t="e">
        <f t="shared" ca="1" si="138"/>
        <v>#REF!</v>
      </c>
      <c r="CN117" s="234" t="e">
        <f t="shared" ca="1" si="138"/>
        <v>#REF!</v>
      </c>
      <c r="CO117" s="234" t="e">
        <f t="shared" ca="1" si="138"/>
        <v>#REF!</v>
      </c>
      <c r="CP117" s="234" t="e">
        <f t="shared" ca="1" si="138"/>
        <v>#REF!</v>
      </c>
      <c r="CQ117" s="234" t="e">
        <f t="shared" ca="1" si="138"/>
        <v>#REF!</v>
      </c>
      <c r="CR117" s="234" t="e">
        <f t="shared" ca="1" si="138"/>
        <v>#REF!</v>
      </c>
      <c r="CS117" s="234" t="e">
        <f t="shared" ca="1" si="138"/>
        <v>#REF!</v>
      </c>
      <c r="CT117" s="234" t="e">
        <f t="shared" ca="1" si="138"/>
        <v>#REF!</v>
      </c>
      <c r="CU117" s="234" t="e">
        <f t="shared" ca="1" si="138"/>
        <v>#REF!</v>
      </c>
      <c r="CV117" s="234" t="e">
        <f t="shared" ca="1" si="138"/>
        <v>#REF!</v>
      </c>
      <c r="CW117" s="234" t="e">
        <f t="shared" ca="1" si="138"/>
        <v>#REF!</v>
      </c>
      <c r="CX117" s="234" t="e">
        <f t="shared" ca="1" si="138"/>
        <v>#REF!</v>
      </c>
      <c r="CY117" s="234" t="e">
        <f t="shared" ca="1" si="138"/>
        <v>#REF!</v>
      </c>
      <c r="CZ117" s="234" t="e">
        <f t="shared" ca="1" si="138"/>
        <v>#REF!</v>
      </c>
      <c r="DA117" s="234" t="e">
        <f t="shared" ca="1" si="138"/>
        <v>#REF!</v>
      </c>
      <c r="DB117" s="234" t="e">
        <f t="shared" ca="1" si="138"/>
        <v>#REF!</v>
      </c>
      <c r="DC117" s="234" t="e">
        <f t="shared" ca="1" si="138"/>
        <v>#REF!</v>
      </c>
      <c r="DD117" s="65"/>
      <c r="DE117" s="254"/>
    </row>
    <row r="118" spans="1:110" hidden="1">
      <c r="A118" s="124">
        <v>106</v>
      </c>
      <c r="B118" s="205" t="str">
        <f t="shared" ca="1" si="84"/>
        <v>L.1.</v>
      </c>
      <c r="C118" s="197" t="str">
        <f t="shared" ca="1" si="85"/>
        <v>Socialinio - ekonominio poveikio nauda</v>
      </c>
      <c r="D118" s="130" t="str">
        <f>IF(Result_mat=0,"",Result_mat)</f>
        <v>proc.</v>
      </c>
      <c r="E118" s="233" t="str">
        <f t="shared" ca="1" si="86"/>
        <v/>
      </c>
      <c r="F118" s="139">
        <f ca="1">H118+NPV(SD,I118:INDEX(I118:DC118,PAL))</f>
        <v>993494049.10936689</v>
      </c>
      <c r="G118" s="140">
        <f ca="1">SUMIF($H$5:$DC$5,"&lt;="&amp;PAL,$H118:$DC118)</f>
        <v>1744156918.0377769</v>
      </c>
      <c r="H118" s="234">
        <f ca="1">SUM(H119:H125)</f>
        <v>0</v>
      </c>
      <c r="I118" s="234">
        <f t="shared" ref="I118:BT118" ca="1" si="139">SUM(I119:I125)</f>
        <v>986517.07499999995</v>
      </c>
      <c r="J118" s="234">
        <f t="shared" ca="1" si="139"/>
        <v>29971710.582949981</v>
      </c>
      <c r="K118" s="234">
        <f t="shared" ca="1" si="139"/>
        <v>39813188.262664638</v>
      </c>
      <c r="L118" s="234">
        <f t="shared" ca="1" si="139"/>
        <v>79971113.424679369</v>
      </c>
      <c r="M118" s="234">
        <f t="shared" ca="1" si="139"/>
        <v>81973812.617989585</v>
      </c>
      <c r="N118" s="234">
        <f t="shared" ca="1" si="139"/>
        <v>84031667.615582794</v>
      </c>
      <c r="O118" s="234">
        <f t="shared" ca="1" si="139"/>
        <v>86146238.087174118</v>
      </c>
      <c r="P118" s="234">
        <f t="shared" ca="1" si="139"/>
        <v>88319128.153823182</v>
      </c>
      <c r="Q118" s="234">
        <f t="shared" ca="1" si="139"/>
        <v>90551987.658498988</v>
      </c>
      <c r="R118" s="234">
        <f t="shared" ca="1" si="139"/>
        <v>92846513.473009497</v>
      </c>
      <c r="S118" s="234">
        <f t="shared" ca="1" si="139"/>
        <v>95204450.842344388</v>
      </c>
      <c r="T118" s="234">
        <f t="shared" ca="1" si="139"/>
        <v>97627594.767496973</v>
      </c>
      <c r="U118" s="234">
        <f t="shared" ca="1" si="139"/>
        <v>100117791.42787302</v>
      </c>
      <c r="V118" s="234">
        <f t="shared" ca="1" si="139"/>
        <v>102676939.64441568</v>
      </c>
      <c r="W118" s="234">
        <f t="shared" ca="1" si="139"/>
        <v>105306992.38461655</v>
      </c>
      <c r="X118" s="234">
        <f t="shared" ca="1" si="139"/>
        <v>108009958.31061207</v>
      </c>
      <c r="Y118" s="234">
        <f t="shared" ca="1" si="139"/>
        <v>110787903.37159793</v>
      </c>
      <c r="Z118" s="234">
        <f t="shared" ca="1" si="139"/>
        <v>113642952.44183469</v>
      </c>
      <c r="AA118" s="234">
        <f t="shared" ca="1" si="139"/>
        <v>116577291.00554751</v>
      </c>
      <c r="AB118" s="234">
        <f t="shared" ca="1" si="139"/>
        <v>119593166.89006588</v>
      </c>
      <c r="AC118" s="234" t="e">
        <f t="shared" ca="1" si="139"/>
        <v>#REF!</v>
      </c>
      <c r="AD118" s="234" t="e">
        <f t="shared" ca="1" si="139"/>
        <v>#REF!</v>
      </c>
      <c r="AE118" s="234" t="e">
        <f t="shared" ca="1" si="139"/>
        <v>#REF!</v>
      </c>
      <c r="AF118" s="234" t="e">
        <f t="shared" ca="1" si="139"/>
        <v>#REF!</v>
      </c>
      <c r="AG118" s="234" t="e">
        <f t="shared" ca="1" si="139"/>
        <v>#REF!</v>
      </c>
      <c r="AH118" s="234" t="e">
        <f t="shared" ca="1" si="139"/>
        <v>#REF!</v>
      </c>
      <c r="AI118" s="234" t="e">
        <f t="shared" ca="1" si="139"/>
        <v>#REF!</v>
      </c>
      <c r="AJ118" s="234" t="e">
        <f t="shared" ca="1" si="139"/>
        <v>#REF!</v>
      </c>
      <c r="AK118" s="234" t="e">
        <f t="shared" ca="1" si="139"/>
        <v>#REF!</v>
      </c>
      <c r="AL118" s="234" t="e">
        <f t="shared" ca="1" si="139"/>
        <v>#REF!</v>
      </c>
      <c r="AM118" s="234" t="e">
        <f t="shared" ca="1" si="139"/>
        <v>#REF!</v>
      </c>
      <c r="AN118" s="234" t="e">
        <f t="shared" ca="1" si="139"/>
        <v>#REF!</v>
      </c>
      <c r="AO118" s="234" t="e">
        <f t="shared" ca="1" si="139"/>
        <v>#REF!</v>
      </c>
      <c r="AP118" s="234" t="e">
        <f t="shared" ca="1" si="139"/>
        <v>#REF!</v>
      </c>
      <c r="AQ118" s="234" t="e">
        <f t="shared" ca="1" si="139"/>
        <v>#REF!</v>
      </c>
      <c r="AR118" s="234" t="e">
        <f t="shared" ca="1" si="139"/>
        <v>#REF!</v>
      </c>
      <c r="AS118" s="234" t="e">
        <f t="shared" ca="1" si="139"/>
        <v>#REF!</v>
      </c>
      <c r="AT118" s="234" t="e">
        <f t="shared" ca="1" si="139"/>
        <v>#REF!</v>
      </c>
      <c r="AU118" s="234" t="e">
        <f t="shared" ca="1" si="139"/>
        <v>#REF!</v>
      </c>
      <c r="AV118" s="234" t="e">
        <f t="shared" ca="1" si="139"/>
        <v>#REF!</v>
      </c>
      <c r="AW118" s="234" t="e">
        <f t="shared" ca="1" si="139"/>
        <v>#REF!</v>
      </c>
      <c r="AX118" s="234" t="e">
        <f t="shared" ca="1" si="139"/>
        <v>#REF!</v>
      </c>
      <c r="AY118" s="234" t="e">
        <f t="shared" ca="1" si="139"/>
        <v>#REF!</v>
      </c>
      <c r="AZ118" s="234" t="e">
        <f t="shared" ca="1" si="139"/>
        <v>#REF!</v>
      </c>
      <c r="BA118" s="234" t="e">
        <f t="shared" ca="1" si="139"/>
        <v>#REF!</v>
      </c>
      <c r="BB118" s="234" t="e">
        <f t="shared" ca="1" si="139"/>
        <v>#REF!</v>
      </c>
      <c r="BC118" s="234" t="e">
        <f t="shared" ca="1" si="139"/>
        <v>#REF!</v>
      </c>
      <c r="BD118" s="234" t="e">
        <f t="shared" ca="1" si="139"/>
        <v>#REF!</v>
      </c>
      <c r="BE118" s="234" t="e">
        <f t="shared" ca="1" si="139"/>
        <v>#REF!</v>
      </c>
      <c r="BF118" s="234" t="e">
        <f t="shared" ca="1" si="139"/>
        <v>#REF!</v>
      </c>
      <c r="BG118" s="234" t="e">
        <f t="shared" ca="1" si="139"/>
        <v>#REF!</v>
      </c>
      <c r="BH118" s="234" t="e">
        <f t="shared" ca="1" si="139"/>
        <v>#REF!</v>
      </c>
      <c r="BI118" s="234" t="e">
        <f t="shared" ca="1" si="139"/>
        <v>#REF!</v>
      </c>
      <c r="BJ118" s="234" t="e">
        <f t="shared" ca="1" si="139"/>
        <v>#REF!</v>
      </c>
      <c r="BK118" s="234" t="e">
        <f t="shared" ca="1" si="139"/>
        <v>#REF!</v>
      </c>
      <c r="BL118" s="234" t="e">
        <f t="shared" ca="1" si="139"/>
        <v>#REF!</v>
      </c>
      <c r="BM118" s="234" t="e">
        <f t="shared" ca="1" si="139"/>
        <v>#REF!</v>
      </c>
      <c r="BN118" s="234" t="e">
        <f t="shared" ca="1" si="139"/>
        <v>#REF!</v>
      </c>
      <c r="BO118" s="234" t="e">
        <f t="shared" ca="1" si="139"/>
        <v>#REF!</v>
      </c>
      <c r="BP118" s="234" t="e">
        <f t="shared" ca="1" si="139"/>
        <v>#REF!</v>
      </c>
      <c r="BQ118" s="234" t="e">
        <f t="shared" ca="1" si="139"/>
        <v>#REF!</v>
      </c>
      <c r="BR118" s="234" t="e">
        <f t="shared" ca="1" si="139"/>
        <v>#REF!</v>
      </c>
      <c r="BS118" s="234" t="e">
        <f t="shared" ca="1" si="139"/>
        <v>#REF!</v>
      </c>
      <c r="BT118" s="234" t="e">
        <f t="shared" ca="1" si="139"/>
        <v>#REF!</v>
      </c>
      <c r="BU118" s="234" t="e">
        <f t="shared" ref="BU118:DC118" ca="1" si="140">SUM(BU119:BU125)</f>
        <v>#REF!</v>
      </c>
      <c r="BV118" s="234" t="e">
        <f t="shared" ca="1" si="140"/>
        <v>#REF!</v>
      </c>
      <c r="BW118" s="234" t="e">
        <f t="shared" ca="1" si="140"/>
        <v>#REF!</v>
      </c>
      <c r="BX118" s="234" t="e">
        <f t="shared" ca="1" si="140"/>
        <v>#REF!</v>
      </c>
      <c r="BY118" s="234" t="e">
        <f t="shared" ca="1" si="140"/>
        <v>#REF!</v>
      </c>
      <c r="BZ118" s="234" t="e">
        <f t="shared" ca="1" si="140"/>
        <v>#REF!</v>
      </c>
      <c r="CA118" s="234" t="e">
        <f t="shared" ca="1" si="140"/>
        <v>#REF!</v>
      </c>
      <c r="CB118" s="234" t="e">
        <f t="shared" ca="1" si="140"/>
        <v>#REF!</v>
      </c>
      <c r="CC118" s="234" t="e">
        <f t="shared" ca="1" si="140"/>
        <v>#REF!</v>
      </c>
      <c r="CD118" s="234" t="e">
        <f t="shared" ca="1" si="140"/>
        <v>#REF!</v>
      </c>
      <c r="CE118" s="234" t="e">
        <f t="shared" ca="1" si="140"/>
        <v>#REF!</v>
      </c>
      <c r="CF118" s="234" t="e">
        <f t="shared" ca="1" si="140"/>
        <v>#REF!</v>
      </c>
      <c r="CG118" s="234" t="e">
        <f t="shared" ca="1" si="140"/>
        <v>#REF!</v>
      </c>
      <c r="CH118" s="234" t="e">
        <f t="shared" ca="1" si="140"/>
        <v>#REF!</v>
      </c>
      <c r="CI118" s="234" t="e">
        <f t="shared" ca="1" si="140"/>
        <v>#REF!</v>
      </c>
      <c r="CJ118" s="234" t="e">
        <f t="shared" ca="1" si="140"/>
        <v>#REF!</v>
      </c>
      <c r="CK118" s="234" t="e">
        <f t="shared" ca="1" si="140"/>
        <v>#REF!</v>
      </c>
      <c r="CL118" s="234" t="e">
        <f t="shared" ca="1" si="140"/>
        <v>#REF!</v>
      </c>
      <c r="CM118" s="234" t="e">
        <f t="shared" ca="1" si="140"/>
        <v>#REF!</v>
      </c>
      <c r="CN118" s="234" t="e">
        <f t="shared" ca="1" si="140"/>
        <v>#REF!</v>
      </c>
      <c r="CO118" s="234" t="e">
        <f t="shared" ca="1" si="140"/>
        <v>#REF!</v>
      </c>
      <c r="CP118" s="234" t="e">
        <f t="shared" ca="1" si="140"/>
        <v>#REF!</v>
      </c>
      <c r="CQ118" s="234" t="e">
        <f t="shared" ca="1" si="140"/>
        <v>#REF!</v>
      </c>
      <c r="CR118" s="234" t="e">
        <f t="shared" ca="1" si="140"/>
        <v>#REF!</v>
      </c>
      <c r="CS118" s="234" t="e">
        <f t="shared" ca="1" si="140"/>
        <v>#REF!</v>
      </c>
      <c r="CT118" s="234" t="e">
        <f t="shared" ca="1" si="140"/>
        <v>#REF!</v>
      </c>
      <c r="CU118" s="234" t="e">
        <f t="shared" ca="1" si="140"/>
        <v>#REF!</v>
      </c>
      <c r="CV118" s="234" t="e">
        <f t="shared" ca="1" si="140"/>
        <v>#REF!</v>
      </c>
      <c r="CW118" s="234" t="e">
        <f t="shared" ca="1" si="140"/>
        <v>#REF!</v>
      </c>
      <c r="CX118" s="234" t="e">
        <f t="shared" ca="1" si="140"/>
        <v>#REF!</v>
      </c>
      <c r="CY118" s="234" t="e">
        <f t="shared" ca="1" si="140"/>
        <v>#REF!</v>
      </c>
      <c r="CZ118" s="234" t="e">
        <f t="shared" ca="1" si="140"/>
        <v>#REF!</v>
      </c>
      <c r="DA118" s="234" t="e">
        <f t="shared" ca="1" si="140"/>
        <v>#REF!</v>
      </c>
      <c r="DB118" s="234" t="e">
        <f t="shared" ca="1" si="140"/>
        <v>#REF!</v>
      </c>
      <c r="DC118" s="234" t="e">
        <f t="shared" ca="1" si="140"/>
        <v>#REF!</v>
      </c>
      <c r="DE118" s="254"/>
    </row>
    <row r="119" spans="1:110" hidden="1">
      <c r="A119" s="124">
        <v>107</v>
      </c>
      <c r="B119" s="205" t="str">
        <f t="shared" ca="1" si="84"/>
        <v>L.1.1.</v>
      </c>
      <c r="C119" s="129" t="str">
        <f t="shared" ca="1" si="85"/>
        <v>Ekonominės diplomatijos plėtros sukurta pridėtinė vertė</v>
      </c>
      <c r="D119" s="135"/>
      <c r="E119" s="148" t="str">
        <f t="shared" ca="1" si="86"/>
        <v/>
      </c>
      <c r="F119" s="139">
        <f ca="1">H119+NPV(SD,I119:INDEX(I119:DC119,PAL))</f>
        <v>857433405.79222178</v>
      </c>
      <c r="G119" s="140">
        <f ca="1">SUMIF($H$5:$DC$5,"&lt;="&amp;PAL,$H119:$DC119)</f>
        <v>1515715508.6061361</v>
      </c>
      <c r="H119" s="138">
        <f t="shared" ref="H119:W125" ca="1" si="141">OFFSET(INDIRECT("'"&amp;Opt_alt&amp;"'!H12"),$A119,H$5)*$DF119</f>
        <v>0</v>
      </c>
      <c r="I119" s="138">
        <f t="shared" ca="1" si="141"/>
        <v>0</v>
      </c>
      <c r="J119" s="138">
        <f t="shared" ca="1" si="141"/>
        <v>20837071.555999976</v>
      </c>
      <c r="K119" s="138">
        <f t="shared" ca="1" si="141"/>
        <v>29659896.624052979</v>
      </c>
      <c r="L119" s="138">
        <f t="shared" ca="1" si="141"/>
        <v>68548109.700628564</v>
      </c>
      <c r="M119" s="138">
        <f t="shared" ca="1" si="141"/>
        <v>70453951.40923135</v>
      </c>
      <c r="N119" s="138">
        <f t="shared" ca="1" si="141"/>
        <v>72413829.707424104</v>
      </c>
      <c r="O119" s="138">
        <f t="shared" ca="1" si="141"/>
        <v>74429287.326307654</v>
      </c>
      <c r="P119" s="138">
        <f t="shared" ca="1" si="141"/>
        <v>76501911.152452901</v>
      </c>
      <c r="Q119" s="138">
        <f t="shared" ca="1" si="141"/>
        <v>78633333.492998987</v>
      </c>
      <c r="R119" s="138">
        <f t="shared" ca="1" si="141"/>
        <v>80825233.377014697</v>
      </c>
      <c r="S119" s="138">
        <f t="shared" ca="1" si="141"/>
        <v>83079337.894167215</v>
      </c>
      <c r="T119" s="138">
        <f t="shared" ca="1" si="141"/>
        <v>85397423.571763933</v>
      </c>
      <c r="U119" s="138">
        <f t="shared" ca="1" si="141"/>
        <v>87781317.791271195</v>
      </c>
      <c r="V119" s="138">
        <f t="shared" ca="1" si="141"/>
        <v>90232900.245439783</v>
      </c>
      <c r="W119" s="138">
        <f t="shared" ca="1" si="141"/>
        <v>92754104.437201709</v>
      </c>
      <c r="X119" s="138">
        <f t="shared" ref="X119:AM125" ca="1" si="142">OFFSET(INDIRECT("'"&amp;Opt_alt&amp;"'!H12"),$A119,X$5)*$DF119</f>
        <v>95346919.221538752</v>
      </c>
      <c r="Y119" s="138">
        <f t="shared" ca="1" si="142"/>
        <v>98013390.391550809</v>
      </c>
      <c r="Z119" s="138">
        <f t="shared" ca="1" si="142"/>
        <v>100755622.30999547</v>
      </c>
      <c r="AA119" s="138">
        <f t="shared" ca="1" si="142"/>
        <v>103575779.58760116</v>
      </c>
      <c r="AB119" s="138">
        <f t="shared" ca="1" si="142"/>
        <v>106476088.80949479</v>
      </c>
      <c r="AC119" s="138" t="e">
        <f t="shared" ca="1" si="142"/>
        <v>#REF!</v>
      </c>
      <c r="AD119" s="138" t="e">
        <f t="shared" ca="1" si="142"/>
        <v>#REF!</v>
      </c>
      <c r="AE119" s="138" t="e">
        <f t="shared" ca="1" si="142"/>
        <v>#REF!</v>
      </c>
      <c r="AF119" s="138" t="e">
        <f t="shared" ca="1" si="142"/>
        <v>#REF!</v>
      </c>
      <c r="AG119" s="138" t="e">
        <f t="shared" ca="1" si="142"/>
        <v>#REF!</v>
      </c>
      <c r="AH119" s="138" t="e">
        <f t="shared" ca="1" si="142"/>
        <v>#REF!</v>
      </c>
      <c r="AI119" s="138" t="e">
        <f t="shared" ca="1" si="142"/>
        <v>#REF!</v>
      </c>
      <c r="AJ119" s="138" t="e">
        <f t="shared" ca="1" si="142"/>
        <v>#REF!</v>
      </c>
      <c r="AK119" s="138" t="e">
        <f t="shared" ca="1" si="142"/>
        <v>#REF!</v>
      </c>
      <c r="AL119" s="138" t="e">
        <f t="shared" ca="1" si="142"/>
        <v>#REF!</v>
      </c>
      <c r="AM119" s="138" t="e">
        <f t="shared" ca="1" si="142"/>
        <v>#REF!</v>
      </c>
      <c r="AN119" s="138" t="e">
        <f t="shared" ref="AN119:BC125" ca="1" si="143">OFFSET(INDIRECT("'"&amp;Opt_alt&amp;"'!H12"),$A119,AN$5)*$DF119</f>
        <v>#REF!</v>
      </c>
      <c r="AO119" s="138" t="e">
        <f t="shared" ca="1" si="143"/>
        <v>#REF!</v>
      </c>
      <c r="AP119" s="138" t="e">
        <f t="shared" ca="1" si="143"/>
        <v>#REF!</v>
      </c>
      <c r="AQ119" s="138" t="e">
        <f t="shared" ca="1" si="143"/>
        <v>#REF!</v>
      </c>
      <c r="AR119" s="138" t="e">
        <f t="shared" ca="1" si="143"/>
        <v>#REF!</v>
      </c>
      <c r="AS119" s="138" t="e">
        <f t="shared" ca="1" si="143"/>
        <v>#REF!</v>
      </c>
      <c r="AT119" s="138" t="e">
        <f t="shared" ca="1" si="143"/>
        <v>#REF!</v>
      </c>
      <c r="AU119" s="138" t="e">
        <f t="shared" ca="1" si="143"/>
        <v>#REF!</v>
      </c>
      <c r="AV119" s="138" t="e">
        <f t="shared" ca="1" si="143"/>
        <v>#REF!</v>
      </c>
      <c r="AW119" s="138" t="e">
        <f t="shared" ca="1" si="143"/>
        <v>#REF!</v>
      </c>
      <c r="AX119" s="138" t="e">
        <f t="shared" ca="1" si="143"/>
        <v>#REF!</v>
      </c>
      <c r="AY119" s="138" t="e">
        <f t="shared" ca="1" si="143"/>
        <v>#REF!</v>
      </c>
      <c r="AZ119" s="138" t="e">
        <f t="shared" ca="1" si="143"/>
        <v>#REF!</v>
      </c>
      <c r="BA119" s="138" t="e">
        <f t="shared" ca="1" si="143"/>
        <v>#REF!</v>
      </c>
      <c r="BB119" s="138" t="e">
        <f t="shared" ca="1" si="143"/>
        <v>#REF!</v>
      </c>
      <c r="BC119" s="138" t="e">
        <f t="shared" ca="1" si="143"/>
        <v>#REF!</v>
      </c>
      <c r="BD119" s="138" t="e">
        <f t="shared" ref="BD119:BS125" ca="1" si="144">OFFSET(INDIRECT("'"&amp;Opt_alt&amp;"'!H12"),$A119,BD$5)*$DF119</f>
        <v>#REF!</v>
      </c>
      <c r="BE119" s="138" t="e">
        <f t="shared" ca="1" si="144"/>
        <v>#REF!</v>
      </c>
      <c r="BF119" s="138" t="e">
        <f t="shared" ca="1" si="144"/>
        <v>#REF!</v>
      </c>
      <c r="BG119" s="138" t="e">
        <f t="shared" ca="1" si="144"/>
        <v>#REF!</v>
      </c>
      <c r="BH119" s="138" t="e">
        <f t="shared" ca="1" si="144"/>
        <v>#REF!</v>
      </c>
      <c r="BI119" s="138" t="e">
        <f t="shared" ca="1" si="144"/>
        <v>#REF!</v>
      </c>
      <c r="BJ119" s="138" t="e">
        <f t="shared" ca="1" si="144"/>
        <v>#REF!</v>
      </c>
      <c r="BK119" s="138" t="e">
        <f t="shared" ca="1" si="144"/>
        <v>#REF!</v>
      </c>
      <c r="BL119" s="138" t="e">
        <f t="shared" ca="1" si="144"/>
        <v>#REF!</v>
      </c>
      <c r="BM119" s="138" t="e">
        <f t="shared" ca="1" si="144"/>
        <v>#REF!</v>
      </c>
      <c r="BN119" s="138" t="e">
        <f t="shared" ca="1" si="144"/>
        <v>#REF!</v>
      </c>
      <c r="BO119" s="138" t="e">
        <f t="shared" ca="1" si="144"/>
        <v>#REF!</v>
      </c>
      <c r="BP119" s="138" t="e">
        <f t="shared" ca="1" si="144"/>
        <v>#REF!</v>
      </c>
      <c r="BQ119" s="138" t="e">
        <f t="shared" ca="1" si="144"/>
        <v>#REF!</v>
      </c>
      <c r="BR119" s="138" t="e">
        <f t="shared" ca="1" si="144"/>
        <v>#REF!</v>
      </c>
      <c r="BS119" s="138" t="e">
        <f t="shared" ca="1" si="144"/>
        <v>#REF!</v>
      </c>
      <c r="BT119" s="138" t="e">
        <f t="shared" ref="BT119:CI125" ca="1" si="145">OFFSET(INDIRECT("'"&amp;Opt_alt&amp;"'!H12"),$A119,BT$5)*$DF119</f>
        <v>#REF!</v>
      </c>
      <c r="BU119" s="138" t="e">
        <f t="shared" ca="1" si="145"/>
        <v>#REF!</v>
      </c>
      <c r="BV119" s="138" t="e">
        <f t="shared" ca="1" si="145"/>
        <v>#REF!</v>
      </c>
      <c r="BW119" s="138" t="e">
        <f t="shared" ca="1" si="145"/>
        <v>#REF!</v>
      </c>
      <c r="BX119" s="138" t="e">
        <f t="shared" ca="1" si="145"/>
        <v>#REF!</v>
      </c>
      <c r="BY119" s="138" t="e">
        <f t="shared" ca="1" si="145"/>
        <v>#REF!</v>
      </c>
      <c r="BZ119" s="138" t="e">
        <f t="shared" ca="1" si="145"/>
        <v>#REF!</v>
      </c>
      <c r="CA119" s="138" t="e">
        <f t="shared" ca="1" si="145"/>
        <v>#REF!</v>
      </c>
      <c r="CB119" s="138" t="e">
        <f t="shared" ca="1" si="145"/>
        <v>#REF!</v>
      </c>
      <c r="CC119" s="138" t="e">
        <f t="shared" ca="1" si="145"/>
        <v>#REF!</v>
      </c>
      <c r="CD119" s="138" t="e">
        <f t="shared" ca="1" si="145"/>
        <v>#REF!</v>
      </c>
      <c r="CE119" s="138" t="e">
        <f t="shared" ca="1" si="145"/>
        <v>#REF!</v>
      </c>
      <c r="CF119" s="138" t="e">
        <f t="shared" ca="1" si="145"/>
        <v>#REF!</v>
      </c>
      <c r="CG119" s="138" t="e">
        <f t="shared" ca="1" si="145"/>
        <v>#REF!</v>
      </c>
      <c r="CH119" s="138" t="e">
        <f t="shared" ca="1" si="145"/>
        <v>#REF!</v>
      </c>
      <c r="CI119" s="138" t="e">
        <f t="shared" ca="1" si="145"/>
        <v>#REF!</v>
      </c>
      <c r="CJ119" s="138" t="e">
        <f t="shared" ref="CJ119:CY125" ca="1" si="146">OFFSET(INDIRECT("'"&amp;Opt_alt&amp;"'!H12"),$A119,CJ$5)*$DF119</f>
        <v>#REF!</v>
      </c>
      <c r="CK119" s="138" t="e">
        <f t="shared" ca="1" si="146"/>
        <v>#REF!</v>
      </c>
      <c r="CL119" s="138" t="e">
        <f t="shared" ca="1" si="146"/>
        <v>#REF!</v>
      </c>
      <c r="CM119" s="138" t="e">
        <f t="shared" ca="1" si="146"/>
        <v>#REF!</v>
      </c>
      <c r="CN119" s="138" t="e">
        <f t="shared" ca="1" si="146"/>
        <v>#REF!</v>
      </c>
      <c r="CO119" s="138" t="e">
        <f t="shared" ca="1" si="146"/>
        <v>#REF!</v>
      </c>
      <c r="CP119" s="138" t="e">
        <f t="shared" ca="1" si="146"/>
        <v>#REF!</v>
      </c>
      <c r="CQ119" s="138" t="e">
        <f t="shared" ca="1" si="146"/>
        <v>#REF!</v>
      </c>
      <c r="CR119" s="138" t="e">
        <f t="shared" ca="1" si="146"/>
        <v>#REF!</v>
      </c>
      <c r="CS119" s="138" t="e">
        <f t="shared" ca="1" si="146"/>
        <v>#REF!</v>
      </c>
      <c r="CT119" s="138" t="e">
        <f t="shared" ca="1" si="146"/>
        <v>#REF!</v>
      </c>
      <c r="CU119" s="138" t="e">
        <f t="shared" ca="1" si="146"/>
        <v>#REF!</v>
      </c>
      <c r="CV119" s="138" t="e">
        <f t="shared" ca="1" si="146"/>
        <v>#REF!</v>
      </c>
      <c r="CW119" s="138" t="e">
        <f t="shared" ca="1" si="146"/>
        <v>#REF!</v>
      </c>
      <c r="CX119" s="138" t="e">
        <f t="shared" ca="1" si="146"/>
        <v>#REF!</v>
      </c>
      <c r="CY119" s="138" t="e">
        <f t="shared" ca="1" si="146"/>
        <v>#REF!</v>
      </c>
      <c r="CZ119" s="138" t="e">
        <f t="shared" ref="CT119:DC125" ca="1" si="147">OFFSET(INDIRECT("'"&amp;Opt_alt&amp;"'!H12"),$A119,CZ$5)*$DF119</f>
        <v>#REF!</v>
      </c>
      <c r="DA119" s="138" t="e">
        <f t="shared" ca="1" si="147"/>
        <v>#REF!</v>
      </c>
      <c r="DB119" s="138" t="e">
        <f t="shared" ca="1" si="147"/>
        <v>#REF!</v>
      </c>
      <c r="DC119" s="138" t="e">
        <f t="shared" ca="1" si="147"/>
        <v>#REF!</v>
      </c>
      <c r="DE119" s="254" t="str">
        <f t="shared" ca="1" si="87"/>
        <v>L.1.1.</v>
      </c>
      <c r="DF119">
        <f t="shared" ref="DF119:DF125" ca="1" si="148">VLOOKUP(DE119,scenarijai,$DF$6,FALSE)</f>
        <v>1</v>
      </c>
    </row>
    <row r="120" spans="1:110" hidden="1">
      <c r="A120" s="124">
        <v>108</v>
      </c>
      <c r="B120" s="205" t="str">
        <f t="shared" ca="1" si="84"/>
        <v>L.1.2.</v>
      </c>
      <c r="C120" s="129" t="str">
        <f t="shared" ca="1" si="85"/>
        <v>Naujų atstovybių sukurta pridėtinė vertė</v>
      </c>
      <c r="D120" s="135"/>
      <c r="E120" s="148" t="str">
        <f t="shared" ca="1" si="86"/>
        <v/>
      </c>
      <c r="F120" s="139">
        <f ca="1">H120+NPV(SD,I120:INDEX(I120:DC120,PAL))</f>
        <v>136060643.31714535</v>
      </c>
      <c r="G120" s="140">
        <f ca="1">SUMIF($H$5:$DC$5,"&lt;="&amp;PAL,$H120:$DC120)</f>
        <v>228441409.4316408</v>
      </c>
      <c r="H120" s="138">
        <f t="shared" ca="1" si="141"/>
        <v>0</v>
      </c>
      <c r="I120" s="138">
        <f t="shared" ca="1" si="141"/>
        <v>986517.07499999995</v>
      </c>
      <c r="J120" s="138">
        <f t="shared" ca="1" si="141"/>
        <v>9134639.0269500073</v>
      </c>
      <c r="K120" s="138">
        <f t="shared" ca="1" si="141"/>
        <v>10153291.638611658</v>
      </c>
      <c r="L120" s="138">
        <f t="shared" ca="1" si="141"/>
        <v>11423003.724050811</v>
      </c>
      <c r="M120" s="138">
        <f t="shared" ca="1" si="141"/>
        <v>11519861.208758241</v>
      </c>
      <c r="N120" s="138">
        <f t="shared" ca="1" si="141"/>
        <v>11617837.908158684</v>
      </c>
      <c r="O120" s="138">
        <f t="shared" ca="1" si="141"/>
        <v>11716950.760866467</v>
      </c>
      <c r="P120" s="138">
        <f t="shared" ca="1" si="141"/>
        <v>11817217.001370283</v>
      </c>
      <c r="Q120" s="138">
        <f t="shared" ca="1" si="141"/>
        <v>11918654.165499995</v>
      </c>
      <c r="R120" s="138">
        <f t="shared" ca="1" si="141"/>
        <v>12021280.095994797</v>
      </c>
      <c r="S120" s="138">
        <f t="shared" ca="1" si="141"/>
        <v>12125112.948177168</v>
      </c>
      <c r="T120" s="138">
        <f t="shared" ca="1" si="141"/>
        <v>12230171.195733035</v>
      </c>
      <c r="U120" s="138">
        <f t="shared" ca="1" si="141"/>
        <v>12336473.636601824</v>
      </c>
      <c r="V120" s="138">
        <f t="shared" ca="1" si="141"/>
        <v>12444039.398975886</v>
      </c>
      <c r="W120" s="138">
        <f t="shared" ca="1" si="141"/>
        <v>12552887.947414845</v>
      </c>
      <c r="X120" s="138">
        <f t="shared" ca="1" si="142"/>
        <v>12663039.089073319</v>
      </c>
      <c r="Y120" s="138">
        <f t="shared" ca="1" si="142"/>
        <v>12774512.980047116</v>
      </c>
      <c r="Z120" s="138">
        <f t="shared" ca="1" si="142"/>
        <v>12887330.131839219</v>
      </c>
      <c r="AA120" s="138">
        <f t="shared" ca="1" si="142"/>
        <v>13001511.417946352</v>
      </c>
      <c r="AB120" s="138">
        <f t="shared" ca="1" si="142"/>
        <v>13117078.080571093</v>
      </c>
      <c r="AC120" s="138">
        <f t="shared" ca="1" si="142"/>
        <v>0</v>
      </c>
      <c r="AD120" s="138">
        <f t="shared" ca="1" si="142"/>
        <v>0</v>
      </c>
      <c r="AE120" s="138">
        <f t="shared" ca="1" si="142"/>
        <v>0</v>
      </c>
      <c r="AF120" s="138">
        <f t="shared" ca="1" si="142"/>
        <v>0</v>
      </c>
      <c r="AG120" s="138">
        <f t="shared" ca="1" si="142"/>
        <v>0</v>
      </c>
      <c r="AH120" s="138">
        <f t="shared" ca="1" si="142"/>
        <v>0</v>
      </c>
      <c r="AI120" s="138">
        <f t="shared" ca="1" si="142"/>
        <v>0</v>
      </c>
      <c r="AJ120" s="138">
        <f t="shared" ca="1" si="142"/>
        <v>0</v>
      </c>
      <c r="AK120" s="138">
        <f t="shared" ca="1" si="142"/>
        <v>0</v>
      </c>
      <c r="AL120" s="138">
        <f t="shared" ca="1" si="142"/>
        <v>0</v>
      </c>
      <c r="AM120" s="138">
        <f t="shared" ca="1" si="142"/>
        <v>0</v>
      </c>
      <c r="AN120" s="138">
        <f t="shared" ca="1" si="143"/>
        <v>0</v>
      </c>
      <c r="AO120" s="138">
        <f t="shared" ca="1" si="143"/>
        <v>0</v>
      </c>
      <c r="AP120" s="138">
        <f t="shared" ca="1" si="143"/>
        <v>0</v>
      </c>
      <c r="AQ120" s="138">
        <f t="shared" ca="1" si="143"/>
        <v>0</v>
      </c>
      <c r="AR120" s="138">
        <f t="shared" ca="1" si="143"/>
        <v>0</v>
      </c>
      <c r="AS120" s="138">
        <f t="shared" ca="1" si="143"/>
        <v>0</v>
      </c>
      <c r="AT120" s="138">
        <f t="shared" ca="1" si="143"/>
        <v>0</v>
      </c>
      <c r="AU120" s="138">
        <f t="shared" ca="1" si="143"/>
        <v>0</v>
      </c>
      <c r="AV120" s="138">
        <f t="shared" ca="1" si="143"/>
        <v>0</v>
      </c>
      <c r="AW120" s="138">
        <f t="shared" ca="1" si="143"/>
        <v>0</v>
      </c>
      <c r="AX120" s="138">
        <f t="shared" ca="1" si="143"/>
        <v>0</v>
      </c>
      <c r="AY120" s="138">
        <f t="shared" ca="1" si="143"/>
        <v>0</v>
      </c>
      <c r="AZ120" s="138">
        <f t="shared" ca="1" si="143"/>
        <v>0</v>
      </c>
      <c r="BA120" s="138">
        <f t="shared" ca="1" si="143"/>
        <v>0</v>
      </c>
      <c r="BB120" s="138">
        <f t="shared" ca="1" si="143"/>
        <v>0</v>
      </c>
      <c r="BC120" s="138">
        <f t="shared" ca="1" si="143"/>
        <v>0</v>
      </c>
      <c r="BD120" s="138">
        <f t="shared" ca="1" si="144"/>
        <v>0</v>
      </c>
      <c r="BE120" s="138">
        <f t="shared" ca="1" si="144"/>
        <v>0</v>
      </c>
      <c r="BF120" s="138">
        <f t="shared" ca="1" si="144"/>
        <v>0</v>
      </c>
      <c r="BG120" s="138">
        <f t="shared" ca="1" si="144"/>
        <v>0</v>
      </c>
      <c r="BH120" s="138">
        <f t="shared" ca="1" si="144"/>
        <v>0</v>
      </c>
      <c r="BI120" s="138">
        <f t="shared" ca="1" si="144"/>
        <v>0</v>
      </c>
      <c r="BJ120" s="138">
        <f t="shared" ca="1" si="144"/>
        <v>0</v>
      </c>
      <c r="BK120" s="138">
        <f t="shared" ca="1" si="144"/>
        <v>0</v>
      </c>
      <c r="BL120" s="138">
        <f t="shared" ca="1" si="144"/>
        <v>0</v>
      </c>
      <c r="BM120" s="138">
        <f t="shared" ca="1" si="144"/>
        <v>0</v>
      </c>
      <c r="BN120" s="138">
        <f t="shared" ca="1" si="144"/>
        <v>0</v>
      </c>
      <c r="BO120" s="138">
        <f t="shared" ca="1" si="144"/>
        <v>0</v>
      </c>
      <c r="BP120" s="138">
        <f t="shared" ca="1" si="144"/>
        <v>0</v>
      </c>
      <c r="BQ120" s="138">
        <f t="shared" ca="1" si="144"/>
        <v>0</v>
      </c>
      <c r="BR120" s="138">
        <f t="shared" ca="1" si="144"/>
        <v>0</v>
      </c>
      <c r="BS120" s="138">
        <f t="shared" ca="1" si="144"/>
        <v>0</v>
      </c>
      <c r="BT120" s="138">
        <f t="shared" ca="1" si="145"/>
        <v>0</v>
      </c>
      <c r="BU120" s="138">
        <f t="shared" ca="1" si="145"/>
        <v>0</v>
      </c>
      <c r="BV120" s="138">
        <f t="shared" ca="1" si="145"/>
        <v>0</v>
      </c>
      <c r="BW120" s="138">
        <f t="shared" ca="1" si="145"/>
        <v>0</v>
      </c>
      <c r="BX120" s="138">
        <f t="shared" ca="1" si="145"/>
        <v>0</v>
      </c>
      <c r="BY120" s="138">
        <f t="shared" ca="1" si="145"/>
        <v>0</v>
      </c>
      <c r="BZ120" s="138">
        <f t="shared" ca="1" si="145"/>
        <v>0</v>
      </c>
      <c r="CA120" s="138">
        <f t="shared" ca="1" si="145"/>
        <v>0</v>
      </c>
      <c r="CB120" s="138">
        <f t="shared" ca="1" si="145"/>
        <v>0</v>
      </c>
      <c r="CC120" s="138">
        <f t="shared" ca="1" si="145"/>
        <v>0</v>
      </c>
      <c r="CD120" s="138">
        <f t="shared" ca="1" si="145"/>
        <v>0</v>
      </c>
      <c r="CE120" s="138">
        <f t="shared" ca="1" si="145"/>
        <v>0</v>
      </c>
      <c r="CF120" s="138">
        <f t="shared" ca="1" si="145"/>
        <v>0</v>
      </c>
      <c r="CG120" s="138">
        <f t="shared" ca="1" si="145"/>
        <v>0</v>
      </c>
      <c r="CH120" s="138">
        <f t="shared" ca="1" si="145"/>
        <v>0</v>
      </c>
      <c r="CI120" s="138">
        <f t="shared" ca="1" si="145"/>
        <v>0</v>
      </c>
      <c r="CJ120" s="138">
        <f t="shared" ca="1" si="146"/>
        <v>0</v>
      </c>
      <c r="CK120" s="138">
        <f t="shared" ca="1" si="146"/>
        <v>0</v>
      </c>
      <c r="CL120" s="138">
        <f t="shared" ca="1" si="146"/>
        <v>0</v>
      </c>
      <c r="CM120" s="138">
        <f t="shared" ca="1" si="146"/>
        <v>0</v>
      </c>
      <c r="CN120" s="138">
        <f t="shared" ca="1" si="146"/>
        <v>0</v>
      </c>
      <c r="CO120" s="138">
        <f t="shared" ca="1" si="146"/>
        <v>0</v>
      </c>
      <c r="CP120" s="138">
        <f t="shared" ca="1" si="146"/>
        <v>0</v>
      </c>
      <c r="CQ120" s="138">
        <f t="shared" ca="1" si="146"/>
        <v>0</v>
      </c>
      <c r="CR120" s="138">
        <f t="shared" ca="1" si="146"/>
        <v>0</v>
      </c>
      <c r="CS120" s="138">
        <f t="shared" ca="1" si="146"/>
        <v>0</v>
      </c>
      <c r="CT120" s="138">
        <f t="shared" ca="1" si="147"/>
        <v>0</v>
      </c>
      <c r="CU120" s="138">
        <f t="shared" ca="1" si="147"/>
        <v>0</v>
      </c>
      <c r="CV120" s="138">
        <f t="shared" ca="1" si="147"/>
        <v>0</v>
      </c>
      <c r="CW120" s="138">
        <f t="shared" ca="1" si="147"/>
        <v>0</v>
      </c>
      <c r="CX120" s="138">
        <f t="shared" ca="1" si="147"/>
        <v>0</v>
      </c>
      <c r="CY120" s="138">
        <f t="shared" ca="1" si="147"/>
        <v>0</v>
      </c>
      <c r="CZ120" s="138">
        <f t="shared" ca="1" si="147"/>
        <v>0</v>
      </c>
      <c r="DA120" s="138">
        <f t="shared" ca="1" si="147"/>
        <v>0</v>
      </c>
      <c r="DB120" s="138">
        <f t="shared" ca="1" si="147"/>
        <v>0</v>
      </c>
      <c r="DC120" s="138">
        <f t="shared" ca="1" si="147"/>
        <v>0</v>
      </c>
      <c r="DE120" s="254" t="str">
        <f t="shared" ca="1" si="87"/>
        <v>L.1.2.</v>
      </c>
      <c r="DF120">
        <f t="shared" ca="1" si="148"/>
        <v>1</v>
      </c>
    </row>
    <row r="121" spans="1:110" hidden="1">
      <c r="A121" s="124">
        <v>109</v>
      </c>
      <c r="B121" s="205" t="str">
        <f t="shared" ca="1" si="84"/>
        <v>L.1.3.</v>
      </c>
      <c r="C121" s="129" t="str">
        <f t="shared" ca="1" si="85"/>
        <v/>
      </c>
      <c r="D121" s="135"/>
      <c r="E121" s="148" t="str">
        <f t="shared" ca="1" si="86"/>
        <v/>
      </c>
      <c r="F121" s="139">
        <f ca="1">H121+NPV(SD,I121:INDEX(I121:DC121,PAL))</f>
        <v>0</v>
      </c>
      <c r="G121" s="140">
        <f ca="1">SUMIF($H$5:$DC$5,"&lt;="&amp;PAL,$H121:$DC121)</f>
        <v>0</v>
      </c>
      <c r="H121" s="138">
        <f t="shared" ca="1" si="141"/>
        <v>0</v>
      </c>
      <c r="I121" s="138">
        <f t="shared" ca="1" si="141"/>
        <v>0</v>
      </c>
      <c r="J121" s="138">
        <f t="shared" ca="1" si="141"/>
        <v>0</v>
      </c>
      <c r="K121" s="138">
        <f t="shared" ca="1" si="141"/>
        <v>0</v>
      </c>
      <c r="L121" s="138">
        <f t="shared" ca="1" si="141"/>
        <v>0</v>
      </c>
      <c r="M121" s="138">
        <f t="shared" ca="1" si="141"/>
        <v>0</v>
      </c>
      <c r="N121" s="138">
        <f t="shared" ca="1" si="141"/>
        <v>0</v>
      </c>
      <c r="O121" s="138">
        <f t="shared" ca="1" si="141"/>
        <v>0</v>
      </c>
      <c r="P121" s="138">
        <f t="shared" ca="1" si="141"/>
        <v>0</v>
      </c>
      <c r="Q121" s="138">
        <f t="shared" ca="1" si="141"/>
        <v>0</v>
      </c>
      <c r="R121" s="138">
        <f t="shared" ca="1" si="141"/>
        <v>0</v>
      </c>
      <c r="S121" s="138">
        <f t="shared" ca="1" si="141"/>
        <v>0</v>
      </c>
      <c r="T121" s="138">
        <f t="shared" ca="1" si="141"/>
        <v>0</v>
      </c>
      <c r="U121" s="138">
        <f t="shared" ca="1" si="141"/>
        <v>0</v>
      </c>
      <c r="V121" s="138">
        <f t="shared" ca="1" si="141"/>
        <v>0</v>
      </c>
      <c r="W121" s="138">
        <f t="shared" ca="1" si="141"/>
        <v>0</v>
      </c>
      <c r="X121" s="138">
        <f t="shared" ca="1" si="142"/>
        <v>0</v>
      </c>
      <c r="Y121" s="138">
        <f t="shared" ca="1" si="142"/>
        <v>0</v>
      </c>
      <c r="Z121" s="138">
        <f t="shared" ca="1" si="142"/>
        <v>0</v>
      </c>
      <c r="AA121" s="138">
        <f t="shared" ca="1" si="142"/>
        <v>0</v>
      </c>
      <c r="AB121" s="138">
        <f t="shared" ca="1" si="142"/>
        <v>0</v>
      </c>
      <c r="AC121" s="138">
        <f t="shared" ca="1" si="142"/>
        <v>0</v>
      </c>
      <c r="AD121" s="138">
        <f t="shared" ca="1" si="142"/>
        <v>0</v>
      </c>
      <c r="AE121" s="138">
        <f t="shared" ca="1" si="142"/>
        <v>0</v>
      </c>
      <c r="AF121" s="138">
        <f t="shared" ca="1" si="142"/>
        <v>0</v>
      </c>
      <c r="AG121" s="138">
        <f t="shared" ca="1" si="142"/>
        <v>0</v>
      </c>
      <c r="AH121" s="138">
        <f t="shared" ca="1" si="142"/>
        <v>0</v>
      </c>
      <c r="AI121" s="138">
        <f t="shared" ca="1" si="142"/>
        <v>0</v>
      </c>
      <c r="AJ121" s="138">
        <f t="shared" ca="1" si="142"/>
        <v>0</v>
      </c>
      <c r="AK121" s="138">
        <f t="shared" ca="1" si="142"/>
        <v>0</v>
      </c>
      <c r="AL121" s="138">
        <f t="shared" ca="1" si="142"/>
        <v>0</v>
      </c>
      <c r="AM121" s="138">
        <f t="shared" ca="1" si="142"/>
        <v>0</v>
      </c>
      <c r="AN121" s="138">
        <f t="shared" ca="1" si="143"/>
        <v>0</v>
      </c>
      <c r="AO121" s="138">
        <f t="shared" ca="1" si="143"/>
        <v>0</v>
      </c>
      <c r="AP121" s="138">
        <f t="shared" ca="1" si="143"/>
        <v>0</v>
      </c>
      <c r="AQ121" s="138">
        <f t="shared" ca="1" si="143"/>
        <v>0</v>
      </c>
      <c r="AR121" s="138">
        <f t="shared" ca="1" si="143"/>
        <v>0</v>
      </c>
      <c r="AS121" s="138">
        <f t="shared" ca="1" si="143"/>
        <v>0</v>
      </c>
      <c r="AT121" s="138">
        <f t="shared" ca="1" si="143"/>
        <v>0</v>
      </c>
      <c r="AU121" s="138">
        <f t="shared" ca="1" si="143"/>
        <v>0</v>
      </c>
      <c r="AV121" s="138">
        <f t="shared" ca="1" si="143"/>
        <v>0</v>
      </c>
      <c r="AW121" s="138">
        <f t="shared" ca="1" si="143"/>
        <v>0</v>
      </c>
      <c r="AX121" s="138">
        <f t="shared" ca="1" si="143"/>
        <v>0</v>
      </c>
      <c r="AY121" s="138">
        <f t="shared" ca="1" si="143"/>
        <v>0</v>
      </c>
      <c r="AZ121" s="138">
        <f t="shared" ca="1" si="143"/>
        <v>0</v>
      </c>
      <c r="BA121" s="138">
        <f t="shared" ca="1" si="143"/>
        <v>0</v>
      </c>
      <c r="BB121" s="138">
        <f t="shared" ca="1" si="143"/>
        <v>0</v>
      </c>
      <c r="BC121" s="138">
        <f t="shared" ca="1" si="143"/>
        <v>0</v>
      </c>
      <c r="BD121" s="138">
        <f t="shared" ca="1" si="144"/>
        <v>0</v>
      </c>
      <c r="BE121" s="138">
        <f t="shared" ca="1" si="144"/>
        <v>0</v>
      </c>
      <c r="BF121" s="138">
        <f t="shared" ca="1" si="144"/>
        <v>0</v>
      </c>
      <c r="BG121" s="138">
        <f t="shared" ca="1" si="144"/>
        <v>0</v>
      </c>
      <c r="BH121" s="138">
        <f t="shared" ca="1" si="144"/>
        <v>0</v>
      </c>
      <c r="BI121" s="138">
        <f t="shared" ca="1" si="144"/>
        <v>0</v>
      </c>
      <c r="BJ121" s="138">
        <f t="shared" ca="1" si="144"/>
        <v>0</v>
      </c>
      <c r="BK121" s="138">
        <f t="shared" ca="1" si="144"/>
        <v>0</v>
      </c>
      <c r="BL121" s="138">
        <f t="shared" ca="1" si="144"/>
        <v>0</v>
      </c>
      <c r="BM121" s="138">
        <f t="shared" ca="1" si="144"/>
        <v>0</v>
      </c>
      <c r="BN121" s="138">
        <f t="shared" ca="1" si="144"/>
        <v>0</v>
      </c>
      <c r="BO121" s="138">
        <f t="shared" ca="1" si="144"/>
        <v>0</v>
      </c>
      <c r="BP121" s="138">
        <f t="shared" ca="1" si="144"/>
        <v>0</v>
      </c>
      <c r="BQ121" s="138">
        <f t="shared" ca="1" si="144"/>
        <v>0</v>
      </c>
      <c r="BR121" s="138">
        <f t="shared" ca="1" si="144"/>
        <v>0</v>
      </c>
      <c r="BS121" s="138">
        <f t="shared" ca="1" si="144"/>
        <v>0</v>
      </c>
      <c r="BT121" s="138">
        <f t="shared" ca="1" si="145"/>
        <v>0</v>
      </c>
      <c r="BU121" s="138">
        <f t="shared" ca="1" si="145"/>
        <v>0</v>
      </c>
      <c r="BV121" s="138">
        <f t="shared" ca="1" si="145"/>
        <v>0</v>
      </c>
      <c r="BW121" s="138">
        <f t="shared" ca="1" si="145"/>
        <v>0</v>
      </c>
      <c r="BX121" s="138">
        <f t="shared" ca="1" si="145"/>
        <v>0</v>
      </c>
      <c r="BY121" s="138">
        <f t="shared" ca="1" si="145"/>
        <v>0</v>
      </c>
      <c r="BZ121" s="138">
        <f t="shared" ca="1" si="145"/>
        <v>0</v>
      </c>
      <c r="CA121" s="138">
        <f t="shared" ca="1" si="145"/>
        <v>0</v>
      </c>
      <c r="CB121" s="138">
        <f t="shared" ca="1" si="145"/>
        <v>0</v>
      </c>
      <c r="CC121" s="138">
        <f t="shared" ca="1" si="145"/>
        <v>0</v>
      </c>
      <c r="CD121" s="138">
        <f t="shared" ca="1" si="145"/>
        <v>0</v>
      </c>
      <c r="CE121" s="138">
        <f t="shared" ca="1" si="145"/>
        <v>0</v>
      </c>
      <c r="CF121" s="138">
        <f t="shared" ca="1" si="145"/>
        <v>0</v>
      </c>
      <c r="CG121" s="138">
        <f t="shared" ca="1" si="145"/>
        <v>0</v>
      </c>
      <c r="CH121" s="138">
        <f t="shared" ca="1" si="145"/>
        <v>0</v>
      </c>
      <c r="CI121" s="138">
        <f t="shared" ca="1" si="145"/>
        <v>0</v>
      </c>
      <c r="CJ121" s="138">
        <f t="shared" ca="1" si="146"/>
        <v>0</v>
      </c>
      <c r="CK121" s="138">
        <f t="shared" ca="1" si="146"/>
        <v>0</v>
      </c>
      <c r="CL121" s="138">
        <f t="shared" ca="1" si="146"/>
        <v>0</v>
      </c>
      <c r="CM121" s="138">
        <f t="shared" ca="1" si="146"/>
        <v>0</v>
      </c>
      <c r="CN121" s="138">
        <f t="shared" ca="1" si="146"/>
        <v>0</v>
      </c>
      <c r="CO121" s="138">
        <f t="shared" ca="1" si="146"/>
        <v>0</v>
      </c>
      <c r="CP121" s="138">
        <f t="shared" ca="1" si="146"/>
        <v>0</v>
      </c>
      <c r="CQ121" s="138">
        <f t="shared" ca="1" si="146"/>
        <v>0</v>
      </c>
      <c r="CR121" s="138">
        <f t="shared" ca="1" si="146"/>
        <v>0</v>
      </c>
      <c r="CS121" s="138">
        <f t="shared" ca="1" si="146"/>
        <v>0</v>
      </c>
      <c r="CT121" s="138">
        <f t="shared" ca="1" si="147"/>
        <v>0</v>
      </c>
      <c r="CU121" s="138">
        <f t="shared" ca="1" si="147"/>
        <v>0</v>
      </c>
      <c r="CV121" s="138">
        <f t="shared" ca="1" si="147"/>
        <v>0</v>
      </c>
      <c r="CW121" s="138">
        <f t="shared" ca="1" si="147"/>
        <v>0</v>
      </c>
      <c r="CX121" s="138">
        <f t="shared" ca="1" si="147"/>
        <v>0</v>
      </c>
      <c r="CY121" s="138">
        <f t="shared" ca="1" si="147"/>
        <v>0</v>
      </c>
      <c r="CZ121" s="138">
        <f t="shared" ca="1" si="147"/>
        <v>0</v>
      </c>
      <c r="DA121" s="138">
        <f t="shared" ca="1" si="147"/>
        <v>0</v>
      </c>
      <c r="DB121" s="138">
        <f t="shared" ca="1" si="147"/>
        <v>0</v>
      </c>
      <c r="DC121" s="138">
        <f t="shared" ca="1" si="147"/>
        <v>0</v>
      </c>
      <c r="DE121" s="254" t="str">
        <f t="shared" ca="1" si="87"/>
        <v>L.1.3.</v>
      </c>
      <c r="DF121">
        <f t="shared" ca="1" si="148"/>
        <v>1</v>
      </c>
    </row>
    <row r="122" spans="1:110" hidden="1">
      <c r="A122" s="124">
        <v>110</v>
      </c>
      <c r="B122" s="205" t="str">
        <f t="shared" ca="1" si="84"/>
        <v>L.1.4.</v>
      </c>
      <c r="C122" s="129" t="str">
        <f t="shared" ca="1" si="85"/>
        <v/>
      </c>
      <c r="D122" s="135"/>
      <c r="E122" s="148" t="str">
        <f t="shared" ca="1" si="86"/>
        <v/>
      </c>
      <c r="F122" s="139">
        <f ca="1">H122+NPV(SD,I122:INDEX(I122:DC122,PAL))</f>
        <v>0</v>
      </c>
      <c r="G122" s="140">
        <f ca="1">SUMIF($H$5:$DC$5,"&lt;="&amp;PAL,$H122:$DC122)</f>
        <v>0</v>
      </c>
      <c r="H122" s="138">
        <f t="shared" ca="1" si="141"/>
        <v>0</v>
      </c>
      <c r="I122" s="138">
        <f t="shared" ca="1" si="141"/>
        <v>0</v>
      </c>
      <c r="J122" s="138">
        <f t="shared" ca="1" si="141"/>
        <v>0</v>
      </c>
      <c r="K122" s="138">
        <f t="shared" ca="1" si="141"/>
        <v>0</v>
      </c>
      <c r="L122" s="138">
        <f t="shared" ca="1" si="141"/>
        <v>0</v>
      </c>
      <c r="M122" s="138">
        <f t="shared" ca="1" si="141"/>
        <v>0</v>
      </c>
      <c r="N122" s="138">
        <f t="shared" ca="1" si="141"/>
        <v>0</v>
      </c>
      <c r="O122" s="138">
        <f t="shared" ca="1" si="141"/>
        <v>0</v>
      </c>
      <c r="P122" s="138">
        <f t="shared" ca="1" si="141"/>
        <v>0</v>
      </c>
      <c r="Q122" s="138">
        <f t="shared" ca="1" si="141"/>
        <v>0</v>
      </c>
      <c r="R122" s="138">
        <f t="shared" ca="1" si="141"/>
        <v>0</v>
      </c>
      <c r="S122" s="138">
        <f t="shared" ca="1" si="141"/>
        <v>0</v>
      </c>
      <c r="T122" s="138">
        <f t="shared" ca="1" si="141"/>
        <v>0</v>
      </c>
      <c r="U122" s="138">
        <f t="shared" ca="1" si="141"/>
        <v>0</v>
      </c>
      <c r="V122" s="138">
        <f t="shared" ca="1" si="141"/>
        <v>0</v>
      </c>
      <c r="W122" s="138">
        <f t="shared" ca="1" si="141"/>
        <v>0</v>
      </c>
      <c r="X122" s="138">
        <f t="shared" ca="1" si="142"/>
        <v>0</v>
      </c>
      <c r="Y122" s="138">
        <f t="shared" ca="1" si="142"/>
        <v>0</v>
      </c>
      <c r="Z122" s="138">
        <f t="shared" ca="1" si="142"/>
        <v>0</v>
      </c>
      <c r="AA122" s="138">
        <f t="shared" ca="1" si="142"/>
        <v>0</v>
      </c>
      <c r="AB122" s="138">
        <f t="shared" ca="1" si="142"/>
        <v>0</v>
      </c>
      <c r="AC122" s="138">
        <f t="shared" ca="1" si="142"/>
        <v>0</v>
      </c>
      <c r="AD122" s="138">
        <f t="shared" ca="1" si="142"/>
        <v>0</v>
      </c>
      <c r="AE122" s="138">
        <f t="shared" ca="1" si="142"/>
        <v>0</v>
      </c>
      <c r="AF122" s="138">
        <f t="shared" ca="1" si="142"/>
        <v>0</v>
      </c>
      <c r="AG122" s="138">
        <f t="shared" ca="1" si="142"/>
        <v>0</v>
      </c>
      <c r="AH122" s="138">
        <f t="shared" ca="1" si="142"/>
        <v>0</v>
      </c>
      <c r="AI122" s="138">
        <f t="shared" ca="1" si="142"/>
        <v>0</v>
      </c>
      <c r="AJ122" s="138">
        <f t="shared" ca="1" si="142"/>
        <v>0</v>
      </c>
      <c r="AK122" s="138">
        <f t="shared" ca="1" si="142"/>
        <v>0</v>
      </c>
      <c r="AL122" s="138">
        <f t="shared" ca="1" si="142"/>
        <v>0</v>
      </c>
      <c r="AM122" s="138">
        <f t="shared" ca="1" si="142"/>
        <v>0</v>
      </c>
      <c r="AN122" s="138">
        <f t="shared" ca="1" si="143"/>
        <v>0</v>
      </c>
      <c r="AO122" s="138">
        <f t="shared" ca="1" si="143"/>
        <v>0</v>
      </c>
      <c r="AP122" s="138">
        <f t="shared" ca="1" si="143"/>
        <v>0</v>
      </c>
      <c r="AQ122" s="138">
        <f t="shared" ca="1" si="143"/>
        <v>0</v>
      </c>
      <c r="AR122" s="138">
        <f t="shared" ca="1" si="143"/>
        <v>0</v>
      </c>
      <c r="AS122" s="138">
        <f t="shared" ca="1" si="143"/>
        <v>0</v>
      </c>
      <c r="AT122" s="138">
        <f t="shared" ca="1" si="143"/>
        <v>0</v>
      </c>
      <c r="AU122" s="138">
        <f t="shared" ca="1" si="143"/>
        <v>0</v>
      </c>
      <c r="AV122" s="138">
        <f t="shared" ca="1" si="143"/>
        <v>0</v>
      </c>
      <c r="AW122" s="138">
        <f t="shared" ca="1" si="143"/>
        <v>0</v>
      </c>
      <c r="AX122" s="138">
        <f t="shared" ca="1" si="143"/>
        <v>0</v>
      </c>
      <c r="AY122" s="138">
        <f t="shared" ca="1" si="143"/>
        <v>0</v>
      </c>
      <c r="AZ122" s="138">
        <f t="shared" ca="1" si="143"/>
        <v>0</v>
      </c>
      <c r="BA122" s="138">
        <f t="shared" ca="1" si="143"/>
        <v>0</v>
      </c>
      <c r="BB122" s="138">
        <f t="shared" ca="1" si="143"/>
        <v>0</v>
      </c>
      <c r="BC122" s="138">
        <f t="shared" ca="1" si="143"/>
        <v>0</v>
      </c>
      <c r="BD122" s="138">
        <f t="shared" ca="1" si="144"/>
        <v>0</v>
      </c>
      <c r="BE122" s="138">
        <f t="shared" ca="1" si="144"/>
        <v>0</v>
      </c>
      <c r="BF122" s="138">
        <f t="shared" ca="1" si="144"/>
        <v>0</v>
      </c>
      <c r="BG122" s="138">
        <f t="shared" ca="1" si="144"/>
        <v>0</v>
      </c>
      <c r="BH122" s="138">
        <f t="shared" ca="1" si="144"/>
        <v>0</v>
      </c>
      <c r="BI122" s="138">
        <f t="shared" ca="1" si="144"/>
        <v>0</v>
      </c>
      <c r="BJ122" s="138">
        <f t="shared" ca="1" si="144"/>
        <v>0</v>
      </c>
      <c r="BK122" s="138">
        <f t="shared" ca="1" si="144"/>
        <v>0</v>
      </c>
      <c r="BL122" s="138">
        <f t="shared" ca="1" si="144"/>
        <v>0</v>
      </c>
      <c r="BM122" s="138">
        <f t="shared" ca="1" si="144"/>
        <v>0</v>
      </c>
      <c r="BN122" s="138">
        <f t="shared" ca="1" si="144"/>
        <v>0</v>
      </c>
      <c r="BO122" s="138">
        <f t="shared" ca="1" si="144"/>
        <v>0</v>
      </c>
      <c r="BP122" s="138">
        <f t="shared" ca="1" si="144"/>
        <v>0</v>
      </c>
      <c r="BQ122" s="138">
        <f t="shared" ca="1" si="144"/>
        <v>0</v>
      </c>
      <c r="BR122" s="138">
        <f t="shared" ca="1" si="144"/>
        <v>0</v>
      </c>
      <c r="BS122" s="138">
        <f t="shared" ca="1" si="144"/>
        <v>0</v>
      </c>
      <c r="BT122" s="138">
        <f t="shared" ca="1" si="145"/>
        <v>0</v>
      </c>
      <c r="BU122" s="138">
        <f t="shared" ca="1" si="145"/>
        <v>0</v>
      </c>
      <c r="BV122" s="138">
        <f t="shared" ca="1" si="145"/>
        <v>0</v>
      </c>
      <c r="BW122" s="138">
        <f t="shared" ca="1" si="145"/>
        <v>0</v>
      </c>
      <c r="BX122" s="138">
        <f t="shared" ca="1" si="145"/>
        <v>0</v>
      </c>
      <c r="BY122" s="138">
        <f t="shared" ca="1" si="145"/>
        <v>0</v>
      </c>
      <c r="BZ122" s="138">
        <f t="shared" ca="1" si="145"/>
        <v>0</v>
      </c>
      <c r="CA122" s="138">
        <f t="shared" ca="1" si="145"/>
        <v>0</v>
      </c>
      <c r="CB122" s="138">
        <f t="shared" ca="1" si="145"/>
        <v>0</v>
      </c>
      <c r="CC122" s="138">
        <f t="shared" ca="1" si="145"/>
        <v>0</v>
      </c>
      <c r="CD122" s="138">
        <f t="shared" ca="1" si="145"/>
        <v>0</v>
      </c>
      <c r="CE122" s="138">
        <f t="shared" ca="1" si="145"/>
        <v>0</v>
      </c>
      <c r="CF122" s="138">
        <f t="shared" ca="1" si="145"/>
        <v>0</v>
      </c>
      <c r="CG122" s="138">
        <f t="shared" ca="1" si="145"/>
        <v>0</v>
      </c>
      <c r="CH122" s="138">
        <f t="shared" ca="1" si="145"/>
        <v>0</v>
      </c>
      <c r="CI122" s="138">
        <f t="shared" ca="1" si="145"/>
        <v>0</v>
      </c>
      <c r="CJ122" s="138">
        <f t="shared" ca="1" si="146"/>
        <v>0</v>
      </c>
      <c r="CK122" s="138">
        <f t="shared" ca="1" si="146"/>
        <v>0</v>
      </c>
      <c r="CL122" s="138">
        <f t="shared" ca="1" si="146"/>
        <v>0</v>
      </c>
      <c r="CM122" s="138">
        <f t="shared" ca="1" si="146"/>
        <v>0</v>
      </c>
      <c r="CN122" s="138">
        <f t="shared" ca="1" si="146"/>
        <v>0</v>
      </c>
      <c r="CO122" s="138">
        <f t="shared" ca="1" si="146"/>
        <v>0</v>
      </c>
      <c r="CP122" s="138">
        <f t="shared" ca="1" si="146"/>
        <v>0</v>
      </c>
      <c r="CQ122" s="138">
        <f t="shared" ca="1" si="146"/>
        <v>0</v>
      </c>
      <c r="CR122" s="138">
        <f t="shared" ca="1" si="146"/>
        <v>0</v>
      </c>
      <c r="CS122" s="138">
        <f t="shared" ca="1" si="146"/>
        <v>0</v>
      </c>
      <c r="CT122" s="138">
        <f t="shared" ca="1" si="147"/>
        <v>0</v>
      </c>
      <c r="CU122" s="138">
        <f t="shared" ca="1" si="147"/>
        <v>0</v>
      </c>
      <c r="CV122" s="138">
        <f t="shared" ca="1" si="147"/>
        <v>0</v>
      </c>
      <c r="CW122" s="138">
        <f t="shared" ca="1" si="147"/>
        <v>0</v>
      </c>
      <c r="CX122" s="138">
        <f t="shared" ca="1" si="147"/>
        <v>0</v>
      </c>
      <c r="CY122" s="138">
        <f t="shared" ca="1" si="147"/>
        <v>0</v>
      </c>
      <c r="CZ122" s="138">
        <f t="shared" ca="1" si="147"/>
        <v>0</v>
      </c>
      <c r="DA122" s="138">
        <f t="shared" ca="1" si="147"/>
        <v>0</v>
      </c>
      <c r="DB122" s="138">
        <f t="shared" ca="1" si="147"/>
        <v>0</v>
      </c>
      <c r="DC122" s="138">
        <f t="shared" ca="1" si="147"/>
        <v>0</v>
      </c>
      <c r="DE122" s="254" t="str">
        <f t="shared" ca="1" si="87"/>
        <v>L.1.4.</v>
      </c>
      <c r="DF122">
        <f t="shared" ca="1" si="148"/>
        <v>1</v>
      </c>
    </row>
    <row r="123" spans="1:110" hidden="1">
      <c r="A123" s="124">
        <v>111</v>
      </c>
      <c r="B123" s="205" t="str">
        <f t="shared" ca="1" si="84"/>
        <v>L.1.5.</v>
      </c>
      <c r="C123" s="129" t="str">
        <f t="shared" ca="1" si="85"/>
        <v/>
      </c>
      <c r="D123" s="135"/>
      <c r="E123" s="148" t="str">
        <f t="shared" ca="1" si="86"/>
        <v/>
      </c>
      <c r="F123" s="139">
        <f ca="1">H123+NPV(SD,I123:INDEX(I123:DC123,PAL))</f>
        <v>0</v>
      </c>
      <c r="G123" s="140">
        <f ca="1">SUMIF($H$5:$DC$5,"&lt;="&amp;PAL,$H123:$DC123)</f>
        <v>0</v>
      </c>
      <c r="H123" s="138">
        <f t="shared" ca="1" si="141"/>
        <v>0</v>
      </c>
      <c r="I123" s="138">
        <f t="shared" ca="1" si="141"/>
        <v>0</v>
      </c>
      <c r="J123" s="138">
        <f t="shared" ca="1" si="141"/>
        <v>0</v>
      </c>
      <c r="K123" s="138">
        <f t="shared" ca="1" si="141"/>
        <v>0</v>
      </c>
      <c r="L123" s="138">
        <f t="shared" ca="1" si="141"/>
        <v>0</v>
      </c>
      <c r="M123" s="138">
        <f t="shared" ca="1" si="141"/>
        <v>0</v>
      </c>
      <c r="N123" s="138">
        <f t="shared" ca="1" si="141"/>
        <v>0</v>
      </c>
      <c r="O123" s="138">
        <f t="shared" ca="1" si="141"/>
        <v>0</v>
      </c>
      <c r="P123" s="138">
        <f t="shared" ca="1" si="141"/>
        <v>0</v>
      </c>
      <c r="Q123" s="138">
        <f t="shared" ca="1" si="141"/>
        <v>0</v>
      </c>
      <c r="R123" s="138">
        <f t="shared" ca="1" si="141"/>
        <v>0</v>
      </c>
      <c r="S123" s="138">
        <f t="shared" ca="1" si="141"/>
        <v>0</v>
      </c>
      <c r="T123" s="138">
        <f t="shared" ca="1" si="141"/>
        <v>0</v>
      </c>
      <c r="U123" s="138">
        <f t="shared" ca="1" si="141"/>
        <v>0</v>
      </c>
      <c r="V123" s="138">
        <f t="shared" ca="1" si="141"/>
        <v>0</v>
      </c>
      <c r="W123" s="138">
        <f t="shared" ca="1" si="141"/>
        <v>0</v>
      </c>
      <c r="X123" s="138">
        <f t="shared" ca="1" si="142"/>
        <v>0</v>
      </c>
      <c r="Y123" s="138">
        <f t="shared" ca="1" si="142"/>
        <v>0</v>
      </c>
      <c r="Z123" s="138">
        <f t="shared" ca="1" si="142"/>
        <v>0</v>
      </c>
      <c r="AA123" s="138">
        <f t="shared" ca="1" si="142"/>
        <v>0</v>
      </c>
      <c r="AB123" s="138">
        <f t="shared" ca="1" si="142"/>
        <v>0</v>
      </c>
      <c r="AC123" s="138">
        <f t="shared" ca="1" si="142"/>
        <v>0</v>
      </c>
      <c r="AD123" s="138">
        <f t="shared" ca="1" si="142"/>
        <v>0</v>
      </c>
      <c r="AE123" s="138">
        <f t="shared" ca="1" si="142"/>
        <v>0</v>
      </c>
      <c r="AF123" s="138">
        <f t="shared" ca="1" si="142"/>
        <v>0</v>
      </c>
      <c r="AG123" s="138">
        <f t="shared" ca="1" si="142"/>
        <v>0</v>
      </c>
      <c r="AH123" s="138">
        <f t="shared" ca="1" si="142"/>
        <v>0</v>
      </c>
      <c r="AI123" s="138">
        <f t="shared" ca="1" si="142"/>
        <v>0</v>
      </c>
      <c r="AJ123" s="138">
        <f t="shared" ca="1" si="142"/>
        <v>0</v>
      </c>
      <c r="AK123" s="138">
        <f t="shared" ca="1" si="142"/>
        <v>0</v>
      </c>
      <c r="AL123" s="138">
        <f t="shared" ca="1" si="142"/>
        <v>0</v>
      </c>
      <c r="AM123" s="138">
        <f t="shared" ca="1" si="142"/>
        <v>0</v>
      </c>
      <c r="AN123" s="138">
        <f t="shared" ca="1" si="143"/>
        <v>0</v>
      </c>
      <c r="AO123" s="138">
        <f t="shared" ca="1" si="143"/>
        <v>0</v>
      </c>
      <c r="AP123" s="138">
        <f t="shared" ca="1" si="143"/>
        <v>0</v>
      </c>
      <c r="AQ123" s="138">
        <f t="shared" ca="1" si="143"/>
        <v>0</v>
      </c>
      <c r="AR123" s="138">
        <f t="shared" ca="1" si="143"/>
        <v>0</v>
      </c>
      <c r="AS123" s="138">
        <f t="shared" ca="1" si="143"/>
        <v>0</v>
      </c>
      <c r="AT123" s="138">
        <f t="shared" ca="1" si="143"/>
        <v>0</v>
      </c>
      <c r="AU123" s="138">
        <f t="shared" ca="1" si="143"/>
        <v>0</v>
      </c>
      <c r="AV123" s="138">
        <f t="shared" ca="1" si="143"/>
        <v>0</v>
      </c>
      <c r="AW123" s="138">
        <f t="shared" ca="1" si="143"/>
        <v>0</v>
      </c>
      <c r="AX123" s="138">
        <f t="shared" ca="1" si="143"/>
        <v>0</v>
      </c>
      <c r="AY123" s="138">
        <f t="shared" ca="1" si="143"/>
        <v>0</v>
      </c>
      <c r="AZ123" s="138">
        <f t="shared" ca="1" si="143"/>
        <v>0</v>
      </c>
      <c r="BA123" s="138">
        <f t="shared" ca="1" si="143"/>
        <v>0</v>
      </c>
      <c r="BB123" s="138">
        <f t="shared" ca="1" si="143"/>
        <v>0</v>
      </c>
      <c r="BC123" s="138">
        <f t="shared" ca="1" si="143"/>
        <v>0</v>
      </c>
      <c r="BD123" s="138">
        <f t="shared" ca="1" si="144"/>
        <v>0</v>
      </c>
      <c r="BE123" s="138">
        <f t="shared" ca="1" si="144"/>
        <v>0</v>
      </c>
      <c r="BF123" s="138">
        <f t="shared" ca="1" si="144"/>
        <v>0</v>
      </c>
      <c r="BG123" s="138">
        <f t="shared" ca="1" si="144"/>
        <v>0</v>
      </c>
      <c r="BH123" s="138">
        <f t="shared" ca="1" si="144"/>
        <v>0</v>
      </c>
      <c r="BI123" s="138">
        <f t="shared" ca="1" si="144"/>
        <v>0</v>
      </c>
      <c r="BJ123" s="138">
        <f t="shared" ca="1" si="144"/>
        <v>0</v>
      </c>
      <c r="BK123" s="138">
        <f t="shared" ca="1" si="144"/>
        <v>0</v>
      </c>
      <c r="BL123" s="138">
        <f t="shared" ca="1" si="144"/>
        <v>0</v>
      </c>
      <c r="BM123" s="138">
        <f t="shared" ca="1" si="144"/>
        <v>0</v>
      </c>
      <c r="BN123" s="138">
        <f t="shared" ca="1" si="144"/>
        <v>0</v>
      </c>
      <c r="BO123" s="138">
        <f t="shared" ca="1" si="144"/>
        <v>0</v>
      </c>
      <c r="BP123" s="138">
        <f t="shared" ca="1" si="144"/>
        <v>0</v>
      </c>
      <c r="BQ123" s="138">
        <f t="shared" ca="1" si="144"/>
        <v>0</v>
      </c>
      <c r="BR123" s="138">
        <f t="shared" ca="1" si="144"/>
        <v>0</v>
      </c>
      <c r="BS123" s="138">
        <f t="shared" ca="1" si="144"/>
        <v>0</v>
      </c>
      <c r="BT123" s="138">
        <f t="shared" ca="1" si="145"/>
        <v>0</v>
      </c>
      <c r="BU123" s="138">
        <f t="shared" ca="1" si="145"/>
        <v>0</v>
      </c>
      <c r="BV123" s="138">
        <f t="shared" ca="1" si="145"/>
        <v>0</v>
      </c>
      <c r="BW123" s="138">
        <f t="shared" ca="1" si="145"/>
        <v>0</v>
      </c>
      <c r="BX123" s="138">
        <f t="shared" ca="1" si="145"/>
        <v>0</v>
      </c>
      <c r="BY123" s="138">
        <f t="shared" ca="1" si="145"/>
        <v>0</v>
      </c>
      <c r="BZ123" s="138">
        <f t="shared" ca="1" si="145"/>
        <v>0</v>
      </c>
      <c r="CA123" s="138">
        <f t="shared" ca="1" si="145"/>
        <v>0</v>
      </c>
      <c r="CB123" s="138">
        <f t="shared" ca="1" si="145"/>
        <v>0</v>
      </c>
      <c r="CC123" s="138">
        <f t="shared" ca="1" si="145"/>
        <v>0</v>
      </c>
      <c r="CD123" s="138">
        <f t="shared" ca="1" si="145"/>
        <v>0</v>
      </c>
      <c r="CE123" s="138">
        <f t="shared" ca="1" si="145"/>
        <v>0</v>
      </c>
      <c r="CF123" s="138">
        <f t="shared" ca="1" si="145"/>
        <v>0</v>
      </c>
      <c r="CG123" s="138">
        <f t="shared" ca="1" si="145"/>
        <v>0</v>
      </c>
      <c r="CH123" s="138">
        <f t="shared" ca="1" si="145"/>
        <v>0</v>
      </c>
      <c r="CI123" s="138">
        <f t="shared" ca="1" si="145"/>
        <v>0</v>
      </c>
      <c r="CJ123" s="138">
        <f t="shared" ca="1" si="146"/>
        <v>0</v>
      </c>
      <c r="CK123" s="138">
        <f t="shared" ca="1" si="146"/>
        <v>0</v>
      </c>
      <c r="CL123" s="138">
        <f t="shared" ca="1" si="146"/>
        <v>0</v>
      </c>
      <c r="CM123" s="138">
        <f t="shared" ca="1" si="146"/>
        <v>0</v>
      </c>
      <c r="CN123" s="138">
        <f t="shared" ca="1" si="146"/>
        <v>0</v>
      </c>
      <c r="CO123" s="138">
        <f t="shared" ca="1" si="146"/>
        <v>0</v>
      </c>
      <c r="CP123" s="138">
        <f t="shared" ca="1" si="146"/>
        <v>0</v>
      </c>
      <c r="CQ123" s="138">
        <f t="shared" ca="1" si="146"/>
        <v>0</v>
      </c>
      <c r="CR123" s="138">
        <f t="shared" ca="1" si="146"/>
        <v>0</v>
      </c>
      <c r="CS123" s="138">
        <f t="shared" ca="1" si="146"/>
        <v>0</v>
      </c>
      <c r="CT123" s="138">
        <f t="shared" ca="1" si="147"/>
        <v>0</v>
      </c>
      <c r="CU123" s="138">
        <f t="shared" ca="1" si="147"/>
        <v>0</v>
      </c>
      <c r="CV123" s="138">
        <f t="shared" ca="1" si="147"/>
        <v>0</v>
      </c>
      <c r="CW123" s="138">
        <f t="shared" ca="1" si="147"/>
        <v>0</v>
      </c>
      <c r="CX123" s="138">
        <f t="shared" ca="1" si="147"/>
        <v>0</v>
      </c>
      <c r="CY123" s="138">
        <f t="shared" ca="1" si="147"/>
        <v>0</v>
      </c>
      <c r="CZ123" s="138">
        <f t="shared" ca="1" si="147"/>
        <v>0</v>
      </c>
      <c r="DA123" s="138">
        <f t="shared" ca="1" si="147"/>
        <v>0</v>
      </c>
      <c r="DB123" s="138">
        <f t="shared" ca="1" si="147"/>
        <v>0</v>
      </c>
      <c r="DC123" s="138">
        <f t="shared" ca="1" si="147"/>
        <v>0</v>
      </c>
      <c r="DE123" s="254" t="str">
        <f t="shared" ca="1" si="87"/>
        <v>L.1.5.</v>
      </c>
      <c r="DF123">
        <f t="shared" ca="1" si="148"/>
        <v>1</v>
      </c>
    </row>
    <row r="124" spans="1:110" hidden="1">
      <c r="A124" s="124">
        <v>112</v>
      </c>
      <c r="B124" s="205" t="str">
        <f t="shared" ca="1" si="84"/>
        <v>L.1.6.</v>
      </c>
      <c r="C124" s="129" t="str">
        <f t="shared" ca="1" si="85"/>
        <v/>
      </c>
      <c r="D124" s="135"/>
      <c r="E124" s="148" t="str">
        <f t="shared" ca="1" si="86"/>
        <v/>
      </c>
      <c r="F124" s="139">
        <f ca="1">H124+NPV(SD,I124:INDEX(I124:DC124,PAL))</f>
        <v>0</v>
      </c>
      <c r="G124" s="140">
        <f ca="1">SUMIF($H$5:$DC$5,"&lt;="&amp;PAL,$H124:$DC124)</f>
        <v>0</v>
      </c>
      <c r="H124" s="138">
        <f t="shared" ca="1" si="141"/>
        <v>0</v>
      </c>
      <c r="I124" s="138">
        <f t="shared" ca="1" si="141"/>
        <v>0</v>
      </c>
      <c r="J124" s="138">
        <f t="shared" ca="1" si="141"/>
        <v>0</v>
      </c>
      <c r="K124" s="138">
        <f t="shared" ca="1" si="141"/>
        <v>0</v>
      </c>
      <c r="L124" s="138">
        <f t="shared" ca="1" si="141"/>
        <v>0</v>
      </c>
      <c r="M124" s="138">
        <f t="shared" ca="1" si="141"/>
        <v>0</v>
      </c>
      <c r="N124" s="138">
        <f t="shared" ca="1" si="141"/>
        <v>0</v>
      </c>
      <c r="O124" s="138">
        <f t="shared" ca="1" si="141"/>
        <v>0</v>
      </c>
      <c r="P124" s="138">
        <f t="shared" ca="1" si="141"/>
        <v>0</v>
      </c>
      <c r="Q124" s="138">
        <f t="shared" ca="1" si="141"/>
        <v>0</v>
      </c>
      <c r="R124" s="138">
        <f t="shared" ca="1" si="141"/>
        <v>0</v>
      </c>
      <c r="S124" s="138">
        <f t="shared" ca="1" si="141"/>
        <v>0</v>
      </c>
      <c r="T124" s="138">
        <f t="shared" ca="1" si="141"/>
        <v>0</v>
      </c>
      <c r="U124" s="138">
        <f t="shared" ca="1" si="141"/>
        <v>0</v>
      </c>
      <c r="V124" s="138">
        <f t="shared" ca="1" si="141"/>
        <v>0</v>
      </c>
      <c r="W124" s="138">
        <f t="shared" ca="1" si="141"/>
        <v>0</v>
      </c>
      <c r="X124" s="138">
        <f t="shared" ca="1" si="142"/>
        <v>0</v>
      </c>
      <c r="Y124" s="138">
        <f t="shared" ca="1" si="142"/>
        <v>0</v>
      </c>
      <c r="Z124" s="138">
        <f t="shared" ca="1" si="142"/>
        <v>0</v>
      </c>
      <c r="AA124" s="138">
        <f t="shared" ca="1" si="142"/>
        <v>0</v>
      </c>
      <c r="AB124" s="138">
        <f t="shared" ca="1" si="142"/>
        <v>0</v>
      </c>
      <c r="AC124" s="138">
        <f t="shared" ca="1" si="142"/>
        <v>0</v>
      </c>
      <c r="AD124" s="138">
        <f t="shared" ca="1" si="142"/>
        <v>0</v>
      </c>
      <c r="AE124" s="138">
        <f t="shared" ca="1" si="142"/>
        <v>0</v>
      </c>
      <c r="AF124" s="138">
        <f t="shared" ca="1" si="142"/>
        <v>0</v>
      </c>
      <c r="AG124" s="138">
        <f t="shared" ca="1" si="142"/>
        <v>0</v>
      </c>
      <c r="AH124" s="138">
        <f t="shared" ca="1" si="142"/>
        <v>0</v>
      </c>
      <c r="AI124" s="138">
        <f t="shared" ca="1" si="142"/>
        <v>0</v>
      </c>
      <c r="AJ124" s="138">
        <f t="shared" ca="1" si="142"/>
        <v>0</v>
      </c>
      <c r="AK124" s="138">
        <f t="shared" ca="1" si="142"/>
        <v>0</v>
      </c>
      <c r="AL124" s="138">
        <f t="shared" ca="1" si="142"/>
        <v>0</v>
      </c>
      <c r="AM124" s="138">
        <f t="shared" ca="1" si="142"/>
        <v>0</v>
      </c>
      <c r="AN124" s="138">
        <f t="shared" ca="1" si="143"/>
        <v>0</v>
      </c>
      <c r="AO124" s="138">
        <f t="shared" ca="1" si="143"/>
        <v>0</v>
      </c>
      <c r="AP124" s="138">
        <f t="shared" ca="1" si="143"/>
        <v>0</v>
      </c>
      <c r="AQ124" s="138">
        <f t="shared" ca="1" si="143"/>
        <v>0</v>
      </c>
      <c r="AR124" s="138">
        <f t="shared" ca="1" si="143"/>
        <v>0</v>
      </c>
      <c r="AS124" s="138">
        <f t="shared" ca="1" si="143"/>
        <v>0</v>
      </c>
      <c r="AT124" s="138">
        <f t="shared" ca="1" si="143"/>
        <v>0</v>
      </c>
      <c r="AU124" s="138">
        <f t="shared" ca="1" si="143"/>
        <v>0</v>
      </c>
      <c r="AV124" s="138">
        <f t="shared" ca="1" si="143"/>
        <v>0</v>
      </c>
      <c r="AW124" s="138">
        <f t="shared" ca="1" si="143"/>
        <v>0</v>
      </c>
      <c r="AX124" s="138">
        <f t="shared" ca="1" si="143"/>
        <v>0</v>
      </c>
      <c r="AY124" s="138">
        <f t="shared" ca="1" si="143"/>
        <v>0</v>
      </c>
      <c r="AZ124" s="138">
        <f t="shared" ca="1" si="143"/>
        <v>0</v>
      </c>
      <c r="BA124" s="138">
        <f t="shared" ca="1" si="143"/>
        <v>0</v>
      </c>
      <c r="BB124" s="138">
        <f t="shared" ca="1" si="143"/>
        <v>0</v>
      </c>
      <c r="BC124" s="138">
        <f t="shared" ca="1" si="143"/>
        <v>0</v>
      </c>
      <c r="BD124" s="138">
        <f t="shared" ca="1" si="144"/>
        <v>0</v>
      </c>
      <c r="BE124" s="138">
        <f t="shared" ca="1" si="144"/>
        <v>0</v>
      </c>
      <c r="BF124" s="138">
        <f t="shared" ca="1" si="144"/>
        <v>0</v>
      </c>
      <c r="BG124" s="138">
        <f t="shared" ca="1" si="144"/>
        <v>0</v>
      </c>
      <c r="BH124" s="138">
        <f t="shared" ca="1" si="144"/>
        <v>0</v>
      </c>
      <c r="BI124" s="138">
        <f t="shared" ca="1" si="144"/>
        <v>0</v>
      </c>
      <c r="BJ124" s="138">
        <f t="shared" ca="1" si="144"/>
        <v>0</v>
      </c>
      <c r="BK124" s="138">
        <f t="shared" ca="1" si="144"/>
        <v>0</v>
      </c>
      <c r="BL124" s="138">
        <f t="shared" ca="1" si="144"/>
        <v>0</v>
      </c>
      <c r="BM124" s="138">
        <f t="shared" ca="1" si="144"/>
        <v>0</v>
      </c>
      <c r="BN124" s="138">
        <f t="shared" ca="1" si="144"/>
        <v>0</v>
      </c>
      <c r="BO124" s="138">
        <f t="shared" ca="1" si="144"/>
        <v>0</v>
      </c>
      <c r="BP124" s="138">
        <f t="shared" ca="1" si="144"/>
        <v>0</v>
      </c>
      <c r="BQ124" s="138">
        <f t="shared" ca="1" si="144"/>
        <v>0</v>
      </c>
      <c r="BR124" s="138">
        <f t="shared" ca="1" si="144"/>
        <v>0</v>
      </c>
      <c r="BS124" s="138">
        <f t="shared" ca="1" si="144"/>
        <v>0</v>
      </c>
      <c r="BT124" s="138">
        <f t="shared" ca="1" si="145"/>
        <v>0</v>
      </c>
      <c r="BU124" s="138">
        <f t="shared" ca="1" si="145"/>
        <v>0</v>
      </c>
      <c r="BV124" s="138">
        <f t="shared" ca="1" si="145"/>
        <v>0</v>
      </c>
      <c r="BW124" s="138">
        <f t="shared" ca="1" si="145"/>
        <v>0</v>
      </c>
      <c r="BX124" s="138">
        <f t="shared" ca="1" si="145"/>
        <v>0</v>
      </c>
      <c r="BY124" s="138">
        <f t="shared" ca="1" si="145"/>
        <v>0</v>
      </c>
      <c r="BZ124" s="138">
        <f t="shared" ca="1" si="145"/>
        <v>0</v>
      </c>
      <c r="CA124" s="138">
        <f t="shared" ca="1" si="145"/>
        <v>0</v>
      </c>
      <c r="CB124" s="138">
        <f t="shared" ca="1" si="145"/>
        <v>0</v>
      </c>
      <c r="CC124" s="138">
        <f t="shared" ca="1" si="145"/>
        <v>0</v>
      </c>
      <c r="CD124" s="138">
        <f t="shared" ca="1" si="145"/>
        <v>0</v>
      </c>
      <c r="CE124" s="138">
        <f t="shared" ca="1" si="145"/>
        <v>0</v>
      </c>
      <c r="CF124" s="138">
        <f t="shared" ca="1" si="145"/>
        <v>0</v>
      </c>
      <c r="CG124" s="138">
        <f t="shared" ca="1" si="145"/>
        <v>0</v>
      </c>
      <c r="CH124" s="138">
        <f t="shared" ca="1" si="145"/>
        <v>0</v>
      </c>
      <c r="CI124" s="138">
        <f t="shared" ca="1" si="145"/>
        <v>0</v>
      </c>
      <c r="CJ124" s="138">
        <f t="shared" ca="1" si="146"/>
        <v>0</v>
      </c>
      <c r="CK124" s="138">
        <f t="shared" ca="1" si="146"/>
        <v>0</v>
      </c>
      <c r="CL124" s="138">
        <f t="shared" ca="1" si="146"/>
        <v>0</v>
      </c>
      <c r="CM124" s="138">
        <f t="shared" ca="1" si="146"/>
        <v>0</v>
      </c>
      <c r="CN124" s="138">
        <f t="shared" ca="1" si="146"/>
        <v>0</v>
      </c>
      <c r="CO124" s="138">
        <f t="shared" ca="1" si="146"/>
        <v>0</v>
      </c>
      <c r="CP124" s="138">
        <f t="shared" ca="1" si="146"/>
        <v>0</v>
      </c>
      <c r="CQ124" s="138">
        <f t="shared" ca="1" si="146"/>
        <v>0</v>
      </c>
      <c r="CR124" s="138">
        <f t="shared" ca="1" si="146"/>
        <v>0</v>
      </c>
      <c r="CS124" s="138">
        <f t="shared" ca="1" si="146"/>
        <v>0</v>
      </c>
      <c r="CT124" s="138">
        <f t="shared" ca="1" si="147"/>
        <v>0</v>
      </c>
      <c r="CU124" s="138">
        <f t="shared" ca="1" si="147"/>
        <v>0</v>
      </c>
      <c r="CV124" s="138">
        <f t="shared" ca="1" si="147"/>
        <v>0</v>
      </c>
      <c r="CW124" s="138">
        <f t="shared" ca="1" si="147"/>
        <v>0</v>
      </c>
      <c r="CX124" s="138">
        <f t="shared" ca="1" si="147"/>
        <v>0</v>
      </c>
      <c r="CY124" s="138">
        <f t="shared" ca="1" si="147"/>
        <v>0</v>
      </c>
      <c r="CZ124" s="138">
        <f t="shared" ca="1" si="147"/>
        <v>0</v>
      </c>
      <c r="DA124" s="138">
        <f t="shared" ca="1" si="147"/>
        <v>0</v>
      </c>
      <c r="DB124" s="138">
        <f t="shared" ca="1" si="147"/>
        <v>0</v>
      </c>
      <c r="DC124" s="138">
        <f t="shared" ca="1" si="147"/>
        <v>0</v>
      </c>
      <c r="DE124" s="254" t="str">
        <f t="shared" ca="1" si="87"/>
        <v>L.1.6.</v>
      </c>
      <c r="DF124">
        <f t="shared" ca="1" si="148"/>
        <v>1</v>
      </c>
    </row>
    <row r="125" spans="1:110" hidden="1">
      <c r="A125" s="124">
        <v>113</v>
      </c>
      <c r="B125" s="205" t="str">
        <f t="shared" ca="1" si="84"/>
        <v>L.1.7.</v>
      </c>
      <c r="C125" s="129" t="str">
        <f t="shared" ca="1" si="85"/>
        <v/>
      </c>
      <c r="D125" s="135"/>
      <c r="E125" s="148" t="str">
        <f t="shared" ca="1" si="86"/>
        <v/>
      </c>
      <c r="F125" s="139">
        <f ca="1">H125+NPV(SD,I125:INDEX(I125:DC125,PAL))</f>
        <v>0</v>
      </c>
      <c r="G125" s="140">
        <f ca="1">SUMIF($H$5:$DC$5,"&lt;="&amp;PAL,$H125:$DC125)</f>
        <v>0</v>
      </c>
      <c r="H125" s="138">
        <f t="shared" ca="1" si="141"/>
        <v>0</v>
      </c>
      <c r="I125" s="138">
        <f t="shared" ca="1" si="141"/>
        <v>0</v>
      </c>
      <c r="J125" s="138">
        <f t="shared" ca="1" si="141"/>
        <v>0</v>
      </c>
      <c r="K125" s="138">
        <f t="shared" ca="1" si="141"/>
        <v>0</v>
      </c>
      <c r="L125" s="138">
        <f t="shared" ca="1" si="141"/>
        <v>0</v>
      </c>
      <c r="M125" s="138">
        <f t="shared" ca="1" si="141"/>
        <v>0</v>
      </c>
      <c r="N125" s="138">
        <f t="shared" ca="1" si="141"/>
        <v>0</v>
      </c>
      <c r="O125" s="138">
        <f t="shared" ca="1" si="141"/>
        <v>0</v>
      </c>
      <c r="P125" s="138">
        <f t="shared" ca="1" si="141"/>
        <v>0</v>
      </c>
      <c r="Q125" s="138">
        <f t="shared" ca="1" si="141"/>
        <v>0</v>
      </c>
      <c r="R125" s="138">
        <f t="shared" ca="1" si="141"/>
        <v>0</v>
      </c>
      <c r="S125" s="138">
        <f t="shared" ca="1" si="141"/>
        <v>0</v>
      </c>
      <c r="T125" s="138">
        <f t="shared" ca="1" si="141"/>
        <v>0</v>
      </c>
      <c r="U125" s="138">
        <f t="shared" ca="1" si="141"/>
        <v>0</v>
      </c>
      <c r="V125" s="138">
        <f t="shared" ca="1" si="141"/>
        <v>0</v>
      </c>
      <c r="W125" s="138">
        <f t="shared" ca="1" si="141"/>
        <v>0</v>
      </c>
      <c r="X125" s="138">
        <f t="shared" ca="1" si="142"/>
        <v>0</v>
      </c>
      <c r="Y125" s="138">
        <f t="shared" ca="1" si="142"/>
        <v>0</v>
      </c>
      <c r="Z125" s="138">
        <f t="shared" ca="1" si="142"/>
        <v>0</v>
      </c>
      <c r="AA125" s="138">
        <f t="shared" ca="1" si="142"/>
        <v>0</v>
      </c>
      <c r="AB125" s="138">
        <f t="shared" ca="1" si="142"/>
        <v>0</v>
      </c>
      <c r="AC125" s="138">
        <f t="shared" ca="1" si="142"/>
        <v>0</v>
      </c>
      <c r="AD125" s="138">
        <f t="shared" ca="1" si="142"/>
        <v>0</v>
      </c>
      <c r="AE125" s="138">
        <f t="shared" ca="1" si="142"/>
        <v>0</v>
      </c>
      <c r="AF125" s="138">
        <f t="shared" ca="1" si="142"/>
        <v>0</v>
      </c>
      <c r="AG125" s="138">
        <f t="shared" ca="1" si="142"/>
        <v>0</v>
      </c>
      <c r="AH125" s="138">
        <f t="shared" ca="1" si="142"/>
        <v>0</v>
      </c>
      <c r="AI125" s="138">
        <f t="shared" ca="1" si="142"/>
        <v>0</v>
      </c>
      <c r="AJ125" s="138">
        <f t="shared" ca="1" si="142"/>
        <v>0</v>
      </c>
      <c r="AK125" s="138">
        <f t="shared" ca="1" si="142"/>
        <v>0</v>
      </c>
      <c r="AL125" s="138">
        <f t="shared" ca="1" si="142"/>
        <v>0</v>
      </c>
      <c r="AM125" s="138">
        <f t="shared" ca="1" si="142"/>
        <v>0</v>
      </c>
      <c r="AN125" s="138">
        <f t="shared" ca="1" si="143"/>
        <v>0</v>
      </c>
      <c r="AO125" s="138">
        <f t="shared" ca="1" si="143"/>
        <v>0</v>
      </c>
      <c r="AP125" s="138">
        <f t="shared" ca="1" si="143"/>
        <v>0</v>
      </c>
      <c r="AQ125" s="138">
        <f t="shared" ca="1" si="143"/>
        <v>0</v>
      </c>
      <c r="AR125" s="138">
        <f t="shared" ca="1" si="143"/>
        <v>0</v>
      </c>
      <c r="AS125" s="138">
        <f t="shared" ca="1" si="143"/>
        <v>0</v>
      </c>
      <c r="AT125" s="138">
        <f t="shared" ca="1" si="143"/>
        <v>0</v>
      </c>
      <c r="AU125" s="138">
        <f t="shared" ca="1" si="143"/>
        <v>0</v>
      </c>
      <c r="AV125" s="138">
        <f t="shared" ca="1" si="143"/>
        <v>0</v>
      </c>
      <c r="AW125" s="138">
        <f t="shared" ca="1" si="143"/>
        <v>0</v>
      </c>
      <c r="AX125" s="138">
        <f t="shared" ca="1" si="143"/>
        <v>0</v>
      </c>
      <c r="AY125" s="138">
        <f t="shared" ca="1" si="143"/>
        <v>0</v>
      </c>
      <c r="AZ125" s="138">
        <f t="shared" ca="1" si="143"/>
        <v>0</v>
      </c>
      <c r="BA125" s="138">
        <f t="shared" ca="1" si="143"/>
        <v>0</v>
      </c>
      <c r="BB125" s="138">
        <f t="shared" ca="1" si="143"/>
        <v>0</v>
      </c>
      <c r="BC125" s="138">
        <f t="shared" ca="1" si="143"/>
        <v>0</v>
      </c>
      <c r="BD125" s="138">
        <f t="shared" ca="1" si="144"/>
        <v>0</v>
      </c>
      <c r="BE125" s="138">
        <f t="shared" ca="1" si="144"/>
        <v>0</v>
      </c>
      <c r="BF125" s="138">
        <f t="shared" ca="1" si="144"/>
        <v>0</v>
      </c>
      <c r="BG125" s="138">
        <f t="shared" ca="1" si="144"/>
        <v>0</v>
      </c>
      <c r="BH125" s="138">
        <f t="shared" ca="1" si="144"/>
        <v>0</v>
      </c>
      <c r="BI125" s="138">
        <f t="shared" ca="1" si="144"/>
        <v>0</v>
      </c>
      <c r="BJ125" s="138">
        <f t="shared" ca="1" si="144"/>
        <v>0</v>
      </c>
      <c r="BK125" s="138">
        <f t="shared" ca="1" si="144"/>
        <v>0</v>
      </c>
      <c r="BL125" s="138">
        <f t="shared" ca="1" si="144"/>
        <v>0</v>
      </c>
      <c r="BM125" s="138">
        <f t="shared" ca="1" si="144"/>
        <v>0</v>
      </c>
      <c r="BN125" s="138">
        <f t="shared" ca="1" si="144"/>
        <v>0</v>
      </c>
      <c r="BO125" s="138">
        <f t="shared" ca="1" si="144"/>
        <v>0</v>
      </c>
      <c r="BP125" s="138">
        <f t="shared" ca="1" si="144"/>
        <v>0</v>
      </c>
      <c r="BQ125" s="138">
        <f t="shared" ca="1" si="144"/>
        <v>0</v>
      </c>
      <c r="BR125" s="138">
        <f t="shared" ca="1" si="144"/>
        <v>0</v>
      </c>
      <c r="BS125" s="138">
        <f t="shared" ca="1" si="144"/>
        <v>0</v>
      </c>
      <c r="BT125" s="138">
        <f t="shared" ca="1" si="145"/>
        <v>0</v>
      </c>
      <c r="BU125" s="138">
        <f t="shared" ca="1" si="145"/>
        <v>0</v>
      </c>
      <c r="BV125" s="138">
        <f t="shared" ca="1" si="145"/>
        <v>0</v>
      </c>
      <c r="BW125" s="138">
        <f t="shared" ca="1" si="145"/>
        <v>0</v>
      </c>
      <c r="BX125" s="138">
        <f t="shared" ca="1" si="145"/>
        <v>0</v>
      </c>
      <c r="BY125" s="138">
        <f t="shared" ca="1" si="145"/>
        <v>0</v>
      </c>
      <c r="BZ125" s="138">
        <f t="shared" ca="1" si="145"/>
        <v>0</v>
      </c>
      <c r="CA125" s="138">
        <f t="shared" ca="1" si="145"/>
        <v>0</v>
      </c>
      <c r="CB125" s="138">
        <f t="shared" ca="1" si="145"/>
        <v>0</v>
      </c>
      <c r="CC125" s="138">
        <f t="shared" ca="1" si="145"/>
        <v>0</v>
      </c>
      <c r="CD125" s="138">
        <f t="shared" ca="1" si="145"/>
        <v>0</v>
      </c>
      <c r="CE125" s="138">
        <f t="shared" ca="1" si="145"/>
        <v>0</v>
      </c>
      <c r="CF125" s="138">
        <f t="shared" ca="1" si="145"/>
        <v>0</v>
      </c>
      <c r="CG125" s="138">
        <f t="shared" ca="1" si="145"/>
        <v>0</v>
      </c>
      <c r="CH125" s="138">
        <f t="shared" ca="1" si="145"/>
        <v>0</v>
      </c>
      <c r="CI125" s="138">
        <f t="shared" ca="1" si="145"/>
        <v>0</v>
      </c>
      <c r="CJ125" s="138">
        <f t="shared" ca="1" si="146"/>
        <v>0</v>
      </c>
      <c r="CK125" s="138">
        <f t="shared" ca="1" si="146"/>
        <v>0</v>
      </c>
      <c r="CL125" s="138">
        <f t="shared" ca="1" si="146"/>
        <v>0</v>
      </c>
      <c r="CM125" s="138">
        <f t="shared" ca="1" si="146"/>
        <v>0</v>
      </c>
      <c r="CN125" s="138">
        <f t="shared" ca="1" si="146"/>
        <v>0</v>
      </c>
      <c r="CO125" s="138">
        <f t="shared" ca="1" si="146"/>
        <v>0</v>
      </c>
      <c r="CP125" s="138">
        <f t="shared" ca="1" si="146"/>
        <v>0</v>
      </c>
      <c r="CQ125" s="138">
        <f t="shared" ca="1" si="146"/>
        <v>0</v>
      </c>
      <c r="CR125" s="138">
        <f t="shared" ca="1" si="146"/>
        <v>0</v>
      </c>
      <c r="CS125" s="138">
        <f t="shared" ca="1" si="146"/>
        <v>0</v>
      </c>
      <c r="CT125" s="138">
        <f t="shared" ca="1" si="147"/>
        <v>0</v>
      </c>
      <c r="CU125" s="138">
        <f t="shared" ca="1" si="147"/>
        <v>0</v>
      </c>
      <c r="CV125" s="138">
        <f t="shared" ca="1" si="147"/>
        <v>0</v>
      </c>
      <c r="CW125" s="138">
        <f t="shared" ca="1" si="147"/>
        <v>0</v>
      </c>
      <c r="CX125" s="138">
        <f t="shared" ca="1" si="147"/>
        <v>0</v>
      </c>
      <c r="CY125" s="138">
        <f t="shared" ca="1" si="147"/>
        <v>0</v>
      </c>
      <c r="CZ125" s="138">
        <f t="shared" ca="1" si="147"/>
        <v>0</v>
      </c>
      <c r="DA125" s="138">
        <f t="shared" ca="1" si="147"/>
        <v>0</v>
      </c>
      <c r="DB125" s="138">
        <f t="shared" ca="1" si="147"/>
        <v>0</v>
      </c>
      <c r="DC125" s="138">
        <f t="shared" ca="1" si="147"/>
        <v>0</v>
      </c>
      <c r="DE125" s="254" t="str">
        <f t="shared" ca="1" si="87"/>
        <v>L.1.7.</v>
      </c>
      <c r="DF125">
        <f t="shared" ca="1" si="148"/>
        <v>1</v>
      </c>
    </row>
    <row r="126" spans="1:110" hidden="1">
      <c r="A126" s="124">
        <v>114</v>
      </c>
      <c r="B126" s="205" t="str">
        <f t="shared" ca="1" si="84"/>
        <v>L.2.</v>
      </c>
      <c r="C126" s="197" t="str">
        <f t="shared" ca="1" si="85"/>
        <v>Socialinio - ekonominio poveikio žala</v>
      </c>
      <c r="D126" s="130"/>
      <c r="E126" s="233" t="str">
        <f t="shared" ca="1" si="86"/>
        <v/>
      </c>
      <c r="F126" s="139">
        <f ca="1">H126+NPV(SD,I126:INDEX(I126:DC126,PAL))</f>
        <v>0</v>
      </c>
      <c r="G126" s="140">
        <f ca="1">SUMIF($H$5:$DC$5,"&lt;="&amp;PAL,$H126:$DC126)</f>
        <v>0</v>
      </c>
      <c r="H126" s="234">
        <f ca="1">SUM(H127:H129)</f>
        <v>0</v>
      </c>
      <c r="I126" s="234">
        <f t="shared" ref="I126:BT126" ca="1" si="149">SUM(I127:I129)</f>
        <v>0</v>
      </c>
      <c r="J126" s="234">
        <f t="shared" ca="1" si="149"/>
        <v>0</v>
      </c>
      <c r="K126" s="234">
        <f t="shared" ca="1" si="149"/>
        <v>0</v>
      </c>
      <c r="L126" s="234">
        <f t="shared" ca="1" si="149"/>
        <v>0</v>
      </c>
      <c r="M126" s="234">
        <f t="shared" ca="1" si="149"/>
        <v>0</v>
      </c>
      <c r="N126" s="234">
        <f t="shared" ca="1" si="149"/>
        <v>0</v>
      </c>
      <c r="O126" s="234">
        <f t="shared" ca="1" si="149"/>
        <v>0</v>
      </c>
      <c r="P126" s="234">
        <f t="shared" ca="1" si="149"/>
        <v>0</v>
      </c>
      <c r="Q126" s="234">
        <f t="shared" ca="1" si="149"/>
        <v>0</v>
      </c>
      <c r="R126" s="234">
        <f t="shared" ca="1" si="149"/>
        <v>0</v>
      </c>
      <c r="S126" s="234">
        <f t="shared" ca="1" si="149"/>
        <v>0</v>
      </c>
      <c r="T126" s="234">
        <f t="shared" ca="1" si="149"/>
        <v>0</v>
      </c>
      <c r="U126" s="234">
        <f t="shared" ca="1" si="149"/>
        <v>0</v>
      </c>
      <c r="V126" s="234">
        <f t="shared" ca="1" si="149"/>
        <v>0</v>
      </c>
      <c r="W126" s="234">
        <f t="shared" ca="1" si="149"/>
        <v>0</v>
      </c>
      <c r="X126" s="234">
        <f t="shared" ca="1" si="149"/>
        <v>0</v>
      </c>
      <c r="Y126" s="234">
        <f t="shared" ca="1" si="149"/>
        <v>0</v>
      </c>
      <c r="Z126" s="234">
        <f t="shared" ca="1" si="149"/>
        <v>0</v>
      </c>
      <c r="AA126" s="234">
        <f t="shared" ca="1" si="149"/>
        <v>0</v>
      </c>
      <c r="AB126" s="234">
        <f t="shared" ca="1" si="149"/>
        <v>0</v>
      </c>
      <c r="AC126" s="234">
        <f t="shared" ca="1" si="149"/>
        <v>0</v>
      </c>
      <c r="AD126" s="234">
        <f t="shared" ca="1" si="149"/>
        <v>0</v>
      </c>
      <c r="AE126" s="234">
        <f t="shared" ca="1" si="149"/>
        <v>0</v>
      </c>
      <c r="AF126" s="234">
        <f t="shared" ca="1" si="149"/>
        <v>0</v>
      </c>
      <c r="AG126" s="234">
        <f t="shared" ca="1" si="149"/>
        <v>0</v>
      </c>
      <c r="AH126" s="234">
        <f t="shared" ca="1" si="149"/>
        <v>0</v>
      </c>
      <c r="AI126" s="234">
        <f t="shared" ca="1" si="149"/>
        <v>0</v>
      </c>
      <c r="AJ126" s="234">
        <f t="shared" ca="1" si="149"/>
        <v>0</v>
      </c>
      <c r="AK126" s="234">
        <f t="shared" ca="1" si="149"/>
        <v>0</v>
      </c>
      <c r="AL126" s="234">
        <f t="shared" ca="1" si="149"/>
        <v>0</v>
      </c>
      <c r="AM126" s="234">
        <f t="shared" ca="1" si="149"/>
        <v>0</v>
      </c>
      <c r="AN126" s="234">
        <f t="shared" ca="1" si="149"/>
        <v>0</v>
      </c>
      <c r="AO126" s="234">
        <f t="shared" ca="1" si="149"/>
        <v>0</v>
      </c>
      <c r="AP126" s="234">
        <f t="shared" ca="1" si="149"/>
        <v>0</v>
      </c>
      <c r="AQ126" s="234">
        <f t="shared" ca="1" si="149"/>
        <v>0</v>
      </c>
      <c r="AR126" s="234">
        <f t="shared" ca="1" si="149"/>
        <v>0</v>
      </c>
      <c r="AS126" s="234">
        <f t="shared" ca="1" si="149"/>
        <v>0</v>
      </c>
      <c r="AT126" s="234">
        <f t="shared" ca="1" si="149"/>
        <v>0</v>
      </c>
      <c r="AU126" s="234">
        <f t="shared" ca="1" si="149"/>
        <v>0</v>
      </c>
      <c r="AV126" s="234">
        <f t="shared" ca="1" si="149"/>
        <v>0</v>
      </c>
      <c r="AW126" s="234">
        <f t="shared" ca="1" si="149"/>
        <v>0</v>
      </c>
      <c r="AX126" s="234">
        <f t="shared" ca="1" si="149"/>
        <v>0</v>
      </c>
      <c r="AY126" s="234">
        <f t="shared" ca="1" si="149"/>
        <v>0</v>
      </c>
      <c r="AZ126" s="234">
        <f t="shared" ca="1" si="149"/>
        <v>0</v>
      </c>
      <c r="BA126" s="234">
        <f t="shared" ca="1" si="149"/>
        <v>0</v>
      </c>
      <c r="BB126" s="234">
        <f t="shared" ca="1" si="149"/>
        <v>0</v>
      </c>
      <c r="BC126" s="234">
        <f t="shared" ca="1" si="149"/>
        <v>0</v>
      </c>
      <c r="BD126" s="234">
        <f t="shared" ca="1" si="149"/>
        <v>0</v>
      </c>
      <c r="BE126" s="234">
        <f t="shared" ca="1" si="149"/>
        <v>0</v>
      </c>
      <c r="BF126" s="234">
        <f t="shared" ca="1" si="149"/>
        <v>0</v>
      </c>
      <c r="BG126" s="234">
        <f t="shared" ca="1" si="149"/>
        <v>0</v>
      </c>
      <c r="BH126" s="234">
        <f t="shared" ca="1" si="149"/>
        <v>0</v>
      </c>
      <c r="BI126" s="234">
        <f t="shared" ca="1" si="149"/>
        <v>0</v>
      </c>
      <c r="BJ126" s="234">
        <f t="shared" ca="1" si="149"/>
        <v>0</v>
      </c>
      <c r="BK126" s="234">
        <f t="shared" ca="1" si="149"/>
        <v>0</v>
      </c>
      <c r="BL126" s="234">
        <f t="shared" ca="1" si="149"/>
        <v>0</v>
      </c>
      <c r="BM126" s="234">
        <f t="shared" ca="1" si="149"/>
        <v>0</v>
      </c>
      <c r="BN126" s="234">
        <f t="shared" ca="1" si="149"/>
        <v>0</v>
      </c>
      <c r="BO126" s="234">
        <f t="shared" ca="1" si="149"/>
        <v>0</v>
      </c>
      <c r="BP126" s="234">
        <f t="shared" ca="1" si="149"/>
        <v>0</v>
      </c>
      <c r="BQ126" s="234">
        <f t="shared" ca="1" si="149"/>
        <v>0</v>
      </c>
      <c r="BR126" s="234">
        <f t="shared" ca="1" si="149"/>
        <v>0</v>
      </c>
      <c r="BS126" s="234">
        <f t="shared" ca="1" si="149"/>
        <v>0</v>
      </c>
      <c r="BT126" s="234">
        <f t="shared" ca="1" si="149"/>
        <v>0</v>
      </c>
      <c r="BU126" s="234">
        <f t="shared" ref="BU126:DC126" ca="1" si="150">SUM(BU127:BU129)</f>
        <v>0</v>
      </c>
      <c r="BV126" s="234">
        <f t="shared" ca="1" si="150"/>
        <v>0</v>
      </c>
      <c r="BW126" s="234">
        <f t="shared" ca="1" si="150"/>
        <v>0</v>
      </c>
      <c r="BX126" s="234">
        <f t="shared" ca="1" si="150"/>
        <v>0</v>
      </c>
      <c r="BY126" s="234">
        <f t="shared" ca="1" si="150"/>
        <v>0</v>
      </c>
      <c r="BZ126" s="234">
        <f t="shared" ca="1" si="150"/>
        <v>0</v>
      </c>
      <c r="CA126" s="234">
        <f t="shared" ca="1" si="150"/>
        <v>0</v>
      </c>
      <c r="CB126" s="234">
        <f t="shared" ca="1" si="150"/>
        <v>0</v>
      </c>
      <c r="CC126" s="234">
        <f t="shared" ca="1" si="150"/>
        <v>0</v>
      </c>
      <c r="CD126" s="234">
        <f t="shared" ca="1" si="150"/>
        <v>0</v>
      </c>
      <c r="CE126" s="234">
        <f t="shared" ca="1" si="150"/>
        <v>0</v>
      </c>
      <c r="CF126" s="234">
        <f t="shared" ca="1" si="150"/>
        <v>0</v>
      </c>
      <c r="CG126" s="234">
        <f t="shared" ca="1" si="150"/>
        <v>0</v>
      </c>
      <c r="CH126" s="234">
        <f t="shared" ca="1" si="150"/>
        <v>0</v>
      </c>
      <c r="CI126" s="234">
        <f t="shared" ca="1" si="150"/>
        <v>0</v>
      </c>
      <c r="CJ126" s="234">
        <f t="shared" ca="1" si="150"/>
        <v>0</v>
      </c>
      <c r="CK126" s="234">
        <f t="shared" ca="1" si="150"/>
        <v>0</v>
      </c>
      <c r="CL126" s="234">
        <f t="shared" ca="1" si="150"/>
        <v>0</v>
      </c>
      <c r="CM126" s="234">
        <f t="shared" ca="1" si="150"/>
        <v>0</v>
      </c>
      <c r="CN126" s="234">
        <f t="shared" ca="1" si="150"/>
        <v>0</v>
      </c>
      <c r="CO126" s="234">
        <f t="shared" ca="1" si="150"/>
        <v>0</v>
      </c>
      <c r="CP126" s="234">
        <f t="shared" ca="1" si="150"/>
        <v>0</v>
      </c>
      <c r="CQ126" s="234">
        <f t="shared" ca="1" si="150"/>
        <v>0</v>
      </c>
      <c r="CR126" s="234">
        <f t="shared" ca="1" si="150"/>
        <v>0</v>
      </c>
      <c r="CS126" s="234">
        <f t="shared" ca="1" si="150"/>
        <v>0</v>
      </c>
      <c r="CT126" s="234">
        <f t="shared" ca="1" si="150"/>
        <v>0</v>
      </c>
      <c r="CU126" s="234">
        <f t="shared" ca="1" si="150"/>
        <v>0</v>
      </c>
      <c r="CV126" s="234">
        <f t="shared" ca="1" si="150"/>
        <v>0</v>
      </c>
      <c r="CW126" s="234">
        <f t="shared" ca="1" si="150"/>
        <v>0</v>
      </c>
      <c r="CX126" s="234">
        <f t="shared" ca="1" si="150"/>
        <v>0</v>
      </c>
      <c r="CY126" s="234">
        <f t="shared" ca="1" si="150"/>
        <v>0</v>
      </c>
      <c r="CZ126" s="234">
        <f t="shared" ca="1" si="150"/>
        <v>0</v>
      </c>
      <c r="DA126" s="234">
        <f t="shared" ca="1" si="150"/>
        <v>0</v>
      </c>
      <c r="DB126" s="234">
        <f t="shared" ca="1" si="150"/>
        <v>0</v>
      </c>
      <c r="DC126" s="234">
        <f t="shared" ca="1" si="150"/>
        <v>0</v>
      </c>
      <c r="DE126" s="254"/>
    </row>
    <row r="127" spans="1:110" hidden="1">
      <c r="A127" s="124">
        <v>115</v>
      </c>
      <c r="B127" s="205" t="str">
        <f t="shared" ca="1" si="84"/>
        <v>L.2.1.</v>
      </c>
      <c r="C127" s="129" t="str">
        <f t="shared" ca="1" si="85"/>
        <v/>
      </c>
      <c r="D127" s="135"/>
      <c r="E127" s="148" t="str">
        <f t="shared" ca="1" si="86"/>
        <v/>
      </c>
      <c r="F127" s="139">
        <f ca="1">H127+NPV(SD,I127:INDEX(I127:DC127,PAL))</f>
        <v>0</v>
      </c>
      <c r="G127" s="140">
        <f ca="1">SUMIF($H$5:$DC$5,"&lt;="&amp;PAL,$H127:$DC127)</f>
        <v>0</v>
      </c>
      <c r="H127" s="138">
        <f t="shared" ref="H127:W129" ca="1" si="151">OFFSET(INDIRECT("'"&amp;Opt_alt&amp;"'!H12"),$A127,H$5)*$DF127</f>
        <v>0</v>
      </c>
      <c r="I127" s="138">
        <f t="shared" ca="1" si="151"/>
        <v>0</v>
      </c>
      <c r="J127" s="138">
        <f t="shared" ca="1" si="151"/>
        <v>0</v>
      </c>
      <c r="K127" s="138">
        <f t="shared" ca="1" si="151"/>
        <v>0</v>
      </c>
      <c r="L127" s="138">
        <f t="shared" ca="1" si="151"/>
        <v>0</v>
      </c>
      <c r="M127" s="138">
        <f t="shared" ca="1" si="151"/>
        <v>0</v>
      </c>
      <c r="N127" s="138">
        <f t="shared" ca="1" si="151"/>
        <v>0</v>
      </c>
      <c r="O127" s="138">
        <f t="shared" ca="1" si="151"/>
        <v>0</v>
      </c>
      <c r="P127" s="138">
        <f t="shared" ca="1" si="151"/>
        <v>0</v>
      </c>
      <c r="Q127" s="138">
        <f t="shared" ca="1" si="151"/>
        <v>0</v>
      </c>
      <c r="R127" s="138">
        <f t="shared" ca="1" si="151"/>
        <v>0</v>
      </c>
      <c r="S127" s="138">
        <f t="shared" ca="1" si="151"/>
        <v>0</v>
      </c>
      <c r="T127" s="138">
        <f t="shared" ca="1" si="151"/>
        <v>0</v>
      </c>
      <c r="U127" s="138">
        <f t="shared" ca="1" si="151"/>
        <v>0</v>
      </c>
      <c r="V127" s="138">
        <f t="shared" ca="1" si="151"/>
        <v>0</v>
      </c>
      <c r="W127" s="138">
        <f t="shared" ca="1" si="151"/>
        <v>0</v>
      </c>
      <c r="X127" s="138">
        <f t="shared" ref="X127:AM129" ca="1" si="152">OFFSET(INDIRECT("'"&amp;Opt_alt&amp;"'!H12"),$A127,X$5)*$DF127</f>
        <v>0</v>
      </c>
      <c r="Y127" s="138">
        <f t="shared" ca="1" si="152"/>
        <v>0</v>
      </c>
      <c r="Z127" s="138">
        <f t="shared" ca="1" si="152"/>
        <v>0</v>
      </c>
      <c r="AA127" s="138">
        <f t="shared" ca="1" si="152"/>
        <v>0</v>
      </c>
      <c r="AB127" s="138">
        <f t="shared" ca="1" si="152"/>
        <v>0</v>
      </c>
      <c r="AC127" s="138">
        <f t="shared" ca="1" si="152"/>
        <v>0</v>
      </c>
      <c r="AD127" s="138">
        <f t="shared" ca="1" si="152"/>
        <v>0</v>
      </c>
      <c r="AE127" s="138">
        <f t="shared" ca="1" si="152"/>
        <v>0</v>
      </c>
      <c r="AF127" s="138">
        <f t="shared" ca="1" si="152"/>
        <v>0</v>
      </c>
      <c r="AG127" s="138">
        <f t="shared" ca="1" si="152"/>
        <v>0</v>
      </c>
      <c r="AH127" s="138">
        <f t="shared" ca="1" si="152"/>
        <v>0</v>
      </c>
      <c r="AI127" s="138">
        <f t="shared" ca="1" si="152"/>
        <v>0</v>
      </c>
      <c r="AJ127" s="138">
        <f t="shared" ca="1" si="152"/>
        <v>0</v>
      </c>
      <c r="AK127" s="138">
        <f t="shared" ca="1" si="152"/>
        <v>0</v>
      </c>
      <c r="AL127" s="138">
        <f t="shared" ca="1" si="152"/>
        <v>0</v>
      </c>
      <c r="AM127" s="138">
        <f t="shared" ca="1" si="152"/>
        <v>0</v>
      </c>
      <c r="AN127" s="138">
        <f t="shared" ref="AN127:BC129" ca="1" si="153">OFFSET(INDIRECT("'"&amp;Opt_alt&amp;"'!H12"),$A127,AN$5)*$DF127</f>
        <v>0</v>
      </c>
      <c r="AO127" s="138">
        <f t="shared" ca="1" si="153"/>
        <v>0</v>
      </c>
      <c r="AP127" s="138">
        <f t="shared" ca="1" si="153"/>
        <v>0</v>
      </c>
      <c r="AQ127" s="138">
        <f t="shared" ca="1" si="153"/>
        <v>0</v>
      </c>
      <c r="AR127" s="138">
        <f t="shared" ca="1" si="153"/>
        <v>0</v>
      </c>
      <c r="AS127" s="138">
        <f t="shared" ca="1" si="153"/>
        <v>0</v>
      </c>
      <c r="AT127" s="138">
        <f t="shared" ca="1" si="153"/>
        <v>0</v>
      </c>
      <c r="AU127" s="138">
        <f t="shared" ca="1" si="153"/>
        <v>0</v>
      </c>
      <c r="AV127" s="138">
        <f t="shared" ca="1" si="153"/>
        <v>0</v>
      </c>
      <c r="AW127" s="138">
        <f t="shared" ca="1" si="153"/>
        <v>0</v>
      </c>
      <c r="AX127" s="138">
        <f t="shared" ca="1" si="153"/>
        <v>0</v>
      </c>
      <c r="AY127" s="138">
        <f t="shared" ca="1" si="153"/>
        <v>0</v>
      </c>
      <c r="AZ127" s="138">
        <f t="shared" ca="1" si="153"/>
        <v>0</v>
      </c>
      <c r="BA127" s="138">
        <f t="shared" ca="1" si="153"/>
        <v>0</v>
      </c>
      <c r="BB127" s="138">
        <f t="shared" ca="1" si="153"/>
        <v>0</v>
      </c>
      <c r="BC127" s="138">
        <f t="shared" ca="1" si="153"/>
        <v>0</v>
      </c>
      <c r="BD127" s="138">
        <f t="shared" ref="BD127:BS129" ca="1" si="154">OFFSET(INDIRECT("'"&amp;Opt_alt&amp;"'!H12"),$A127,BD$5)*$DF127</f>
        <v>0</v>
      </c>
      <c r="BE127" s="138">
        <f t="shared" ca="1" si="154"/>
        <v>0</v>
      </c>
      <c r="BF127" s="138">
        <f t="shared" ca="1" si="154"/>
        <v>0</v>
      </c>
      <c r="BG127" s="138">
        <f t="shared" ca="1" si="154"/>
        <v>0</v>
      </c>
      <c r="BH127" s="138">
        <f t="shared" ca="1" si="154"/>
        <v>0</v>
      </c>
      <c r="BI127" s="138">
        <f t="shared" ca="1" si="154"/>
        <v>0</v>
      </c>
      <c r="BJ127" s="138">
        <f t="shared" ca="1" si="154"/>
        <v>0</v>
      </c>
      <c r="BK127" s="138">
        <f t="shared" ca="1" si="154"/>
        <v>0</v>
      </c>
      <c r="BL127" s="138">
        <f t="shared" ca="1" si="154"/>
        <v>0</v>
      </c>
      <c r="BM127" s="138">
        <f t="shared" ca="1" si="154"/>
        <v>0</v>
      </c>
      <c r="BN127" s="138">
        <f t="shared" ca="1" si="154"/>
        <v>0</v>
      </c>
      <c r="BO127" s="138">
        <f t="shared" ca="1" si="154"/>
        <v>0</v>
      </c>
      <c r="BP127" s="138">
        <f t="shared" ca="1" si="154"/>
        <v>0</v>
      </c>
      <c r="BQ127" s="138">
        <f t="shared" ca="1" si="154"/>
        <v>0</v>
      </c>
      <c r="BR127" s="138">
        <f t="shared" ca="1" si="154"/>
        <v>0</v>
      </c>
      <c r="BS127" s="138">
        <f t="shared" ca="1" si="154"/>
        <v>0</v>
      </c>
      <c r="BT127" s="138">
        <f t="shared" ref="BT127:CI129" ca="1" si="155">OFFSET(INDIRECT("'"&amp;Opt_alt&amp;"'!H12"),$A127,BT$5)*$DF127</f>
        <v>0</v>
      </c>
      <c r="BU127" s="138">
        <f t="shared" ca="1" si="155"/>
        <v>0</v>
      </c>
      <c r="BV127" s="138">
        <f t="shared" ca="1" si="155"/>
        <v>0</v>
      </c>
      <c r="BW127" s="138">
        <f t="shared" ca="1" si="155"/>
        <v>0</v>
      </c>
      <c r="BX127" s="138">
        <f t="shared" ca="1" si="155"/>
        <v>0</v>
      </c>
      <c r="BY127" s="138">
        <f t="shared" ca="1" si="155"/>
        <v>0</v>
      </c>
      <c r="BZ127" s="138">
        <f t="shared" ca="1" si="155"/>
        <v>0</v>
      </c>
      <c r="CA127" s="138">
        <f t="shared" ca="1" si="155"/>
        <v>0</v>
      </c>
      <c r="CB127" s="138">
        <f t="shared" ca="1" si="155"/>
        <v>0</v>
      </c>
      <c r="CC127" s="138">
        <f t="shared" ca="1" si="155"/>
        <v>0</v>
      </c>
      <c r="CD127" s="138">
        <f t="shared" ca="1" si="155"/>
        <v>0</v>
      </c>
      <c r="CE127" s="138">
        <f t="shared" ca="1" si="155"/>
        <v>0</v>
      </c>
      <c r="CF127" s="138">
        <f t="shared" ca="1" si="155"/>
        <v>0</v>
      </c>
      <c r="CG127" s="138">
        <f t="shared" ca="1" si="155"/>
        <v>0</v>
      </c>
      <c r="CH127" s="138">
        <f t="shared" ca="1" si="155"/>
        <v>0</v>
      </c>
      <c r="CI127" s="138">
        <f t="shared" ca="1" si="155"/>
        <v>0</v>
      </c>
      <c r="CJ127" s="138">
        <f t="shared" ref="CJ127:CY129" ca="1" si="156">OFFSET(INDIRECT("'"&amp;Opt_alt&amp;"'!H12"),$A127,CJ$5)*$DF127</f>
        <v>0</v>
      </c>
      <c r="CK127" s="138">
        <f t="shared" ca="1" si="156"/>
        <v>0</v>
      </c>
      <c r="CL127" s="138">
        <f t="shared" ca="1" si="156"/>
        <v>0</v>
      </c>
      <c r="CM127" s="138">
        <f t="shared" ca="1" si="156"/>
        <v>0</v>
      </c>
      <c r="CN127" s="138">
        <f t="shared" ca="1" si="156"/>
        <v>0</v>
      </c>
      <c r="CO127" s="138">
        <f t="shared" ca="1" si="156"/>
        <v>0</v>
      </c>
      <c r="CP127" s="138">
        <f t="shared" ca="1" si="156"/>
        <v>0</v>
      </c>
      <c r="CQ127" s="138">
        <f t="shared" ca="1" si="156"/>
        <v>0</v>
      </c>
      <c r="CR127" s="138">
        <f t="shared" ca="1" si="156"/>
        <v>0</v>
      </c>
      <c r="CS127" s="138">
        <f t="shared" ca="1" si="156"/>
        <v>0</v>
      </c>
      <c r="CT127" s="138">
        <f t="shared" ca="1" si="156"/>
        <v>0</v>
      </c>
      <c r="CU127" s="138">
        <f t="shared" ca="1" si="156"/>
        <v>0</v>
      </c>
      <c r="CV127" s="138">
        <f t="shared" ca="1" si="156"/>
        <v>0</v>
      </c>
      <c r="CW127" s="138">
        <f t="shared" ca="1" si="156"/>
        <v>0</v>
      </c>
      <c r="CX127" s="138">
        <f t="shared" ca="1" si="156"/>
        <v>0</v>
      </c>
      <c r="CY127" s="138">
        <f t="shared" ca="1" si="156"/>
        <v>0</v>
      </c>
      <c r="CZ127" s="138">
        <f t="shared" ref="CT127:DC129" ca="1" si="157">OFFSET(INDIRECT("'"&amp;Opt_alt&amp;"'!H12"),$A127,CZ$5)*$DF127</f>
        <v>0</v>
      </c>
      <c r="DA127" s="138">
        <f t="shared" ca="1" si="157"/>
        <v>0</v>
      </c>
      <c r="DB127" s="138">
        <f t="shared" ca="1" si="157"/>
        <v>0</v>
      </c>
      <c r="DC127" s="138">
        <f t="shared" ca="1" si="157"/>
        <v>0</v>
      </c>
      <c r="DE127" s="254" t="str">
        <f t="shared" ca="1" si="87"/>
        <v>L.2.1.</v>
      </c>
      <c r="DF127">
        <f ca="1">VLOOKUP(DE127,scenarijai,$DF$6,FALSE)</f>
        <v>1</v>
      </c>
    </row>
    <row r="128" spans="1:110" hidden="1">
      <c r="A128" s="124">
        <v>116</v>
      </c>
      <c r="B128" s="205" t="str">
        <f t="shared" ca="1" si="84"/>
        <v>L.2.2.</v>
      </c>
      <c r="C128" s="129" t="str">
        <f t="shared" ca="1" si="85"/>
        <v/>
      </c>
      <c r="D128" s="135"/>
      <c r="E128" s="148" t="str">
        <f t="shared" ca="1" si="86"/>
        <v/>
      </c>
      <c r="F128" s="139">
        <f ca="1">H128+NPV(SD,I128:INDEX(I128:DC128,PAL))</f>
        <v>0</v>
      </c>
      <c r="G128" s="140">
        <f ca="1">SUMIF($H$5:$DC$5,"&lt;="&amp;PAL,$H128:$DC128)</f>
        <v>0</v>
      </c>
      <c r="H128" s="138">
        <f t="shared" ca="1" si="151"/>
        <v>0</v>
      </c>
      <c r="I128" s="138">
        <f t="shared" ca="1" si="151"/>
        <v>0</v>
      </c>
      <c r="J128" s="138">
        <f t="shared" ca="1" si="151"/>
        <v>0</v>
      </c>
      <c r="K128" s="138">
        <f t="shared" ca="1" si="151"/>
        <v>0</v>
      </c>
      <c r="L128" s="138">
        <f t="shared" ca="1" si="151"/>
        <v>0</v>
      </c>
      <c r="M128" s="138">
        <f t="shared" ca="1" si="151"/>
        <v>0</v>
      </c>
      <c r="N128" s="138">
        <f t="shared" ca="1" si="151"/>
        <v>0</v>
      </c>
      <c r="O128" s="138">
        <f t="shared" ca="1" si="151"/>
        <v>0</v>
      </c>
      <c r="P128" s="138">
        <f t="shared" ca="1" si="151"/>
        <v>0</v>
      </c>
      <c r="Q128" s="138">
        <f t="shared" ca="1" si="151"/>
        <v>0</v>
      </c>
      <c r="R128" s="138">
        <f t="shared" ca="1" si="151"/>
        <v>0</v>
      </c>
      <c r="S128" s="138">
        <f t="shared" ca="1" si="151"/>
        <v>0</v>
      </c>
      <c r="T128" s="138">
        <f t="shared" ca="1" si="151"/>
        <v>0</v>
      </c>
      <c r="U128" s="138">
        <f t="shared" ca="1" si="151"/>
        <v>0</v>
      </c>
      <c r="V128" s="138">
        <f t="shared" ca="1" si="151"/>
        <v>0</v>
      </c>
      <c r="W128" s="138">
        <f t="shared" ca="1" si="151"/>
        <v>0</v>
      </c>
      <c r="X128" s="138">
        <f t="shared" ca="1" si="152"/>
        <v>0</v>
      </c>
      <c r="Y128" s="138">
        <f t="shared" ca="1" si="152"/>
        <v>0</v>
      </c>
      <c r="Z128" s="138">
        <f t="shared" ca="1" si="152"/>
        <v>0</v>
      </c>
      <c r="AA128" s="138">
        <f t="shared" ca="1" si="152"/>
        <v>0</v>
      </c>
      <c r="AB128" s="138">
        <f t="shared" ca="1" si="152"/>
        <v>0</v>
      </c>
      <c r="AC128" s="138">
        <f t="shared" ca="1" si="152"/>
        <v>0</v>
      </c>
      <c r="AD128" s="138">
        <f t="shared" ca="1" si="152"/>
        <v>0</v>
      </c>
      <c r="AE128" s="138">
        <f t="shared" ca="1" si="152"/>
        <v>0</v>
      </c>
      <c r="AF128" s="138">
        <f t="shared" ca="1" si="152"/>
        <v>0</v>
      </c>
      <c r="AG128" s="138">
        <f t="shared" ca="1" si="152"/>
        <v>0</v>
      </c>
      <c r="AH128" s="138">
        <f t="shared" ca="1" si="152"/>
        <v>0</v>
      </c>
      <c r="AI128" s="138">
        <f t="shared" ca="1" si="152"/>
        <v>0</v>
      </c>
      <c r="AJ128" s="138">
        <f t="shared" ca="1" si="152"/>
        <v>0</v>
      </c>
      <c r="AK128" s="138">
        <f t="shared" ca="1" si="152"/>
        <v>0</v>
      </c>
      <c r="AL128" s="138">
        <f t="shared" ca="1" si="152"/>
        <v>0</v>
      </c>
      <c r="AM128" s="138">
        <f t="shared" ca="1" si="152"/>
        <v>0</v>
      </c>
      <c r="AN128" s="138">
        <f t="shared" ca="1" si="153"/>
        <v>0</v>
      </c>
      <c r="AO128" s="138">
        <f t="shared" ca="1" si="153"/>
        <v>0</v>
      </c>
      <c r="AP128" s="138">
        <f t="shared" ca="1" si="153"/>
        <v>0</v>
      </c>
      <c r="AQ128" s="138">
        <f t="shared" ca="1" si="153"/>
        <v>0</v>
      </c>
      <c r="AR128" s="138">
        <f t="shared" ca="1" si="153"/>
        <v>0</v>
      </c>
      <c r="AS128" s="138">
        <f t="shared" ca="1" si="153"/>
        <v>0</v>
      </c>
      <c r="AT128" s="138">
        <f t="shared" ca="1" si="153"/>
        <v>0</v>
      </c>
      <c r="AU128" s="138">
        <f t="shared" ca="1" si="153"/>
        <v>0</v>
      </c>
      <c r="AV128" s="138">
        <f t="shared" ca="1" si="153"/>
        <v>0</v>
      </c>
      <c r="AW128" s="138">
        <f t="shared" ca="1" si="153"/>
        <v>0</v>
      </c>
      <c r="AX128" s="138">
        <f t="shared" ca="1" si="153"/>
        <v>0</v>
      </c>
      <c r="AY128" s="138">
        <f t="shared" ca="1" si="153"/>
        <v>0</v>
      </c>
      <c r="AZ128" s="138">
        <f t="shared" ca="1" si="153"/>
        <v>0</v>
      </c>
      <c r="BA128" s="138">
        <f t="shared" ca="1" si="153"/>
        <v>0</v>
      </c>
      <c r="BB128" s="138">
        <f t="shared" ca="1" si="153"/>
        <v>0</v>
      </c>
      <c r="BC128" s="138">
        <f t="shared" ca="1" si="153"/>
        <v>0</v>
      </c>
      <c r="BD128" s="138">
        <f t="shared" ca="1" si="154"/>
        <v>0</v>
      </c>
      <c r="BE128" s="138">
        <f t="shared" ca="1" si="154"/>
        <v>0</v>
      </c>
      <c r="BF128" s="138">
        <f t="shared" ca="1" si="154"/>
        <v>0</v>
      </c>
      <c r="BG128" s="138">
        <f t="shared" ca="1" si="154"/>
        <v>0</v>
      </c>
      <c r="BH128" s="138">
        <f t="shared" ca="1" si="154"/>
        <v>0</v>
      </c>
      <c r="BI128" s="138">
        <f t="shared" ca="1" si="154"/>
        <v>0</v>
      </c>
      <c r="BJ128" s="138">
        <f t="shared" ca="1" si="154"/>
        <v>0</v>
      </c>
      <c r="BK128" s="138">
        <f t="shared" ca="1" si="154"/>
        <v>0</v>
      </c>
      <c r="BL128" s="138">
        <f t="shared" ca="1" si="154"/>
        <v>0</v>
      </c>
      <c r="BM128" s="138">
        <f t="shared" ca="1" si="154"/>
        <v>0</v>
      </c>
      <c r="BN128" s="138">
        <f t="shared" ca="1" si="154"/>
        <v>0</v>
      </c>
      <c r="BO128" s="138">
        <f t="shared" ca="1" si="154"/>
        <v>0</v>
      </c>
      <c r="BP128" s="138">
        <f t="shared" ca="1" si="154"/>
        <v>0</v>
      </c>
      <c r="BQ128" s="138">
        <f t="shared" ca="1" si="154"/>
        <v>0</v>
      </c>
      <c r="BR128" s="138">
        <f t="shared" ca="1" si="154"/>
        <v>0</v>
      </c>
      <c r="BS128" s="138">
        <f t="shared" ca="1" si="154"/>
        <v>0</v>
      </c>
      <c r="BT128" s="138">
        <f t="shared" ca="1" si="155"/>
        <v>0</v>
      </c>
      <c r="BU128" s="138">
        <f t="shared" ca="1" si="155"/>
        <v>0</v>
      </c>
      <c r="BV128" s="138">
        <f t="shared" ca="1" si="155"/>
        <v>0</v>
      </c>
      <c r="BW128" s="138">
        <f t="shared" ca="1" si="155"/>
        <v>0</v>
      </c>
      <c r="BX128" s="138">
        <f t="shared" ca="1" si="155"/>
        <v>0</v>
      </c>
      <c r="BY128" s="138">
        <f t="shared" ca="1" si="155"/>
        <v>0</v>
      </c>
      <c r="BZ128" s="138">
        <f t="shared" ca="1" si="155"/>
        <v>0</v>
      </c>
      <c r="CA128" s="138">
        <f t="shared" ca="1" si="155"/>
        <v>0</v>
      </c>
      <c r="CB128" s="138">
        <f t="shared" ca="1" si="155"/>
        <v>0</v>
      </c>
      <c r="CC128" s="138">
        <f t="shared" ca="1" si="155"/>
        <v>0</v>
      </c>
      <c r="CD128" s="138">
        <f t="shared" ca="1" si="155"/>
        <v>0</v>
      </c>
      <c r="CE128" s="138">
        <f t="shared" ca="1" si="155"/>
        <v>0</v>
      </c>
      <c r="CF128" s="138">
        <f t="shared" ca="1" si="155"/>
        <v>0</v>
      </c>
      <c r="CG128" s="138">
        <f t="shared" ca="1" si="155"/>
        <v>0</v>
      </c>
      <c r="CH128" s="138">
        <f t="shared" ca="1" si="155"/>
        <v>0</v>
      </c>
      <c r="CI128" s="138">
        <f t="shared" ca="1" si="155"/>
        <v>0</v>
      </c>
      <c r="CJ128" s="138">
        <f t="shared" ca="1" si="156"/>
        <v>0</v>
      </c>
      <c r="CK128" s="138">
        <f t="shared" ca="1" si="156"/>
        <v>0</v>
      </c>
      <c r="CL128" s="138">
        <f t="shared" ca="1" si="156"/>
        <v>0</v>
      </c>
      <c r="CM128" s="138">
        <f t="shared" ca="1" si="156"/>
        <v>0</v>
      </c>
      <c r="CN128" s="138">
        <f t="shared" ca="1" si="156"/>
        <v>0</v>
      </c>
      <c r="CO128" s="138">
        <f t="shared" ca="1" si="156"/>
        <v>0</v>
      </c>
      <c r="CP128" s="138">
        <f t="shared" ca="1" si="156"/>
        <v>0</v>
      </c>
      <c r="CQ128" s="138">
        <f t="shared" ca="1" si="156"/>
        <v>0</v>
      </c>
      <c r="CR128" s="138">
        <f t="shared" ca="1" si="156"/>
        <v>0</v>
      </c>
      <c r="CS128" s="138">
        <f t="shared" ca="1" si="156"/>
        <v>0</v>
      </c>
      <c r="CT128" s="138">
        <f t="shared" ca="1" si="157"/>
        <v>0</v>
      </c>
      <c r="CU128" s="138">
        <f t="shared" ca="1" si="157"/>
        <v>0</v>
      </c>
      <c r="CV128" s="138">
        <f t="shared" ca="1" si="157"/>
        <v>0</v>
      </c>
      <c r="CW128" s="138">
        <f t="shared" ca="1" si="157"/>
        <v>0</v>
      </c>
      <c r="CX128" s="138">
        <f t="shared" ca="1" si="157"/>
        <v>0</v>
      </c>
      <c r="CY128" s="138">
        <f t="shared" ca="1" si="157"/>
        <v>0</v>
      </c>
      <c r="CZ128" s="138">
        <f t="shared" ca="1" si="157"/>
        <v>0</v>
      </c>
      <c r="DA128" s="138">
        <f t="shared" ca="1" si="157"/>
        <v>0</v>
      </c>
      <c r="DB128" s="138">
        <f t="shared" ca="1" si="157"/>
        <v>0</v>
      </c>
      <c r="DC128" s="138">
        <f t="shared" ca="1" si="157"/>
        <v>0</v>
      </c>
      <c r="DE128" s="254" t="str">
        <f t="shared" ca="1" si="87"/>
        <v>L.2.2.</v>
      </c>
      <c r="DF128">
        <f ca="1">VLOOKUP(DE128,scenarijai,$DF$6,FALSE)</f>
        <v>1</v>
      </c>
    </row>
    <row r="129" spans="1:110" ht="15" hidden="1" thickBot="1">
      <c r="A129" s="124">
        <v>117</v>
      </c>
      <c r="B129" s="206" t="str">
        <f t="shared" ca="1" si="84"/>
        <v>L.2.3.</v>
      </c>
      <c r="C129" s="207" t="str">
        <f t="shared" ca="1" si="85"/>
        <v/>
      </c>
      <c r="D129" s="208"/>
      <c r="E129" s="209" t="str">
        <f t="shared" ca="1" si="86"/>
        <v/>
      </c>
      <c r="F129" s="139">
        <f ca="1">H129+NPV(SD,I129:INDEX(I129:DC129,PAL))</f>
        <v>0</v>
      </c>
      <c r="G129" s="210">
        <f ca="1">SUMIF($H$5:$DC$5,"&lt;="&amp;PAL,$H129:$DC129)</f>
        <v>0</v>
      </c>
      <c r="H129" s="138">
        <f t="shared" ca="1" si="151"/>
        <v>0</v>
      </c>
      <c r="I129" s="138">
        <f t="shared" ca="1" si="151"/>
        <v>0</v>
      </c>
      <c r="J129" s="138">
        <f t="shared" ca="1" si="151"/>
        <v>0</v>
      </c>
      <c r="K129" s="138">
        <f t="shared" ca="1" si="151"/>
        <v>0</v>
      </c>
      <c r="L129" s="138">
        <f t="shared" ca="1" si="151"/>
        <v>0</v>
      </c>
      <c r="M129" s="138">
        <f t="shared" ca="1" si="151"/>
        <v>0</v>
      </c>
      <c r="N129" s="138">
        <f t="shared" ca="1" si="151"/>
        <v>0</v>
      </c>
      <c r="O129" s="138">
        <f t="shared" ca="1" si="151"/>
        <v>0</v>
      </c>
      <c r="P129" s="138">
        <f t="shared" ca="1" si="151"/>
        <v>0</v>
      </c>
      <c r="Q129" s="138">
        <f t="shared" ca="1" si="151"/>
        <v>0</v>
      </c>
      <c r="R129" s="138">
        <f t="shared" ca="1" si="151"/>
        <v>0</v>
      </c>
      <c r="S129" s="138">
        <f t="shared" ca="1" si="151"/>
        <v>0</v>
      </c>
      <c r="T129" s="138">
        <f t="shared" ca="1" si="151"/>
        <v>0</v>
      </c>
      <c r="U129" s="138">
        <f t="shared" ca="1" si="151"/>
        <v>0</v>
      </c>
      <c r="V129" s="138">
        <f t="shared" ca="1" si="151"/>
        <v>0</v>
      </c>
      <c r="W129" s="138">
        <f t="shared" ca="1" si="151"/>
        <v>0</v>
      </c>
      <c r="X129" s="138">
        <f t="shared" ca="1" si="152"/>
        <v>0</v>
      </c>
      <c r="Y129" s="138">
        <f t="shared" ca="1" si="152"/>
        <v>0</v>
      </c>
      <c r="Z129" s="138">
        <f t="shared" ca="1" si="152"/>
        <v>0</v>
      </c>
      <c r="AA129" s="138">
        <f t="shared" ca="1" si="152"/>
        <v>0</v>
      </c>
      <c r="AB129" s="138">
        <f t="shared" ca="1" si="152"/>
        <v>0</v>
      </c>
      <c r="AC129" s="138">
        <f t="shared" ca="1" si="152"/>
        <v>0</v>
      </c>
      <c r="AD129" s="138">
        <f t="shared" ca="1" si="152"/>
        <v>0</v>
      </c>
      <c r="AE129" s="138">
        <f t="shared" ca="1" si="152"/>
        <v>0</v>
      </c>
      <c r="AF129" s="138">
        <f t="shared" ca="1" si="152"/>
        <v>0</v>
      </c>
      <c r="AG129" s="138">
        <f t="shared" ca="1" si="152"/>
        <v>0</v>
      </c>
      <c r="AH129" s="138">
        <f t="shared" ca="1" si="152"/>
        <v>0</v>
      </c>
      <c r="AI129" s="138">
        <f t="shared" ca="1" si="152"/>
        <v>0</v>
      </c>
      <c r="AJ129" s="138">
        <f t="shared" ca="1" si="152"/>
        <v>0</v>
      </c>
      <c r="AK129" s="138">
        <f t="shared" ca="1" si="152"/>
        <v>0</v>
      </c>
      <c r="AL129" s="138">
        <f t="shared" ca="1" si="152"/>
        <v>0</v>
      </c>
      <c r="AM129" s="138">
        <f t="shared" ca="1" si="152"/>
        <v>0</v>
      </c>
      <c r="AN129" s="138">
        <f t="shared" ca="1" si="153"/>
        <v>0</v>
      </c>
      <c r="AO129" s="138">
        <f t="shared" ca="1" si="153"/>
        <v>0</v>
      </c>
      <c r="AP129" s="138">
        <f t="shared" ca="1" si="153"/>
        <v>0</v>
      </c>
      <c r="AQ129" s="138">
        <f t="shared" ca="1" si="153"/>
        <v>0</v>
      </c>
      <c r="AR129" s="138">
        <f t="shared" ca="1" si="153"/>
        <v>0</v>
      </c>
      <c r="AS129" s="138">
        <f t="shared" ca="1" si="153"/>
        <v>0</v>
      </c>
      <c r="AT129" s="138">
        <f t="shared" ca="1" si="153"/>
        <v>0</v>
      </c>
      <c r="AU129" s="138">
        <f t="shared" ca="1" si="153"/>
        <v>0</v>
      </c>
      <c r="AV129" s="138">
        <f t="shared" ca="1" si="153"/>
        <v>0</v>
      </c>
      <c r="AW129" s="138">
        <f t="shared" ca="1" si="153"/>
        <v>0</v>
      </c>
      <c r="AX129" s="138">
        <f t="shared" ca="1" si="153"/>
        <v>0</v>
      </c>
      <c r="AY129" s="138">
        <f t="shared" ca="1" si="153"/>
        <v>0</v>
      </c>
      <c r="AZ129" s="138">
        <f t="shared" ca="1" si="153"/>
        <v>0</v>
      </c>
      <c r="BA129" s="138">
        <f t="shared" ca="1" si="153"/>
        <v>0</v>
      </c>
      <c r="BB129" s="138">
        <f t="shared" ca="1" si="153"/>
        <v>0</v>
      </c>
      <c r="BC129" s="138">
        <f t="shared" ca="1" si="153"/>
        <v>0</v>
      </c>
      <c r="BD129" s="138">
        <f t="shared" ca="1" si="154"/>
        <v>0</v>
      </c>
      <c r="BE129" s="138">
        <f t="shared" ca="1" si="154"/>
        <v>0</v>
      </c>
      <c r="BF129" s="138">
        <f t="shared" ca="1" si="154"/>
        <v>0</v>
      </c>
      <c r="BG129" s="138">
        <f t="shared" ca="1" si="154"/>
        <v>0</v>
      </c>
      <c r="BH129" s="138">
        <f t="shared" ca="1" si="154"/>
        <v>0</v>
      </c>
      <c r="BI129" s="138">
        <f t="shared" ca="1" si="154"/>
        <v>0</v>
      </c>
      <c r="BJ129" s="138">
        <f t="shared" ca="1" si="154"/>
        <v>0</v>
      </c>
      <c r="BK129" s="138">
        <f t="shared" ca="1" si="154"/>
        <v>0</v>
      </c>
      <c r="BL129" s="138">
        <f t="shared" ca="1" si="154"/>
        <v>0</v>
      </c>
      <c r="BM129" s="138">
        <f t="shared" ca="1" si="154"/>
        <v>0</v>
      </c>
      <c r="BN129" s="138">
        <f t="shared" ca="1" si="154"/>
        <v>0</v>
      </c>
      <c r="BO129" s="138">
        <f t="shared" ca="1" si="154"/>
        <v>0</v>
      </c>
      <c r="BP129" s="138">
        <f t="shared" ca="1" si="154"/>
        <v>0</v>
      </c>
      <c r="BQ129" s="138">
        <f t="shared" ca="1" si="154"/>
        <v>0</v>
      </c>
      <c r="BR129" s="138">
        <f t="shared" ca="1" si="154"/>
        <v>0</v>
      </c>
      <c r="BS129" s="138">
        <f t="shared" ca="1" si="154"/>
        <v>0</v>
      </c>
      <c r="BT129" s="138">
        <f t="shared" ca="1" si="155"/>
        <v>0</v>
      </c>
      <c r="BU129" s="138">
        <f t="shared" ca="1" si="155"/>
        <v>0</v>
      </c>
      <c r="BV129" s="138">
        <f t="shared" ca="1" si="155"/>
        <v>0</v>
      </c>
      <c r="BW129" s="138">
        <f t="shared" ca="1" si="155"/>
        <v>0</v>
      </c>
      <c r="BX129" s="138">
        <f t="shared" ca="1" si="155"/>
        <v>0</v>
      </c>
      <c r="BY129" s="138">
        <f t="shared" ca="1" si="155"/>
        <v>0</v>
      </c>
      <c r="BZ129" s="138">
        <f t="shared" ca="1" si="155"/>
        <v>0</v>
      </c>
      <c r="CA129" s="138">
        <f t="shared" ca="1" si="155"/>
        <v>0</v>
      </c>
      <c r="CB129" s="138">
        <f t="shared" ca="1" si="155"/>
        <v>0</v>
      </c>
      <c r="CC129" s="138">
        <f t="shared" ca="1" si="155"/>
        <v>0</v>
      </c>
      <c r="CD129" s="138">
        <f t="shared" ca="1" si="155"/>
        <v>0</v>
      </c>
      <c r="CE129" s="138">
        <f t="shared" ca="1" si="155"/>
        <v>0</v>
      </c>
      <c r="CF129" s="138">
        <f t="shared" ca="1" si="155"/>
        <v>0</v>
      </c>
      <c r="CG129" s="138">
        <f t="shared" ca="1" si="155"/>
        <v>0</v>
      </c>
      <c r="CH129" s="138">
        <f t="shared" ca="1" si="155"/>
        <v>0</v>
      </c>
      <c r="CI129" s="138">
        <f t="shared" ca="1" si="155"/>
        <v>0</v>
      </c>
      <c r="CJ129" s="138">
        <f t="shared" ca="1" si="156"/>
        <v>0</v>
      </c>
      <c r="CK129" s="138">
        <f t="shared" ca="1" si="156"/>
        <v>0</v>
      </c>
      <c r="CL129" s="138">
        <f t="shared" ca="1" si="156"/>
        <v>0</v>
      </c>
      <c r="CM129" s="138">
        <f t="shared" ca="1" si="156"/>
        <v>0</v>
      </c>
      <c r="CN129" s="138">
        <f t="shared" ca="1" si="156"/>
        <v>0</v>
      </c>
      <c r="CO129" s="138">
        <f t="shared" ca="1" si="156"/>
        <v>0</v>
      </c>
      <c r="CP129" s="138">
        <f t="shared" ca="1" si="156"/>
        <v>0</v>
      </c>
      <c r="CQ129" s="138">
        <f t="shared" ca="1" si="156"/>
        <v>0</v>
      </c>
      <c r="CR129" s="138">
        <f t="shared" ca="1" si="156"/>
        <v>0</v>
      </c>
      <c r="CS129" s="138">
        <f t="shared" ca="1" si="156"/>
        <v>0</v>
      </c>
      <c r="CT129" s="138">
        <f t="shared" ca="1" si="157"/>
        <v>0</v>
      </c>
      <c r="CU129" s="138">
        <f t="shared" ca="1" si="157"/>
        <v>0</v>
      </c>
      <c r="CV129" s="138">
        <f t="shared" ca="1" si="157"/>
        <v>0</v>
      </c>
      <c r="CW129" s="138">
        <f t="shared" ca="1" si="157"/>
        <v>0</v>
      </c>
      <c r="CX129" s="138">
        <f t="shared" ca="1" si="157"/>
        <v>0</v>
      </c>
      <c r="CY129" s="138">
        <f t="shared" ca="1" si="157"/>
        <v>0</v>
      </c>
      <c r="CZ129" s="138">
        <f t="shared" ca="1" si="157"/>
        <v>0</v>
      </c>
      <c r="DA129" s="138">
        <f t="shared" ca="1" si="157"/>
        <v>0</v>
      </c>
      <c r="DB129" s="138">
        <f t="shared" ca="1" si="157"/>
        <v>0</v>
      </c>
      <c r="DC129" s="138">
        <f t="shared" ca="1" si="157"/>
        <v>0</v>
      </c>
      <c r="DE129" s="254" t="str">
        <f t="shared" ca="1" si="87"/>
        <v>L.2.3.</v>
      </c>
      <c r="DF129">
        <f ca="1">VLOOKUP(DE129,scenarijai,$DF$6,FALSE)</f>
        <v>1</v>
      </c>
    </row>
    <row r="130" spans="1:110" ht="15" hidden="1" customHeight="1">
      <c r="B130" s="199" t="s">
        <v>28</v>
      </c>
      <c r="C130" s="237" t="s">
        <v>257</v>
      </c>
      <c r="D130" s="215"/>
      <c r="E130" s="218"/>
      <c r="F130" s="222">
        <f ca="1">H130+NPV(SD,I130:INDEX(I130:DC130,PAL))</f>
        <v>11922577.17278992</v>
      </c>
      <c r="G130" s="50">
        <f ca="1">SUMIF($H$5:$DC$5,"&lt;="&amp;PAL,$H130:$DC130)</f>
        <v>13225775.173787</v>
      </c>
      <c r="H130" s="221">
        <f ca="1">H$8+H$9-H$113</f>
        <v>1730000</v>
      </c>
      <c r="I130" s="211">
        <f t="shared" ref="I130:BT130" ca="1" si="158">I$8+I$9-I$113</f>
        <v>3379303.0815815865</v>
      </c>
      <c r="J130" s="211">
        <f t="shared" ca="1" si="158"/>
        <v>3287482.3364698356</v>
      </c>
      <c r="K130" s="211">
        <f t="shared" ca="1" si="158"/>
        <v>4204655.0449917773</v>
      </c>
      <c r="L130" s="211">
        <f t="shared" ca="1" si="158"/>
        <v>4132.2314049586776</v>
      </c>
      <c r="M130" s="211">
        <f t="shared" ca="1" si="158"/>
        <v>20661.157024793389</v>
      </c>
      <c r="N130" s="211">
        <f t="shared" ca="1" si="158"/>
        <v>4500</v>
      </c>
      <c r="O130" s="211">
        <f t="shared" ca="1" si="158"/>
        <v>0</v>
      </c>
      <c r="P130" s="211">
        <f t="shared" ca="1" si="158"/>
        <v>0</v>
      </c>
      <c r="Q130" s="211">
        <f t="shared" ca="1" si="158"/>
        <v>0</v>
      </c>
      <c r="R130" s="211">
        <f t="shared" ca="1" si="158"/>
        <v>99173.553719008269</v>
      </c>
      <c r="S130" s="211">
        <f t="shared" ca="1" si="158"/>
        <v>198347.10743801654</v>
      </c>
      <c r="T130" s="211">
        <f t="shared" ca="1" si="158"/>
        <v>99173.553719008269</v>
      </c>
      <c r="U130" s="211">
        <f t="shared" ca="1" si="158"/>
        <v>198347.10743801654</v>
      </c>
      <c r="V130" s="211">
        <f t="shared" ca="1" si="158"/>
        <v>0</v>
      </c>
      <c r="W130" s="211">
        <f t="shared" ca="1" si="158"/>
        <v>0</v>
      </c>
      <c r="X130" s="211">
        <f t="shared" ca="1" si="158"/>
        <v>0</v>
      </c>
      <c r="Y130" s="211">
        <f t="shared" ca="1" si="158"/>
        <v>0</v>
      </c>
      <c r="Z130" s="211">
        <f t="shared" ca="1" si="158"/>
        <v>0</v>
      </c>
      <c r="AA130" s="211">
        <f t="shared" ca="1" si="158"/>
        <v>0</v>
      </c>
      <c r="AB130" s="211">
        <f t="shared" ca="1" si="158"/>
        <v>0</v>
      </c>
      <c r="AC130" s="211">
        <f t="shared" ca="1" si="158"/>
        <v>0</v>
      </c>
      <c r="AD130" s="211">
        <f t="shared" ca="1" si="158"/>
        <v>0</v>
      </c>
      <c r="AE130" s="211">
        <f t="shared" ca="1" si="158"/>
        <v>0</v>
      </c>
      <c r="AF130" s="211">
        <f t="shared" ca="1" si="158"/>
        <v>0</v>
      </c>
      <c r="AG130" s="211">
        <f t="shared" ca="1" si="158"/>
        <v>0</v>
      </c>
      <c r="AH130" s="211">
        <f t="shared" ca="1" si="158"/>
        <v>0</v>
      </c>
      <c r="AI130" s="211">
        <f t="shared" ca="1" si="158"/>
        <v>0</v>
      </c>
      <c r="AJ130" s="211">
        <f t="shared" ca="1" si="158"/>
        <v>0</v>
      </c>
      <c r="AK130" s="211">
        <f t="shared" ca="1" si="158"/>
        <v>0</v>
      </c>
      <c r="AL130" s="211">
        <f t="shared" ca="1" si="158"/>
        <v>0</v>
      </c>
      <c r="AM130" s="211">
        <f t="shared" ca="1" si="158"/>
        <v>0</v>
      </c>
      <c r="AN130" s="211">
        <f t="shared" ca="1" si="158"/>
        <v>0</v>
      </c>
      <c r="AO130" s="211">
        <f t="shared" ca="1" si="158"/>
        <v>0</v>
      </c>
      <c r="AP130" s="211">
        <f t="shared" ca="1" si="158"/>
        <v>0</v>
      </c>
      <c r="AQ130" s="211">
        <f t="shared" ca="1" si="158"/>
        <v>0</v>
      </c>
      <c r="AR130" s="211">
        <f t="shared" ca="1" si="158"/>
        <v>0</v>
      </c>
      <c r="AS130" s="211">
        <f t="shared" ca="1" si="158"/>
        <v>0</v>
      </c>
      <c r="AT130" s="211">
        <f t="shared" ca="1" si="158"/>
        <v>0</v>
      </c>
      <c r="AU130" s="211">
        <f t="shared" ca="1" si="158"/>
        <v>0</v>
      </c>
      <c r="AV130" s="211">
        <f t="shared" ca="1" si="158"/>
        <v>0</v>
      </c>
      <c r="AW130" s="211">
        <f t="shared" ca="1" si="158"/>
        <v>0</v>
      </c>
      <c r="AX130" s="211">
        <f t="shared" ca="1" si="158"/>
        <v>0</v>
      </c>
      <c r="AY130" s="211">
        <f t="shared" ca="1" si="158"/>
        <v>0</v>
      </c>
      <c r="AZ130" s="211">
        <f t="shared" ca="1" si="158"/>
        <v>0</v>
      </c>
      <c r="BA130" s="211">
        <f t="shared" ca="1" si="158"/>
        <v>0</v>
      </c>
      <c r="BB130" s="211">
        <f t="shared" ca="1" si="158"/>
        <v>0</v>
      </c>
      <c r="BC130" s="211">
        <f t="shared" ca="1" si="158"/>
        <v>0</v>
      </c>
      <c r="BD130" s="211">
        <f t="shared" ca="1" si="158"/>
        <v>0</v>
      </c>
      <c r="BE130" s="211">
        <f t="shared" ca="1" si="158"/>
        <v>0</v>
      </c>
      <c r="BF130" s="211">
        <f t="shared" ca="1" si="158"/>
        <v>0</v>
      </c>
      <c r="BG130" s="211">
        <f t="shared" ca="1" si="158"/>
        <v>0</v>
      </c>
      <c r="BH130" s="211">
        <f t="shared" ca="1" si="158"/>
        <v>0</v>
      </c>
      <c r="BI130" s="211">
        <f t="shared" ca="1" si="158"/>
        <v>0</v>
      </c>
      <c r="BJ130" s="211">
        <f t="shared" ca="1" si="158"/>
        <v>0</v>
      </c>
      <c r="BK130" s="211">
        <f t="shared" ca="1" si="158"/>
        <v>0</v>
      </c>
      <c r="BL130" s="211">
        <f t="shared" ca="1" si="158"/>
        <v>0</v>
      </c>
      <c r="BM130" s="211">
        <f t="shared" ca="1" si="158"/>
        <v>0</v>
      </c>
      <c r="BN130" s="211">
        <f t="shared" ca="1" si="158"/>
        <v>0</v>
      </c>
      <c r="BO130" s="211">
        <f t="shared" ca="1" si="158"/>
        <v>0</v>
      </c>
      <c r="BP130" s="211">
        <f t="shared" ca="1" si="158"/>
        <v>0</v>
      </c>
      <c r="BQ130" s="211">
        <f t="shared" ca="1" si="158"/>
        <v>0</v>
      </c>
      <c r="BR130" s="211">
        <f t="shared" ca="1" si="158"/>
        <v>0</v>
      </c>
      <c r="BS130" s="211">
        <f t="shared" ca="1" si="158"/>
        <v>0</v>
      </c>
      <c r="BT130" s="211">
        <f t="shared" ca="1" si="158"/>
        <v>0</v>
      </c>
      <c r="BU130" s="211">
        <f t="shared" ref="BU130:DC130" ca="1" si="159">BU$8+BU$9-BU$113</f>
        <v>0</v>
      </c>
      <c r="BV130" s="211">
        <f t="shared" ca="1" si="159"/>
        <v>0</v>
      </c>
      <c r="BW130" s="211">
        <f t="shared" ca="1" si="159"/>
        <v>0</v>
      </c>
      <c r="BX130" s="211">
        <f t="shared" ca="1" si="159"/>
        <v>0</v>
      </c>
      <c r="BY130" s="211">
        <f t="shared" ca="1" si="159"/>
        <v>0</v>
      </c>
      <c r="BZ130" s="211">
        <f t="shared" ca="1" si="159"/>
        <v>0</v>
      </c>
      <c r="CA130" s="211">
        <f t="shared" ca="1" si="159"/>
        <v>0</v>
      </c>
      <c r="CB130" s="211">
        <f t="shared" ca="1" si="159"/>
        <v>0</v>
      </c>
      <c r="CC130" s="211">
        <f t="shared" ca="1" si="159"/>
        <v>0</v>
      </c>
      <c r="CD130" s="211">
        <f t="shared" ca="1" si="159"/>
        <v>0</v>
      </c>
      <c r="CE130" s="211">
        <f t="shared" ca="1" si="159"/>
        <v>0</v>
      </c>
      <c r="CF130" s="211">
        <f t="shared" ca="1" si="159"/>
        <v>0</v>
      </c>
      <c r="CG130" s="211">
        <f t="shared" ca="1" si="159"/>
        <v>0</v>
      </c>
      <c r="CH130" s="211">
        <f t="shared" ca="1" si="159"/>
        <v>0</v>
      </c>
      <c r="CI130" s="211">
        <f t="shared" ca="1" si="159"/>
        <v>0</v>
      </c>
      <c r="CJ130" s="211">
        <f t="shared" ca="1" si="159"/>
        <v>0</v>
      </c>
      <c r="CK130" s="211">
        <f t="shared" ca="1" si="159"/>
        <v>0</v>
      </c>
      <c r="CL130" s="211">
        <f t="shared" ca="1" si="159"/>
        <v>0</v>
      </c>
      <c r="CM130" s="211">
        <f t="shared" ca="1" si="159"/>
        <v>0</v>
      </c>
      <c r="CN130" s="211">
        <f t="shared" ca="1" si="159"/>
        <v>0</v>
      </c>
      <c r="CO130" s="211">
        <f t="shared" ca="1" si="159"/>
        <v>0</v>
      </c>
      <c r="CP130" s="211">
        <f t="shared" ca="1" si="159"/>
        <v>0</v>
      </c>
      <c r="CQ130" s="211">
        <f t="shared" ca="1" si="159"/>
        <v>0</v>
      </c>
      <c r="CR130" s="211">
        <f t="shared" ca="1" si="159"/>
        <v>0</v>
      </c>
      <c r="CS130" s="211">
        <f t="shared" ca="1" si="159"/>
        <v>0</v>
      </c>
      <c r="CT130" s="211">
        <f t="shared" ca="1" si="159"/>
        <v>0</v>
      </c>
      <c r="CU130" s="211">
        <f t="shared" ca="1" si="159"/>
        <v>0</v>
      </c>
      <c r="CV130" s="211">
        <f t="shared" ca="1" si="159"/>
        <v>0</v>
      </c>
      <c r="CW130" s="211">
        <f t="shared" ca="1" si="159"/>
        <v>0</v>
      </c>
      <c r="CX130" s="211">
        <f t="shared" ca="1" si="159"/>
        <v>0</v>
      </c>
      <c r="CY130" s="211">
        <f t="shared" ca="1" si="159"/>
        <v>0</v>
      </c>
      <c r="CZ130" s="211">
        <f t="shared" ca="1" si="159"/>
        <v>0</v>
      </c>
      <c r="DA130" s="211">
        <f t="shared" ca="1" si="159"/>
        <v>0</v>
      </c>
      <c r="DB130" s="211">
        <f t="shared" ca="1" si="159"/>
        <v>0</v>
      </c>
      <c r="DC130" s="50">
        <f t="shared" ca="1" si="159"/>
        <v>0</v>
      </c>
    </row>
    <row r="131" spans="1:110" ht="15" hidden="1" customHeight="1">
      <c r="B131" s="151" t="s">
        <v>209</v>
      </c>
      <c r="C131" s="238" t="s">
        <v>263</v>
      </c>
      <c r="D131" s="216"/>
      <c r="E131" s="219"/>
      <c r="F131" s="223">
        <f ca="1">H131+NPV(SD,I131:INDEX(I131:DC131,PAL))</f>
        <v>113887649.621988</v>
      </c>
      <c r="G131" s="212">
        <f ca="1">SUMIF($H$5:$DC$5,"&lt;="&amp;PAL,$H131:$DC131)</f>
        <v>191640865.77715251</v>
      </c>
      <c r="H131" s="59">
        <f t="shared" ref="H131:BS131" ca="1" si="160">H$89-H$114</f>
        <v>0</v>
      </c>
      <c r="I131" s="43">
        <f t="shared" ca="1" si="160"/>
        <v>1632000</v>
      </c>
      <c r="J131" s="43">
        <f t="shared" ca="1" si="160"/>
        <v>4418628.6675319998</v>
      </c>
      <c r="K131" s="43">
        <f t="shared" ca="1" si="160"/>
        <v>6899390.9378861338</v>
      </c>
      <c r="L131" s="43">
        <f t="shared" ca="1" si="160"/>
        <v>10507520.3630432</v>
      </c>
      <c r="M131" s="43">
        <f t="shared" ca="1" si="160"/>
        <v>10507520.3630432</v>
      </c>
      <c r="N131" s="43">
        <f t="shared" ca="1" si="160"/>
        <v>10507520.3630432</v>
      </c>
      <c r="O131" s="43">
        <f t="shared" ca="1" si="160"/>
        <v>10512020.3630432</v>
      </c>
      <c r="P131" s="43">
        <f t="shared" ca="1" si="160"/>
        <v>10512020.3630432</v>
      </c>
      <c r="Q131" s="43">
        <f t="shared" ca="1" si="160"/>
        <v>10512020.3630432</v>
      </c>
      <c r="R131" s="43">
        <f t="shared" ca="1" si="160"/>
        <v>10512020.3630432</v>
      </c>
      <c r="S131" s="43">
        <f t="shared" ca="1" si="160"/>
        <v>10512020.3630432</v>
      </c>
      <c r="T131" s="43">
        <f t="shared" ca="1" si="160"/>
        <v>10512020.3630432</v>
      </c>
      <c r="U131" s="43">
        <f t="shared" ca="1" si="160"/>
        <v>10512020.3630432</v>
      </c>
      <c r="V131" s="43">
        <f t="shared" ca="1" si="160"/>
        <v>10512020.3630432</v>
      </c>
      <c r="W131" s="43">
        <f t="shared" ca="1" si="160"/>
        <v>10512020.3630432</v>
      </c>
      <c r="X131" s="43">
        <f t="shared" ca="1" si="160"/>
        <v>10512020.3630432</v>
      </c>
      <c r="Y131" s="43">
        <f t="shared" ca="1" si="160"/>
        <v>10512020.3630432</v>
      </c>
      <c r="Z131" s="43">
        <f t="shared" ca="1" si="160"/>
        <v>10512020.3630432</v>
      </c>
      <c r="AA131" s="43">
        <f t="shared" ca="1" si="160"/>
        <v>10512020.3630432</v>
      </c>
      <c r="AB131" s="43">
        <f t="shared" ca="1" si="160"/>
        <v>10512020.3630432</v>
      </c>
      <c r="AC131" s="43">
        <f t="shared" ca="1" si="160"/>
        <v>2351431.8160736002</v>
      </c>
      <c r="AD131" s="43">
        <f t="shared" ca="1" si="160"/>
        <v>2351431.8160736002</v>
      </c>
      <c r="AE131" s="43">
        <f t="shared" ca="1" si="160"/>
        <v>2351431.8160736002</v>
      </c>
      <c r="AF131" s="43">
        <f t="shared" ca="1" si="160"/>
        <v>2351431.8160736002</v>
      </c>
      <c r="AG131" s="43">
        <f t="shared" ca="1" si="160"/>
        <v>2351431.8160736002</v>
      </c>
      <c r="AH131" s="43">
        <f t="shared" ca="1" si="160"/>
        <v>2351431.8160736002</v>
      </c>
      <c r="AI131" s="43">
        <f t="shared" ca="1" si="160"/>
        <v>2351431.8160736002</v>
      </c>
      <c r="AJ131" s="43">
        <f t="shared" ca="1" si="160"/>
        <v>2351431.8160736002</v>
      </c>
      <c r="AK131" s="43">
        <f t="shared" ca="1" si="160"/>
        <v>2351431.8160736002</v>
      </c>
      <c r="AL131" s="43">
        <f t="shared" ca="1" si="160"/>
        <v>2351431.8160736002</v>
      </c>
      <c r="AM131" s="43">
        <f t="shared" ca="1" si="160"/>
        <v>2351431.8160736002</v>
      </c>
      <c r="AN131" s="43">
        <f t="shared" ca="1" si="160"/>
        <v>2351431.8160736002</v>
      </c>
      <c r="AO131" s="43">
        <f t="shared" ca="1" si="160"/>
        <v>2351431.8160736002</v>
      </c>
      <c r="AP131" s="43">
        <f t="shared" ca="1" si="160"/>
        <v>2351431.8160736002</v>
      </c>
      <c r="AQ131" s="43">
        <f t="shared" ca="1" si="160"/>
        <v>2351431.8160736002</v>
      </c>
      <c r="AR131" s="43">
        <f t="shared" ca="1" si="160"/>
        <v>2351431.8160736002</v>
      </c>
      <c r="AS131" s="43">
        <f t="shared" ca="1" si="160"/>
        <v>2351431.8160736002</v>
      </c>
      <c r="AT131" s="43">
        <f t="shared" ca="1" si="160"/>
        <v>2351431.8160736002</v>
      </c>
      <c r="AU131" s="43">
        <f t="shared" ca="1" si="160"/>
        <v>2351431.8160736002</v>
      </c>
      <c r="AV131" s="43">
        <f t="shared" ca="1" si="160"/>
        <v>2351431.8160736002</v>
      </c>
      <c r="AW131" s="43">
        <f t="shared" ca="1" si="160"/>
        <v>2351431.8160736002</v>
      </c>
      <c r="AX131" s="43">
        <f t="shared" ca="1" si="160"/>
        <v>2351431.8160736002</v>
      </c>
      <c r="AY131" s="43">
        <f t="shared" ca="1" si="160"/>
        <v>2351431.8160736002</v>
      </c>
      <c r="AZ131" s="43">
        <f t="shared" ca="1" si="160"/>
        <v>2351431.8160736002</v>
      </c>
      <c r="BA131" s="43">
        <f t="shared" ca="1" si="160"/>
        <v>2351431.8160736002</v>
      </c>
      <c r="BB131" s="43">
        <f t="shared" ca="1" si="160"/>
        <v>2351431.8160736002</v>
      </c>
      <c r="BC131" s="43">
        <f t="shared" ca="1" si="160"/>
        <v>2351431.8160736002</v>
      </c>
      <c r="BD131" s="43">
        <f t="shared" ca="1" si="160"/>
        <v>2351431.8160736002</v>
      </c>
      <c r="BE131" s="43">
        <f t="shared" ca="1" si="160"/>
        <v>2351431.8160736002</v>
      </c>
      <c r="BF131" s="43">
        <f t="shared" ca="1" si="160"/>
        <v>2351431.8160736002</v>
      </c>
      <c r="BG131" s="43">
        <f t="shared" ca="1" si="160"/>
        <v>2351431.8160736002</v>
      </c>
      <c r="BH131" s="43">
        <f t="shared" ca="1" si="160"/>
        <v>2351431.8160736002</v>
      </c>
      <c r="BI131" s="43">
        <f t="shared" ca="1" si="160"/>
        <v>2351431.8160736002</v>
      </c>
      <c r="BJ131" s="43">
        <f t="shared" ca="1" si="160"/>
        <v>2351431.8160736002</v>
      </c>
      <c r="BK131" s="43">
        <f t="shared" ca="1" si="160"/>
        <v>2351431.8160736002</v>
      </c>
      <c r="BL131" s="43">
        <f t="shared" ca="1" si="160"/>
        <v>2351431.8160736002</v>
      </c>
      <c r="BM131" s="43">
        <f t="shared" ca="1" si="160"/>
        <v>2351431.8160736002</v>
      </c>
      <c r="BN131" s="43">
        <f t="shared" ca="1" si="160"/>
        <v>2351431.8160736002</v>
      </c>
      <c r="BO131" s="43">
        <f t="shared" ca="1" si="160"/>
        <v>2351431.8160736002</v>
      </c>
      <c r="BP131" s="43">
        <f t="shared" ca="1" si="160"/>
        <v>2351431.8160736002</v>
      </c>
      <c r="BQ131" s="43">
        <f t="shared" ca="1" si="160"/>
        <v>2351431.8160736002</v>
      </c>
      <c r="BR131" s="43">
        <f t="shared" ca="1" si="160"/>
        <v>2351431.8160736002</v>
      </c>
      <c r="BS131" s="43">
        <f t="shared" ca="1" si="160"/>
        <v>2351431.8160736002</v>
      </c>
      <c r="BT131" s="43">
        <f t="shared" ref="BT131:DC131" ca="1" si="161">BT$89-BT$114</f>
        <v>2351431.8160736002</v>
      </c>
      <c r="BU131" s="43">
        <f t="shared" ca="1" si="161"/>
        <v>2351431.8160736002</v>
      </c>
      <c r="BV131" s="43">
        <f t="shared" ca="1" si="161"/>
        <v>2351431.8160736002</v>
      </c>
      <c r="BW131" s="43">
        <f t="shared" ca="1" si="161"/>
        <v>2351431.8160736002</v>
      </c>
      <c r="BX131" s="43">
        <f t="shared" ca="1" si="161"/>
        <v>2351431.8160736002</v>
      </c>
      <c r="BY131" s="43">
        <f t="shared" ca="1" si="161"/>
        <v>2351431.8160736002</v>
      </c>
      <c r="BZ131" s="43">
        <f t="shared" ca="1" si="161"/>
        <v>2351431.8160736002</v>
      </c>
      <c r="CA131" s="43">
        <f t="shared" ca="1" si="161"/>
        <v>2351431.8160736002</v>
      </c>
      <c r="CB131" s="43">
        <f t="shared" ca="1" si="161"/>
        <v>2351431.8160736002</v>
      </c>
      <c r="CC131" s="43">
        <f t="shared" ca="1" si="161"/>
        <v>2351431.8160736002</v>
      </c>
      <c r="CD131" s="43">
        <f t="shared" ca="1" si="161"/>
        <v>2351431.8160736002</v>
      </c>
      <c r="CE131" s="43">
        <f t="shared" ca="1" si="161"/>
        <v>2351431.8160736002</v>
      </c>
      <c r="CF131" s="43">
        <f t="shared" ca="1" si="161"/>
        <v>2351431.8160736002</v>
      </c>
      <c r="CG131" s="43">
        <f t="shared" ca="1" si="161"/>
        <v>2351431.8160736002</v>
      </c>
      <c r="CH131" s="43">
        <f t="shared" ca="1" si="161"/>
        <v>2351431.8160736002</v>
      </c>
      <c r="CI131" s="43">
        <f t="shared" ca="1" si="161"/>
        <v>2351431.8160736002</v>
      </c>
      <c r="CJ131" s="43">
        <f t="shared" ca="1" si="161"/>
        <v>2351431.8160736002</v>
      </c>
      <c r="CK131" s="43">
        <f t="shared" ca="1" si="161"/>
        <v>2351431.8160736002</v>
      </c>
      <c r="CL131" s="43">
        <f t="shared" ca="1" si="161"/>
        <v>2351431.8160736002</v>
      </c>
      <c r="CM131" s="43">
        <f t="shared" ca="1" si="161"/>
        <v>2351431.8160736002</v>
      </c>
      <c r="CN131" s="43">
        <f t="shared" ca="1" si="161"/>
        <v>2351431.8160736002</v>
      </c>
      <c r="CO131" s="43">
        <f t="shared" ca="1" si="161"/>
        <v>2351431.8160736002</v>
      </c>
      <c r="CP131" s="43">
        <f t="shared" ca="1" si="161"/>
        <v>2351431.8160736002</v>
      </c>
      <c r="CQ131" s="43">
        <f t="shared" ca="1" si="161"/>
        <v>2351431.8160736002</v>
      </c>
      <c r="CR131" s="43">
        <f t="shared" ca="1" si="161"/>
        <v>2351431.8160736002</v>
      </c>
      <c r="CS131" s="43">
        <f t="shared" ca="1" si="161"/>
        <v>2351431.8160736002</v>
      </c>
      <c r="CT131" s="43">
        <f t="shared" ca="1" si="161"/>
        <v>2351431.8160736002</v>
      </c>
      <c r="CU131" s="43">
        <f t="shared" ca="1" si="161"/>
        <v>2351431.8160736002</v>
      </c>
      <c r="CV131" s="43">
        <f t="shared" ca="1" si="161"/>
        <v>2351431.8160736002</v>
      </c>
      <c r="CW131" s="43">
        <f t="shared" ca="1" si="161"/>
        <v>2351431.8160736002</v>
      </c>
      <c r="CX131" s="43">
        <f t="shared" ca="1" si="161"/>
        <v>2351431.8160736002</v>
      </c>
      <c r="CY131" s="43">
        <f t="shared" ca="1" si="161"/>
        <v>2351431.8160736002</v>
      </c>
      <c r="CZ131" s="43">
        <f t="shared" ca="1" si="161"/>
        <v>2351431.8160736002</v>
      </c>
      <c r="DA131" s="43">
        <f t="shared" ca="1" si="161"/>
        <v>2351431.8160736002</v>
      </c>
      <c r="DB131" s="43">
        <f t="shared" ca="1" si="161"/>
        <v>2351431.8160736002</v>
      </c>
      <c r="DC131" s="212">
        <f t="shared" ca="1" si="161"/>
        <v>2351431.8160736002</v>
      </c>
    </row>
    <row r="132" spans="1:110" ht="15" hidden="1" customHeight="1">
      <c r="B132" s="151" t="s">
        <v>194</v>
      </c>
      <c r="C132" s="238" t="s">
        <v>16</v>
      </c>
      <c r="D132" s="216"/>
      <c r="E132" s="219"/>
      <c r="F132" s="224">
        <f ca="1">H132+NPV(FD,I132:INDEX(I132:DC132,PAL))</f>
        <v>0</v>
      </c>
      <c r="G132" s="212">
        <f ca="1">SUMIF($H$5:$DC$5,"&lt;="&amp;PAL,$H132:$DC132)</f>
        <v>0</v>
      </c>
      <c r="H132" s="59">
        <f t="shared" ref="H132:BS132" ca="1" si="162">SUM(H$21,H$32,H$43,H$55,H$66,H$77,H$88)</f>
        <v>0</v>
      </c>
      <c r="I132" s="43">
        <f t="shared" ca="1" si="162"/>
        <v>0</v>
      </c>
      <c r="J132" s="43">
        <f t="shared" ca="1" si="162"/>
        <v>0</v>
      </c>
      <c r="K132" s="43">
        <f t="shared" ca="1" si="162"/>
        <v>0</v>
      </c>
      <c r="L132" s="43">
        <f t="shared" ca="1" si="162"/>
        <v>0</v>
      </c>
      <c r="M132" s="43">
        <f t="shared" ca="1" si="162"/>
        <v>0</v>
      </c>
      <c r="N132" s="43">
        <f t="shared" ca="1" si="162"/>
        <v>0</v>
      </c>
      <c r="O132" s="43">
        <f t="shared" ca="1" si="162"/>
        <v>0</v>
      </c>
      <c r="P132" s="43">
        <f t="shared" ca="1" si="162"/>
        <v>0</v>
      </c>
      <c r="Q132" s="43">
        <f t="shared" ca="1" si="162"/>
        <v>0</v>
      </c>
      <c r="R132" s="43">
        <f t="shared" ca="1" si="162"/>
        <v>0</v>
      </c>
      <c r="S132" s="43">
        <f t="shared" ca="1" si="162"/>
        <v>0</v>
      </c>
      <c r="T132" s="43">
        <f t="shared" ca="1" si="162"/>
        <v>0</v>
      </c>
      <c r="U132" s="43">
        <f t="shared" ca="1" si="162"/>
        <v>0</v>
      </c>
      <c r="V132" s="43">
        <f t="shared" ca="1" si="162"/>
        <v>0</v>
      </c>
      <c r="W132" s="43">
        <f t="shared" ca="1" si="162"/>
        <v>0</v>
      </c>
      <c r="X132" s="43">
        <f t="shared" ca="1" si="162"/>
        <v>0</v>
      </c>
      <c r="Y132" s="43">
        <f t="shared" ca="1" si="162"/>
        <v>0</v>
      </c>
      <c r="Z132" s="43">
        <f t="shared" ca="1" si="162"/>
        <v>0</v>
      </c>
      <c r="AA132" s="43">
        <f t="shared" ca="1" si="162"/>
        <v>0</v>
      </c>
      <c r="AB132" s="43">
        <f t="shared" ca="1" si="162"/>
        <v>0</v>
      </c>
      <c r="AC132" s="43">
        <f t="shared" ca="1" si="162"/>
        <v>0</v>
      </c>
      <c r="AD132" s="43">
        <f t="shared" ca="1" si="162"/>
        <v>0</v>
      </c>
      <c r="AE132" s="43">
        <f t="shared" ca="1" si="162"/>
        <v>0</v>
      </c>
      <c r="AF132" s="43">
        <f t="shared" ca="1" si="162"/>
        <v>0</v>
      </c>
      <c r="AG132" s="43">
        <f t="shared" ca="1" si="162"/>
        <v>0</v>
      </c>
      <c r="AH132" s="43">
        <f t="shared" ca="1" si="162"/>
        <v>0</v>
      </c>
      <c r="AI132" s="43">
        <f t="shared" ca="1" si="162"/>
        <v>0</v>
      </c>
      <c r="AJ132" s="43">
        <f t="shared" ca="1" si="162"/>
        <v>0</v>
      </c>
      <c r="AK132" s="43">
        <f t="shared" ca="1" si="162"/>
        <v>0</v>
      </c>
      <c r="AL132" s="43">
        <f t="shared" ca="1" si="162"/>
        <v>0</v>
      </c>
      <c r="AM132" s="43">
        <f t="shared" ca="1" si="162"/>
        <v>0</v>
      </c>
      <c r="AN132" s="43">
        <f t="shared" ca="1" si="162"/>
        <v>0</v>
      </c>
      <c r="AO132" s="43">
        <f t="shared" ca="1" si="162"/>
        <v>0</v>
      </c>
      <c r="AP132" s="43">
        <f t="shared" ca="1" si="162"/>
        <v>0</v>
      </c>
      <c r="AQ132" s="43">
        <f t="shared" ca="1" si="162"/>
        <v>0</v>
      </c>
      <c r="AR132" s="43">
        <f t="shared" ca="1" si="162"/>
        <v>0</v>
      </c>
      <c r="AS132" s="43">
        <f t="shared" ca="1" si="162"/>
        <v>0</v>
      </c>
      <c r="AT132" s="43">
        <f t="shared" ca="1" si="162"/>
        <v>0</v>
      </c>
      <c r="AU132" s="43">
        <f t="shared" ca="1" si="162"/>
        <v>0</v>
      </c>
      <c r="AV132" s="43">
        <f t="shared" ca="1" si="162"/>
        <v>0</v>
      </c>
      <c r="AW132" s="43">
        <f t="shared" ca="1" si="162"/>
        <v>0</v>
      </c>
      <c r="AX132" s="43">
        <f t="shared" ca="1" si="162"/>
        <v>0</v>
      </c>
      <c r="AY132" s="43">
        <f t="shared" ca="1" si="162"/>
        <v>0</v>
      </c>
      <c r="AZ132" s="43">
        <f t="shared" ca="1" si="162"/>
        <v>0</v>
      </c>
      <c r="BA132" s="43">
        <f t="shared" ca="1" si="162"/>
        <v>0</v>
      </c>
      <c r="BB132" s="43">
        <f t="shared" ca="1" si="162"/>
        <v>0</v>
      </c>
      <c r="BC132" s="43">
        <f t="shared" ca="1" si="162"/>
        <v>0</v>
      </c>
      <c r="BD132" s="43">
        <f t="shared" ca="1" si="162"/>
        <v>0</v>
      </c>
      <c r="BE132" s="43">
        <f t="shared" ca="1" si="162"/>
        <v>0</v>
      </c>
      <c r="BF132" s="43">
        <f t="shared" ca="1" si="162"/>
        <v>0</v>
      </c>
      <c r="BG132" s="43">
        <f t="shared" ca="1" si="162"/>
        <v>0</v>
      </c>
      <c r="BH132" s="43">
        <f t="shared" ca="1" si="162"/>
        <v>0</v>
      </c>
      <c r="BI132" s="43">
        <f t="shared" ca="1" si="162"/>
        <v>0</v>
      </c>
      <c r="BJ132" s="43">
        <f t="shared" ca="1" si="162"/>
        <v>0</v>
      </c>
      <c r="BK132" s="43">
        <f t="shared" ca="1" si="162"/>
        <v>0</v>
      </c>
      <c r="BL132" s="43">
        <f t="shared" ca="1" si="162"/>
        <v>0</v>
      </c>
      <c r="BM132" s="43">
        <f t="shared" ca="1" si="162"/>
        <v>0</v>
      </c>
      <c r="BN132" s="43">
        <f t="shared" ca="1" si="162"/>
        <v>0</v>
      </c>
      <c r="BO132" s="43">
        <f t="shared" ca="1" si="162"/>
        <v>0</v>
      </c>
      <c r="BP132" s="43">
        <f t="shared" ca="1" si="162"/>
        <v>0</v>
      </c>
      <c r="BQ132" s="43">
        <f t="shared" ca="1" si="162"/>
        <v>0</v>
      </c>
      <c r="BR132" s="43">
        <f t="shared" ca="1" si="162"/>
        <v>0</v>
      </c>
      <c r="BS132" s="43">
        <f t="shared" ca="1" si="162"/>
        <v>0</v>
      </c>
      <c r="BT132" s="43">
        <f t="shared" ref="BT132:DC132" ca="1" si="163">SUM(BT$21,BT$32,BT$43,BT$55,BT$66,BT$77,BT$88)</f>
        <v>0</v>
      </c>
      <c r="BU132" s="43">
        <f t="shared" ca="1" si="163"/>
        <v>0</v>
      </c>
      <c r="BV132" s="43">
        <f t="shared" ca="1" si="163"/>
        <v>0</v>
      </c>
      <c r="BW132" s="43">
        <f t="shared" ca="1" si="163"/>
        <v>0</v>
      </c>
      <c r="BX132" s="43">
        <f t="shared" ca="1" si="163"/>
        <v>0</v>
      </c>
      <c r="BY132" s="43">
        <f t="shared" ca="1" si="163"/>
        <v>0</v>
      </c>
      <c r="BZ132" s="43">
        <f t="shared" ca="1" si="163"/>
        <v>0</v>
      </c>
      <c r="CA132" s="43">
        <f t="shared" ca="1" si="163"/>
        <v>0</v>
      </c>
      <c r="CB132" s="43">
        <f t="shared" ca="1" si="163"/>
        <v>0</v>
      </c>
      <c r="CC132" s="43">
        <f t="shared" ca="1" si="163"/>
        <v>0</v>
      </c>
      <c r="CD132" s="43">
        <f t="shared" ca="1" si="163"/>
        <v>0</v>
      </c>
      <c r="CE132" s="43">
        <f t="shared" ca="1" si="163"/>
        <v>0</v>
      </c>
      <c r="CF132" s="43">
        <f t="shared" ca="1" si="163"/>
        <v>0</v>
      </c>
      <c r="CG132" s="43">
        <f t="shared" ca="1" si="163"/>
        <v>0</v>
      </c>
      <c r="CH132" s="43">
        <f t="shared" ca="1" si="163"/>
        <v>0</v>
      </c>
      <c r="CI132" s="43">
        <f t="shared" ca="1" si="163"/>
        <v>0</v>
      </c>
      <c r="CJ132" s="43">
        <f t="shared" ca="1" si="163"/>
        <v>0</v>
      </c>
      <c r="CK132" s="43">
        <f t="shared" ca="1" si="163"/>
        <v>0</v>
      </c>
      <c r="CL132" s="43">
        <f t="shared" ca="1" si="163"/>
        <v>0</v>
      </c>
      <c r="CM132" s="43">
        <f t="shared" ca="1" si="163"/>
        <v>0</v>
      </c>
      <c r="CN132" s="43">
        <f t="shared" ca="1" si="163"/>
        <v>0</v>
      </c>
      <c r="CO132" s="43">
        <f t="shared" ca="1" si="163"/>
        <v>0</v>
      </c>
      <c r="CP132" s="43">
        <f t="shared" ca="1" si="163"/>
        <v>0</v>
      </c>
      <c r="CQ132" s="43">
        <f t="shared" ca="1" si="163"/>
        <v>0</v>
      </c>
      <c r="CR132" s="43">
        <f t="shared" ca="1" si="163"/>
        <v>0</v>
      </c>
      <c r="CS132" s="43">
        <f t="shared" ca="1" si="163"/>
        <v>0</v>
      </c>
      <c r="CT132" s="43">
        <f t="shared" ca="1" si="163"/>
        <v>0</v>
      </c>
      <c r="CU132" s="43">
        <f t="shared" ca="1" si="163"/>
        <v>0</v>
      </c>
      <c r="CV132" s="43">
        <f t="shared" ca="1" si="163"/>
        <v>0</v>
      </c>
      <c r="CW132" s="43">
        <f t="shared" ca="1" si="163"/>
        <v>0</v>
      </c>
      <c r="CX132" s="43">
        <f t="shared" ca="1" si="163"/>
        <v>0</v>
      </c>
      <c r="CY132" s="43">
        <f t="shared" ca="1" si="163"/>
        <v>0</v>
      </c>
      <c r="CZ132" s="43">
        <f t="shared" ca="1" si="163"/>
        <v>0</v>
      </c>
      <c r="DA132" s="43">
        <f t="shared" ca="1" si="163"/>
        <v>0</v>
      </c>
      <c r="DB132" s="43">
        <f t="shared" ca="1" si="163"/>
        <v>0</v>
      </c>
      <c r="DC132" s="212">
        <f t="shared" ca="1" si="163"/>
        <v>0</v>
      </c>
    </row>
    <row r="133" spans="1:110" ht="15" hidden="1" customHeight="1">
      <c r="B133" s="151" t="s">
        <v>195</v>
      </c>
      <c r="C133" s="238" t="s">
        <v>264</v>
      </c>
      <c r="D133" s="216"/>
      <c r="E133" s="219"/>
      <c r="F133" s="224">
        <f ca="1">H133+NPV(SD,I133:INDEX(I133:DC133,PAL))</f>
        <v>0</v>
      </c>
      <c r="G133" s="212">
        <f ca="1">SUMIF($H$5:$DC$5,"&lt;="&amp;PAL,$H133:$DC133)</f>
        <v>0</v>
      </c>
      <c r="H133" s="59">
        <f ca="1">H132-SUMPRODUCT(H$21:H$88,$DH$21:$DH$88)</f>
        <v>0</v>
      </c>
      <c r="I133" s="43">
        <f t="shared" ref="I133:BT133" ca="1" si="164">I132-SUMPRODUCT(I$21:I$88,$DI$21:$DI$88)</f>
        <v>0</v>
      </c>
      <c r="J133" s="43">
        <f t="shared" ca="1" si="164"/>
        <v>0</v>
      </c>
      <c r="K133" s="43">
        <f t="shared" ca="1" si="164"/>
        <v>0</v>
      </c>
      <c r="L133" s="43">
        <f t="shared" ca="1" si="164"/>
        <v>0</v>
      </c>
      <c r="M133" s="43">
        <f t="shared" ca="1" si="164"/>
        <v>0</v>
      </c>
      <c r="N133" s="43">
        <f t="shared" ca="1" si="164"/>
        <v>0</v>
      </c>
      <c r="O133" s="43">
        <f t="shared" ca="1" si="164"/>
        <v>0</v>
      </c>
      <c r="P133" s="43">
        <f t="shared" ca="1" si="164"/>
        <v>0</v>
      </c>
      <c r="Q133" s="43">
        <f t="shared" ca="1" si="164"/>
        <v>0</v>
      </c>
      <c r="R133" s="43">
        <f t="shared" ca="1" si="164"/>
        <v>0</v>
      </c>
      <c r="S133" s="43">
        <f t="shared" ca="1" si="164"/>
        <v>0</v>
      </c>
      <c r="T133" s="43">
        <f t="shared" ca="1" si="164"/>
        <v>0</v>
      </c>
      <c r="U133" s="43">
        <f t="shared" ca="1" si="164"/>
        <v>0</v>
      </c>
      <c r="V133" s="43">
        <f t="shared" ca="1" si="164"/>
        <v>0</v>
      </c>
      <c r="W133" s="43">
        <f ca="1">W132-SUMPRODUCT(W$21:W$88,$DH$21:$DH$88)</f>
        <v>0</v>
      </c>
      <c r="X133" s="43">
        <f t="shared" ca="1" si="164"/>
        <v>0</v>
      </c>
      <c r="Y133" s="43">
        <f t="shared" ca="1" si="164"/>
        <v>0</v>
      </c>
      <c r="Z133" s="43">
        <f t="shared" ca="1" si="164"/>
        <v>0</v>
      </c>
      <c r="AA133" s="43">
        <f t="shared" ca="1" si="164"/>
        <v>0</v>
      </c>
      <c r="AB133" s="43">
        <f t="shared" ca="1" si="164"/>
        <v>0</v>
      </c>
      <c r="AC133" s="43">
        <f t="shared" ca="1" si="164"/>
        <v>0</v>
      </c>
      <c r="AD133" s="43">
        <f t="shared" ca="1" si="164"/>
        <v>0</v>
      </c>
      <c r="AE133" s="43">
        <f t="shared" ca="1" si="164"/>
        <v>0</v>
      </c>
      <c r="AF133" s="43">
        <f t="shared" ca="1" si="164"/>
        <v>0</v>
      </c>
      <c r="AG133" s="43">
        <f t="shared" ca="1" si="164"/>
        <v>0</v>
      </c>
      <c r="AH133" s="43">
        <f t="shared" ca="1" si="164"/>
        <v>0</v>
      </c>
      <c r="AI133" s="43">
        <f t="shared" ca="1" si="164"/>
        <v>0</v>
      </c>
      <c r="AJ133" s="43">
        <f t="shared" ca="1" si="164"/>
        <v>0</v>
      </c>
      <c r="AK133" s="43">
        <f t="shared" ca="1" si="164"/>
        <v>0</v>
      </c>
      <c r="AL133" s="43">
        <f t="shared" ca="1" si="164"/>
        <v>0</v>
      </c>
      <c r="AM133" s="43">
        <f t="shared" ca="1" si="164"/>
        <v>0</v>
      </c>
      <c r="AN133" s="43">
        <f t="shared" ca="1" si="164"/>
        <v>0</v>
      </c>
      <c r="AO133" s="43">
        <f t="shared" ca="1" si="164"/>
        <v>0</v>
      </c>
      <c r="AP133" s="43">
        <f t="shared" ca="1" si="164"/>
        <v>0</v>
      </c>
      <c r="AQ133" s="43">
        <f t="shared" ca="1" si="164"/>
        <v>0</v>
      </c>
      <c r="AR133" s="43">
        <f t="shared" ca="1" si="164"/>
        <v>0</v>
      </c>
      <c r="AS133" s="43">
        <f t="shared" ca="1" si="164"/>
        <v>0</v>
      </c>
      <c r="AT133" s="43">
        <f t="shared" ca="1" si="164"/>
        <v>0</v>
      </c>
      <c r="AU133" s="43">
        <f t="shared" ca="1" si="164"/>
        <v>0</v>
      </c>
      <c r="AV133" s="43">
        <f t="shared" ca="1" si="164"/>
        <v>0</v>
      </c>
      <c r="AW133" s="43">
        <f t="shared" ca="1" si="164"/>
        <v>0</v>
      </c>
      <c r="AX133" s="43">
        <f t="shared" ca="1" si="164"/>
        <v>0</v>
      </c>
      <c r="AY133" s="43">
        <f t="shared" ca="1" si="164"/>
        <v>0</v>
      </c>
      <c r="AZ133" s="43">
        <f t="shared" ca="1" si="164"/>
        <v>0</v>
      </c>
      <c r="BA133" s="43">
        <f t="shared" ca="1" si="164"/>
        <v>0</v>
      </c>
      <c r="BB133" s="43">
        <f t="shared" ca="1" si="164"/>
        <v>0</v>
      </c>
      <c r="BC133" s="43">
        <f t="shared" ca="1" si="164"/>
        <v>0</v>
      </c>
      <c r="BD133" s="43">
        <f t="shared" ca="1" si="164"/>
        <v>0</v>
      </c>
      <c r="BE133" s="43">
        <f t="shared" ca="1" si="164"/>
        <v>0</v>
      </c>
      <c r="BF133" s="43">
        <f t="shared" ca="1" si="164"/>
        <v>0</v>
      </c>
      <c r="BG133" s="43">
        <f t="shared" ca="1" si="164"/>
        <v>0</v>
      </c>
      <c r="BH133" s="43">
        <f t="shared" ca="1" si="164"/>
        <v>0</v>
      </c>
      <c r="BI133" s="43">
        <f t="shared" ca="1" si="164"/>
        <v>0</v>
      </c>
      <c r="BJ133" s="43">
        <f t="shared" ca="1" si="164"/>
        <v>0</v>
      </c>
      <c r="BK133" s="43">
        <f t="shared" ca="1" si="164"/>
        <v>0</v>
      </c>
      <c r="BL133" s="43">
        <f t="shared" ca="1" si="164"/>
        <v>0</v>
      </c>
      <c r="BM133" s="43">
        <f t="shared" ca="1" si="164"/>
        <v>0</v>
      </c>
      <c r="BN133" s="43">
        <f t="shared" ca="1" si="164"/>
        <v>0</v>
      </c>
      <c r="BO133" s="43">
        <f t="shared" ca="1" si="164"/>
        <v>0</v>
      </c>
      <c r="BP133" s="43">
        <f t="shared" ca="1" si="164"/>
        <v>0</v>
      </c>
      <c r="BQ133" s="43">
        <f t="shared" ca="1" si="164"/>
        <v>0</v>
      </c>
      <c r="BR133" s="43">
        <f t="shared" ca="1" si="164"/>
        <v>0</v>
      </c>
      <c r="BS133" s="43">
        <f t="shared" ca="1" si="164"/>
        <v>0</v>
      </c>
      <c r="BT133" s="43">
        <f t="shared" ca="1" si="164"/>
        <v>0</v>
      </c>
      <c r="BU133" s="43">
        <f t="shared" ref="BU133:DC133" ca="1" si="165">BU132-SUMPRODUCT(BU$21:BU$88,$DI$21:$DI$88)</f>
        <v>0</v>
      </c>
      <c r="BV133" s="43">
        <f t="shared" ca="1" si="165"/>
        <v>0</v>
      </c>
      <c r="BW133" s="43">
        <f t="shared" ca="1" si="165"/>
        <v>0</v>
      </c>
      <c r="BX133" s="43">
        <f t="shared" ca="1" si="165"/>
        <v>0</v>
      </c>
      <c r="BY133" s="43">
        <f t="shared" ca="1" si="165"/>
        <v>0</v>
      </c>
      <c r="BZ133" s="43">
        <f t="shared" ca="1" si="165"/>
        <v>0</v>
      </c>
      <c r="CA133" s="43">
        <f t="shared" ca="1" si="165"/>
        <v>0</v>
      </c>
      <c r="CB133" s="43">
        <f t="shared" ca="1" si="165"/>
        <v>0</v>
      </c>
      <c r="CC133" s="43">
        <f t="shared" ca="1" si="165"/>
        <v>0</v>
      </c>
      <c r="CD133" s="43">
        <f t="shared" ca="1" si="165"/>
        <v>0</v>
      </c>
      <c r="CE133" s="43">
        <f t="shared" ca="1" si="165"/>
        <v>0</v>
      </c>
      <c r="CF133" s="43">
        <f t="shared" ca="1" si="165"/>
        <v>0</v>
      </c>
      <c r="CG133" s="43">
        <f t="shared" ca="1" si="165"/>
        <v>0</v>
      </c>
      <c r="CH133" s="43">
        <f t="shared" ca="1" si="165"/>
        <v>0</v>
      </c>
      <c r="CI133" s="43">
        <f t="shared" ca="1" si="165"/>
        <v>0</v>
      </c>
      <c r="CJ133" s="43">
        <f t="shared" ca="1" si="165"/>
        <v>0</v>
      </c>
      <c r="CK133" s="43">
        <f t="shared" ca="1" si="165"/>
        <v>0</v>
      </c>
      <c r="CL133" s="43">
        <f t="shared" ca="1" si="165"/>
        <v>0</v>
      </c>
      <c r="CM133" s="43">
        <f t="shared" ca="1" si="165"/>
        <v>0</v>
      </c>
      <c r="CN133" s="43">
        <f t="shared" ca="1" si="165"/>
        <v>0</v>
      </c>
      <c r="CO133" s="43">
        <f t="shared" ca="1" si="165"/>
        <v>0</v>
      </c>
      <c r="CP133" s="43">
        <f t="shared" ca="1" si="165"/>
        <v>0</v>
      </c>
      <c r="CQ133" s="43">
        <f t="shared" ca="1" si="165"/>
        <v>0</v>
      </c>
      <c r="CR133" s="43">
        <f t="shared" ca="1" si="165"/>
        <v>0</v>
      </c>
      <c r="CS133" s="43">
        <f t="shared" ca="1" si="165"/>
        <v>0</v>
      </c>
      <c r="CT133" s="43">
        <f t="shared" ca="1" si="165"/>
        <v>0</v>
      </c>
      <c r="CU133" s="43">
        <f t="shared" ca="1" si="165"/>
        <v>0</v>
      </c>
      <c r="CV133" s="43">
        <f t="shared" ca="1" si="165"/>
        <v>0</v>
      </c>
      <c r="CW133" s="43">
        <f t="shared" ca="1" si="165"/>
        <v>0</v>
      </c>
      <c r="CX133" s="43">
        <f t="shared" ca="1" si="165"/>
        <v>0</v>
      </c>
      <c r="CY133" s="43">
        <f t="shared" ca="1" si="165"/>
        <v>0</v>
      </c>
      <c r="CZ133" s="43">
        <f t="shared" ca="1" si="165"/>
        <v>0</v>
      </c>
      <c r="DA133" s="43">
        <f t="shared" ca="1" si="165"/>
        <v>0</v>
      </c>
      <c r="DB133" s="43">
        <f t="shared" ca="1" si="165"/>
        <v>0</v>
      </c>
      <c r="DC133" s="212">
        <f t="shared" ca="1" si="165"/>
        <v>0</v>
      </c>
    </row>
    <row r="134" spans="1:110" ht="15" hidden="1" customHeight="1" thickBot="1">
      <c r="B134" s="152" t="s">
        <v>241</v>
      </c>
      <c r="C134" s="240" t="s">
        <v>162</v>
      </c>
      <c r="D134" s="241"/>
      <c r="E134" s="239"/>
      <c r="F134" s="224">
        <f ca="1">H134+NPV(SD,I134:INDEX(I134:DC134,PAL))</f>
        <v>867683822.31458926</v>
      </c>
      <c r="G134" s="212">
        <f ca="1">SUMIF($H$5:$DC$5,"&lt;="&amp;PAL,$H134:$DC134)</f>
        <v>1539290277.0868366</v>
      </c>
      <c r="H134" s="217">
        <f ca="1">H117-H130-H131+H133</f>
        <v>-1730000</v>
      </c>
      <c r="I134" s="213">
        <f t="shared" ref="I134:BT134" ca="1" si="166">I117-I130-I131+I133</f>
        <v>-4024786.0065815868</v>
      </c>
      <c r="J134" s="213">
        <f t="shared" ca="1" si="166"/>
        <v>22265599.578948144</v>
      </c>
      <c r="K134" s="213">
        <f t="shared" ca="1" si="166"/>
        <v>28709142.279786728</v>
      </c>
      <c r="L134" s="213">
        <f t="shared" ca="1" si="166"/>
        <v>69459460.830231205</v>
      </c>
      <c r="M134" s="213">
        <f t="shared" ca="1" si="166"/>
        <v>71445631.09792158</v>
      </c>
      <c r="N134" s="213">
        <f t="shared" ca="1" si="166"/>
        <v>73519647.25253959</v>
      </c>
      <c r="O134" s="213">
        <f t="shared" ca="1" si="166"/>
        <v>75634217.724130914</v>
      </c>
      <c r="P134" s="213">
        <f t="shared" ca="1" si="166"/>
        <v>77807107.790779978</v>
      </c>
      <c r="Q134" s="213">
        <f t="shared" ca="1" si="166"/>
        <v>80039967.295455784</v>
      </c>
      <c r="R134" s="213">
        <f t="shared" ca="1" si="166"/>
        <v>82235319.556247279</v>
      </c>
      <c r="S134" s="213">
        <f t="shared" ca="1" si="166"/>
        <v>84494083.371863171</v>
      </c>
      <c r="T134" s="213">
        <f t="shared" ca="1" si="166"/>
        <v>87016400.850734755</v>
      </c>
      <c r="U134" s="213">
        <f t="shared" ca="1" si="166"/>
        <v>89407423.957391798</v>
      </c>
      <c r="V134" s="213">
        <f t="shared" ca="1" si="166"/>
        <v>92164919.281372473</v>
      </c>
      <c r="W134" s="213">
        <f t="shared" ca="1" si="166"/>
        <v>94794972.02157335</v>
      </c>
      <c r="X134" s="213">
        <f t="shared" ca="1" si="166"/>
        <v>97497937.947568864</v>
      </c>
      <c r="Y134" s="213">
        <f t="shared" ca="1" si="166"/>
        <v>100275883.00855473</v>
      </c>
      <c r="Z134" s="213">
        <f t="shared" ca="1" si="166"/>
        <v>103130932.07879148</v>
      </c>
      <c r="AA134" s="213">
        <f t="shared" ca="1" si="166"/>
        <v>106065270.6425043</v>
      </c>
      <c r="AB134" s="213">
        <f t="shared" ca="1" si="166"/>
        <v>109081146.52702267</v>
      </c>
      <c r="AC134" s="213" t="e">
        <f t="shared" ca="1" si="166"/>
        <v>#REF!</v>
      </c>
      <c r="AD134" s="213" t="e">
        <f t="shared" ca="1" si="166"/>
        <v>#REF!</v>
      </c>
      <c r="AE134" s="213" t="e">
        <f t="shared" ca="1" si="166"/>
        <v>#REF!</v>
      </c>
      <c r="AF134" s="213" t="e">
        <f t="shared" ca="1" si="166"/>
        <v>#REF!</v>
      </c>
      <c r="AG134" s="213" t="e">
        <f t="shared" ca="1" si="166"/>
        <v>#REF!</v>
      </c>
      <c r="AH134" s="213" t="e">
        <f t="shared" ca="1" si="166"/>
        <v>#REF!</v>
      </c>
      <c r="AI134" s="213" t="e">
        <f t="shared" ca="1" si="166"/>
        <v>#REF!</v>
      </c>
      <c r="AJ134" s="213" t="e">
        <f t="shared" ca="1" si="166"/>
        <v>#REF!</v>
      </c>
      <c r="AK134" s="213" t="e">
        <f t="shared" ca="1" si="166"/>
        <v>#REF!</v>
      </c>
      <c r="AL134" s="213" t="e">
        <f t="shared" ca="1" si="166"/>
        <v>#REF!</v>
      </c>
      <c r="AM134" s="213" t="e">
        <f t="shared" ca="1" si="166"/>
        <v>#REF!</v>
      </c>
      <c r="AN134" s="213" t="e">
        <f t="shared" ca="1" si="166"/>
        <v>#REF!</v>
      </c>
      <c r="AO134" s="213" t="e">
        <f t="shared" ca="1" si="166"/>
        <v>#REF!</v>
      </c>
      <c r="AP134" s="213" t="e">
        <f t="shared" ca="1" si="166"/>
        <v>#REF!</v>
      </c>
      <c r="AQ134" s="213" t="e">
        <f t="shared" ca="1" si="166"/>
        <v>#REF!</v>
      </c>
      <c r="AR134" s="213" t="e">
        <f t="shared" ca="1" si="166"/>
        <v>#REF!</v>
      </c>
      <c r="AS134" s="213" t="e">
        <f t="shared" ca="1" si="166"/>
        <v>#REF!</v>
      </c>
      <c r="AT134" s="213" t="e">
        <f t="shared" ca="1" si="166"/>
        <v>#REF!</v>
      </c>
      <c r="AU134" s="213" t="e">
        <f t="shared" ca="1" si="166"/>
        <v>#REF!</v>
      </c>
      <c r="AV134" s="213" t="e">
        <f t="shared" ca="1" si="166"/>
        <v>#REF!</v>
      </c>
      <c r="AW134" s="213" t="e">
        <f t="shared" ca="1" si="166"/>
        <v>#REF!</v>
      </c>
      <c r="AX134" s="213" t="e">
        <f t="shared" ca="1" si="166"/>
        <v>#REF!</v>
      </c>
      <c r="AY134" s="213" t="e">
        <f t="shared" ca="1" si="166"/>
        <v>#REF!</v>
      </c>
      <c r="AZ134" s="213" t="e">
        <f t="shared" ca="1" si="166"/>
        <v>#REF!</v>
      </c>
      <c r="BA134" s="213" t="e">
        <f t="shared" ca="1" si="166"/>
        <v>#REF!</v>
      </c>
      <c r="BB134" s="213" t="e">
        <f t="shared" ca="1" si="166"/>
        <v>#REF!</v>
      </c>
      <c r="BC134" s="213" t="e">
        <f t="shared" ca="1" si="166"/>
        <v>#REF!</v>
      </c>
      <c r="BD134" s="213" t="e">
        <f t="shared" ca="1" si="166"/>
        <v>#REF!</v>
      </c>
      <c r="BE134" s="213" t="e">
        <f t="shared" ca="1" si="166"/>
        <v>#REF!</v>
      </c>
      <c r="BF134" s="213" t="e">
        <f t="shared" ca="1" si="166"/>
        <v>#REF!</v>
      </c>
      <c r="BG134" s="213" t="e">
        <f t="shared" ca="1" si="166"/>
        <v>#REF!</v>
      </c>
      <c r="BH134" s="213" t="e">
        <f t="shared" ca="1" si="166"/>
        <v>#REF!</v>
      </c>
      <c r="BI134" s="213" t="e">
        <f t="shared" ca="1" si="166"/>
        <v>#REF!</v>
      </c>
      <c r="BJ134" s="213" t="e">
        <f t="shared" ca="1" si="166"/>
        <v>#REF!</v>
      </c>
      <c r="BK134" s="213" t="e">
        <f t="shared" ca="1" si="166"/>
        <v>#REF!</v>
      </c>
      <c r="BL134" s="213" t="e">
        <f t="shared" ca="1" si="166"/>
        <v>#REF!</v>
      </c>
      <c r="BM134" s="213" t="e">
        <f t="shared" ca="1" si="166"/>
        <v>#REF!</v>
      </c>
      <c r="BN134" s="213" t="e">
        <f t="shared" ca="1" si="166"/>
        <v>#REF!</v>
      </c>
      <c r="BO134" s="213" t="e">
        <f t="shared" ca="1" si="166"/>
        <v>#REF!</v>
      </c>
      <c r="BP134" s="213" t="e">
        <f t="shared" ca="1" si="166"/>
        <v>#REF!</v>
      </c>
      <c r="BQ134" s="213" t="e">
        <f t="shared" ca="1" si="166"/>
        <v>#REF!</v>
      </c>
      <c r="BR134" s="213" t="e">
        <f t="shared" ca="1" si="166"/>
        <v>#REF!</v>
      </c>
      <c r="BS134" s="213" t="e">
        <f t="shared" ca="1" si="166"/>
        <v>#REF!</v>
      </c>
      <c r="BT134" s="213" t="e">
        <f t="shared" ca="1" si="166"/>
        <v>#REF!</v>
      </c>
      <c r="BU134" s="213" t="e">
        <f t="shared" ref="BU134:DC134" ca="1" si="167">BU117-BU130-BU131+BU133</f>
        <v>#REF!</v>
      </c>
      <c r="BV134" s="213" t="e">
        <f t="shared" ca="1" si="167"/>
        <v>#REF!</v>
      </c>
      <c r="BW134" s="213" t="e">
        <f t="shared" ca="1" si="167"/>
        <v>#REF!</v>
      </c>
      <c r="BX134" s="213" t="e">
        <f t="shared" ca="1" si="167"/>
        <v>#REF!</v>
      </c>
      <c r="BY134" s="213" t="e">
        <f t="shared" ca="1" si="167"/>
        <v>#REF!</v>
      </c>
      <c r="BZ134" s="213" t="e">
        <f t="shared" ca="1" si="167"/>
        <v>#REF!</v>
      </c>
      <c r="CA134" s="213" t="e">
        <f t="shared" ca="1" si="167"/>
        <v>#REF!</v>
      </c>
      <c r="CB134" s="213" t="e">
        <f t="shared" ca="1" si="167"/>
        <v>#REF!</v>
      </c>
      <c r="CC134" s="213" t="e">
        <f t="shared" ca="1" si="167"/>
        <v>#REF!</v>
      </c>
      <c r="CD134" s="213" t="e">
        <f t="shared" ca="1" si="167"/>
        <v>#REF!</v>
      </c>
      <c r="CE134" s="213" t="e">
        <f t="shared" ca="1" si="167"/>
        <v>#REF!</v>
      </c>
      <c r="CF134" s="213" t="e">
        <f t="shared" ca="1" si="167"/>
        <v>#REF!</v>
      </c>
      <c r="CG134" s="213" t="e">
        <f t="shared" ca="1" si="167"/>
        <v>#REF!</v>
      </c>
      <c r="CH134" s="213" t="e">
        <f t="shared" ca="1" si="167"/>
        <v>#REF!</v>
      </c>
      <c r="CI134" s="213" t="e">
        <f t="shared" ca="1" si="167"/>
        <v>#REF!</v>
      </c>
      <c r="CJ134" s="213" t="e">
        <f t="shared" ca="1" si="167"/>
        <v>#REF!</v>
      </c>
      <c r="CK134" s="213" t="e">
        <f t="shared" ca="1" si="167"/>
        <v>#REF!</v>
      </c>
      <c r="CL134" s="213" t="e">
        <f t="shared" ca="1" si="167"/>
        <v>#REF!</v>
      </c>
      <c r="CM134" s="213" t="e">
        <f t="shared" ca="1" si="167"/>
        <v>#REF!</v>
      </c>
      <c r="CN134" s="213" t="e">
        <f t="shared" ca="1" si="167"/>
        <v>#REF!</v>
      </c>
      <c r="CO134" s="213" t="e">
        <f t="shared" ca="1" si="167"/>
        <v>#REF!</v>
      </c>
      <c r="CP134" s="213" t="e">
        <f t="shared" ca="1" si="167"/>
        <v>#REF!</v>
      </c>
      <c r="CQ134" s="213" t="e">
        <f t="shared" ca="1" si="167"/>
        <v>#REF!</v>
      </c>
      <c r="CR134" s="213" t="e">
        <f t="shared" ca="1" si="167"/>
        <v>#REF!</v>
      </c>
      <c r="CS134" s="213" t="e">
        <f t="shared" ca="1" si="167"/>
        <v>#REF!</v>
      </c>
      <c r="CT134" s="213" t="e">
        <f t="shared" ca="1" si="167"/>
        <v>#REF!</v>
      </c>
      <c r="CU134" s="213" t="e">
        <f t="shared" ca="1" si="167"/>
        <v>#REF!</v>
      </c>
      <c r="CV134" s="213" t="e">
        <f t="shared" ca="1" si="167"/>
        <v>#REF!</v>
      </c>
      <c r="CW134" s="213" t="e">
        <f t="shared" ca="1" si="167"/>
        <v>#REF!</v>
      </c>
      <c r="CX134" s="213" t="e">
        <f t="shared" ca="1" si="167"/>
        <v>#REF!</v>
      </c>
      <c r="CY134" s="213" t="e">
        <f t="shared" ca="1" si="167"/>
        <v>#REF!</v>
      </c>
      <c r="CZ134" s="213" t="e">
        <f t="shared" ca="1" si="167"/>
        <v>#REF!</v>
      </c>
      <c r="DA134" s="213" t="e">
        <f t="shared" ca="1" si="167"/>
        <v>#REF!</v>
      </c>
      <c r="DB134" s="213" t="e">
        <f t="shared" ca="1" si="167"/>
        <v>#REF!</v>
      </c>
      <c r="DC134" s="214" t="e">
        <f t="shared" ca="1" si="167"/>
        <v>#REF!</v>
      </c>
    </row>
    <row r="135" spans="1:110" ht="15" hidden="1" customHeight="1">
      <c r="B135" s="199" t="s">
        <v>242</v>
      </c>
      <c r="C135" s="228" t="s">
        <v>265</v>
      </c>
      <c r="D135" s="228"/>
      <c r="E135" s="228"/>
      <c r="F135" s="222">
        <f ca="1">H135+NPV(FD,I135:INDEX(I135:DC135,PAL))</f>
        <v>133444251.35367091</v>
      </c>
      <c r="G135" s="50">
        <f ca="1">SUMIF($H$5:$DC$5,"&lt;="&amp;PAL,$H135:$DC135)</f>
        <v>198594640.95093948</v>
      </c>
      <c r="H135" s="249">
        <f ca="1">H$7-H$112</f>
        <v>1708000</v>
      </c>
      <c r="I135" s="242">
        <f t="shared" ref="I135:BT135" ca="1" si="168">I$7-I$112</f>
        <v>4892303.081581587</v>
      </c>
      <c r="J135" s="242">
        <f t="shared" ca="1" si="168"/>
        <v>7497111.0040018354</v>
      </c>
      <c r="K135" s="242">
        <f t="shared" ca="1" si="168"/>
        <v>10775045.98287791</v>
      </c>
      <c r="L135" s="242">
        <f t="shared" ca="1" si="168"/>
        <v>10182652.594448159</v>
      </c>
      <c r="M135" s="242">
        <f t="shared" ca="1" si="168"/>
        <v>10199181.520067994</v>
      </c>
      <c r="N135" s="242">
        <f t="shared" ca="1" si="168"/>
        <v>10183020.3630432</v>
      </c>
      <c r="O135" s="242">
        <f t="shared" ca="1" si="168"/>
        <v>10183020.3630432</v>
      </c>
      <c r="P135" s="242">
        <f t="shared" ca="1" si="168"/>
        <v>10183020.3630432</v>
      </c>
      <c r="Q135" s="242">
        <f t="shared" ca="1" si="168"/>
        <v>10183020.3630432</v>
      </c>
      <c r="R135" s="242">
        <f t="shared" ca="1" si="168"/>
        <v>10282193.916762209</v>
      </c>
      <c r="S135" s="242">
        <f t="shared" ca="1" si="168"/>
        <v>10381367.470481217</v>
      </c>
      <c r="T135" s="242">
        <f t="shared" ca="1" si="168"/>
        <v>10282193.916762209</v>
      </c>
      <c r="U135" s="242">
        <f t="shared" ca="1" si="168"/>
        <v>10381367.470481217</v>
      </c>
      <c r="V135" s="242">
        <f t="shared" ca="1" si="168"/>
        <v>10183020.3630432</v>
      </c>
      <c r="W135" s="242">
        <f t="shared" ca="1" si="168"/>
        <v>10183020.3630432</v>
      </c>
      <c r="X135" s="242">
        <f t="shared" ca="1" si="168"/>
        <v>10183020.3630432</v>
      </c>
      <c r="Y135" s="242">
        <f t="shared" ca="1" si="168"/>
        <v>10183020.3630432</v>
      </c>
      <c r="Z135" s="242">
        <f t="shared" ca="1" si="168"/>
        <v>10183020.3630432</v>
      </c>
      <c r="AA135" s="242">
        <f t="shared" ca="1" si="168"/>
        <v>10183020.3630432</v>
      </c>
      <c r="AB135" s="242">
        <f t="shared" ca="1" si="168"/>
        <v>10183020.3630432</v>
      </c>
      <c r="AC135" s="242">
        <f t="shared" ca="1" si="168"/>
        <v>2329431.8160736002</v>
      </c>
      <c r="AD135" s="242">
        <f t="shared" ca="1" si="168"/>
        <v>2329431.8160736002</v>
      </c>
      <c r="AE135" s="242">
        <f t="shared" ca="1" si="168"/>
        <v>2329431.8160736002</v>
      </c>
      <c r="AF135" s="242">
        <f t="shared" ca="1" si="168"/>
        <v>2329431.8160736002</v>
      </c>
      <c r="AG135" s="242">
        <f t="shared" ca="1" si="168"/>
        <v>2329431.8160736002</v>
      </c>
      <c r="AH135" s="242">
        <f t="shared" ca="1" si="168"/>
        <v>2329431.8160736002</v>
      </c>
      <c r="AI135" s="242">
        <f t="shared" ca="1" si="168"/>
        <v>2329431.8160736002</v>
      </c>
      <c r="AJ135" s="242">
        <f t="shared" ca="1" si="168"/>
        <v>2329431.8160736002</v>
      </c>
      <c r="AK135" s="242">
        <f t="shared" ca="1" si="168"/>
        <v>2329431.8160736002</v>
      </c>
      <c r="AL135" s="242">
        <f t="shared" ca="1" si="168"/>
        <v>2329431.8160736002</v>
      </c>
      <c r="AM135" s="242">
        <f t="shared" ca="1" si="168"/>
        <v>2329431.8160736002</v>
      </c>
      <c r="AN135" s="242">
        <f t="shared" ca="1" si="168"/>
        <v>2329431.8160736002</v>
      </c>
      <c r="AO135" s="242">
        <f t="shared" ca="1" si="168"/>
        <v>2329431.8160736002</v>
      </c>
      <c r="AP135" s="242">
        <f t="shared" ca="1" si="168"/>
        <v>2329431.8160736002</v>
      </c>
      <c r="AQ135" s="242">
        <f t="shared" ca="1" si="168"/>
        <v>2329431.8160736002</v>
      </c>
      <c r="AR135" s="242">
        <f t="shared" ca="1" si="168"/>
        <v>2329431.8160736002</v>
      </c>
      <c r="AS135" s="242">
        <f t="shared" ca="1" si="168"/>
        <v>2329431.8160736002</v>
      </c>
      <c r="AT135" s="242">
        <f t="shared" ca="1" si="168"/>
        <v>2329431.8160736002</v>
      </c>
      <c r="AU135" s="242">
        <f t="shared" ca="1" si="168"/>
        <v>2329431.8160736002</v>
      </c>
      <c r="AV135" s="242">
        <f t="shared" ca="1" si="168"/>
        <v>2329431.8160736002</v>
      </c>
      <c r="AW135" s="242">
        <f t="shared" ca="1" si="168"/>
        <v>2329431.8160736002</v>
      </c>
      <c r="AX135" s="242">
        <f t="shared" ca="1" si="168"/>
        <v>2329431.8160736002</v>
      </c>
      <c r="AY135" s="242">
        <f t="shared" ca="1" si="168"/>
        <v>2329431.8160736002</v>
      </c>
      <c r="AZ135" s="242">
        <f t="shared" ca="1" si="168"/>
        <v>2329431.8160736002</v>
      </c>
      <c r="BA135" s="242">
        <f t="shared" ca="1" si="168"/>
        <v>2329431.8160736002</v>
      </c>
      <c r="BB135" s="242">
        <f t="shared" ca="1" si="168"/>
        <v>2329431.8160736002</v>
      </c>
      <c r="BC135" s="242">
        <f t="shared" ca="1" si="168"/>
        <v>2329431.8160736002</v>
      </c>
      <c r="BD135" s="242">
        <f t="shared" ca="1" si="168"/>
        <v>2329431.8160736002</v>
      </c>
      <c r="BE135" s="242">
        <f t="shared" ca="1" si="168"/>
        <v>2329431.8160736002</v>
      </c>
      <c r="BF135" s="242">
        <f t="shared" ca="1" si="168"/>
        <v>2329431.8160736002</v>
      </c>
      <c r="BG135" s="242">
        <f t="shared" ca="1" si="168"/>
        <v>2329431.8160736002</v>
      </c>
      <c r="BH135" s="242">
        <f t="shared" ca="1" si="168"/>
        <v>2329431.8160736002</v>
      </c>
      <c r="BI135" s="242">
        <f t="shared" ca="1" si="168"/>
        <v>2329431.8160736002</v>
      </c>
      <c r="BJ135" s="242">
        <f t="shared" ca="1" si="168"/>
        <v>2329431.8160736002</v>
      </c>
      <c r="BK135" s="242">
        <f t="shared" ca="1" si="168"/>
        <v>2329431.8160736002</v>
      </c>
      <c r="BL135" s="242">
        <f t="shared" ca="1" si="168"/>
        <v>2329431.8160736002</v>
      </c>
      <c r="BM135" s="242">
        <f t="shared" ca="1" si="168"/>
        <v>2329431.8160736002</v>
      </c>
      <c r="BN135" s="242">
        <f t="shared" ca="1" si="168"/>
        <v>2329431.8160736002</v>
      </c>
      <c r="BO135" s="242">
        <f t="shared" ca="1" si="168"/>
        <v>2329431.8160736002</v>
      </c>
      <c r="BP135" s="242">
        <f t="shared" ca="1" si="168"/>
        <v>2329431.8160736002</v>
      </c>
      <c r="BQ135" s="242">
        <f t="shared" ca="1" si="168"/>
        <v>2329431.8160736002</v>
      </c>
      <c r="BR135" s="242">
        <f t="shared" ca="1" si="168"/>
        <v>2329431.8160736002</v>
      </c>
      <c r="BS135" s="242">
        <f t="shared" ca="1" si="168"/>
        <v>2329431.8160736002</v>
      </c>
      <c r="BT135" s="242">
        <f t="shared" ca="1" si="168"/>
        <v>2329431.8160736002</v>
      </c>
      <c r="BU135" s="242">
        <f t="shared" ref="BU135:DC135" ca="1" si="169">BU$7-BU$112</f>
        <v>2329431.8160736002</v>
      </c>
      <c r="BV135" s="242">
        <f t="shared" ca="1" si="169"/>
        <v>2329431.8160736002</v>
      </c>
      <c r="BW135" s="242">
        <f t="shared" ca="1" si="169"/>
        <v>2329431.8160736002</v>
      </c>
      <c r="BX135" s="242">
        <f t="shared" ca="1" si="169"/>
        <v>2329431.8160736002</v>
      </c>
      <c r="BY135" s="242">
        <f t="shared" ca="1" si="169"/>
        <v>2329431.8160736002</v>
      </c>
      <c r="BZ135" s="242">
        <f t="shared" ca="1" si="169"/>
        <v>2329431.8160736002</v>
      </c>
      <c r="CA135" s="242">
        <f t="shared" ca="1" si="169"/>
        <v>2329431.8160736002</v>
      </c>
      <c r="CB135" s="242">
        <f t="shared" ca="1" si="169"/>
        <v>2329431.8160736002</v>
      </c>
      <c r="CC135" s="242">
        <f t="shared" ca="1" si="169"/>
        <v>2329431.8160736002</v>
      </c>
      <c r="CD135" s="242">
        <f t="shared" ca="1" si="169"/>
        <v>2329431.8160736002</v>
      </c>
      <c r="CE135" s="242">
        <f t="shared" ca="1" si="169"/>
        <v>2329431.8160736002</v>
      </c>
      <c r="CF135" s="242">
        <f t="shared" ca="1" si="169"/>
        <v>2329431.8160736002</v>
      </c>
      <c r="CG135" s="242">
        <f t="shared" ca="1" si="169"/>
        <v>2329431.8160736002</v>
      </c>
      <c r="CH135" s="242">
        <f t="shared" ca="1" si="169"/>
        <v>2329431.8160736002</v>
      </c>
      <c r="CI135" s="242">
        <f t="shared" ca="1" si="169"/>
        <v>2329431.8160736002</v>
      </c>
      <c r="CJ135" s="242">
        <f t="shared" ca="1" si="169"/>
        <v>2329431.8160736002</v>
      </c>
      <c r="CK135" s="242">
        <f t="shared" ca="1" si="169"/>
        <v>2329431.8160736002</v>
      </c>
      <c r="CL135" s="242">
        <f t="shared" ca="1" si="169"/>
        <v>2329431.8160736002</v>
      </c>
      <c r="CM135" s="242">
        <f t="shared" ca="1" si="169"/>
        <v>2329431.8160736002</v>
      </c>
      <c r="CN135" s="242">
        <f t="shared" ca="1" si="169"/>
        <v>2329431.8160736002</v>
      </c>
      <c r="CO135" s="242">
        <f t="shared" ca="1" si="169"/>
        <v>2329431.8160736002</v>
      </c>
      <c r="CP135" s="242">
        <f t="shared" ca="1" si="169"/>
        <v>2329431.8160736002</v>
      </c>
      <c r="CQ135" s="242">
        <f t="shared" ca="1" si="169"/>
        <v>2329431.8160736002</v>
      </c>
      <c r="CR135" s="242">
        <f t="shared" ca="1" si="169"/>
        <v>2329431.8160736002</v>
      </c>
      <c r="CS135" s="242">
        <f t="shared" ca="1" si="169"/>
        <v>2329431.8160736002</v>
      </c>
      <c r="CT135" s="242">
        <f t="shared" ca="1" si="169"/>
        <v>2329431.8160736002</v>
      </c>
      <c r="CU135" s="242">
        <f t="shared" ca="1" si="169"/>
        <v>2329431.8160736002</v>
      </c>
      <c r="CV135" s="242">
        <f t="shared" ca="1" si="169"/>
        <v>2329431.8160736002</v>
      </c>
      <c r="CW135" s="242">
        <f t="shared" ca="1" si="169"/>
        <v>2329431.8160736002</v>
      </c>
      <c r="CX135" s="242">
        <f t="shared" ca="1" si="169"/>
        <v>2329431.8160736002</v>
      </c>
      <c r="CY135" s="242">
        <f t="shared" ca="1" si="169"/>
        <v>2329431.8160736002</v>
      </c>
      <c r="CZ135" s="242">
        <f t="shared" ca="1" si="169"/>
        <v>2329431.8160736002</v>
      </c>
      <c r="DA135" s="242">
        <f t="shared" ca="1" si="169"/>
        <v>2329431.8160736002</v>
      </c>
      <c r="DB135" s="242">
        <f t="shared" ca="1" si="169"/>
        <v>2329431.8160736002</v>
      </c>
      <c r="DC135" s="243">
        <f t="shared" ca="1" si="169"/>
        <v>2329431.8160736002</v>
      </c>
    </row>
    <row r="136" spans="1:110" ht="15" hidden="1" customHeight="1">
      <c r="B136" s="151" t="s">
        <v>243</v>
      </c>
      <c r="C136" s="236" t="s">
        <v>266</v>
      </c>
      <c r="D136" s="236"/>
      <c r="E136" s="236"/>
      <c r="F136" s="224">
        <f ca="1">H136+NPV(FD,I136:INDEX(I136:DC136,PAL))</f>
        <v>70619668.107303977</v>
      </c>
      <c r="G136" s="212">
        <f ca="1">SUMIF($H$5:$DC$5,"&lt;="&amp;PAL,$H136:$DC136)</f>
        <v>108392500</v>
      </c>
      <c r="H136" s="229">
        <f ca="1">SUMPRODUCT(H$95:H$99,100/($DG$95:$DG$99+100))-SUMPRODUCT(H$106:H$110,100/($DG$106:$DG$110+100))</f>
        <v>0</v>
      </c>
      <c r="I136" s="14">
        <f t="shared" ref="I136:BT136" ca="1" si="170">SUMPRODUCT(I$95:I$99,100/($DG$95:$DG$99+100))-SUMPRODUCT(I$106:I$110,100/($DG$106:$DG$110+100))</f>
        <v>0</v>
      </c>
      <c r="J136" s="14">
        <f t="shared" ca="1" si="170"/>
        <v>2580500</v>
      </c>
      <c r="K136" s="14">
        <f t="shared" ca="1" si="170"/>
        <v>3628400</v>
      </c>
      <c r="L136" s="14">
        <f t="shared" ca="1" si="170"/>
        <v>6010800</v>
      </c>
      <c r="M136" s="14">
        <f t="shared" ca="1" si="170"/>
        <v>6010800</v>
      </c>
      <c r="N136" s="14">
        <f t="shared" ca="1" si="170"/>
        <v>6010800</v>
      </c>
      <c r="O136" s="14">
        <f t="shared" ca="1" si="170"/>
        <v>6010800</v>
      </c>
      <c r="P136" s="14">
        <f t="shared" ca="1" si="170"/>
        <v>6010800</v>
      </c>
      <c r="Q136" s="14">
        <f t="shared" ca="1" si="170"/>
        <v>6010800</v>
      </c>
      <c r="R136" s="14">
        <f t="shared" ca="1" si="170"/>
        <v>6010800</v>
      </c>
      <c r="S136" s="14">
        <f t="shared" ca="1" si="170"/>
        <v>6010800</v>
      </c>
      <c r="T136" s="14">
        <f t="shared" ca="1" si="170"/>
        <v>6010800</v>
      </c>
      <c r="U136" s="14">
        <f t="shared" ca="1" si="170"/>
        <v>6010800</v>
      </c>
      <c r="V136" s="14">
        <f t="shared" ca="1" si="170"/>
        <v>6010800</v>
      </c>
      <c r="W136" s="14">
        <f t="shared" ca="1" si="170"/>
        <v>6010800</v>
      </c>
      <c r="X136" s="14">
        <f t="shared" ca="1" si="170"/>
        <v>6010800</v>
      </c>
      <c r="Y136" s="14">
        <f t="shared" ca="1" si="170"/>
        <v>6010800</v>
      </c>
      <c r="Z136" s="14">
        <f t="shared" ca="1" si="170"/>
        <v>6010800</v>
      </c>
      <c r="AA136" s="14">
        <f t="shared" ca="1" si="170"/>
        <v>6010800</v>
      </c>
      <c r="AB136" s="14">
        <f t="shared" ca="1" si="170"/>
        <v>6010800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30">
        <f t="shared" ca="1" si="171"/>
        <v>0</v>
      </c>
    </row>
    <row r="137" spans="1:110" ht="15" hidden="1" customHeight="1">
      <c r="B137" s="151" t="s">
        <v>281</v>
      </c>
      <c r="C137" s="236" t="s">
        <v>282</v>
      </c>
      <c r="D137" s="236"/>
      <c r="E137" s="236"/>
      <c r="F137" s="224">
        <f ca="1">H137+NPV(FD,I137:INDEX(I137:DC137,PAL))</f>
        <v>0</v>
      </c>
      <c r="G137" s="212">
        <f ca="1">SUMIF($H$5:$DC$5,"&lt;="&amp;PAL,$H137:$DC137)</f>
        <v>0</v>
      </c>
      <c r="H137" s="229">
        <f ca="1">SUMPRODUCT(H$106:H$110,100*$D$106:$D$110,1/($DG$106:$DG$110+100),$DH$106:$DH$110)</f>
        <v>0</v>
      </c>
      <c r="I137" s="41">
        <f t="shared" ref="I137:BT137" ca="1" si="172">SUMPRODUCT(I$106:I$110,100*$D$106:$D$110,1/($DG$106:$DG$110+100),$DH$106:$DH$110)</f>
        <v>0</v>
      </c>
      <c r="J137" s="41">
        <f t="shared" ca="1" si="172"/>
        <v>0</v>
      </c>
      <c r="K137" s="41">
        <f t="shared" ca="1" si="172"/>
        <v>0</v>
      </c>
      <c r="L137" s="41">
        <f t="shared" ca="1" si="172"/>
        <v>0</v>
      </c>
      <c r="M137" s="41">
        <f t="shared" ca="1" si="172"/>
        <v>0</v>
      </c>
      <c r="N137" s="41">
        <f t="shared" ca="1" si="172"/>
        <v>0</v>
      </c>
      <c r="O137" s="41">
        <f t="shared" ca="1" si="172"/>
        <v>0</v>
      </c>
      <c r="P137" s="41">
        <f t="shared" ca="1" si="172"/>
        <v>0</v>
      </c>
      <c r="Q137" s="41">
        <f t="shared" ca="1" si="172"/>
        <v>0</v>
      </c>
      <c r="R137" s="41">
        <f t="shared" ca="1" si="172"/>
        <v>0</v>
      </c>
      <c r="S137" s="41">
        <f t="shared" ca="1" si="172"/>
        <v>0</v>
      </c>
      <c r="T137" s="41">
        <f t="shared" ca="1" si="172"/>
        <v>0</v>
      </c>
      <c r="U137" s="41">
        <f t="shared" ca="1" si="172"/>
        <v>0</v>
      </c>
      <c r="V137" s="41">
        <f t="shared" ca="1" si="172"/>
        <v>0</v>
      </c>
      <c r="W137" s="41">
        <f t="shared" ca="1" si="172"/>
        <v>0</v>
      </c>
      <c r="X137" s="41">
        <f t="shared" ca="1" si="172"/>
        <v>0</v>
      </c>
      <c r="Y137" s="41">
        <f t="shared" ca="1" si="172"/>
        <v>0</v>
      </c>
      <c r="Z137" s="41">
        <f t="shared" ca="1" si="172"/>
        <v>0</v>
      </c>
      <c r="AA137" s="41">
        <f t="shared" ca="1" si="172"/>
        <v>0</v>
      </c>
      <c r="AB137" s="41">
        <f t="shared" ca="1" si="172"/>
        <v>0</v>
      </c>
      <c r="AC137" s="41">
        <f t="shared" ca="1" si="172"/>
        <v>0</v>
      </c>
      <c r="AD137" s="41">
        <f t="shared" ca="1" si="172"/>
        <v>0</v>
      </c>
      <c r="AE137" s="41">
        <f t="shared" ca="1" si="172"/>
        <v>0</v>
      </c>
      <c r="AF137" s="41">
        <f t="shared" ca="1" si="172"/>
        <v>0</v>
      </c>
      <c r="AG137" s="41">
        <f t="shared" ca="1" si="172"/>
        <v>0</v>
      </c>
      <c r="AH137" s="41">
        <f t="shared" ca="1" si="172"/>
        <v>0</v>
      </c>
      <c r="AI137" s="41">
        <f t="shared" ca="1" si="172"/>
        <v>0</v>
      </c>
      <c r="AJ137" s="41">
        <f t="shared" ca="1" si="172"/>
        <v>0</v>
      </c>
      <c r="AK137" s="41">
        <f t="shared" ca="1" si="172"/>
        <v>0</v>
      </c>
      <c r="AL137" s="41">
        <f t="shared" ca="1" si="172"/>
        <v>0</v>
      </c>
      <c r="AM137" s="41">
        <f t="shared" ca="1" si="172"/>
        <v>0</v>
      </c>
      <c r="AN137" s="41">
        <f t="shared" ca="1" si="172"/>
        <v>0</v>
      </c>
      <c r="AO137" s="41">
        <f t="shared" ca="1" si="172"/>
        <v>0</v>
      </c>
      <c r="AP137" s="41">
        <f t="shared" ca="1" si="172"/>
        <v>0</v>
      </c>
      <c r="AQ137" s="41">
        <f t="shared" ca="1" si="172"/>
        <v>0</v>
      </c>
      <c r="AR137" s="41">
        <f t="shared" ca="1" si="172"/>
        <v>0</v>
      </c>
      <c r="AS137" s="41">
        <f t="shared" ca="1" si="172"/>
        <v>0</v>
      </c>
      <c r="AT137" s="41">
        <f t="shared" ca="1" si="172"/>
        <v>0</v>
      </c>
      <c r="AU137" s="41">
        <f t="shared" ca="1" si="172"/>
        <v>0</v>
      </c>
      <c r="AV137" s="41">
        <f t="shared" ca="1" si="172"/>
        <v>0</v>
      </c>
      <c r="AW137" s="41">
        <f t="shared" ca="1" si="172"/>
        <v>0</v>
      </c>
      <c r="AX137" s="41">
        <f t="shared" ca="1" si="172"/>
        <v>0</v>
      </c>
      <c r="AY137" s="41">
        <f t="shared" ca="1" si="172"/>
        <v>0</v>
      </c>
      <c r="AZ137" s="41">
        <f t="shared" ca="1" si="172"/>
        <v>0</v>
      </c>
      <c r="BA137" s="41">
        <f t="shared" ca="1" si="172"/>
        <v>0</v>
      </c>
      <c r="BB137" s="41">
        <f t="shared" ca="1" si="172"/>
        <v>0</v>
      </c>
      <c r="BC137" s="41">
        <f t="shared" ca="1" si="172"/>
        <v>0</v>
      </c>
      <c r="BD137" s="41">
        <f t="shared" ca="1" si="172"/>
        <v>0</v>
      </c>
      <c r="BE137" s="41">
        <f t="shared" ca="1" si="172"/>
        <v>0</v>
      </c>
      <c r="BF137" s="41">
        <f t="shared" ca="1" si="172"/>
        <v>0</v>
      </c>
      <c r="BG137" s="41">
        <f t="shared" ca="1" si="172"/>
        <v>0</v>
      </c>
      <c r="BH137" s="41">
        <f t="shared" ca="1" si="172"/>
        <v>0</v>
      </c>
      <c r="BI137" s="41">
        <f t="shared" ca="1" si="172"/>
        <v>0</v>
      </c>
      <c r="BJ137" s="41">
        <f t="shared" ca="1" si="172"/>
        <v>0</v>
      </c>
      <c r="BK137" s="41">
        <f t="shared" ca="1" si="172"/>
        <v>0</v>
      </c>
      <c r="BL137" s="41">
        <f t="shared" ca="1" si="172"/>
        <v>0</v>
      </c>
      <c r="BM137" s="41">
        <f t="shared" ca="1" si="172"/>
        <v>0</v>
      </c>
      <c r="BN137" s="41">
        <f t="shared" ca="1" si="172"/>
        <v>0</v>
      </c>
      <c r="BO137" s="41">
        <f t="shared" ca="1" si="172"/>
        <v>0</v>
      </c>
      <c r="BP137" s="41">
        <f t="shared" ca="1" si="172"/>
        <v>0</v>
      </c>
      <c r="BQ137" s="41">
        <f t="shared" ca="1" si="172"/>
        <v>0</v>
      </c>
      <c r="BR137" s="41">
        <f t="shared" ca="1" si="172"/>
        <v>0</v>
      </c>
      <c r="BS137" s="41">
        <f t="shared" ca="1" si="172"/>
        <v>0</v>
      </c>
      <c r="BT137" s="41">
        <f t="shared" ca="1" si="172"/>
        <v>0</v>
      </c>
      <c r="BU137" s="41">
        <f t="shared" ref="BU137:DC137" ca="1" si="173">SUMPRODUCT(BU$106:BU$110,100*$D$106:$D$110,1/($DG$106:$DG$110+100),$DH$106:$DH$110)</f>
        <v>0</v>
      </c>
      <c r="BV137" s="41">
        <f t="shared" ca="1" si="173"/>
        <v>0</v>
      </c>
      <c r="BW137" s="41">
        <f t="shared" ca="1" si="173"/>
        <v>0</v>
      </c>
      <c r="BX137" s="41">
        <f t="shared" ca="1" si="173"/>
        <v>0</v>
      </c>
      <c r="BY137" s="41">
        <f t="shared" ca="1" si="173"/>
        <v>0</v>
      </c>
      <c r="BZ137" s="41">
        <f t="shared" ca="1" si="173"/>
        <v>0</v>
      </c>
      <c r="CA137" s="41">
        <f t="shared" ca="1" si="173"/>
        <v>0</v>
      </c>
      <c r="CB137" s="41">
        <f t="shared" ca="1" si="173"/>
        <v>0</v>
      </c>
      <c r="CC137" s="41">
        <f t="shared" ca="1" si="173"/>
        <v>0</v>
      </c>
      <c r="CD137" s="41">
        <f t="shared" ca="1" si="173"/>
        <v>0</v>
      </c>
      <c r="CE137" s="41">
        <f t="shared" ca="1" si="173"/>
        <v>0</v>
      </c>
      <c r="CF137" s="41">
        <f t="shared" ca="1" si="173"/>
        <v>0</v>
      </c>
      <c r="CG137" s="41">
        <f t="shared" ca="1" si="173"/>
        <v>0</v>
      </c>
      <c r="CH137" s="41">
        <f t="shared" ca="1" si="173"/>
        <v>0</v>
      </c>
      <c r="CI137" s="41">
        <f t="shared" ca="1" si="173"/>
        <v>0</v>
      </c>
      <c r="CJ137" s="41">
        <f t="shared" ca="1" si="173"/>
        <v>0</v>
      </c>
      <c r="CK137" s="41">
        <f t="shared" ca="1" si="173"/>
        <v>0</v>
      </c>
      <c r="CL137" s="41">
        <f t="shared" ca="1" si="173"/>
        <v>0</v>
      </c>
      <c r="CM137" s="41">
        <f t="shared" ca="1" si="173"/>
        <v>0</v>
      </c>
      <c r="CN137" s="41">
        <f t="shared" ca="1" si="173"/>
        <v>0</v>
      </c>
      <c r="CO137" s="41">
        <f t="shared" ca="1" si="173"/>
        <v>0</v>
      </c>
      <c r="CP137" s="41">
        <f t="shared" ca="1" si="173"/>
        <v>0</v>
      </c>
      <c r="CQ137" s="41">
        <f t="shared" ca="1" si="173"/>
        <v>0</v>
      </c>
      <c r="CR137" s="41">
        <f t="shared" ca="1" si="173"/>
        <v>0</v>
      </c>
      <c r="CS137" s="41">
        <f t="shared" ca="1" si="173"/>
        <v>0</v>
      </c>
      <c r="CT137" s="41">
        <f t="shared" ca="1" si="173"/>
        <v>0</v>
      </c>
      <c r="CU137" s="41">
        <f t="shared" ca="1" si="173"/>
        <v>0</v>
      </c>
      <c r="CV137" s="41">
        <f t="shared" ca="1" si="173"/>
        <v>0</v>
      </c>
      <c r="CW137" s="41">
        <f t="shared" ca="1" si="173"/>
        <v>0</v>
      </c>
      <c r="CX137" s="41">
        <f t="shared" ca="1" si="173"/>
        <v>0</v>
      </c>
      <c r="CY137" s="41">
        <f t="shared" ca="1" si="173"/>
        <v>0</v>
      </c>
      <c r="CZ137" s="41">
        <f t="shared" ca="1" si="173"/>
        <v>0</v>
      </c>
      <c r="DA137" s="41">
        <f t="shared" ca="1" si="173"/>
        <v>0</v>
      </c>
      <c r="DB137" s="41">
        <f t="shared" ca="1" si="173"/>
        <v>0</v>
      </c>
      <c r="DC137" s="250">
        <f t="shared" ca="1" si="173"/>
        <v>0</v>
      </c>
    </row>
    <row r="138" spans="1:110" ht="15" hidden="1" customHeight="1" thickBot="1">
      <c r="B138" s="244" t="s">
        <v>396</v>
      </c>
      <c r="C138" s="246" t="s">
        <v>397</v>
      </c>
      <c r="D138" s="245"/>
      <c r="E138" s="245"/>
      <c r="F138" s="247">
        <f ca="1">H138+NPV(FD,I138:INDEX(I138:DC138,PAL))</f>
        <v>-62824583.246366918</v>
      </c>
      <c r="G138" s="248">
        <f ca="1">SUMIF($H$5:$DC$5,"&lt;="&amp;PAL,$H138:$DC138)</f>
        <v>-90202140.950939581</v>
      </c>
      <c r="H138" s="225">
        <f ca="1">-H135+H136+H137</f>
        <v>-1708000</v>
      </c>
      <c r="I138" s="217">
        <f t="shared" ref="I138:BT138" ca="1" si="174">-I135+I136+I137</f>
        <v>-4892303.081581587</v>
      </c>
      <c r="J138" s="217">
        <f t="shared" ca="1" si="174"/>
        <v>-4916611.0040018354</v>
      </c>
      <c r="K138" s="217">
        <f t="shared" ca="1" si="174"/>
        <v>-7146645.9828779101</v>
      </c>
      <c r="L138" s="217">
        <f t="shared" ca="1" si="174"/>
        <v>-4171852.5944481585</v>
      </c>
      <c r="M138" s="217">
        <f t="shared" ca="1" si="174"/>
        <v>-4188381.5200679936</v>
      </c>
      <c r="N138" s="217">
        <f t="shared" ca="1" si="174"/>
        <v>-4172220.3630432002</v>
      </c>
      <c r="O138" s="217">
        <f t="shared" ca="1" si="174"/>
        <v>-4172220.3630432002</v>
      </c>
      <c r="P138" s="217">
        <f t="shared" ca="1" si="174"/>
        <v>-4172220.3630432002</v>
      </c>
      <c r="Q138" s="217">
        <f t="shared" ca="1" si="174"/>
        <v>-4172220.3630432002</v>
      </c>
      <c r="R138" s="217">
        <f t="shared" ca="1" si="174"/>
        <v>-4271393.9167622086</v>
      </c>
      <c r="S138" s="217">
        <f t="shared" ca="1" si="174"/>
        <v>-4370567.4704812169</v>
      </c>
      <c r="T138" s="217">
        <f t="shared" ca="1" si="174"/>
        <v>-4271393.9167622086</v>
      </c>
      <c r="U138" s="217">
        <f t="shared" ca="1" si="174"/>
        <v>-4370567.4704812169</v>
      </c>
      <c r="V138" s="217">
        <f t="shared" ca="1" si="174"/>
        <v>-4172220.3630432002</v>
      </c>
      <c r="W138" s="217">
        <f t="shared" ca="1" si="174"/>
        <v>-4172220.3630432002</v>
      </c>
      <c r="X138" s="217">
        <f t="shared" ca="1" si="174"/>
        <v>-4172220.3630432002</v>
      </c>
      <c r="Y138" s="217">
        <f t="shared" ca="1" si="174"/>
        <v>-4172220.3630432002</v>
      </c>
      <c r="Z138" s="217">
        <f t="shared" ca="1" si="174"/>
        <v>-4172220.3630432002</v>
      </c>
      <c r="AA138" s="217">
        <f t="shared" ca="1" si="174"/>
        <v>-4172220.3630432002</v>
      </c>
      <c r="AB138" s="217">
        <f t="shared" ca="1" si="174"/>
        <v>-4172220.3630432002</v>
      </c>
      <c r="AC138" s="217">
        <f t="shared" ca="1" si="174"/>
        <v>-2329431.8160736002</v>
      </c>
      <c r="AD138" s="217">
        <f t="shared" ca="1" si="174"/>
        <v>-2329431.8160736002</v>
      </c>
      <c r="AE138" s="217">
        <f t="shared" ca="1" si="174"/>
        <v>-2329431.8160736002</v>
      </c>
      <c r="AF138" s="217">
        <f t="shared" ca="1" si="174"/>
        <v>-2329431.8160736002</v>
      </c>
      <c r="AG138" s="217">
        <f t="shared" ca="1" si="174"/>
        <v>-2329431.8160736002</v>
      </c>
      <c r="AH138" s="217">
        <f t="shared" ca="1" si="174"/>
        <v>-2329431.8160736002</v>
      </c>
      <c r="AI138" s="217">
        <f t="shared" ca="1" si="174"/>
        <v>-2329431.8160736002</v>
      </c>
      <c r="AJ138" s="217">
        <f t="shared" ca="1" si="174"/>
        <v>-2329431.8160736002</v>
      </c>
      <c r="AK138" s="217">
        <f t="shared" ca="1" si="174"/>
        <v>-2329431.8160736002</v>
      </c>
      <c r="AL138" s="217">
        <f t="shared" ca="1" si="174"/>
        <v>-2329431.8160736002</v>
      </c>
      <c r="AM138" s="217">
        <f t="shared" ca="1" si="174"/>
        <v>-2329431.8160736002</v>
      </c>
      <c r="AN138" s="217">
        <f t="shared" ca="1" si="174"/>
        <v>-2329431.8160736002</v>
      </c>
      <c r="AO138" s="217">
        <f t="shared" ca="1" si="174"/>
        <v>-2329431.8160736002</v>
      </c>
      <c r="AP138" s="217">
        <f t="shared" ca="1" si="174"/>
        <v>-2329431.8160736002</v>
      </c>
      <c r="AQ138" s="217">
        <f t="shared" ca="1" si="174"/>
        <v>-2329431.8160736002</v>
      </c>
      <c r="AR138" s="217">
        <f t="shared" ca="1" si="174"/>
        <v>-2329431.8160736002</v>
      </c>
      <c r="AS138" s="217">
        <f t="shared" ca="1" si="174"/>
        <v>-2329431.8160736002</v>
      </c>
      <c r="AT138" s="217">
        <f t="shared" ca="1" si="174"/>
        <v>-2329431.8160736002</v>
      </c>
      <c r="AU138" s="217">
        <f t="shared" ca="1" si="174"/>
        <v>-2329431.8160736002</v>
      </c>
      <c r="AV138" s="217">
        <f t="shared" ca="1" si="174"/>
        <v>-2329431.8160736002</v>
      </c>
      <c r="AW138" s="217">
        <f t="shared" ca="1" si="174"/>
        <v>-2329431.8160736002</v>
      </c>
      <c r="AX138" s="217">
        <f t="shared" ca="1" si="174"/>
        <v>-2329431.8160736002</v>
      </c>
      <c r="AY138" s="217">
        <f t="shared" ca="1" si="174"/>
        <v>-2329431.8160736002</v>
      </c>
      <c r="AZ138" s="217">
        <f t="shared" ca="1" si="174"/>
        <v>-2329431.8160736002</v>
      </c>
      <c r="BA138" s="217">
        <f t="shared" ca="1" si="174"/>
        <v>-2329431.8160736002</v>
      </c>
      <c r="BB138" s="217">
        <f t="shared" ca="1" si="174"/>
        <v>-2329431.8160736002</v>
      </c>
      <c r="BC138" s="217">
        <f t="shared" ca="1" si="174"/>
        <v>-2329431.8160736002</v>
      </c>
      <c r="BD138" s="217">
        <f t="shared" ca="1" si="174"/>
        <v>-2329431.8160736002</v>
      </c>
      <c r="BE138" s="217">
        <f t="shared" ca="1" si="174"/>
        <v>-2329431.8160736002</v>
      </c>
      <c r="BF138" s="217">
        <f t="shared" ca="1" si="174"/>
        <v>-2329431.8160736002</v>
      </c>
      <c r="BG138" s="217">
        <f t="shared" ca="1" si="174"/>
        <v>-2329431.8160736002</v>
      </c>
      <c r="BH138" s="217">
        <f t="shared" ca="1" si="174"/>
        <v>-2329431.8160736002</v>
      </c>
      <c r="BI138" s="217">
        <f t="shared" ca="1" si="174"/>
        <v>-2329431.8160736002</v>
      </c>
      <c r="BJ138" s="217">
        <f t="shared" ca="1" si="174"/>
        <v>-2329431.8160736002</v>
      </c>
      <c r="BK138" s="217">
        <f t="shared" ca="1" si="174"/>
        <v>-2329431.8160736002</v>
      </c>
      <c r="BL138" s="217">
        <f t="shared" ca="1" si="174"/>
        <v>-2329431.8160736002</v>
      </c>
      <c r="BM138" s="217">
        <f t="shared" ca="1" si="174"/>
        <v>-2329431.8160736002</v>
      </c>
      <c r="BN138" s="217">
        <f t="shared" ca="1" si="174"/>
        <v>-2329431.8160736002</v>
      </c>
      <c r="BO138" s="217">
        <f t="shared" ca="1" si="174"/>
        <v>-2329431.8160736002</v>
      </c>
      <c r="BP138" s="217">
        <f t="shared" ca="1" si="174"/>
        <v>-2329431.8160736002</v>
      </c>
      <c r="BQ138" s="217">
        <f t="shared" ca="1" si="174"/>
        <v>-2329431.8160736002</v>
      </c>
      <c r="BR138" s="217">
        <f t="shared" ca="1" si="174"/>
        <v>-2329431.8160736002</v>
      </c>
      <c r="BS138" s="217">
        <f t="shared" ca="1" si="174"/>
        <v>-2329431.8160736002</v>
      </c>
      <c r="BT138" s="217">
        <f t="shared" ca="1" si="174"/>
        <v>-2329431.8160736002</v>
      </c>
      <c r="BU138" s="217">
        <f t="shared" ref="BU138:DC138" ca="1" si="175">-BU135+BU136+BU137</f>
        <v>-2329431.8160736002</v>
      </c>
      <c r="BV138" s="217">
        <f t="shared" ca="1" si="175"/>
        <v>-2329431.8160736002</v>
      </c>
      <c r="BW138" s="217">
        <f t="shared" ca="1" si="175"/>
        <v>-2329431.8160736002</v>
      </c>
      <c r="BX138" s="217">
        <f t="shared" ca="1" si="175"/>
        <v>-2329431.8160736002</v>
      </c>
      <c r="BY138" s="217">
        <f t="shared" ca="1" si="175"/>
        <v>-2329431.8160736002</v>
      </c>
      <c r="BZ138" s="217">
        <f t="shared" ca="1" si="175"/>
        <v>-2329431.8160736002</v>
      </c>
      <c r="CA138" s="217">
        <f t="shared" ca="1" si="175"/>
        <v>-2329431.8160736002</v>
      </c>
      <c r="CB138" s="217">
        <f t="shared" ca="1" si="175"/>
        <v>-2329431.8160736002</v>
      </c>
      <c r="CC138" s="217">
        <f t="shared" ca="1" si="175"/>
        <v>-2329431.8160736002</v>
      </c>
      <c r="CD138" s="217">
        <f t="shared" ca="1" si="175"/>
        <v>-2329431.8160736002</v>
      </c>
      <c r="CE138" s="217">
        <f t="shared" ca="1" si="175"/>
        <v>-2329431.8160736002</v>
      </c>
      <c r="CF138" s="217">
        <f t="shared" ca="1" si="175"/>
        <v>-2329431.8160736002</v>
      </c>
      <c r="CG138" s="217">
        <f t="shared" ca="1" si="175"/>
        <v>-2329431.8160736002</v>
      </c>
      <c r="CH138" s="217">
        <f t="shared" ca="1" si="175"/>
        <v>-2329431.8160736002</v>
      </c>
      <c r="CI138" s="217">
        <f t="shared" ca="1" si="175"/>
        <v>-2329431.8160736002</v>
      </c>
      <c r="CJ138" s="217">
        <f t="shared" ca="1" si="175"/>
        <v>-2329431.8160736002</v>
      </c>
      <c r="CK138" s="217">
        <f t="shared" ca="1" si="175"/>
        <v>-2329431.8160736002</v>
      </c>
      <c r="CL138" s="217">
        <f t="shared" ca="1" si="175"/>
        <v>-2329431.8160736002</v>
      </c>
      <c r="CM138" s="217">
        <f t="shared" ca="1" si="175"/>
        <v>-2329431.8160736002</v>
      </c>
      <c r="CN138" s="217">
        <f t="shared" ca="1" si="175"/>
        <v>-2329431.8160736002</v>
      </c>
      <c r="CO138" s="217">
        <f t="shared" ca="1" si="175"/>
        <v>-2329431.8160736002</v>
      </c>
      <c r="CP138" s="217">
        <f t="shared" ca="1" si="175"/>
        <v>-2329431.8160736002</v>
      </c>
      <c r="CQ138" s="217">
        <f t="shared" ca="1" si="175"/>
        <v>-2329431.8160736002</v>
      </c>
      <c r="CR138" s="217">
        <f t="shared" ca="1" si="175"/>
        <v>-2329431.8160736002</v>
      </c>
      <c r="CS138" s="217">
        <f t="shared" ca="1" si="175"/>
        <v>-2329431.8160736002</v>
      </c>
      <c r="CT138" s="217">
        <f t="shared" ca="1" si="175"/>
        <v>-2329431.8160736002</v>
      </c>
      <c r="CU138" s="217">
        <f t="shared" ca="1" si="175"/>
        <v>-2329431.8160736002</v>
      </c>
      <c r="CV138" s="217">
        <f t="shared" ca="1" si="175"/>
        <v>-2329431.8160736002</v>
      </c>
      <c r="CW138" s="217">
        <f t="shared" ca="1" si="175"/>
        <v>-2329431.8160736002</v>
      </c>
      <c r="CX138" s="217">
        <f t="shared" ca="1" si="175"/>
        <v>-2329431.8160736002</v>
      </c>
      <c r="CY138" s="217">
        <f t="shared" ca="1" si="175"/>
        <v>-2329431.8160736002</v>
      </c>
      <c r="CZ138" s="217">
        <f t="shared" ca="1" si="175"/>
        <v>-2329431.8160736002</v>
      </c>
      <c r="DA138" s="217">
        <f t="shared" ca="1" si="175"/>
        <v>-2329431.8160736002</v>
      </c>
      <c r="DB138" s="217">
        <f t="shared" ca="1" si="175"/>
        <v>-2329431.8160736002</v>
      </c>
      <c r="DC138" s="251">
        <f t="shared" ca="1" si="175"/>
        <v>-2329431.8160736002</v>
      </c>
    </row>
    <row r="139" spans="1:110" ht="15" hidden="1" customHeight="1" thickBot="1">
      <c r="C139" s="864" t="s">
        <v>400</v>
      </c>
      <c r="D139" s="865"/>
      <c r="E139" s="865"/>
      <c r="F139" s="866"/>
      <c r="G139" s="55"/>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69" t="s">
        <v>30</v>
      </c>
      <c r="D140" s="870"/>
      <c r="E140" s="871"/>
      <c r="F140" s="283">
        <f ca="1">IF(Rezultatai!B$4=Data1!$G$2,'Scenarijų analizė'!G140,"")</f>
        <v>7.8967670150532188</v>
      </c>
      <c r="G140" s="286">
        <f ca="1">IFERROR(IF(F131&lt;0,(F117-F131)/(F130-F133),(F117)/(F130+F131-F133)),"")</f>
        <v>7.8967670150532188</v>
      </c>
    </row>
    <row r="141" spans="1:110" ht="15" hidden="1" customHeight="1">
      <c r="C141" s="853" t="s">
        <v>29</v>
      </c>
      <c r="D141" s="806"/>
      <c r="E141" s="854"/>
      <c r="F141" s="284">
        <f ca="1">IF(Rezultatai!B$4=Data1!$G$2,'Scenarijų analizė'!G141,"")</f>
        <v>867683822.31458926</v>
      </c>
      <c r="G141" s="286">
        <f ca="1">IFERROR(F134,"")</f>
        <v>867683822.31458926</v>
      </c>
    </row>
    <row r="142" spans="1:110" ht="15" hidden="1" customHeight="1">
      <c r="C142" s="853" t="s">
        <v>196</v>
      </c>
      <c r="D142" s="806"/>
      <c r="E142" s="854"/>
      <c r="F142" s="284">
        <f ca="1">IF(Rezultatai!B$4=Data1!$G$2,'Scenarijų analizė'!G142,"")</f>
        <v>2.6352645610573568</v>
      </c>
      <c r="G142" s="286">
        <f ca="1">IFERROR(IRR(H134:INDEX(H134:DC134,PAL+1)),"")</f>
        <v>2.6352645610573568</v>
      </c>
    </row>
    <row r="143" spans="1:110" ht="15" hidden="1" customHeight="1">
      <c r="C143" s="853" t="s">
        <v>261</v>
      </c>
      <c r="D143" s="806"/>
      <c r="E143" s="854"/>
      <c r="F143" s="284" t="str">
        <f>IF(Rezultatai!B$4=Data1!$G$3,'Scenarijų analizė'!G143,"")</f>
        <v/>
      </c>
      <c r="G143" s="286">
        <f ca="1">IFERROR((F7+F115-F132)/F116,"")</f>
        <v>3890955.1676419335</v>
      </c>
    </row>
    <row r="144" spans="1:110" ht="15" hidden="1" customHeight="1">
      <c r="C144" s="853" t="s">
        <v>398</v>
      </c>
      <c r="D144" s="806"/>
      <c r="E144" s="854"/>
      <c r="F144" s="284">
        <f ca="1">IF(Rezultatai!B$5&lt;&gt;"",'Scenarijų analizė'!G144,"")</f>
        <v>9.1639999999999997</v>
      </c>
      <c r="G144" s="286">
        <f ca="1">IFERROR(SUM(F152:F160),"")</f>
        <v>9.1639999999999997</v>
      </c>
    </row>
    <row r="145" spans="3:107" ht="15" hidden="1" customHeight="1" thickBot="1">
      <c r="C145" s="859" t="s">
        <v>185</v>
      </c>
      <c r="D145" s="860"/>
      <c r="E145" s="861"/>
      <c r="F145" s="285">
        <f ca="1">IFERROR(F138,"")</f>
        <v>-62824583.246366918</v>
      </c>
      <c r="G145" s="286"/>
    </row>
    <row r="146" spans="3:107" ht="15" hidden="1" customHeight="1" thickBot="1">
      <c r="C146" s="856" t="s">
        <v>197</v>
      </c>
      <c r="D146" s="857"/>
      <c r="E146" s="857"/>
      <c r="F146" s="858"/>
      <c r="G146" s="12" t="s">
        <v>33</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780" t="s">
        <v>201</v>
      </c>
      <c r="D147" s="781"/>
      <c r="E147" s="782"/>
      <c r="F147" s="61"/>
      <c r="G147" s="59">
        <f>SUMIF($H$4:$DC$4,"&lt;="&amp;PAL,$H147:$DC147)</f>
        <v>0</v>
      </c>
      <c r="H147" s="14">
        <f ca="1">H132-H$7+H$115</f>
        <v>-1708000</v>
      </c>
      <c r="I147" s="14">
        <f ca="1">I132-I$7+I$115</f>
        <v>-4900980.7675320003</v>
      </c>
      <c r="J147" s="14">
        <f t="shared" ref="J147:BU147" ca="1" si="178">J132-J$7+J$115</f>
        <v>-7587358.9378861329</v>
      </c>
      <c r="K147" s="14">
        <f t="shared" ca="1" si="178"/>
        <v>-10781120.3630432</v>
      </c>
      <c r="L147" s="14">
        <f t="shared" ca="1" si="178"/>
        <v>-10183520.3630432</v>
      </c>
      <c r="M147" s="14">
        <f t="shared" ca="1" si="178"/>
        <v>-10203520.3630432</v>
      </c>
      <c r="N147" s="14">
        <f t="shared" ca="1" si="178"/>
        <v>-10183020.3630432</v>
      </c>
      <c r="O147" s="14">
        <f t="shared" ca="1" si="178"/>
        <v>-10183020.3630432</v>
      </c>
      <c r="P147" s="14">
        <f t="shared" ca="1" si="178"/>
        <v>-10183020.3630432</v>
      </c>
      <c r="Q147" s="14">
        <f t="shared" ca="1" si="178"/>
        <v>-10183020.3630432</v>
      </c>
      <c r="R147" s="14">
        <f t="shared" ca="1" si="178"/>
        <v>-10303020.3630432</v>
      </c>
      <c r="S147" s="14">
        <f t="shared" ca="1" si="178"/>
        <v>-10423020.3630432</v>
      </c>
      <c r="T147" s="14">
        <f t="shared" ca="1" si="178"/>
        <v>-10303020.3630432</v>
      </c>
      <c r="U147" s="14">
        <f t="shared" ca="1" si="178"/>
        <v>-10423020.3630432</v>
      </c>
      <c r="V147" s="14">
        <f t="shared" ca="1" si="178"/>
        <v>-10183020.3630432</v>
      </c>
      <c r="W147" s="14">
        <f t="shared" ca="1" si="178"/>
        <v>-10183020.3630432</v>
      </c>
      <c r="X147" s="14">
        <f t="shared" ca="1" si="178"/>
        <v>-10183020.3630432</v>
      </c>
      <c r="Y147" s="14">
        <f t="shared" ca="1" si="178"/>
        <v>-10183020.3630432</v>
      </c>
      <c r="Z147" s="14">
        <f t="shared" ca="1" si="178"/>
        <v>-10183020.3630432</v>
      </c>
      <c r="AA147" s="14">
        <f t="shared" ca="1" si="178"/>
        <v>-10183020.3630432</v>
      </c>
      <c r="AB147" s="14">
        <f t="shared" ca="1" si="178"/>
        <v>-10183020.3630432</v>
      </c>
      <c r="AC147" s="14">
        <f t="shared" ca="1" si="178"/>
        <v>-2329431.8160736002</v>
      </c>
      <c r="AD147" s="14">
        <f t="shared" ca="1" si="178"/>
        <v>-2329431.8160736002</v>
      </c>
      <c r="AE147" s="14">
        <f t="shared" ca="1" si="178"/>
        <v>-2329431.8160736002</v>
      </c>
      <c r="AF147" s="14">
        <f t="shared" ca="1" si="178"/>
        <v>-2329431.8160736002</v>
      </c>
      <c r="AG147" s="14">
        <f t="shared" ca="1" si="178"/>
        <v>-2329431.8160736002</v>
      </c>
      <c r="AH147" s="14">
        <f t="shared" ca="1" si="178"/>
        <v>-2329431.8160736002</v>
      </c>
      <c r="AI147" s="14">
        <f t="shared" ca="1" si="178"/>
        <v>-2329431.8160736002</v>
      </c>
      <c r="AJ147" s="14">
        <f t="shared" ca="1" si="178"/>
        <v>-2329431.8160736002</v>
      </c>
      <c r="AK147" s="14">
        <f t="shared" ca="1" si="178"/>
        <v>-2329431.8160736002</v>
      </c>
      <c r="AL147" s="14">
        <f t="shared" ca="1" si="178"/>
        <v>-2329431.8160736002</v>
      </c>
      <c r="AM147" s="14">
        <f t="shared" ca="1" si="178"/>
        <v>-2329431.8160736002</v>
      </c>
      <c r="AN147" s="14">
        <f t="shared" ca="1" si="178"/>
        <v>-2329431.8160736002</v>
      </c>
      <c r="AO147" s="14">
        <f t="shared" ca="1" si="178"/>
        <v>-2329431.8160736002</v>
      </c>
      <c r="AP147" s="14">
        <f t="shared" ca="1" si="178"/>
        <v>-2329431.8160736002</v>
      </c>
      <c r="AQ147" s="14">
        <f t="shared" ca="1" si="178"/>
        <v>-2329431.8160736002</v>
      </c>
      <c r="AR147" s="14">
        <f t="shared" ca="1" si="178"/>
        <v>-2329431.8160736002</v>
      </c>
      <c r="AS147" s="14">
        <f t="shared" ca="1" si="178"/>
        <v>-2329431.8160736002</v>
      </c>
      <c r="AT147" s="14">
        <f t="shared" ca="1" si="178"/>
        <v>-2329431.8160736002</v>
      </c>
      <c r="AU147" s="14">
        <f t="shared" ca="1" si="178"/>
        <v>-2329431.8160736002</v>
      </c>
      <c r="AV147" s="14">
        <f t="shared" ca="1" si="178"/>
        <v>-2329431.8160736002</v>
      </c>
      <c r="AW147" s="14">
        <f t="shared" ca="1" si="178"/>
        <v>-2329431.8160736002</v>
      </c>
      <c r="AX147" s="14">
        <f t="shared" ca="1" si="178"/>
        <v>-2329431.8160736002</v>
      </c>
      <c r="AY147" s="14">
        <f t="shared" ca="1" si="178"/>
        <v>-2329431.8160736002</v>
      </c>
      <c r="AZ147" s="14">
        <f t="shared" ca="1" si="178"/>
        <v>-2329431.8160736002</v>
      </c>
      <c r="BA147" s="14">
        <f t="shared" ca="1" si="178"/>
        <v>-2329431.8160736002</v>
      </c>
      <c r="BB147" s="14">
        <f t="shared" ca="1" si="178"/>
        <v>-2329431.8160736002</v>
      </c>
      <c r="BC147" s="14">
        <f t="shared" ca="1" si="178"/>
        <v>-2329431.8160736002</v>
      </c>
      <c r="BD147" s="14">
        <f t="shared" ca="1" si="178"/>
        <v>-2329431.8160736002</v>
      </c>
      <c r="BE147" s="14">
        <f t="shared" ca="1" si="178"/>
        <v>-2329431.8160736002</v>
      </c>
      <c r="BF147" s="14">
        <f t="shared" ca="1" si="178"/>
        <v>-2329431.8160736002</v>
      </c>
      <c r="BG147" s="14">
        <f t="shared" ca="1" si="178"/>
        <v>-2329431.8160736002</v>
      </c>
      <c r="BH147" s="14">
        <f t="shared" ca="1" si="178"/>
        <v>-2329431.8160736002</v>
      </c>
      <c r="BI147" s="14">
        <f t="shared" ca="1" si="178"/>
        <v>-2329431.8160736002</v>
      </c>
      <c r="BJ147" s="14">
        <f t="shared" ca="1" si="178"/>
        <v>-2329431.8160736002</v>
      </c>
      <c r="BK147" s="14">
        <f t="shared" ca="1" si="178"/>
        <v>-2329431.8160736002</v>
      </c>
      <c r="BL147" s="14">
        <f t="shared" ca="1" si="178"/>
        <v>-2329431.8160736002</v>
      </c>
      <c r="BM147" s="14">
        <f t="shared" ca="1" si="178"/>
        <v>-2329431.8160736002</v>
      </c>
      <c r="BN147" s="14">
        <f t="shared" ca="1" si="178"/>
        <v>-2329431.8160736002</v>
      </c>
      <c r="BO147" s="14">
        <f t="shared" ca="1" si="178"/>
        <v>-2329431.8160736002</v>
      </c>
      <c r="BP147" s="14">
        <f t="shared" ca="1" si="178"/>
        <v>-2329431.8160736002</v>
      </c>
      <c r="BQ147" s="14">
        <f t="shared" ca="1" si="178"/>
        <v>-2329431.8160736002</v>
      </c>
      <c r="BR147" s="14">
        <f t="shared" ca="1" si="178"/>
        <v>-2329431.8160736002</v>
      </c>
      <c r="BS147" s="14">
        <f t="shared" ca="1" si="178"/>
        <v>-2329431.8160736002</v>
      </c>
      <c r="BT147" s="14">
        <f t="shared" ca="1" si="178"/>
        <v>-2329431.8160736002</v>
      </c>
      <c r="BU147" s="14">
        <f t="shared" ca="1" si="178"/>
        <v>-2329431.8160736002</v>
      </c>
      <c r="BV147" s="14">
        <f t="shared" ref="BV147:DC147" ca="1" si="179">BV132-BV$7+BV$115</f>
        <v>-2329431.8160736002</v>
      </c>
      <c r="BW147" s="14">
        <f t="shared" ca="1" si="179"/>
        <v>-2329431.8160736002</v>
      </c>
      <c r="BX147" s="14">
        <f t="shared" ca="1" si="179"/>
        <v>-2329431.8160736002</v>
      </c>
      <c r="BY147" s="14">
        <f t="shared" ca="1" si="179"/>
        <v>-2329431.8160736002</v>
      </c>
      <c r="BZ147" s="14">
        <f t="shared" ca="1" si="179"/>
        <v>-2329431.8160736002</v>
      </c>
      <c r="CA147" s="14">
        <f t="shared" ca="1" si="179"/>
        <v>-2329431.8160736002</v>
      </c>
      <c r="CB147" s="14">
        <f t="shared" ca="1" si="179"/>
        <v>-2329431.8160736002</v>
      </c>
      <c r="CC147" s="14">
        <f t="shared" ca="1" si="179"/>
        <v>-2329431.8160736002</v>
      </c>
      <c r="CD147" s="14">
        <f t="shared" ca="1" si="179"/>
        <v>-2329431.8160736002</v>
      </c>
      <c r="CE147" s="14">
        <f t="shared" ca="1" si="179"/>
        <v>-2329431.8160736002</v>
      </c>
      <c r="CF147" s="14">
        <f t="shared" ca="1" si="179"/>
        <v>-2329431.8160736002</v>
      </c>
      <c r="CG147" s="14">
        <f t="shared" ca="1" si="179"/>
        <v>-2329431.8160736002</v>
      </c>
      <c r="CH147" s="14">
        <f t="shared" ca="1" si="179"/>
        <v>-2329431.8160736002</v>
      </c>
      <c r="CI147" s="14">
        <f t="shared" ca="1" si="179"/>
        <v>-2329431.8160736002</v>
      </c>
      <c r="CJ147" s="14">
        <f t="shared" ca="1" si="179"/>
        <v>-2329431.8160736002</v>
      </c>
      <c r="CK147" s="14">
        <f t="shared" ca="1" si="179"/>
        <v>-2329431.8160736002</v>
      </c>
      <c r="CL147" s="14">
        <f t="shared" ca="1" si="179"/>
        <v>-2329431.8160736002</v>
      </c>
      <c r="CM147" s="14">
        <f t="shared" ca="1" si="179"/>
        <v>-2329431.8160736002</v>
      </c>
      <c r="CN147" s="14">
        <f t="shared" ca="1" si="179"/>
        <v>-2329431.8160736002</v>
      </c>
      <c r="CO147" s="14">
        <f t="shared" ca="1" si="179"/>
        <v>-2329431.8160736002</v>
      </c>
      <c r="CP147" s="14">
        <f t="shared" ca="1" si="179"/>
        <v>-2329431.8160736002</v>
      </c>
      <c r="CQ147" s="14">
        <f t="shared" ca="1" si="179"/>
        <v>-2329431.8160736002</v>
      </c>
      <c r="CR147" s="14">
        <f t="shared" ca="1" si="179"/>
        <v>-2329431.8160736002</v>
      </c>
      <c r="CS147" s="14">
        <f t="shared" ca="1" si="179"/>
        <v>-2329431.8160736002</v>
      </c>
      <c r="CT147" s="14">
        <f t="shared" ca="1" si="179"/>
        <v>-2329431.8160736002</v>
      </c>
      <c r="CU147" s="14">
        <f t="shared" ca="1" si="179"/>
        <v>-2329431.8160736002</v>
      </c>
      <c r="CV147" s="14">
        <f t="shared" ca="1" si="179"/>
        <v>-2329431.8160736002</v>
      </c>
      <c r="CW147" s="14">
        <f t="shared" ca="1" si="179"/>
        <v>-2329431.8160736002</v>
      </c>
      <c r="CX147" s="14">
        <f t="shared" ca="1" si="179"/>
        <v>-2329431.8160736002</v>
      </c>
      <c r="CY147" s="14">
        <f t="shared" ca="1" si="179"/>
        <v>-2329431.8160736002</v>
      </c>
      <c r="CZ147" s="14">
        <f t="shared" ca="1" si="179"/>
        <v>-2329431.8160736002</v>
      </c>
      <c r="DA147" s="14">
        <f t="shared" ca="1" si="179"/>
        <v>-2329431.8160736002</v>
      </c>
      <c r="DB147" s="14">
        <f t="shared" ca="1" si="179"/>
        <v>-2329431.8160736002</v>
      </c>
      <c r="DC147" s="14">
        <f t="shared" ca="1" si="179"/>
        <v>-2329431.8160736002</v>
      </c>
    </row>
    <row r="148" spans="3:107" ht="15" hidden="1" customHeight="1">
      <c r="C148" s="783" t="s">
        <v>272</v>
      </c>
      <c r="D148" s="784"/>
      <c r="E148" s="785"/>
      <c r="F148" s="54">
        <f ca="1">IFERROR(H147+NPV(FD,I147:INDEX(I147:DC147,PAL)),"")</f>
        <v>-133624892.96759719</v>
      </c>
      <c r="G148" s="53"/>
    </row>
    <row r="149" spans="3:107" ht="15" hidden="1" customHeight="1">
      <c r="C149" s="783" t="s">
        <v>273</v>
      </c>
      <c r="D149" s="784"/>
      <c r="E149" s="785"/>
      <c r="F149" s="174" t="str">
        <f ca="1">IFERROR(IRR(H147:INDEX(H147:DC147,PAL+1)),"")</f>
        <v/>
      </c>
      <c r="G149" s="45"/>
    </row>
    <row r="150" spans="3:107" ht="15" hidden="1" customHeight="1" thickBot="1">
      <c r="C150" s="789" t="s">
        <v>200</v>
      </c>
      <c r="D150" s="790"/>
      <c r="E150" s="791"/>
      <c r="F150" s="52">
        <f ca="1">IFERROR(IF(F$89&lt;0,SUM(F$100,-F$115,-F$89)/SUM(F$9,F$8,-SNA!F136),SUM(F$100,-F$115)/SUM(F$9,F$8,-SNA!F136,F$89)),"")</f>
        <v>3.0335185581180743E-2</v>
      </c>
      <c r="G150" s="45"/>
    </row>
    <row r="151" spans="3:107" ht="15" hidden="1" customHeight="1" thickBot="1">
      <c r="C151" s="856" t="s">
        <v>399</v>
      </c>
      <c r="D151" s="857"/>
      <c r="E151" s="857"/>
      <c r="F151" s="858"/>
      <c r="G151" s="45"/>
    </row>
    <row r="152" spans="3:107" ht="15" hidden="1" customHeight="1" thickBot="1">
      <c r="C152" s="252" t="str">
        <f>DA!C8</f>
        <v>Ekonominės naudos ir išlaidų santykis (ENIS)</v>
      </c>
      <c r="D152" s="220"/>
      <c r="E152" s="253">
        <f ca="1">INDIRECT(CONCATENATE("DA!","D",ROW(INDIRECT(VLOOKUP(Opt_alt,Data1!$P$2:$Q$6,2,FALSE)))-9))</f>
        <v>10</v>
      </c>
      <c r="F152" s="253">
        <f ca="1">IF(DA!$B$4=Data1!$G$2,IFERROR(10*F140/MAX(Rodikliai),"-"),IFERROR(10*MIN(Rodikliai)/F143,"-"))*DA!D8</f>
        <v>6</v>
      </c>
      <c r="G152" s="45"/>
    </row>
    <row r="153" spans="3:107" ht="15" hidden="1" customHeight="1" thickBot="1">
      <c r="C153" s="252" t="str">
        <f>DA!C9</f>
        <v>Politinės svarbos</v>
      </c>
      <c r="D153" s="198"/>
      <c r="E153" s="253">
        <f ca="1">INDIRECT(CONCATENATE("DA!","D",ROW(INDIRECT(VLOOKUP(Opt_alt,Data1!$P$2:$Q$6,2,FALSE)))-8))</f>
        <v>8</v>
      </c>
      <c r="F153" s="253">
        <f ca="1">INDIRECT(CONCATENATE("DA!","E",ROW(INDIRECT(VLOOKUP(Opt_alt,Data1!$P$2:$Q$6,2,FALSE)))-8))</f>
        <v>0.72</v>
      </c>
      <c r="G153" s="45"/>
    </row>
    <row r="154" spans="3:107" ht="15" hidden="1" customHeight="1" thickBot="1">
      <c r="C154" s="252" t="str">
        <f>DA!C10</f>
        <v>Regioninės svarbos</v>
      </c>
      <c r="D154" s="198"/>
      <c r="E154" s="253">
        <f ca="1">INDIRECT(CONCATENATE("DA!","D",ROW(INDIRECT(VLOOKUP(Opt_alt,Data1!$P$2:$Q$6,2,FALSE)))-7))</f>
        <v>7.8</v>
      </c>
      <c r="F154" s="253">
        <f ca="1">INDIRECT(CONCATENATE("DA!","E",ROW(INDIRECT(VLOOKUP(Opt_alt,Data1!$P$2:$Q$6,2,FALSE)))-7))</f>
        <v>0.70199999999999996</v>
      </c>
      <c r="G154" s="45"/>
    </row>
    <row r="155" spans="3:107" ht="15" hidden="1" customHeight="1" thickBot="1">
      <c r="C155" s="252" t="str">
        <f>DA!C11</f>
        <v>Ekonominės svarbos</v>
      </c>
      <c r="D155" s="58"/>
      <c r="E155" s="253">
        <f ca="1">INDIRECT(CONCATENATE("DA!","D",ROW(INDIRECT(VLOOKUP(Opt_alt,Data1!$P$2:$Q$6,2,FALSE)))-6))</f>
        <v>8.1999999999999993</v>
      </c>
      <c r="F155" s="253">
        <f ca="1">INDIRECT(CONCATENATE("DA!","E",ROW(INDIRECT(VLOOKUP(Opt_alt,Data1!$P$2:$Q$6,2,FALSE)))-6))</f>
        <v>0.73799999999999988</v>
      </c>
      <c r="G155" s="45"/>
    </row>
    <row r="156" spans="3:107" ht="15" hidden="1" customHeight="1" thickBot="1">
      <c r="C156" s="252" t="str">
        <f>DA!C12</f>
        <v>Konsulinės/diasporos svarbos</v>
      </c>
      <c r="D156" s="58"/>
      <c r="E156" s="253">
        <f ca="1">INDIRECT(CONCATENATE("DA!","D",ROW(INDIRECT(VLOOKUP(Opt_alt,Data1!$P$2:$Q$6,2,FALSE)))-5))</f>
        <v>7.6</v>
      </c>
      <c r="F156" s="253">
        <f ca="1">INDIRECT(CONCATENATE("DA!","E",ROW(INDIRECT(VLOOKUP(Opt_alt,Data1!$P$2:$Q$6,2,FALSE)))-5))</f>
        <v>0.68399999999999994</v>
      </c>
      <c r="G156" s="45"/>
    </row>
    <row r="157" spans="3:107" ht="15" hidden="1" customHeight="1" thickBot="1">
      <c r="C157" s="252" t="str">
        <f>DA!C13</f>
        <v>Ministerijos politinio pasirinkimo</v>
      </c>
      <c r="D157" s="58"/>
      <c r="E157" s="253">
        <f ca="1">INDIRECT(CONCATENATE("DA!","D",ROW(INDIRECT(VLOOKUP(Opt_alt,Data1!$P$2:$Q$6,2,FALSE)))-4))</f>
        <v>8</v>
      </c>
      <c r="F157" s="253">
        <f ca="1">INDIRECT(CONCATENATE("DA!","E",ROW(INDIRECT(VLOOKUP(Opt_alt,Data1!$P$2:$Q$6,2,FALSE)))-4))</f>
        <v>0.32</v>
      </c>
      <c r="G157" s="45"/>
    </row>
    <row r="158" spans="3:107" ht="15" hidden="1" customHeight="1" thickBot="1">
      <c r="C158" s="252" t="str">
        <f>DA!C14</f>
        <v>Nurodykite</v>
      </c>
      <c r="D158" s="58"/>
      <c r="E158" s="253" t="str">
        <f ca="1">INDIRECT(CONCATENATE("DA!","D",ROW(INDIRECT(VLOOKUP(Opt_alt,Data1!$P$2:$Q$6,2,FALSE)))-3))</f>
        <v>Nurodykite įvertinimą</v>
      </c>
      <c r="F158" s="253" t="str">
        <f ca="1">INDIRECT(CONCATENATE("DA!","E",ROW(INDIRECT(VLOOKUP(Opt_alt,Data1!$P$2:$Q$6,2,FALSE)))-3))</f>
        <v/>
      </c>
      <c r="G158" s="45"/>
    </row>
    <row r="159" spans="3:107" ht="15" hidden="1" customHeight="1" thickBot="1">
      <c r="C159" s="252" t="str">
        <f>DA!C15</f>
        <v>Nurodykite</v>
      </c>
      <c r="D159" s="58"/>
      <c r="E159" s="253" t="str">
        <f ca="1">INDIRECT(CONCATENATE("DA!","D",ROW(INDIRECT(VLOOKUP(Opt_alt,Data1!$P$2:$Q$6,2,FALSE)))-2))</f>
        <v>Nurodykite įvertinimą</v>
      </c>
      <c r="F159" s="253" t="str">
        <f ca="1">INDIRECT(CONCATENATE("DA!","E",ROW(INDIRECT(VLOOKUP(Opt_alt,Data1!$P$2:$Q$6,2,FALSE)))-2))</f>
        <v/>
      </c>
      <c r="G159" s="45"/>
    </row>
    <row r="160" spans="3:107" ht="21.75" hidden="1" customHeight="1">
      <c r="C160" s="252" t="str">
        <f>DA!C16</f>
        <v>Nurodykite</v>
      </c>
      <c r="D160" s="58"/>
      <c r="E160" s="253" t="str">
        <f ca="1">INDIRECT(CONCATENATE("DA!","D",ROW(INDIRECT(VLOOKUP(Opt_alt,Data1!$P$2:$Q$6,2,FALSE)))-1))</f>
        <v>Nurodykite įvertinimą</v>
      </c>
      <c r="F160" s="253" t="str">
        <f ca="1">INDIRECT(CONCATENATE("DA!","E",ROW(INDIRECT(VLOOKUP(Opt_alt,Data1!$P$2:$Q$6,2,FALSE)))-1))</f>
        <v/>
      </c>
      <c r="G160" s="45"/>
      <c r="H160" s="255"/>
    </row>
    <row r="161" spans="2:58" ht="0.75" hidden="1" customHeight="1">
      <c r="C161" s="58"/>
      <c r="D161" s="58"/>
      <c r="E161" s="58"/>
      <c r="F161" s="60"/>
      <c r="G161" s="45"/>
    </row>
    <row r="164" spans="2:58" hidden="1">
      <c r="L164" t="s">
        <v>428</v>
      </c>
    </row>
    <row r="165" spans="2:58" ht="30.75" customHeight="1">
      <c r="C165" s="31" t="s">
        <v>429</v>
      </c>
      <c r="E165" s="280" t="s">
        <v>423</v>
      </c>
      <c r="F165" s="280" t="s">
        <v>424</v>
      </c>
      <c r="G165" s="280" t="s">
        <v>425</v>
      </c>
      <c r="H165" s="280" t="s">
        <v>426</v>
      </c>
      <c r="I165" s="280" t="s">
        <v>427</v>
      </c>
      <c r="J165" s="281" t="s">
        <v>394</v>
      </c>
      <c r="K165" s="64"/>
      <c r="L165" s="280" t="s">
        <v>423</v>
      </c>
      <c r="M165" s="280" t="s">
        <v>424</v>
      </c>
      <c r="N165" s="280" t="s">
        <v>425</v>
      </c>
      <c r="O165" s="280" t="s">
        <v>426</v>
      </c>
      <c r="P165" s="280" t="s">
        <v>427</v>
      </c>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row>
    <row r="166" spans="2:58" hidden="1">
      <c r="B166" s="5" t="s">
        <v>287</v>
      </c>
      <c r="C166" s="5" t="str">
        <f ca="1">IFERROR(VLOOKUP(B166,$B$12:$C$129,2,FALSE),"")</f>
        <v xml:space="preserve">Veikla (nurodykite pavadinimą; suplanuotas investicijas pagrįskite prielaidų lape)
Analitinė studija dėl diplomatinio atstovavimo tinklo plėtros </v>
      </c>
      <c r="D166" t="str">
        <f ca="1">IF(VLOOKUP(B166,$B$7:$G$138,COLUMNS($B$7:$G$138),FALSE)&lt;&gt;0,"True","False")</f>
        <v>False</v>
      </c>
      <c r="E166" s="288">
        <v>1.25</v>
      </c>
      <c r="F166" s="288">
        <v>1.1000000000000001</v>
      </c>
      <c r="G166" s="288">
        <v>1</v>
      </c>
      <c r="H166" s="288">
        <v>0.9</v>
      </c>
      <c r="I166" s="288">
        <v>0.75</v>
      </c>
      <c r="J166" s="256">
        <v>0.5</v>
      </c>
      <c r="K166" s="255"/>
      <c r="L166" s="255">
        <v>1.25</v>
      </c>
      <c r="M166" s="255">
        <v>1.1000000000000001</v>
      </c>
      <c r="N166" s="255">
        <v>1</v>
      </c>
      <c r="O166" s="255">
        <v>0.9</v>
      </c>
      <c r="P166" s="255">
        <v>0.75</v>
      </c>
      <c r="Q166" s="255"/>
      <c r="R166" s="255"/>
      <c r="S166" s="255"/>
      <c r="T166" s="255"/>
      <c r="U166" s="255"/>
      <c r="V166" s="255"/>
      <c r="W166" s="255"/>
      <c r="X166" s="255"/>
      <c r="Y166" s="255"/>
      <c r="Z166" s="255"/>
      <c r="AA166" s="255"/>
      <c r="AB166" s="255"/>
      <c r="AC166" s="255"/>
      <c r="AD166" s="255"/>
      <c r="AE166" s="255"/>
      <c r="AF166" s="287"/>
      <c r="AG166" s="287"/>
      <c r="AH166" s="287"/>
      <c r="AI166" s="287"/>
      <c r="AJ166" s="287"/>
      <c r="AK166" s="287"/>
      <c r="AL166" s="287"/>
      <c r="AM166" s="287"/>
      <c r="AN166" s="287"/>
      <c r="AO166" s="287"/>
      <c r="AP166" s="287"/>
      <c r="AQ166" s="287"/>
      <c r="AR166" s="287"/>
      <c r="AS166" s="287"/>
      <c r="AT166" s="287"/>
      <c r="AU166" s="287"/>
      <c r="AV166" s="287"/>
      <c r="AW166" s="287"/>
      <c r="AX166" s="287"/>
      <c r="AY166" s="287"/>
      <c r="AZ166" s="287"/>
      <c r="BA166" s="287"/>
      <c r="BB166" s="287"/>
      <c r="BC166" s="287"/>
      <c r="BD166" s="287"/>
      <c r="BE166" s="287"/>
      <c r="BF166" s="287"/>
    </row>
    <row r="167" spans="2:58" hidden="1">
      <c r="B167" s="5" t="s">
        <v>288</v>
      </c>
      <c r="C167" s="5" t="str">
        <f t="shared" ref="C167:C230" ca="1" si="180">IFERROR(VLOOKUP(B167,$B$12:$C$129,2,FALSE),"")</f>
        <v>Veikla</v>
      </c>
      <c r="D167" t="str">
        <f t="shared" ref="D167:D230" ca="1" si="181">IF(VLOOKUP(B167,$B$7:$G$138,COLUMNS($B$7:$G$138),FALSE)&lt;&gt;0,"True","False")</f>
        <v>False</v>
      </c>
      <c r="E167" s="288">
        <v>1.25</v>
      </c>
      <c r="F167" s="288">
        <v>1.1000000000000001</v>
      </c>
      <c r="G167" s="288">
        <v>1</v>
      </c>
      <c r="H167" s="288">
        <v>0.9</v>
      </c>
      <c r="I167" s="288">
        <v>0.75</v>
      </c>
      <c r="J167" s="256">
        <v>0.55000000000000004</v>
      </c>
      <c r="K167" s="255"/>
      <c r="L167" s="255">
        <v>1.25</v>
      </c>
      <c r="M167" s="255">
        <v>1.1000000000000001</v>
      </c>
      <c r="N167" s="255">
        <v>1</v>
      </c>
      <c r="O167" s="255">
        <v>0.9</v>
      </c>
      <c r="P167" s="255">
        <v>0.75</v>
      </c>
      <c r="Q167" s="255"/>
      <c r="R167" s="255"/>
      <c r="S167" s="255"/>
      <c r="T167" s="255"/>
      <c r="U167" s="255"/>
      <c r="V167" s="255"/>
      <c r="W167" s="255"/>
      <c r="X167" s="255"/>
      <c r="Y167" s="255"/>
      <c r="Z167" s="255"/>
      <c r="AA167" s="255"/>
      <c r="AB167" s="255"/>
      <c r="AC167" s="255"/>
      <c r="AD167" s="255"/>
      <c r="AE167" s="255"/>
      <c r="AF167" s="287"/>
      <c r="AG167" s="287"/>
      <c r="AH167" s="287"/>
      <c r="AI167" s="287"/>
      <c r="AJ167" s="287"/>
      <c r="AK167" s="287"/>
      <c r="AL167" s="287"/>
      <c r="AM167" s="287"/>
      <c r="AN167" s="287"/>
      <c r="AO167" s="287"/>
      <c r="AP167" s="287"/>
      <c r="AQ167" s="287"/>
      <c r="AR167" s="287"/>
      <c r="AS167" s="287"/>
      <c r="AT167" s="287"/>
      <c r="AU167" s="287"/>
      <c r="AV167" s="287"/>
      <c r="AW167" s="287"/>
      <c r="AX167" s="287"/>
      <c r="AY167" s="287"/>
      <c r="AZ167" s="287"/>
      <c r="BA167" s="287"/>
      <c r="BB167" s="287"/>
      <c r="BC167" s="287"/>
      <c r="BD167" s="287"/>
      <c r="BE167" s="287"/>
      <c r="BF167" s="287"/>
    </row>
    <row r="168" spans="2:58" hidden="1">
      <c r="B168" s="5" t="s">
        <v>289</v>
      </c>
      <c r="C168" s="5" t="str">
        <f t="shared" ca="1" si="180"/>
        <v>Veikla</v>
      </c>
      <c r="D168" t="str">
        <f t="shared" ca="1" si="181"/>
        <v>False</v>
      </c>
      <c r="E168" s="288">
        <v>1.25</v>
      </c>
      <c r="F168" s="288">
        <v>1.1000000000000001</v>
      </c>
      <c r="G168" s="288">
        <v>1</v>
      </c>
      <c r="H168" s="288">
        <v>0.9</v>
      </c>
      <c r="I168" s="288">
        <v>0.75</v>
      </c>
      <c r="J168" s="256">
        <v>0.6</v>
      </c>
      <c r="K168" s="255"/>
      <c r="L168" s="255">
        <v>1.25</v>
      </c>
      <c r="M168" s="255">
        <v>1.1000000000000001</v>
      </c>
      <c r="N168" s="255">
        <v>1</v>
      </c>
      <c r="O168" s="255">
        <v>0.9</v>
      </c>
      <c r="P168" s="255">
        <v>0.75</v>
      </c>
      <c r="Q168" s="255"/>
      <c r="R168" s="255"/>
      <c r="S168" s="255"/>
      <c r="T168" s="255"/>
      <c r="U168" s="255"/>
      <c r="V168" s="255"/>
      <c r="W168" s="255"/>
      <c r="X168" s="255"/>
      <c r="Y168" s="255"/>
      <c r="Z168" s="255"/>
      <c r="AA168" s="255"/>
      <c r="AB168" s="255"/>
      <c r="AC168" s="255"/>
      <c r="AD168" s="255"/>
      <c r="AE168" s="255"/>
      <c r="AF168" s="287"/>
      <c r="AG168" s="287"/>
      <c r="AH168" s="287"/>
      <c r="AI168" s="287"/>
      <c r="AJ168" s="287"/>
      <c r="AK168" s="287"/>
      <c r="AL168" s="287"/>
      <c r="AM168" s="287"/>
      <c r="AN168" s="287"/>
      <c r="AO168" s="287"/>
      <c r="AP168" s="287"/>
      <c r="AQ168" s="287"/>
      <c r="AR168" s="287"/>
      <c r="AS168" s="287"/>
      <c r="AT168" s="287"/>
      <c r="AU168" s="287"/>
      <c r="AV168" s="287"/>
      <c r="AW168" s="287"/>
      <c r="AX168" s="287"/>
      <c r="AY168" s="287"/>
      <c r="AZ168" s="287"/>
      <c r="BA168" s="287"/>
      <c r="BB168" s="287"/>
      <c r="BC168" s="287"/>
      <c r="BD168" s="287"/>
      <c r="BE168" s="287"/>
      <c r="BF168" s="287"/>
    </row>
    <row r="169" spans="2:58" hidden="1">
      <c r="B169" s="5" t="s">
        <v>290</v>
      </c>
      <c r="C169" s="5" t="str">
        <f t="shared" ca="1" si="180"/>
        <v>Veikla</v>
      </c>
      <c r="D169" t="str">
        <f t="shared" ca="1" si="181"/>
        <v>False</v>
      </c>
      <c r="E169" s="288">
        <v>1.25</v>
      </c>
      <c r="F169" s="288">
        <v>1.1000000000000001</v>
      </c>
      <c r="G169" s="288">
        <v>1</v>
      </c>
      <c r="H169" s="288">
        <v>0.9</v>
      </c>
      <c r="I169" s="288">
        <v>0.75</v>
      </c>
      <c r="J169" s="256">
        <v>0.65</v>
      </c>
      <c r="K169" s="255"/>
      <c r="L169" s="255">
        <v>1.25</v>
      </c>
      <c r="M169" s="255">
        <v>1.1000000000000001</v>
      </c>
      <c r="N169" s="255">
        <v>1</v>
      </c>
      <c r="O169" s="255">
        <v>0.9</v>
      </c>
      <c r="P169" s="255">
        <v>0.75</v>
      </c>
      <c r="Q169" s="255"/>
      <c r="R169" s="255"/>
      <c r="S169" s="255"/>
      <c r="T169" s="255"/>
      <c r="U169" s="255"/>
      <c r="V169" s="255"/>
      <c r="W169" s="255"/>
      <c r="X169" s="255"/>
      <c r="Y169" s="255"/>
      <c r="Z169" s="255"/>
      <c r="AA169" s="255"/>
      <c r="AB169" s="255"/>
      <c r="AC169" s="255"/>
      <c r="AD169" s="255"/>
      <c r="AE169" s="255"/>
      <c r="AF169" s="287"/>
      <c r="AG169" s="287"/>
      <c r="AH169" s="287"/>
      <c r="AI169" s="287"/>
      <c r="AJ169" s="287"/>
      <c r="AK169" s="287"/>
      <c r="AL169" s="287"/>
      <c r="AM169" s="287"/>
      <c r="AN169" s="287"/>
      <c r="AO169" s="287"/>
      <c r="AP169" s="287"/>
      <c r="AQ169" s="287"/>
      <c r="AR169" s="287"/>
      <c r="AS169" s="287"/>
      <c r="AT169" s="287"/>
      <c r="AU169" s="287"/>
      <c r="AV169" s="287"/>
      <c r="AW169" s="287"/>
      <c r="AX169" s="287"/>
      <c r="AY169" s="287"/>
      <c r="AZ169" s="287"/>
      <c r="BA169" s="287"/>
      <c r="BB169" s="287"/>
      <c r="BC169" s="287"/>
      <c r="BD169" s="287"/>
      <c r="BE169" s="287"/>
      <c r="BF169" s="287"/>
    </row>
    <row r="170" spans="2:58" hidden="1">
      <c r="B170" s="5" t="s">
        <v>291</v>
      </c>
      <c r="C170" s="5" t="str">
        <f t="shared" ca="1" si="180"/>
        <v>Veikla</v>
      </c>
      <c r="D170" t="str">
        <f t="shared" ca="1" si="181"/>
        <v>False</v>
      </c>
      <c r="E170" s="288">
        <v>1.25</v>
      </c>
      <c r="F170" s="288">
        <v>1.1000000000000001</v>
      </c>
      <c r="G170" s="288">
        <v>1</v>
      </c>
      <c r="H170" s="288">
        <v>0.9</v>
      </c>
      <c r="I170" s="288">
        <v>0.75</v>
      </c>
      <c r="J170" s="256">
        <v>0.7</v>
      </c>
      <c r="K170" s="255"/>
      <c r="L170" s="255">
        <v>1.25</v>
      </c>
      <c r="M170" s="255">
        <v>1.1000000000000001</v>
      </c>
      <c r="N170" s="255">
        <v>1</v>
      </c>
      <c r="O170" s="255">
        <v>0.9</v>
      </c>
      <c r="P170" s="255">
        <v>0.75</v>
      </c>
      <c r="Q170" s="255"/>
      <c r="R170" s="255"/>
      <c r="S170" s="255"/>
      <c r="T170" s="255"/>
      <c r="U170" s="255"/>
      <c r="V170" s="255"/>
      <c r="W170" s="255"/>
      <c r="X170" s="255"/>
      <c r="Y170" s="255"/>
      <c r="Z170" s="255"/>
      <c r="AA170" s="255"/>
      <c r="AB170" s="255"/>
      <c r="AC170" s="255"/>
      <c r="AD170" s="255"/>
      <c r="AE170" s="255"/>
      <c r="AF170" s="287"/>
      <c r="AG170" s="287"/>
      <c r="AH170" s="287"/>
      <c r="AI170" s="287"/>
      <c r="AJ170" s="287"/>
      <c r="AK170" s="287"/>
      <c r="AL170" s="287"/>
      <c r="AM170" s="287"/>
      <c r="AN170" s="287"/>
      <c r="AO170" s="287"/>
      <c r="AP170" s="287"/>
      <c r="AQ170" s="287"/>
      <c r="AR170" s="287"/>
      <c r="AS170" s="287"/>
      <c r="AT170" s="287"/>
      <c r="AU170" s="287"/>
      <c r="AV170" s="287"/>
      <c r="AW170" s="287"/>
      <c r="AX170" s="287"/>
      <c r="AY170" s="287"/>
      <c r="AZ170" s="287"/>
      <c r="BA170" s="287"/>
      <c r="BB170" s="287"/>
      <c r="BC170" s="287"/>
      <c r="BD170" s="287"/>
      <c r="BE170" s="287"/>
      <c r="BF170" s="287"/>
    </row>
    <row r="171" spans="2:58" hidden="1">
      <c r="B171" s="5" t="s">
        <v>292</v>
      </c>
      <c r="C171" s="5" t="str">
        <f t="shared" ca="1" si="180"/>
        <v>Veikla</v>
      </c>
      <c r="D171" t="str">
        <f t="shared" ca="1" si="181"/>
        <v>False</v>
      </c>
      <c r="E171" s="288">
        <v>1.25</v>
      </c>
      <c r="F171" s="288">
        <v>1.1000000000000001</v>
      </c>
      <c r="G171" s="288">
        <v>1</v>
      </c>
      <c r="H171" s="288">
        <v>0.9</v>
      </c>
      <c r="I171" s="288">
        <v>0.75</v>
      </c>
      <c r="J171" s="256">
        <v>0.75</v>
      </c>
      <c r="K171" s="255"/>
      <c r="L171" s="255">
        <v>1.25</v>
      </c>
      <c r="M171" s="255">
        <v>1.1000000000000001</v>
      </c>
      <c r="N171" s="255">
        <v>1</v>
      </c>
      <c r="O171" s="255">
        <v>0.9</v>
      </c>
      <c r="P171" s="255">
        <v>0.75</v>
      </c>
      <c r="Q171" s="255"/>
      <c r="R171" s="255"/>
      <c r="S171" s="255"/>
      <c r="T171" s="255"/>
      <c r="U171" s="255"/>
      <c r="V171" s="255"/>
      <c r="W171" s="255"/>
      <c r="X171" s="255"/>
      <c r="Y171" s="255"/>
      <c r="Z171" s="255"/>
      <c r="AA171" s="255"/>
      <c r="AB171" s="255"/>
      <c r="AC171" s="255"/>
      <c r="AD171" s="255"/>
      <c r="AE171" s="255"/>
      <c r="AF171" s="287"/>
      <c r="AG171" s="287"/>
      <c r="AH171" s="287"/>
      <c r="AI171" s="287"/>
      <c r="AJ171" s="287"/>
      <c r="AK171" s="287"/>
      <c r="AL171" s="287"/>
      <c r="AM171" s="287"/>
      <c r="AN171" s="287"/>
      <c r="AO171" s="287"/>
      <c r="AP171" s="287"/>
      <c r="AQ171" s="287"/>
      <c r="AR171" s="287"/>
      <c r="AS171" s="287"/>
      <c r="AT171" s="287"/>
      <c r="AU171" s="287"/>
      <c r="AV171" s="287"/>
      <c r="AW171" s="287"/>
      <c r="AX171" s="287"/>
      <c r="AY171" s="287"/>
      <c r="AZ171" s="287"/>
      <c r="BA171" s="287"/>
      <c r="BB171" s="287"/>
      <c r="BC171" s="287"/>
      <c r="BD171" s="287"/>
      <c r="BE171" s="287"/>
      <c r="BF171" s="287"/>
    </row>
    <row r="172" spans="2:58" hidden="1">
      <c r="B172" s="5" t="s">
        <v>293</v>
      </c>
      <c r="C172" s="5" t="str">
        <f t="shared" ca="1" si="180"/>
        <v>Veikla</v>
      </c>
      <c r="D172" t="str">
        <f t="shared" ca="1" si="181"/>
        <v>False</v>
      </c>
      <c r="E172" s="288">
        <v>1.25</v>
      </c>
      <c r="F172" s="288">
        <v>1.1000000000000001</v>
      </c>
      <c r="G172" s="288">
        <v>1</v>
      </c>
      <c r="H172" s="288">
        <v>0.9</v>
      </c>
      <c r="I172" s="288">
        <v>0.75</v>
      </c>
      <c r="J172" s="256">
        <v>0.8</v>
      </c>
      <c r="K172" s="255"/>
      <c r="L172" s="255">
        <v>1.25</v>
      </c>
      <c r="M172" s="255">
        <v>1.1000000000000001</v>
      </c>
      <c r="N172" s="255">
        <v>1</v>
      </c>
      <c r="O172" s="255">
        <v>0.9</v>
      </c>
      <c r="P172" s="255">
        <v>0.75</v>
      </c>
      <c r="Q172" s="255"/>
      <c r="R172" s="255"/>
      <c r="S172" s="255"/>
      <c r="T172" s="255"/>
      <c r="U172" s="255"/>
      <c r="V172" s="255"/>
      <c r="W172" s="255"/>
      <c r="X172" s="255"/>
      <c r="Y172" s="255"/>
      <c r="Z172" s="255"/>
      <c r="AA172" s="255"/>
      <c r="AB172" s="255"/>
      <c r="AC172" s="255"/>
      <c r="AD172" s="255"/>
      <c r="AE172" s="255"/>
      <c r="AF172" s="287"/>
      <c r="AG172" s="287"/>
      <c r="AH172" s="287"/>
      <c r="AI172" s="287"/>
      <c r="AJ172" s="287"/>
      <c r="AK172" s="287"/>
      <c r="AL172" s="287"/>
      <c r="AM172" s="287"/>
      <c r="AN172" s="287"/>
      <c r="AO172" s="287"/>
      <c r="AP172" s="287"/>
      <c r="AQ172" s="287"/>
      <c r="AR172" s="287"/>
      <c r="AS172" s="287"/>
      <c r="AT172" s="287"/>
      <c r="AU172" s="287"/>
      <c r="AV172" s="287"/>
      <c r="AW172" s="287"/>
      <c r="AX172" s="287"/>
      <c r="AY172" s="287"/>
      <c r="AZ172" s="287"/>
      <c r="BA172" s="287"/>
      <c r="BB172" s="287"/>
      <c r="BC172" s="287"/>
      <c r="BD172" s="287"/>
      <c r="BE172" s="287"/>
      <c r="BF172" s="287"/>
    </row>
    <row r="173" spans="2:58" hidden="1">
      <c r="B173" s="5" t="s">
        <v>294</v>
      </c>
      <c r="C173" s="5" t="str">
        <f t="shared" ca="1" si="180"/>
        <v>Veikla</v>
      </c>
      <c r="D173" t="str">
        <f t="shared" ca="1" si="181"/>
        <v>False</v>
      </c>
      <c r="E173" s="288">
        <v>1.25</v>
      </c>
      <c r="F173" s="288">
        <v>1.1000000000000001</v>
      </c>
      <c r="G173" s="288">
        <v>1</v>
      </c>
      <c r="H173" s="288">
        <v>0.9</v>
      </c>
      <c r="I173" s="288">
        <v>0.75</v>
      </c>
      <c r="J173" s="256">
        <v>0.85</v>
      </c>
      <c r="K173" s="255"/>
      <c r="L173" s="255">
        <v>1.25</v>
      </c>
      <c r="M173" s="255">
        <v>1.1000000000000001</v>
      </c>
      <c r="N173" s="255">
        <v>1</v>
      </c>
      <c r="O173" s="255">
        <v>0.9</v>
      </c>
      <c r="P173" s="255">
        <v>0.75</v>
      </c>
      <c r="Q173" s="255"/>
      <c r="R173" s="255"/>
      <c r="S173" s="255"/>
      <c r="T173" s="255"/>
      <c r="U173" s="255"/>
      <c r="V173" s="255"/>
      <c r="W173" s="255"/>
      <c r="X173" s="255"/>
      <c r="Y173" s="255"/>
      <c r="Z173" s="255"/>
      <c r="AA173" s="255"/>
      <c r="AB173" s="255"/>
      <c r="AC173" s="255"/>
      <c r="AD173" s="255"/>
      <c r="AE173" s="255"/>
      <c r="AF173" s="287"/>
      <c r="AG173" s="287"/>
      <c r="AH173" s="287"/>
      <c r="AI173" s="287"/>
      <c r="AJ173" s="287"/>
      <c r="AK173" s="287"/>
      <c r="AL173" s="287"/>
      <c r="AM173" s="287"/>
      <c r="AN173" s="287"/>
      <c r="AO173" s="287"/>
      <c r="AP173" s="287"/>
      <c r="AQ173" s="287"/>
      <c r="AR173" s="287"/>
      <c r="AS173" s="287"/>
      <c r="AT173" s="287"/>
      <c r="AU173" s="287"/>
      <c r="AV173" s="287"/>
      <c r="AW173" s="287"/>
      <c r="AX173" s="287"/>
      <c r="AY173" s="287"/>
      <c r="AZ173" s="287"/>
      <c r="BA173" s="287"/>
      <c r="BB173" s="287"/>
      <c r="BC173" s="287"/>
      <c r="BD173" s="287"/>
      <c r="BE173" s="287"/>
      <c r="BF173" s="287"/>
    </row>
    <row r="174" spans="2:58" hidden="1">
      <c r="B174" s="5" t="s">
        <v>295</v>
      </c>
      <c r="C174" s="5" t="str">
        <f t="shared" ca="1" si="180"/>
        <v>Reinvesticijos (po priemonės įgyvendinimo)</v>
      </c>
      <c r="D174" t="str">
        <f t="shared" ca="1" si="181"/>
        <v>False</v>
      </c>
      <c r="E174" s="288">
        <v>1.25</v>
      </c>
      <c r="F174" s="288">
        <v>1.1000000000000001</v>
      </c>
      <c r="G174" s="288">
        <v>1</v>
      </c>
      <c r="H174" s="288">
        <v>0.9</v>
      </c>
      <c r="I174" s="288">
        <v>0.75</v>
      </c>
      <c r="J174" s="256">
        <v>0.9</v>
      </c>
      <c r="K174" s="255"/>
      <c r="L174" s="255">
        <v>1.25</v>
      </c>
      <c r="M174" s="255">
        <v>1.1000000000000001</v>
      </c>
      <c r="N174" s="255">
        <v>1</v>
      </c>
      <c r="O174" s="255">
        <v>0.9</v>
      </c>
      <c r="P174" s="255">
        <v>0.75</v>
      </c>
      <c r="Q174" s="255"/>
      <c r="R174" s="255"/>
      <c r="S174" s="255"/>
      <c r="T174" s="255"/>
      <c r="U174" s="255"/>
      <c r="V174" s="255"/>
      <c r="W174" s="255"/>
      <c r="X174" s="255"/>
      <c r="Y174" s="255"/>
      <c r="Z174" s="255"/>
      <c r="AA174" s="255"/>
      <c r="AB174" s="255"/>
      <c r="AC174" s="255"/>
      <c r="AD174" s="255"/>
      <c r="AE174" s="255"/>
      <c r="AF174" s="287"/>
      <c r="AG174" s="287"/>
      <c r="AH174" s="287"/>
      <c r="AI174" s="287"/>
      <c r="AJ174" s="287"/>
      <c r="AK174" s="287"/>
      <c r="AL174" s="287"/>
      <c r="AM174" s="287"/>
      <c r="AN174" s="287"/>
      <c r="AO174" s="287"/>
      <c r="AP174" s="287"/>
      <c r="AQ174" s="287"/>
      <c r="AR174" s="287"/>
      <c r="AS174" s="287"/>
      <c r="AT174" s="287"/>
      <c r="AU174" s="287"/>
      <c r="AV174" s="287"/>
      <c r="AW174" s="287"/>
      <c r="AX174" s="287"/>
      <c r="AY174" s="287"/>
      <c r="AZ174" s="287"/>
      <c r="BA174" s="287"/>
      <c r="BB174" s="287"/>
      <c r="BC174" s="287"/>
      <c r="BD174" s="287"/>
      <c r="BE174" s="287"/>
      <c r="BF174" s="287"/>
    </row>
    <row r="175" spans="2:58" hidden="1">
      <c r="B175" s="5" t="s">
        <v>296</v>
      </c>
      <c r="C175" s="5" t="str">
        <f t="shared" ca="1" si="180"/>
        <v>Likutinė vertė</v>
      </c>
      <c r="D175" t="str">
        <f t="shared" ca="1" si="181"/>
        <v>False</v>
      </c>
      <c r="E175" s="288">
        <v>0.75</v>
      </c>
      <c r="F175" s="288">
        <v>0.9</v>
      </c>
      <c r="G175" s="288">
        <v>1</v>
      </c>
      <c r="H175" s="288">
        <v>1.1000000000000001</v>
      </c>
      <c r="I175" s="288">
        <v>1.25</v>
      </c>
      <c r="J175" s="256">
        <v>0.95</v>
      </c>
      <c r="K175" s="255"/>
      <c r="L175" s="255">
        <v>0.75</v>
      </c>
      <c r="M175" s="255">
        <v>0.9</v>
      </c>
      <c r="N175" s="255">
        <v>1</v>
      </c>
      <c r="O175" s="255">
        <v>1.1000000000000001</v>
      </c>
      <c r="P175" s="255">
        <v>1.25</v>
      </c>
      <c r="Q175" s="255"/>
      <c r="R175" s="255"/>
      <c r="S175" s="255"/>
      <c r="T175" s="255"/>
      <c r="U175" s="255"/>
      <c r="V175" s="255"/>
      <c r="W175" s="255"/>
      <c r="X175" s="255"/>
      <c r="Y175" s="255"/>
      <c r="Z175" s="255"/>
      <c r="AA175" s="255"/>
      <c r="AB175" s="255"/>
      <c r="AC175" s="255"/>
      <c r="AD175" s="255"/>
      <c r="AE175" s="255"/>
      <c r="AF175" s="287"/>
      <c r="AG175" s="287"/>
      <c r="AH175" s="287"/>
      <c r="AI175" s="287"/>
      <c r="AJ175" s="287"/>
      <c r="AK175" s="287"/>
      <c r="AL175" s="287"/>
      <c r="AM175" s="287"/>
      <c r="AN175" s="287"/>
      <c r="AO175" s="287"/>
      <c r="AP175" s="287"/>
      <c r="AQ175" s="287"/>
      <c r="AR175" s="287"/>
      <c r="AS175" s="287"/>
      <c r="AT175" s="287"/>
      <c r="AU175" s="287"/>
      <c r="AV175" s="287"/>
      <c r="AW175" s="287"/>
      <c r="AX175" s="287"/>
      <c r="AY175" s="287"/>
      <c r="AZ175" s="287"/>
      <c r="BA175" s="287"/>
      <c r="BB175" s="287"/>
      <c r="BC175" s="287"/>
      <c r="BD175" s="287"/>
      <c r="BE175" s="287"/>
      <c r="BF175" s="287"/>
    </row>
    <row r="176" spans="2:58" hidden="1">
      <c r="B176" s="5" t="s">
        <v>297</v>
      </c>
      <c r="C176" s="5" t="str">
        <f t="shared" ca="1" si="180"/>
        <v>Veikla</v>
      </c>
      <c r="D176" t="str">
        <f t="shared" ca="1" si="181"/>
        <v>False</v>
      </c>
      <c r="E176" s="288">
        <v>1.25</v>
      </c>
      <c r="F176" s="288">
        <v>1.1000000000000001</v>
      </c>
      <c r="G176" s="288">
        <v>1</v>
      </c>
      <c r="H176" s="288">
        <v>0.9</v>
      </c>
      <c r="I176" s="288">
        <v>0.75</v>
      </c>
      <c r="J176" s="256">
        <v>1</v>
      </c>
      <c r="K176" s="255"/>
      <c r="L176" s="255">
        <v>1.25</v>
      </c>
      <c r="M176" s="255">
        <v>1.1000000000000001</v>
      </c>
      <c r="N176" s="255">
        <v>1</v>
      </c>
      <c r="O176" s="255">
        <v>0.9</v>
      </c>
      <c r="P176" s="255">
        <v>0.75</v>
      </c>
      <c r="Q176" s="255"/>
      <c r="R176" s="255"/>
      <c r="S176" s="255"/>
      <c r="T176" s="255"/>
      <c r="U176" s="255"/>
      <c r="V176" s="255"/>
      <c r="W176" s="255"/>
      <c r="X176" s="255"/>
      <c r="Y176" s="255"/>
      <c r="Z176" s="255"/>
      <c r="AA176" s="255"/>
      <c r="AB176" s="255"/>
      <c r="AC176" s="255"/>
      <c r="AD176" s="255"/>
      <c r="AE176" s="255"/>
      <c r="AF176" s="287"/>
      <c r="AG176" s="287"/>
      <c r="AH176" s="287"/>
      <c r="AI176" s="287"/>
      <c r="AJ176" s="287"/>
      <c r="AK176" s="287"/>
      <c r="AL176" s="287"/>
      <c r="AM176" s="287"/>
      <c r="AN176" s="287"/>
      <c r="AO176" s="287"/>
      <c r="AP176" s="287"/>
      <c r="AQ176" s="287"/>
      <c r="AR176" s="287"/>
      <c r="AS176" s="287"/>
      <c r="AT176" s="287"/>
      <c r="AU176" s="287"/>
      <c r="AV176" s="287"/>
      <c r="AW176" s="287"/>
      <c r="AX176" s="287"/>
      <c r="AY176" s="287"/>
      <c r="AZ176" s="287"/>
      <c r="BA176" s="287"/>
      <c r="BB176" s="287"/>
      <c r="BC176" s="287"/>
      <c r="BD176" s="287"/>
      <c r="BE176" s="287"/>
      <c r="BF176" s="287"/>
    </row>
    <row r="177" spans="2:58" hidden="1">
      <c r="B177" s="5" t="s">
        <v>298</v>
      </c>
      <c r="C177" s="5" t="str">
        <f t="shared" ca="1" si="180"/>
        <v>Veikla</v>
      </c>
      <c r="D177" t="str">
        <f t="shared" ca="1" si="181"/>
        <v>False</v>
      </c>
      <c r="E177" s="288">
        <v>1.25</v>
      </c>
      <c r="F177" s="288">
        <v>1.1000000000000001</v>
      </c>
      <c r="G177" s="288">
        <v>1</v>
      </c>
      <c r="H177" s="288">
        <v>0.9</v>
      </c>
      <c r="I177" s="288">
        <v>0.75</v>
      </c>
      <c r="J177" s="256">
        <v>1.05</v>
      </c>
      <c r="K177" s="255"/>
      <c r="L177" s="255">
        <v>1.25</v>
      </c>
      <c r="M177" s="255">
        <v>1.1000000000000001</v>
      </c>
      <c r="N177" s="255">
        <v>1</v>
      </c>
      <c r="O177" s="255">
        <v>0.9</v>
      </c>
      <c r="P177" s="255">
        <v>0.75</v>
      </c>
      <c r="Q177" s="255"/>
      <c r="R177" s="255"/>
      <c r="S177" s="255"/>
      <c r="T177" s="255"/>
      <c r="U177" s="255"/>
      <c r="V177" s="255"/>
      <c r="W177" s="255"/>
      <c r="X177" s="255"/>
      <c r="Y177" s="255"/>
      <c r="Z177" s="255"/>
      <c r="AA177" s="255"/>
      <c r="AB177" s="255"/>
      <c r="AC177" s="255"/>
      <c r="AD177" s="255"/>
      <c r="AE177" s="255"/>
      <c r="AF177" s="287"/>
      <c r="AG177" s="287"/>
      <c r="AH177" s="287"/>
      <c r="AI177" s="287"/>
      <c r="AJ177" s="287"/>
      <c r="AK177" s="287"/>
      <c r="AL177" s="287"/>
      <c r="AM177" s="287"/>
      <c r="AN177" s="287"/>
      <c r="AO177" s="287"/>
      <c r="AP177" s="287"/>
      <c r="AQ177" s="287"/>
      <c r="AR177" s="287"/>
      <c r="AS177" s="287"/>
      <c r="AT177" s="287"/>
      <c r="AU177" s="287"/>
      <c r="AV177" s="287"/>
      <c r="AW177" s="287"/>
      <c r="AX177" s="287"/>
      <c r="AY177" s="287"/>
      <c r="AZ177" s="287"/>
      <c r="BA177" s="287"/>
      <c r="BB177" s="287"/>
      <c r="BC177" s="287"/>
      <c r="BD177" s="287"/>
      <c r="BE177" s="287"/>
      <c r="BF177" s="287"/>
    </row>
    <row r="178" spans="2:58" hidden="1">
      <c r="B178" s="5" t="s">
        <v>299</v>
      </c>
      <c r="C178" s="5" t="str">
        <f t="shared" ca="1" si="180"/>
        <v>Veikla</v>
      </c>
      <c r="D178" t="str">
        <f t="shared" ca="1" si="181"/>
        <v>False</v>
      </c>
      <c r="E178" s="288">
        <v>1.25</v>
      </c>
      <c r="F178" s="288">
        <v>1.1000000000000001</v>
      </c>
      <c r="G178" s="288">
        <v>1</v>
      </c>
      <c r="H178" s="288">
        <v>0.9</v>
      </c>
      <c r="I178" s="288">
        <v>0.75</v>
      </c>
      <c r="J178" s="256">
        <v>1.1000000000000001</v>
      </c>
      <c r="K178" s="255"/>
      <c r="L178" s="255">
        <v>1.25</v>
      </c>
      <c r="M178" s="255">
        <v>1.1000000000000001</v>
      </c>
      <c r="N178" s="255">
        <v>1</v>
      </c>
      <c r="O178" s="255">
        <v>0.9</v>
      </c>
      <c r="P178" s="255">
        <v>0.75</v>
      </c>
      <c r="Q178" s="255"/>
      <c r="R178" s="255"/>
      <c r="S178" s="255"/>
      <c r="T178" s="255"/>
      <c r="U178" s="255"/>
      <c r="V178" s="255"/>
      <c r="W178" s="255"/>
      <c r="X178" s="255"/>
      <c r="Y178" s="255"/>
      <c r="Z178" s="255"/>
      <c r="AA178" s="255"/>
      <c r="AB178" s="255"/>
      <c r="AC178" s="255"/>
      <c r="AD178" s="255"/>
      <c r="AE178" s="255"/>
      <c r="AF178" s="287"/>
      <c r="AG178" s="287"/>
      <c r="AH178" s="287"/>
      <c r="AI178" s="287"/>
      <c r="AJ178" s="287"/>
      <c r="AK178" s="287"/>
      <c r="AL178" s="287"/>
      <c r="AM178" s="287"/>
      <c r="AN178" s="287"/>
      <c r="AO178" s="287"/>
      <c r="AP178" s="287"/>
      <c r="AQ178" s="287"/>
      <c r="AR178" s="287"/>
      <c r="AS178" s="287"/>
      <c r="AT178" s="287"/>
      <c r="AU178" s="287"/>
      <c r="AV178" s="287"/>
      <c r="AW178" s="287"/>
      <c r="AX178" s="287"/>
      <c r="AY178" s="287"/>
      <c r="AZ178" s="287"/>
      <c r="BA178" s="287"/>
      <c r="BB178" s="287"/>
      <c r="BC178" s="287"/>
      <c r="BD178" s="287"/>
      <c r="BE178" s="287"/>
      <c r="BF178" s="287"/>
    </row>
    <row r="179" spans="2:58" hidden="1">
      <c r="B179" s="5" t="s">
        <v>300</v>
      </c>
      <c r="C179" s="5" t="str">
        <f t="shared" ca="1" si="180"/>
        <v>Veikla</v>
      </c>
      <c r="D179" t="str">
        <f t="shared" ca="1" si="181"/>
        <v>False</v>
      </c>
      <c r="E179" s="288">
        <v>1.25</v>
      </c>
      <c r="F179" s="288">
        <v>1.1000000000000001</v>
      </c>
      <c r="G179" s="288">
        <v>1</v>
      </c>
      <c r="H179" s="288">
        <v>0.9</v>
      </c>
      <c r="I179" s="288">
        <v>0.75</v>
      </c>
      <c r="J179" s="256">
        <v>1.1499999999999999</v>
      </c>
      <c r="K179" s="255"/>
      <c r="L179" s="255">
        <v>1.25</v>
      </c>
      <c r="M179" s="255">
        <v>1.1000000000000001</v>
      </c>
      <c r="N179" s="255">
        <v>1</v>
      </c>
      <c r="O179" s="255">
        <v>0.9</v>
      </c>
      <c r="P179" s="255">
        <v>0.75</v>
      </c>
      <c r="Q179" s="255"/>
      <c r="R179" s="255"/>
      <c r="S179" s="255"/>
      <c r="T179" s="255"/>
      <c r="U179" s="255"/>
      <c r="V179" s="255"/>
      <c r="W179" s="255"/>
      <c r="X179" s="255"/>
      <c r="Y179" s="255"/>
      <c r="Z179" s="255"/>
      <c r="AA179" s="255"/>
      <c r="AB179" s="255"/>
      <c r="AC179" s="255"/>
      <c r="AD179" s="255"/>
      <c r="AE179" s="255"/>
      <c r="AF179" s="287"/>
      <c r="AG179" s="287"/>
      <c r="AH179" s="287"/>
      <c r="AI179" s="287"/>
      <c r="AJ179" s="287"/>
      <c r="AK179" s="287"/>
      <c r="AL179" s="287"/>
      <c r="AM179" s="287"/>
      <c r="AN179" s="287"/>
      <c r="AO179" s="287"/>
      <c r="AP179" s="287"/>
      <c r="AQ179" s="287"/>
      <c r="AR179" s="287"/>
      <c r="AS179" s="287"/>
      <c r="AT179" s="287"/>
      <c r="AU179" s="287"/>
      <c r="AV179" s="287"/>
      <c r="AW179" s="287"/>
      <c r="AX179" s="287"/>
      <c r="AY179" s="287"/>
      <c r="AZ179" s="287"/>
      <c r="BA179" s="287"/>
      <c r="BB179" s="287"/>
      <c r="BC179" s="287"/>
      <c r="BD179" s="287"/>
      <c r="BE179" s="287"/>
      <c r="BF179" s="287"/>
    </row>
    <row r="180" spans="2:58" hidden="1">
      <c r="B180" s="5" t="s">
        <v>301</v>
      </c>
      <c r="C180" s="5" t="str">
        <f t="shared" ca="1" si="180"/>
        <v>Veikla</v>
      </c>
      <c r="D180" t="str">
        <f t="shared" ca="1" si="181"/>
        <v>False</v>
      </c>
      <c r="E180" s="288">
        <v>1.25</v>
      </c>
      <c r="F180" s="288">
        <v>1.1000000000000001</v>
      </c>
      <c r="G180" s="288">
        <v>1</v>
      </c>
      <c r="H180" s="288">
        <v>0.9</v>
      </c>
      <c r="I180" s="288">
        <v>0.75</v>
      </c>
      <c r="J180" s="256">
        <v>1.2</v>
      </c>
      <c r="K180" s="255"/>
      <c r="L180" s="255">
        <v>1.25</v>
      </c>
      <c r="M180" s="255">
        <v>1.1000000000000001</v>
      </c>
      <c r="N180" s="255">
        <v>1</v>
      </c>
      <c r="O180" s="255">
        <v>0.9</v>
      </c>
      <c r="P180" s="255">
        <v>0.75</v>
      </c>
      <c r="Q180" s="255"/>
      <c r="R180" s="255"/>
      <c r="S180" s="255"/>
      <c r="T180" s="255"/>
      <c r="U180" s="255"/>
      <c r="V180" s="255"/>
      <c r="W180" s="255"/>
      <c r="X180" s="255"/>
      <c r="Y180" s="255"/>
      <c r="Z180" s="255"/>
      <c r="AA180" s="255"/>
      <c r="AB180" s="255"/>
      <c r="AC180" s="255"/>
      <c r="AD180" s="255"/>
      <c r="AE180" s="255"/>
      <c r="AF180" s="287"/>
      <c r="AG180" s="287"/>
      <c r="AH180" s="287"/>
      <c r="AI180" s="287"/>
      <c r="AJ180" s="287"/>
      <c r="AK180" s="287"/>
      <c r="AL180" s="287"/>
      <c r="AM180" s="287"/>
      <c r="AN180" s="287"/>
      <c r="AO180" s="287"/>
      <c r="AP180" s="287"/>
      <c r="AQ180" s="287"/>
      <c r="AR180" s="287"/>
      <c r="AS180" s="287"/>
      <c r="AT180" s="287"/>
      <c r="AU180" s="287"/>
      <c r="AV180" s="287"/>
      <c r="AW180" s="287"/>
      <c r="AX180" s="287"/>
      <c r="AY180" s="287"/>
      <c r="AZ180" s="287"/>
      <c r="BA180" s="287"/>
      <c r="BB180" s="287"/>
      <c r="BC180" s="287"/>
      <c r="BD180" s="287"/>
      <c r="BE180" s="287"/>
      <c r="BF180" s="287"/>
    </row>
    <row r="181" spans="2:58" hidden="1">
      <c r="B181" s="5" t="s">
        <v>302</v>
      </c>
      <c r="C181" s="5" t="str">
        <f t="shared" ca="1" si="180"/>
        <v>Veikla</v>
      </c>
      <c r="D181" t="str">
        <f t="shared" ca="1" si="181"/>
        <v>False</v>
      </c>
      <c r="E181" s="288">
        <v>1.25</v>
      </c>
      <c r="F181" s="288">
        <v>1.1000000000000001</v>
      </c>
      <c r="G181" s="288">
        <v>1</v>
      </c>
      <c r="H181" s="288">
        <v>0.9</v>
      </c>
      <c r="I181" s="288">
        <v>0.75</v>
      </c>
      <c r="J181" s="256">
        <v>1.25</v>
      </c>
      <c r="K181" s="255"/>
      <c r="L181" s="255">
        <v>1.25</v>
      </c>
      <c r="M181" s="255">
        <v>1.1000000000000001</v>
      </c>
      <c r="N181" s="255">
        <v>1</v>
      </c>
      <c r="O181" s="255">
        <v>0.9</v>
      </c>
      <c r="P181" s="255">
        <v>0.75</v>
      </c>
      <c r="Q181" s="255"/>
      <c r="R181" s="255"/>
      <c r="S181" s="255"/>
      <c r="T181" s="255"/>
      <c r="U181" s="255"/>
      <c r="V181" s="255"/>
      <c r="W181" s="255"/>
      <c r="X181" s="255"/>
      <c r="Y181" s="255"/>
      <c r="Z181" s="255"/>
      <c r="AA181" s="255"/>
      <c r="AB181" s="255"/>
      <c r="AC181" s="255"/>
      <c r="AD181" s="255"/>
      <c r="AE181" s="255"/>
      <c r="AF181" s="287"/>
      <c r="AG181" s="287"/>
      <c r="AH181" s="287"/>
      <c r="AI181" s="287"/>
      <c r="AJ181" s="287"/>
      <c r="AK181" s="287"/>
      <c r="AL181" s="287"/>
      <c r="AM181" s="287"/>
      <c r="AN181" s="287"/>
      <c r="AO181" s="287"/>
      <c r="AP181" s="287"/>
      <c r="AQ181" s="287"/>
      <c r="AR181" s="287"/>
      <c r="AS181" s="287"/>
      <c r="AT181" s="287"/>
      <c r="AU181" s="287"/>
      <c r="AV181" s="287"/>
      <c r="AW181" s="287"/>
      <c r="AX181" s="287"/>
      <c r="AY181" s="287"/>
      <c r="AZ181" s="287"/>
      <c r="BA181" s="287"/>
      <c r="BB181" s="287"/>
      <c r="BC181" s="287"/>
      <c r="BD181" s="287"/>
      <c r="BE181" s="287"/>
      <c r="BF181" s="287"/>
    </row>
    <row r="182" spans="2:58" hidden="1">
      <c r="B182" s="5" t="s">
        <v>303</v>
      </c>
      <c r="C182" s="5" t="str">
        <f t="shared" ca="1" si="180"/>
        <v>Veikla</v>
      </c>
      <c r="D182" t="str">
        <f t="shared" ca="1" si="181"/>
        <v>False</v>
      </c>
      <c r="E182" s="288">
        <v>1.25</v>
      </c>
      <c r="F182" s="288">
        <v>1.1000000000000001</v>
      </c>
      <c r="G182" s="288">
        <v>1</v>
      </c>
      <c r="H182" s="288">
        <v>0.9</v>
      </c>
      <c r="I182" s="288">
        <v>0.75</v>
      </c>
      <c r="J182" s="256">
        <v>1.3</v>
      </c>
      <c r="K182" s="255"/>
      <c r="L182" s="255">
        <v>1.25</v>
      </c>
      <c r="M182" s="255">
        <v>1.1000000000000001</v>
      </c>
      <c r="N182" s="255">
        <v>1</v>
      </c>
      <c r="O182" s="255">
        <v>0.9</v>
      </c>
      <c r="P182" s="255">
        <v>0.75</v>
      </c>
      <c r="Q182" s="255"/>
      <c r="R182" s="255"/>
      <c r="S182" s="255"/>
      <c r="T182" s="255"/>
      <c r="U182" s="255"/>
      <c r="V182" s="255"/>
      <c r="W182" s="255"/>
      <c r="X182" s="255"/>
      <c r="Y182" s="255"/>
      <c r="Z182" s="255"/>
      <c r="AA182" s="255"/>
      <c r="AB182" s="255"/>
      <c r="AC182" s="255"/>
      <c r="AD182" s="255"/>
      <c r="AE182" s="255"/>
      <c r="AF182" s="287"/>
      <c r="AG182" s="287"/>
      <c r="AH182" s="287"/>
      <c r="AI182" s="287"/>
      <c r="AJ182" s="287"/>
      <c r="AK182" s="287"/>
      <c r="AL182" s="287"/>
      <c r="AM182" s="287"/>
      <c r="AN182" s="287"/>
      <c r="AO182" s="287"/>
      <c r="AP182" s="287"/>
      <c r="AQ182" s="287"/>
      <c r="AR182" s="287"/>
      <c r="AS182" s="287"/>
      <c r="AT182" s="287"/>
      <c r="AU182" s="287"/>
      <c r="AV182" s="287"/>
      <c r="AW182" s="287"/>
      <c r="AX182" s="287"/>
      <c r="AY182" s="287"/>
      <c r="AZ182" s="287"/>
      <c r="BA182" s="287"/>
      <c r="BB182" s="287"/>
      <c r="BC182" s="287"/>
      <c r="BD182" s="287"/>
      <c r="BE182" s="287"/>
      <c r="BF182" s="287"/>
    </row>
    <row r="183" spans="2:58" hidden="1">
      <c r="B183" s="5" t="s">
        <v>304</v>
      </c>
      <c r="C183" s="5" t="str">
        <f t="shared" ca="1" si="180"/>
        <v>Veikla</v>
      </c>
      <c r="D183" t="str">
        <f t="shared" ca="1" si="181"/>
        <v>False</v>
      </c>
      <c r="E183" s="288">
        <v>1.25</v>
      </c>
      <c r="F183" s="288">
        <v>1.1000000000000001</v>
      </c>
      <c r="G183" s="288">
        <v>1</v>
      </c>
      <c r="H183" s="288">
        <v>0.9</v>
      </c>
      <c r="I183" s="288">
        <v>0.75</v>
      </c>
      <c r="J183" s="256">
        <v>1.35</v>
      </c>
      <c r="K183" s="255"/>
      <c r="L183" s="255">
        <v>1.25</v>
      </c>
      <c r="M183" s="255">
        <v>1.1000000000000001</v>
      </c>
      <c r="N183" s="255">
        <v>1</v>
      </c>
      <c r="O183" s="255">
        <v>0.9</v>
      </c>
      <c r="P183" s="255">
        <v>0.75</v>
      </c>
      <c r="Q183" s="255"/>
      <c r="R183" s="255"/>
      <c r="S183" s="255"/>
      <c r="T183" s="255"/>
      <c r="U183" s="255"/>
      <c r="V183" s="255"/>
      <c r="W183" s="255"/>
      <c r="X183" s="255"/>
      <c r="Y183" s="255"/>
      <c r="Z183" s="255"/>
      <c r="AA183" s="255"/>
      <c r="AB183" s="255"/>
      <c r="AC183" s="255"/>
      <c r="AD183" s="255"/>
      <c r="AE183" s="255"/>
      <c r="AF183" s="287"/>
      <c r="AG183" s="287"/>
      <c r="AH183" s="287"/>
      <c r="AI183" s="287"/>
      <c r="AJ183" s="287"/>
      <c r="AK183" s="287"/>
      <c r="AL183" s="287"/>
      <c r="AM183" s="287"/>
      <c r="AN183" s="287"/>
      <c r="AO183" s="287"/>
      <c r="AP183" s="287"/>
      <c r="AQ183" s="287"/>
      <c r="AR183" s="287"/>
      <c r="AS183" s="287"/>
      <c r="AT183" s="287"/>
      <c r="AU183" s="287"/>
      <c r="AV183" s="287"/>
      <c r="AW183" s="287"/>
      <c r="AX183" s="287"/>
      <c r="AY183" s="287"/>
      <c r="AZ183" s="287"/>
      <c r="BA183" s="287"/>
      <c r="BB183" s="287"/>
      <c r="BC183" s="287"/>
      <c r="BD183" s="287"/>
      <c r="BE183" s="287"/>
      <c r="BF183" s="287"/>
    </row>
    <row r="184" spans="2:58" hidden="1">
      <c r="B184" s="5" t="s">
        <v>305</v>
      </c>
      <c r="C184" s="5" t="str">
        <f t="shared" ca="1" si="180"/>
        <v>Reinvesticijos (po priemonės įgyvendinimo)</v>
      </c>
      <c r="D184" t="str">
        <f t="shared" ca="1" si="181"/>
        <v>False</v>
      </c>
      <c r="E184" s="288">
        <v>1.25</v>
      </c>
      <c r="F184" s="288">
        <v>1.1000000000000001</v>
      </c>
      <c r="G184" s="288">
        <v>1</v>
      </c>
      <c r="H184" s="288">
        <v>0.9</v>
      </c>
      <c r="I184" s="288">
        <v>0.75</v>
      </c>
      <c r="J184" s="256">
        <v>1.4</v>
      </c>
      <c r="K184" s="255"/>
      <c r="L184" s="255">
        <v>1.25</v>
      </c>
      <c r="M184" s="255">
        <v>1.1000000000000001</v>
      </c>
      <c r="N184" s="255">
        <v>1</v>
      </c>
      <c r="O184" s="255">
        <v>0.9</v>
      </c>
      <c r="P184" s="255">
        <v>0.75</v>
      </c>
      <c r="Q184" s="255"/>
      <c r="R184" s="255"/>
      <c r="S184" s="255"/>
      <c r="T184" s="255"/>
      <c r="U184" s="255"/>
      <c r="V184" s="255"/>
      <c r="W184" s="255"/>
      <c r="X184" s="255"/>
      <c r="Y184" s="255"/>
      <c r="Z184" s="255"/>
      <c r="AA184" s="255"/>
      <c r="AB184" s="255"/>
      <c r="AC184" s="255"/>
      <c r="AD184" s="255"/>
      <c r="AE184" s="255"/>
      <c r="AF184" s="287"/>
      <c r="AG184" s="287"/>
      <c r="AH184" s="287"/>
      <c r="AI184" s="287"/>
      <c r="AJ184" s="287"/>
      <c r="AK184" s="287"/>
      <c r="AL184" s="287"/>
      <c r="AM184" s="287"/>
      <c r="AN184" s="287"/>
      <c r="AO184" s="287"/>
      <c r="AP184" s="287"/>
      <c r="AQ184" s="287"/>
      <c r="AR184" s="287"/>
      <c r="AS184" s="287"/>
      <c r="AT184" s="287"/>
      <c r="AU184" s="287"/>
      <c r="AV184" s="287"/>
      <c r="AW184" s="287"/>
      <c r="AX184" s="287"/>
      <c r="AY184" s="287"/>
      <c r="AZ184" s="287"/>
      <c r="BA184" s="287"/>
      <c r="BB184" s="287"/>
      <c r="BC184" s="287"/>
      <c r="BD184" s="287"/>
      <c r="BE184" s="287"/>
      <c r="BF184" s="287"/>
    </row>
    <row r="185" spans="2:58" hidden="1">
      <c r="B185" s="5" t="s">
        <v>306</v>
      </c>
      <c r="C185" s="5" t="str">
        <f t="shared" ca="1" si="180"/>
        <v>Likutinė vertė</v>
      </c>
      <c r="D185" t="str">
        <f t="shared" ca="1" si="181"/>
        <v>False</v>
      </c>
      <c r="E185" s="288">
        <v>0.75</v>
      </c>
      <c r="F185" s="288">
        <v>0.9</v>
      </c>
      <c r="G185" s="288">
        <v>1</v>
      </c>
      <c r="H185" s="288">
        <v>1.1000000000000001</v>
      </c>
      <c r="I185" s="288">
        <v>1.25</v>
      </c>
      <c r="J185" s="256">
        <v>1.45</v>
      </c>
      <c r="K185" s="255"/>
      <c r="L185" s="255">
        <v>0.75</v>
      </c>
      <c r="M185" s="255">
        <v>0.9</v>
      </c>
      <c r="N185" s="255">
        <v>1</v>
      </c>
      <c r="O185" s="255">
        <v>1.1000000000000001</v>
      </c>
      <c r="P185" s="255">
        <v>1.25</v>
      </c>
      <c r="Q185" s="255"/>
      <c r="R185" s="255"/>
      <c r="S185" s="255"/>
      <c r="T185" s="255"/>
      <c r="U185" s="255"/>
      <c r="V185" s="255"/>
      <c r="W185" s="255"/>
      <c r="X185" s="255"/>
      <c r="Y185" s="255"/>
      <c r="Z185" s="255"/>
      <c r="AA185" s="255"/>
      <c r="AB185" s="255"/>
      <c r="AC185" s="255"/>
      <c r="AD185" s="255"/>
      <c r="AE185" s="255"/>
      <c r="AF185" s="287"/>
      <c r="AG185" s="287"/>
      <c r="AH185" s="287"/>
      <c r="AI185" s="287"/>
      <c r="AJ185" s="287"/>
      <c r="AK185" s="287"/>
      <c r="AL185" s="287"/>
      <c r="AM185" s="287"/>
      <c r="AN185" s="287"/>
      <c r="AO185" s="287"/>
      <c r="AP185" s="287"/>
      <c r="AQ185" s="287"/>
      <c r="AR185" s="287"/>
      <c r="AS185" s="287"/>
      <c r="AT185" s="287"/>
      <c r="AU185" s="287"/>
      <c r="AV185" s="287"/>
      <c r="AW185" s="287"/>
      <c r="AX185" s="287"/>
      <c r="AY185" s="287"/>
      <c r="AZ185" s="287"/>
      <c r="BA185" s="287"/>
      <c r="BB185" s="287"/>
      <c r="BC185" s="287"/>
      <c r="BD185" s="287"/>
      <c r="BE185" s="287"/>
      <c r="BF185" s="287"/>
    </row>
    <row r="186" spans="2:58" hidden="1">
      <c r="B186" s="5" t="s">
        <v>307</v>
      </c>
      <c r="C186" s="5" t="str">
        <f t="shared" ca="1" si="180"/>
        <v>Veikla</v>
      </c>
      <c r="D186" t="str">
        <f t="shared" ca="1" si="181"/>
        <v>False</v>
      </c>
      <c r="E186" s="288">
        <v>1.25</v>
      </c>
      <c r="F186" s="288">
        <v>1.1000000000000001</v>
      </c>
      <c r="G186" s="288">
        <v>1</v>
      </c>
      <c r="H186" s="288">
        <v>0.9</v>
      </c>
      <c r="I186" s="288">
        <v>0.75</v>
      </c>
      <c r="J186" s="256">
        <v>1.5</v>
      </c>
      <c r="K186" s="255"/>
      <c r="L186" s="255">
        <v>1.25</v>
      </c>
      <c r="M186" s="255">
        <v>1.1000000000000001</v>
      </c>
      <c r="N186" s="255">
        <v>1</v>
      </c>
      <c r="O186" s="255">
        <v>0.9</v>
      </c>
      <c r="P186" s="255">
        <v>0.75</v>
      </c>
      <c r="Q186" s="255"/>
      <c r="R186" s="255"/>
      <c r="S186" s="255"/>
      <c r="T186" s="255"/>
      <c r="U186" s="255"/>
      <c r="V186" s="255"/>
      <c r="W186" s="255"/>
      <c r="X186" s="255"/>
      <c r="Y186" s="255"/>
      <c r="Z186" s="255"/>
      <c r="AA186" s="255"/>
      <c r="AB186" s="255"/>
      <c r="AC186" s="255"/>
      <c r="AD186" s="255"/>
      <c r="AE186" s="255"/>
      <c r="AF186" s="287"/>
      <c r="AG186" s="287"/>
      <c r="AH186" s="287"/>
      <c r="AI186" s="287"/>
      <c r="AJ186" s="287"/>
      <c r="AK186" s="287"/>
      <c r="AL186" s="287"/>
      <c r="AM186" s="287"/>
      <c r="AN186" s="287"/>
      <c r="AO186" s="287"/>
      <c r="AP186" s="287"/>
      <c r="AQ186" s="287"/>
      <c r="AR186" s="287"/>
      <c r="AS186" s="287"/>
      <c r="AT186" s="287"/>
      <c r="AU186" s="287"/>
      <c r="AV186" s="287"/>
      <c r="AW186" s="287"/>
      <c r="AX186" s="287"/>
      <c r="AY186" s="287"/>
      <c r="AZ186" s="287"/>
      <c r="BA186" s="287"/>
      <c r="BB186" s="287"/>
      <c r="BC186" s="287"/>
      <c r="BD186" s="287"/>
      <c r="BE186" s="287"/>
      <c r="BF186" s="287"/>
    </row>
    <row r="187" spans="2:58" hidden="1">
      <c r="B187" s="5" t="s">
        <v>308</v>
      </c>
      <c r="C187" s="5" t="str">
        <f t="shared" ca="1" si="180"/>
        <v>Veikla</v>
      </c>
      <c r="D187" t="str">
        <f t="shared" ca="1" si="181"/>
        <v>False</v>
      </c>
      <c r="E187" s="288">
        <v>1.25</v>
      </c>
      <c r="F187" s="288">
        <v>1.1000000000000001</v>
      </c>
      <c r="G187" s="288">
        <v>1</v>
      </c>
      <c r="H187" s="288">
        <v>0.9</v>
      </c>
      <c r="I187" s="288">
        <v>0.75</v>
      </c>
      <c r="J187" s="256">
        <v>1.55</v>
      </c>
      <c r="K187" s="255"/>
      <c r="L187" s="255">
        <v>1.25</v>
      </c>
      <c r="M187" s="255">
        <v>1.1000000000000001</v>
      </c>
      <c r="N187" s="255">
        <v>1</v>
      </c>
      <c r="O187" s="255">
        <v>0.9</v>
      </c>
      <c r="P187" s="255">
        <v>0.75</v>
      </c>
      <c r="Q187" s="255"/>
      <c r="R187" s="255"/>
      <c r="S187" s="255"/>
      <c r="T187" s="255"/>
      <c r="U187" s="255"/>
      <c r="V187" s="255"/>
      <c r="W187" s="255"/>
      <c r="X187" s="255"/>
      <c r="Y187" s="255"/>
      <c r="Z187" s="255"/>
      <c r="AA187" s="255"/>
      <c r="AB187" s="255"/>
      <c r="AC187" s="255"/>
      <c r="AD187" s="255"/>
      <c r="AE187" s="255"/>
      <c r="AF187" s="287"/>
      <c r="AG187" s="287"/>
      <c r="AH187" s="287"/>
      <c r="AI187" s="287"/>
      <c r="AJ187" s="287"/>
      <c r="AK187" s="287"/>
      <c r="AL187" s="287"/>
      <c r="AM187" s="287"/>
      <c r="AN187" s="287"/>
      <c r="AO187" s="287"/>
      <c r="AP187" s="287"/>
      <c r="AQ187" s="287"/>
      <c r="AR187" s="287"/>
      <c r="AS187" s="287"/>
      <c r="AT187" s="287"/>
      <c r="AU187" s="287"/>
      <c r="AV187" s="287"/>
      <c r="AW187" s="287"/>
      <c r="AX187" s="287"/>
      <c r="AY187" s="287"/>
      <c r="AZ187" s="287"/>
      <c r="BA187" s="287"/>
      <c r="BB187" s="287"/>
      <c r="BC187" s="287"/>
      <c r="BD187" s="287"/>
      <c r="BE187" s="287"/>
      <c r="BF187" s="287"/>
    </row>
    <row r="188" spans="2:58" hidden="1">
      <c r="B188" s="5" t="s">
        <v>309</v>
      </c>
      <c r="C188" s="5" t="str">
        <f t="shared" ca="1" si="180"/>
        <v>Veikla</v>
      </c>
      <c r="D188" t="str">
        <f t="shared" ca="1" si="181"/>
        <v>False</v>
      </c>
      <c r="E188" s="288">
        <v>1.25</v>
      </c>
      <c r="F188" s="288">
        <v>1.1000000000000001</v>
      </c>
      <c r="G188" s="288">
        <v>1</v>
      </c>
      <c r="H188" s="288">
        <v>0.9</v>
      </c>
      <c r="I188" s="288">
        <v>0.75</v>
      </c>
      <c r="J188" s="256">
        <v>1.6</v>
      </c>
      <c r="K188" s="255"/>
      <c r="L188" s="255">
        <v>1.25</v>
      </c>
      <c r="M188" s="255">
        <v>1.1000000000000001</v>
      </c>
      <c r="N188" s="255">
        <v>1</v>
      </c>
      <c r="O188" s="255">
        <v>0.9</v>
      </c>
      <c r="P188" s="255">
        <v>0.75</v>
      </c>
      <c r="Q188" s="255"/>
      <c r="R188" s="255"/>
      <c r="S188" s="255"/>
      <c r="T188" s="255"/>
      <c r="U188" s="255"/>
      <c r="V188" s="255"/>
      <c r="W188" s="255"/>
      <c r="X188" s="255"/>
      <c r="Y188" s="255"/>
      <c r="Z188" s="255"/>
      <c r="AA188" s="255"/>
      <c r="AB188" s="255"/>
      <c r="AC188" s="255"/>
      <c r="AD188" s="255"/>
      <c r="AE188" s="255"/>
      <c r="AF188" s="287"/>
      <c r="AG188" s="287"/>
      <c r="AH188" s="287"/>
      <c r="AI188" s="287"/>
      <c r="AJ188" s="287"/>
      <c r="AK188" s="287"/>
      <c r="AL188" s="287"/>
      <c r="AM188" s="287"/>
      <c r="AN188" s="287"/>
      <c r="AO188" s="287"/>
      <c r="AP188" s="287"/>
      <c r="AQ188" s="287"/>
      <c r="AR188" s="287"/>
      <c r="AS188" s="287"/>
      <c r="AT188" s="287"/>
      <c r="AU188" s="287"/>
      <c r="AV188" s="287"/>
      <c r="AW188" s="287"/>
      <c r="AX188" s="287"/>
      <c r="AY188" s="287"/>
      <c r="AZ188" s="287"/>
      <c r="BA188" s="287"/>
      <c r="BB188" s="287"/>
      <c r="BC188" s="287"/>
      <c r="BD188" s="287"/>
      <c r="BE188" s="287"/>
      <c r="BF188" s="287"/>
    </row>
    <row r="189" spans="2:58" hidden="1">
      <c r="B189" s="5" t="s">
        <v>310</v>
      </c>
      <c r="C189" s="5" t="str">
        <f t="shared" ca="1" si="180"/>
        <v>Veikla</v>
      </c>
      <c r="D189" t="str">
        <f t="shared" ca="1" si="181"/>
        <v>False</v>
      </c>
      <c r="E189" s="288">
        <v>1.25</v>
      </c>
      <c r="F189" s="288">
        <v>1.1000000000000001</v>
      </c>
      <c r="G189" s="288">
        <v>1</v>
      </c>
      <c r="H189" s="288">
        <v>0.9</v>
      </c>
      <c r="I189" s="288">
        <v>0.75</v>
      </c>
      <c r="J189" s="256">
        <v>1.65</v>
      </c>
      <c r="K189" s="255"/>
      <c r="L189" s="255">
        <v>1.25</v>
      </c>
      <c r="M189" s="255">
        <v>1.1000000000000001</v>
      </c>
      <c r="N189" s="255">
        <v>1</v>
      </c>
      <c r="O189" s="255">
        <v>0.9</v>
      </c>
      <c r="P189" s="255">
        <v>0.75</v>
      </c>
      <c r="Q189" s="255"/>
      <c r="R189" s="255"/>
      <c r="S189" s="255"/>
      <c r="T189" s="255"/>
      <c r="U189" s="255"/>
      <c r="V189" s="255"/>
      <c r="W189" s="255"/>
      <c r="X189" s="255"/>
      <c r="Y189" s="255"/>
      <c r="Z189" s="255"/>
      <c r="AA189" s="255"/>
      <c r="AB189" s="255"/>
      <c r="AC189" s="255"/>
      <c r="AD189" s="255"/>
      <c r="AE189" s="255"/>
      <c r="AF189" s="287"/>
      <c r="AG189" s="287"/>
      <c r="AH189" s="287"/>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row>
    <row r="190" spans="2:58" hidden="1">
      <c r="B190" s="5" t="s">
        <v>311</v>
      </c>
      <c r="C190" s="5" t="str">
        <f t="shared" ca="1" si="180"/>
        <v>Veikla</v>
      </c>
      <c r="D190" t="str">
        <f t="shared" ca="1" si="181"/>
        <v>False</v>
      </c>
      <c r="E190" s="288">
        <v>1.25</v>
      </c>
      <c r="F190" s="288">
        <v>1.1000000000000001</v>
      </c>
      <c r="G190" s="288">
        <v>1</v>
      </c>
      <c r="H190" s="288">
        <v>0.9</v>
      </c>
      <c r="I190" s="288">
        <v>0.75</v>
      </c>
      <c r="J190" s="256">
        <v>1.7</v>
      </c>
      <c r="K190" s="255"/>
      <c r="L190" s="255">
        <v>1.25</v>
      </c>
      <c r="M190" s="255">
        <v>1.1000000000000001</v>
      </c>
      <c r="N190" s="255">
        <v>1</v>
      </c>
      <c r="O190" s="255">
        <v>0.9</v>
      </c>
      <c r="P190" s="255">
        <v>0.75</v>
      </c>
      <c r="Q190" s="255"/>
      <c r="R190" s="255"/>
      <c r="S190" s="255"/>
      <c r="T190" s="255"/>
      <c r="U190" s="255"/>
      <c r="V190" s="255"/>
      <c r="W190" s="255"/>
      <c r="X190" s="255"/>
      <c r="Y190" s="255"/>
      <c r="Z190" s="255"/>
      <c r="AA190" s="255"/>
      <c r="AB190" s="255"/>
      <c r="AC190" s="255"/>
      <c r="AD190" s="255"/>
      <c r="AE190" s="255"/>
      <c r="AF190" s="287"/>
      <c r="AG190" s="287"/>
      <c r="AH190" s="287"/>
      <c r="AI190" s="287"/>
      <c r="AJ190" s="287"/>
      <c r="AK190" s="287"/>
      <c r="AL190" s="287"/>
      <c r="AM190" s="287"/>
      <c r="AN190" s="287"/>
      <c r="AO190" s="287"/>
      <c r="AP190" s="287"/>
      <c r="AQ190" s="287"/>
      <c r="AR190" s="287"/>
      <c r="AS190" s="287"/>
      <c r="AT190" s="287"/>
      <c r="AU190" s="287"/>
      <c r="AV190" s="287"/>
      <c r="AW190" s="287"/>
      <c r="AX190" s="287"/>
      <c r="AY190" s="287"/>
      <c r="AZ190" s="287"/>
      <c r="BA190" s="287"/>
      <c r="BB190" s="287"/>
      <c r="BC190" s="287"/>
      <c r="BD190" s="287"/>
      <c r="BE190" s="287"/>
      <c r="BF190" s="287"/>
    </row>
    <row r="191" spans="2:58" hidden="1">
      <c r="B191" s="5" t="s">
        <v>312</v>
      </c>
      <c r="C191" s="5" t="str">
        <f t="shared" ca="1" si="180"/>
        <v>Veikla</v>
      </c>
      <c r="D191" t="str">
        <f t="shared" ca="1" si="181"/>
        <v>False</v>
      </c>
      <c r="E191" s="288">
        <v>1.25</v>
      </c>
      <c r="F191" s="288">
        <v>1.1000000000000001</v>
      </c>
      <c r="G191" s="288">
        <v>1</v>
      </c>
      <c r="H191" s="288">
        <v>0.9</v>
      </c>
      <c r="I191" s="288">
        <v>0.75</v>
      </c>
      <c r="J191" s="256">
        <v>1.75</v>
      </c>
      <c r="K191" s="255"/>
      <c r="L191" s="255">
        <v>1.25</v>
      </c>
      <c r="M191" s="255">
        <v>1.1000000000000001</v>
      </c>
      <c r="N191" s="255">
        <v>1</v>
      </c>
      <c r="O191" s="255">
        <v>0.9</v>
      </c>
      <c r="P191" s="255">
        <v>0.75</v>
      </c>
      <c r="Q191" s="255"/>
      <c r="R191" s="255"/>
      <c r="S191" s="255"/>
      <c r="T191" s="255"/>
      <c r="U191" s="255"/>
      <c r="V191" s="255"/>
      <c r="W191" s="255"/>
      <c r="X191" s="255"/>
      <c r="Y191" s="255"/>
      <c r="Z191" s="255"/>
      <c r="AA191" s="255"/>
      <c r="AB191" s="255"/>
      <c r="AC191" s="255"/>
      <c r="AD191" s="255"/>
      <c r="AE191" s="255"/>
      <c r="AF191" s="287"/>
      <c r="AG191" s="287"/>
      <c r="AH191" s="287"/>
      <c r="AI191" s="287"/>
      <c r="AJ191" s="287"/>
      <c r="AK191" s="287"/>
      <c r="AL191" s="287"/>
      <c r="AM191" s="287"/>
      <c r="AN191" s="287"/>
      <c r="AO191" s="287"/>
      <c r="AP191" s="287"/>
      <c r="AQ191" s="287"/>
      <c r="AR191" s="287"/>
      <c r="AS191" s="287"/>
      <c r="AT191" s="287"/>
      <c r="AU191" s="287"/>
      <c r="AV191" s="287"/>
      <c r="AW191" s="287"/>
      <c r="AX191" s="287"/>
      <c r="AY191" s="287"/>
      <c r="AZ191" s="287"/>
      <c r="BA191" s="287"/>
      <c r="BB191" s="287"/>
      <c r="BC191" s="287"/>
      <c r="BD191" s="287"/>
      <c r="BE191" s="287"/>
      <c r="BF191" s="287"/>
    </row>
    <row r="192" spans="2:58" hidden="1">
      <c r="B192" s="5" t="s">
        <v>313</v>
      </c>
      <c r="C192" s="5" t="str">
        <f t="shared" ca="1" si="180"/>
        <v>Veikla</v>
      </c>
      <c r="D192" t="str">
        <f t="shared" ca="1" si="181"/>
        <v>False</v>
      </c>
      <c r="E192" s="288">
        <v>1.25</v>
      </c>
      <c r="F192" s="288">
        <v>1.1000000000000001</v>
      </c>
      <c r="G192" s="288">
        <v>1</v>
      </c>
      <c r="H192" s="288">
        <v>0.9</v>
      </c>
      <c r="I192" s="288">
        <v>0.75</v>
      </c>
      <c r="J192" s="256">
        <v>1.8</v>
      </c>
      <c r="K192" s="255"/>
      <c r="L192" s="255">
        <v>1.25</v>
      </c>
      <c r="M192" s="255">
        <v>1.1000000000000001</v>
      </c>
      <c r="N192" s="255">
        <v>1</v>
      </c>
      <c r="O192" s="255">
        <v>0.9</v>
      </c>
      <c r="P192" s="255">
        <v>0.75</v>
      </c>
      <c r="Q192" s="255"/>
      <c r="R192" s="255"/>
      <c r="S192" s="255"/>
      <c r="T192" s="255"/>
      <c r="U192" s="255"/>
      <c r="V192" s="255"/>
      <c r="W192" s="255"/>
      <c r="X192" s="255"/>
      <c r="Y192" s="255"/>
      <c r="Z192" s="255"/>
      <c r="AA192" s="255"/>
      <c r="AB192" s="255"/>
      <c r="AC192" s="255"/>
      <c r="AD192" s="255"/>
      <c r="AE192" s="255"/>
      <c r="AF192" s="287"/>
      <c r="AG192" s="287"/>
      <c r="AH192" s="287"/>
      <c r="AI192" s="287"/>
      <c r="AJ192" s="287"/>
      <c r="AK192" s="287"/>
      <c r="AL192" s="287"/>
      <c r="AM192" s="287"/>
      <c r="AN192" s="287"/>
      <c r="AO192" s="287"/>
      <c r="AP192" s="287"/>
      <c r="AQ192" s="287"/>
      <c r="AR192" s="287"/>
      <c r="AS192" s="287"/>
      <c r="AT192" s="287"/>
      <c r="AU192" s="287"/>
      <c r="AV192" s="287"/>
      <c r="AW192" s="287"/>
      <c r="AX192" s="287"/>
      <c r="AY192" s="287"/>
      <c r="AZ192" s="287"/>
      <c r="BA192" s="287"/>
      <c r="BB192" s="287"/>
      <c r="BC192" s="287"/>
      <c r="BD192" s="287"/>
      <c r="BE192" s="287"/>
      <c r="BF192" s="287"/>
    </row>
    <row r="193" spans="2:58" hidden="1">
      <c r="B193" s="5" t="s">
        <v>314</v>
      </c>
      <c r="C193" s="5" t="str">
        <f t="shared" ca="1" si="180"/>
        <v>Veikla</v>
      </c>
      <c r="D193" t="str">
        <f t="shared" ca="1" si="181"/>
        <v>False</v>
      </c>
      <c r="E193" s="288">
        <v>1.25</v>
      </c>
      <c r="F193" s="288">
        <v>1.1000000000000001</v>
      </c>
      <c r="G193" s="288">
        <v>1</v>
      </c>
      <c r="H193" s="288">
        <v>0.9</v>
      </c>
      <c r="I193" s="288">
        <v>0.75</v>
      </c>
      <c r="J193" s="256">
        <v>1.85</v>
      </c>
      <c r="K193" s="255"/>
      <c r="L193" s="255">
        <v>1.25</v>
      </c>
      <c r="M193" s="255">
        <v>1.1000000000000001</v>
      </c>
      <c r="N193" s="255">
        <v>1</v>
      </c>
      <c r="O193" s="255">
        <v>0.9</v>
      </c>
      <c r="P193" s="255">
        <v>0.75</v>
      </c>
      <c r="Q193" s="255"/>
      <c r="R193" s="255"/>
      <c r="S193" s="255"/>
      <c r="T193" s="255"/>
      <c r="U193" s="255"/>
      <c r="V193" s="255"/>
      <c r="W193" s="255"/>
      <c r="X193" s="255"/>
      <c r="Y193" s="255"/>
      <c r="Z193" s="255"/>
      <c r="AA193" s="255"/>
      <c r="AB193" s="255"/>
      <c r="AC193" s="255"/>
      <c r="AD193" s="255"/>
      <c r="AE193" s="255"/>
      <c r="AF193" s="287"/>
      <c r="AG193" s="287"/>
      <c r="AH193" s="287"/>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row>
    <row r="194" spans="2:58" hidden="1">
      <c r="B194" s="5" t="s">
        <v>315</v>
      </c>
      <c r="C194" s="5" t="str">
        <f t="shared" ca="1" si="180"/>
        <v>Reinvesticijos (po priemonės įgyvendinimo)</v>
      </c>
      <c r="D194" t="str">
        <f t="shared" ca="1" si="181"/>
        <v>False</v>
      </c>
      <c r="E194" s="288">
        <v>1.25</v>
      </c>
      <c r="F194" s="288">
        <v>1.1000000000000001</v>
      </c>
      <c r="G194" s="288">
        <v>1</v>
      </c>
      <c r="H194" s="288">
        <v>0.9</v>
      </c>
      <c r="I194" s="288">
        <v>0.75</v>
      </c>
      <c r="J194" s="256">
        <v>1.9</v>
      </c>
      <c r="K194" s="255"/>
      <c r="L194" s="255">
        <v>1.25</v>
      </c>
      <c r="M194" s="255">
        <v>1.1000000000000001</v>
      </c>
      <c r="N194" s="255">
        <v>1</v>
      </c>
      <c r="O194" s="255">
        <v>0.9</v>
      </c>
      <c r="P194" s="255">
        <v>0.75</v>
      </c>
      <c r="Q194" s="255"/>
      <c r="R194" s="255"/>
      <c r="S194" s="255"/>
      <c r="T194" s="255"/>
      <c r="U194" s="255"/>
      <c r="V194" s="255"/>
      <c r="W194" s="255"/>
      <c r="X194" s="255"/>
      <c r="Y194" s="255"/>
      <c r="Z194" s="255"/>
      <c r="AA194" s="255"/>
      <c r="AB194" s="255"/>
      <c r="AC194" s="255"/>
      <c r="AD194" s="255"/>
      <c r="AE194" s="255"/>
      <c r="AF194" s="287"/>
      <c r="AG194" s="287"/>
      <c r="AH194" s="287"/>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row>
    <row r="195" spans="2:58" hidden="1">
      <c r="B195" s="5" t="s">
        <v>316</v>
      </c>
      <c r="C195" s="5" t="str">
        <f t="shared" ca="1" si="180"/>
        <v>Likutinė vertė</v>
      </c>
      <c r="D195" t="str">
        <f t="shared" ca="1" si="181"/>
        <v>False</v>
      </c>
      <c r="E195" s="288">
        <v>0.75</v>
      </c>
      <c r="F195" s="288">
        <v>0.9</v>
      </c>
      <c r="G195" s="288">
        <v>1</v>
      </c>
      <c r="H195" s="288">
        <v>1.1000000000000001</v>
      </c>
      <c r="I195" s="288">
        <v>1.25</v>
      </c>
      <c r="J195" s="256">
        <v>1.95</v>
      </c>
      <c r="K195" s="255"/>
      <c r="L195" s="255">
        <v>0.75</v>
      </c>
      <c r="M195" s="255">
        <v>0.9</v>
      </c>
      <c r="N195" s="255">
        <v>1</v>
      </c>
      <c r="O195" s="255">
        <v>1.1000000000000001</v>
      </c>
      <c r="P195" s="255">
        <v>1.25</v>
      </c>
      <c r="Q195" s="255"/>
      <c r="R195" s="255"/>
      <c r="S195" s="255"/>
      <c r="T195" s="255"/>
      <c r="U195" s="255"/>
      <c r="V195" s="255"/>
      <c r="W195" s="255"/>
      <c r="X195" s="255"/>
      <c r="Y195" s="255"/>
      <c r="Z195" s="255"/>
      <c r="AA195" s="255"/>
      <c r="AB195" s="255"/>
      <c r="AC195" s="255"/>
      <c r="AD195" s="255"/>
      <c r="AE195" s="255"/>
      <c r="AF195" s="287"/>
      <c r="AG195" s="287"/>
      <c r="AH195" s="287"/>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row>
    <row r="196" spans="2:58" hidden="1">
      <c r="B196" s="5" t="s">
        <v>317</v>
      </c>
      <c r="C196" s="5" t="str">
        <f t="shared" ca="1" si="180"/>
        <v>Ambasados Singapūre įsteigimas</v>
      </c>
      <c r="D196" t="str">
        <f t="shared" ca="1" si="181"/>
        <v>True</v>
      </c>
      <c r="E196" s="288">
        <v>1.25</v>
      </c>
      <c r="F196" s="288">
        <v>1.1000000000000001</v>
      </c>
      <c r="G196" s="288">
        <v>1</v>
      </c>
      <c r="H196" s="288">
        <v>0.9</v>
      </c>
      <c r="I196" s="288">
        <v>0.75</v>
      </c>
      <c r="J196" s="256">
        <v>2</v>
      </c>
      <c r="K196" s="255"/>
      <c r="L196" s="255">
        <v>1.25</v>
      </c>
      <c r="M196" s="255">
        <v>1.1000000000000001</v>
      </c>
      <c r="N196" s="255">
        <v>1</v>
      </c>
      <c r="O196" s="255">
        <v>0.9</v>
      </c>
      <c r="P196" s="255">
        <v>0.75</v>
      </c>
      <c r="Q196" s="255"/>
      <c r="R196" s="255"/>
      <c r="S196" s="255"/>
      <c r="T196" s="255"/>
      <c r="U196" s="255"/>
      <c r="V196" s="255"/>
      <c r="W196" s="255"/>
      <c r="X196" s="255"/>
      <c r="Y196" s="255"/>
      <c r="Z196" s="255"/>
      <c r="AA196" s="255"/>
      <c r="AB196" s="255"/>
      <c r="AC196" s="255"/>
      <c r="AD196" s="255"/>
      <c r="AE196" s="255"/>
      <c r="AF196" s="287"/>
      <c r="AG196" s="287"/>
      <c r="AH196" s="287"/>
      <c r="AI196" s="287"/>
      <c r="AJ196" s="287"/>
      <c r="AK196" s="287"/>
      <c r="AL196" s="287"/>
      <c r="AM196" s="287"/>
      <c r="AN196" s="287"/>
      <c r="AO196" s="287"/>
      <c r="AP196" s="287"/>
      <c r="AQ196" s="287"/>
      <c r="AR196" s="287"/>
      <c r="AS196" s="287"/>
      <c r="AT196" s="287"/>
      <c r="AU196" s="287"/>
      <c r="AV196" s="287"/>
      <c r="AW196" s="287"/>
      <c r="AX196" s="287"/>
      <c r="AY196" s="287"/>
      <c r="AZ196" s="287"/>
      <c r="BA196" s="287"/>
      <c r="BB196" s="287"/>
      <c r="BC196" s="287"/>
      <c r="BD196" s="287"/>
      <c r="BE196" s="287"/>
      <c r="BF196" s="287"/>
    </row>
    <row r="197" spans="2:58" hidden="1">
      <c r="B197" s="5" t="s">
        <v>318</v>
      </c>
      <c r="C197" s="5" t="str">
        <f t="shared" ca="1" si="180"/>
        <v>Ambasadų kitose užsienio valstybėse įsteigimas (politinės/ekonominės svarbos scenarijus)</v>
      </c>
      <c r="D197" t="str">
        <f t="shared" ca="1" si="181"/>
        <v>True</v>
      </c>
      <c r="E197" s="288">
        <v>1.25</v>
      </c>
      <c r="F197" s="288">
        <v>1.1000000000000001</v>
      </c>
      <c r="G197" s="288">
        <v>1</v>
      </c>
      <c r="H197" s="288">
        <v>0.9</v>
      </c>
      <c r="I197" s="288">
        <v>0.75</v>
      </c>
      <c r="J197" s="255"/>
      <c r="K197" s="255"/>
      <c r="L197" s="255">
        <v>1.25</v>
      </c>
      <c r="M197" s="255">
        <v>1.1000000000000001</v>
      </c>
      <c r="N197" s="255">
        <v>1</v>
      </c>
      <c r="O197" s="255">
        <v>0.9</v>
      </c>
      <c r="P197" s="255">
        <v>0.75</v>
      </c>
      <c r="Q197" s="255"/>
      <c r="R197" s="255"/>
      <c r="S197" s="255"/>
      <c r="T197" s="255"/>
      <c r="U197" s="255"/>
      <c r="V197" s="255"/>
      <c r="W197" s="255"/>
      <c r="X197" s="255"/>
      <c r="Y197" s="255"/>
      <c r="Z197" s="255"/>
      <c r="AA197" s="255"/>
      <c r="AB197" s="255"/>
      <c r="AC197" s="255"/>
      <c r="AD197" s="255"/>
      <c r="AE197" s="255"/>
      <c r="AF197" s="287"/>
      <c r="AG197" s="287"/>
      <c r="AH197" s="287"/>
      <c r="AI197" s="287"/>
      <c r="AJ197" s="287"/>
      <c r="AK197" s="287"/>
      <c r="AL197" s="287"/>
      <c r="AM197" s="287"/>
      <c r="AN197" s="287"/>
      <c r="AO197" s="287"/>
      <c r="AP197" s="287"/>
      <c r="AQ197" s="287"/>
      <c r="AR197" s="287"/>
      <c r="AS197" s="287"/>
      <c r="AT197" s="287"/>
      <c r="AU197" s="287"/>
      <c r="AV197" s="287"/>
      <c r="AW197" s="287"/>
      <c r="AX197" s="287"/>
      <c r="AY197" s="287"/>
      <c r="AZ197" s="287"/>
      <c r="BA197" s="287"/>
      <c r="BB197" s="287"/>
      <c r="BC197" s="287"/>
      <c r="BD197" s="287"/>
      <c r="BE197" s="287"/>
      <c r="BF197" s="287"/>
    </row>
    <row r="198" spans="2:58" hidden="1">
      <c r="B198" s="5" t="s">
        <v>319</v>
      </c>
      <c r="C198" s="5" t="str">
        <f t="shared" ca="1" si="180"/>
        <v>Valstybės veiklos tarptautinėse organizacijose pozicijų derinimo, stebėsenos sistemos sukūrimas</v>
      </c>
      <c r="D198" t="str">
        <f t="shared" ca="1" si="181"/>
        <v>True</v>
      </c>
      <c r="E198" s="288">
        <v>1.25</v>
      </c>
      <c r="F198" s="288">
        <v>1.1000000000000001</v>
      </c>
      <c r="G198" s="288">
        <v>1</v>
      </c>
      <c r="H198" s="288">
        <v>0.9</v>
      </c>
      <c r="I198" s="288">
        <v>0.75</v>
      </c>
      <c r="J198" s="255"/>
      <c r="K198" s="255"/>
      <c r="L198" s="255">
        <v>1.25</v>
      </c>
      <c r="M198" s="255">
        <v>1.1000000000000001</v>
      </c>
      <c r="N198" s="255">
        <v>1</v>
      </c>
      <c r="O198" s="255">
        <v>0.9</v>
      </c>
      <c r="P198" s="255">
        <v>0.75</v>
      </c>
      <c r="Q198" s="255"/>
      <c r="R198" s="255"/>
      <c r="S198" s="255"/>
      <c r="T198" s="255"/>
      <c r="U198" s="255"/>
      <c r="V198" s="255"/>
      <c r="W198" s="255"/>
      <c r="X198" s="255"/>
      <c r="Y198" s="255"/>
      <c r="Z198" s="255"/>
      <c r="AA198" s="255"/>
      <c r="AB198" s="255"/>
      <c r="AC198" s="255"/>
      <c r="AD198" s="255"/>
      <c r="AE198" s="255"/>
      <c r="AF198" s="287"/>
      <c r="AG198" s="287"/>
      <c r="AH198" s="287"/>
      <c r="AI198" s="287"/>
      <c r="AJ198" s="287"/>
      <c r="AK198" s="287"/>
      <c r="AL198" s="287"/>
      <c r="AM198" s="287"/>
      <c r="AN198" s="287"/>
      <c r="AO198" s="287"/>
      <c r="AP198" s="287"/>
      <c r="AQ198" s="287"/>
      <c r="AR198" s="287"/>
      <c r="AS198" s="287"/>
      <c r="AT198" s="287"/>
      <c r="AU198" s="287"/>
      <c r="AV198" s="287"/>
      <c r="AW198" s="287"/>
      <c r="AX198" s="287"/>
      <c r="AY198" s="287"/>
      <c r="AZ198" s="287"/>
      <c r="BA198" s="287"/>
      <c r="BB198" s="287"/>
      <c r="BC198" s="287"/>
      <c r="BD198" s="287"/>
      <c r="BE198" s="287"/>
      <c r="BF198" s="287"/>
    </row>
    <row r="199" spans="2:58" hidden="1">
      <c r="B199" s="5" t="s">
        <v>320</v>
      </c>
      <c r="C199" s="5" t="str">
        <f t="shared" ca="1" si="180"/>
        <v/>
      </c>
      <c r="D199" t="str">
        <f t="shared" ca="1" si="181"/>
        <v>False</v>
      </c>
      <c r="E199" s="288">
        <v>1.25</v>
      </c>
      <c r="F199" s="288">
        <v>1.1000000000000001</v>
      </c>
      <c r="G199" s="288">
        <v>1</v>
      </c>
      <c r="H199" s="288">
        <v>0.9</v>
      </c>
      <c r="I199" s="288">
        <v>0.75</v>
      </c>
      <c r="J199" s="255"/>
      <c r="K199" s="255"/>
      <c r="L199" s="255">
        <v>1.25</v>
      </c>
      <c r="M199" s="255">
        <v>1.1000000000000001</v>
      </c>
      <c r="N199" s="255">
        <v>1</v>
      </c>
      <c r="O199" s="255">
        <v>0.9</v>
      </c>
      <c r="P199" s="255">
        <v>0.75</v>
      </c>
      <c r="Q199" s="255"/>
      <c r="R199" s="255"/>
      <c r="S199" s="255"/>
      <c r="T199" s="255"/>
      <c r="U199" s="255"/>
      <c r="V199" s="255"/>
      <c r="W199" s="255"/>
      <c r="X199" s="255"/>
      <c r="Y199" s="255"/>
      <c r="Z199" s="255"/>
      <c r="AA199" s="255"/>
      <c r="AB199" s="255"/>
      <c r="AC199" s="255"/>
      <c r="AD199" s="255"/>
      <c r="AE199" s="255"/>
      <c r="AF199" s="287"/>
      <c r="AG199" s="287"/>
      <c r="AH199" s="287"/>
      <c r="AI199" s="287"/>
      <c r="AJ199" s="287"/>
      <c r="AK199" s="287"/>
      <c r="AL199" s="287"/>
      <c r="AM199" s="287"/>
      <c r="AN199" s="287"/>
      <c r="AO199" s="287"/>
      <c r="AP199" s="287"/>
      <c r="AQ199" s="287"/>
      <c r="AR199" s="287"/>
      <c r="AS199" s="287"/>
      <c r="AT199" s="287"/>
      <c r="AU199" s="287"/>
      <c r="AV199" s="287"/>
      <c r="AW199" s="287"/>
      <c r="AX199" s="287"/>
      <c r="AY199" s="287"/>
      <c r="AZ199" s="287"/>
      <c r="BA199" s="287"/>
      <c r="BB199" s="287"/>
      <c r="BC199" s="287"/>
      <c r="BD199" s="287"/>
      <c r="BE199" s="287"/>
      <c r="BF199" s="287"/>
    </row>
    <row r="200" spans="2:58" hidden="1">
      <c r="B200" s="5" t="s">
        <v>321</v>
      </c>
      <c r="C200" s="5" t="str">
        <f t="shared" ca="1" si="180"/>
        <v/>
      </c>
      <c r="D200" t="str">
        <f t="shared" ca="1" si="181"/>
        <v>False</v>
      </c>
      <c r="E200" s="288">
        <v>1.25</v>
      </c>
      <c r="F200" s="288">
        <v>1.1000000000000001</v>
      </c>
      <c r="G200" s="288">
        <v>1</v>
      </c>
      <c r="H200" s="288">
        <v>0.9</v>
      </c>
      <c r="I200" s="288">
        <v>0.75</v>
      </c>
      <c r="J200" s="255"/>
      <c r="K200" s="255"/>
      <c r="L200" s="255">
        <v>1.25</v>
      </c>
      <c r="M200" s="255">
        <v>1.1000000000000001</v>
      </c>
      <c r="N200" s="255">
        <v>1</v>
      </c>
      <c r="O200" s="255">
        <v>0.9</v>
      </c>
      <c r="P200" s="255">
        <v>0.75</v>
      </c>
      <c r="Q200" s="255"/>
      <c r="R200" s="255"/>
      <c r="S200" s="255"/>
      <c r="T200" s="255"/>
      <c r="U200" s="255"/>
      <c r="V200" s="255"/>
      <c r="W200" s="255"/>
      <c r="X200" s="255"/>
      <c r="Y200" s="255"/>
      <c r="Z200" s="255"/>
      <c r="AA200" s="255"/>
      <c r="AB200" s="255"/>
      <c r="AC200" s="255"/>
      <c r="AD200" s="255"/>
      <c r="AE200" s="255"/>
      <c r="AF200" s="287"/>
      <c r="AG200" s="287"/>
      <c r="AH200" s="287"/>
      <c r="AI200" s="287"/>
      <c r="AJ200" s="287"/>
      <c r="AK200" s="287"/>
      <c r="AL200" s="287"/>
      <c r="AM200" s="287"/>
      <c r="AN200" s="287"/>
      <c r="AO200" s="287"/>
      <c r="AP200" s="287"/>
      <c r="AQ200" s="287"/>
      <c r="AR200" s="287"/>
      <c r="AS200" s="287"/>
      <c r="AT200" s="287"/>
      <c r="AU200" s="287"/>
      <c r="AV200" s="287"/>
      <c r="AW200" s="287"/>
      <c r="AX200" s="287"/>
      <c r="AY200" s="287"/>
      <c r="AZ200" s="287"/>
      <c r="BA200" s="287"/>
      <c r="BB200" s="287"/>
      <c r="BC200" s="287"/>
      <c r="BD200" s="287"/>
      <c r="BE200" s="287"/>
      <c r="BF200" s="287"/>
    </row>
    <row r="201" spans="2:58" hidden="1">
      <c r="B201" s="5" t="s">
        <v>322</v>
      </c>
      <c r="C201" s="5" t="str">
        <f t="shared" ca="1" si="180"/>
        <v/>
      </c>
      <c r="D201" t="str">
        <f t="shared" ca="1" si="181"/>
        <v>False</v>
      </c>
      <c r="E201" s="288">
        <v>1.25</v>
      </c>
      <c r="F201" s="288">
        <v>1.1000000000000001</v>
      </c>
      <c r="G201" s="288">
        <v>1</v>
      </c>
      <c r="H201" s="288">
        <v>0.9</v>
      </c>
      <c r="I201" s="288">
        <v>0.75</v>
      </c>
      <c r="J201" s="255"/>
      <c r="K201" s="255"/>
      <c r="L201" s="255">
        <v>1.25</v>
      </c>
      <c r="M201" s="255">
        <v>1.1000000000000001</v>
      </c>
      <c r="N201" s="255">
        <v>1</v>
      </c>
      <c r="O201" s="255">
        <v>0.9</v>
      </c>
      <c r="P201" s="255">
        <v>0.75</v>
      </c>
      <c r="Q201" s="255"/>
      <c r="R201" s="255"/>
      <c r="S201" s="255"/>
      <c r="T201" s="255"/>
      <c r="U201" s="255"/>
      <c r="V201" s="255"/>
      <c r="W201" s="255"/>
      <c r="X201" s="255"/>
      <c r="Y201" s="255"/>
      <c r="Z201" s="255"/>
      <c r="AA201" s="255"/>
      <c r="AB201" s="255"/>
      <c r="AC201" s="255"/>
      <c r="AD201" s="255"/>
      <c r="AE201" s="255"/>
      <c r="AF201" s="287"/>
      <c r="AG201" s="287"/>
      <c r="AH201" s="287"/>
      <c r="AI201" s="287"/>
      <c r="AJ201" s="287"/>
      <c r="AK201" s="287"/>
      <c r="AL201" s="287"/>
      <c r="AM201" s="287"/>
      <c r="AN201" s="287"/>
      <c r="AO201" s="287"/>
      <c r="AP201" s="287"/>
      <c r="AQ201" s="287"/>
      <c r="AR201" s="287"/>
      <c r="AS201" s="287"/>
      <c r="AT201" s="287"/>
      <c r="AU201" s="287"/>
      <c r="AV201" s="287"/>
      <c r="AW201" s="287"/>
      <c r="AX201" s="287"/>
      <c r="AY201" s="287"/>
      <c r="AZ201" s="287"/>
      <c r="BA201" s="287"/>
      <c r="BB201" s="287"/>
      <c r="BC201" s="287"/>
      <c r="BD201" s="287"/>
      <c r="BE201" s="287"/>
      <c r="BF201" s="287"/>
    </row>
    <row r="202" spans="2:58" hidden="1">
      <c r="B202" s="5" t="s">
        <v>323</v>
      </c>
      <c r="C202" s="5" t="str">
        <f t="shared" ca="1" si="180"/>
        <v/>
      </c>
      <c r="D202" t="str">
        <f t="shared" ca="1" si="181"/>
        <v>False</v>
      </c>
      <c r="E202" s="288">
        <v>1.25</v>
      </c>
      <c r="F202" s="288">
        <v>1.1000000000000001</v>
      </c>
      <c r="G202" s="288">
        <v>1</v>
      </c>
      <c r="H202" s="288">
        <v>0.9</v>
      </c>
      <c r="I202" s="288">
        <v>0.75</v>
      </c>
      <c r="J202" s="255"/>
      <c r="K202" s="255"/>
      <c r="L202" s="255">
        <v>1.25</v>
      </c>
      <c r="M202" s="255">
        <v>1.1000000000000001</v>
      </c>
      <c r="N202" s="255">
        <v>1</v>
      </c>
      <c r="O202" s="255">
        <v>0.9</v>
      </c>
      <c r="P202" s="255">
        <v>0.75</v>
      </c>
      <c r="Q202" s="255"/>
      <c r="R202" s="255"/>
      <c r="S202" s="255"/>
      <c r="T202" s="255"/>
      <c r="U202" s="255"/>
      <c r="V202" s="255"/>
      <c r="W202" s="255"/>
      <c r="X202" s="255"/>
      <c r="Y202" s="255"/>
      <c r="Z202" s="255"/>
      <c r="AA202" s="255"/>
      <c r="AB202" s="255"/>
      <c r="AC202" s="255"/>
      <c r="AD202" s="255"/>
      <c r="AE202" s="255"/>
      <c r="AF202" s="287"/>
      <c r="AG202" s="287"/>
      <c r="AH202" s="287"/>
      <c r="AI202" s="287"/>
      <c r="AJ202" s="287"/>
      <c r="AK202" s="287"/>
      <c r="AL202" s="287"/>
      <c r="AM202" s="287"/>
      <c r="AN202" s="287"/>
      <c r="AO202" s="287"/>
      <c r="AP202" s="287"/>
      <c r="AQ202" s="287"/>
      <c r="AR202" s="287"/>
      <c r="AS202" s="287"/>
      <c r="AT202" s="287"/>
      <c r="AU202" s="287"/>
      <c r="AV202" s="287"/>
      <c r="AW202" s="287"/>
      <c r="AX202" s="287"/>
      <c r="AY202" s="287"/>
      <c r="AZ202" s="287"/>
      <c r="BA202" s="287"/>
      <c r="BB202" s="287"/>
      <c r="BC202" s="287"/>
      <c r="BD202" s="287"/>
      <c r="BE202" s="287"/>
      <c r="BF202" s="287"/>
    </row>
    <row r="203" spans="2:58" hidden="1">
      <c r="B203" s="5" t="s">
        <v>324</v>
      </c>
      <c r="C203" s="5" t="str">
        <f t="shared" ca="1" si="180"/>
        <v>Veikla</v>
      </c>
      <c r="D203" t="str">
        <f t="shared" ca="1" si="181"/>
        <v>False</v>
      </c>
      <c r="E203" s="288">
        <v>1.25</v>
      </c>
      <c r="F203" s="288">
        <v>1.1000000000000001</v>
      </c>
      <c r="G203" s="288">
        <v>1</v>
      </c>
      <c r="H203" s="288">
        <v>0.9</v>
      </c>
      <c r="I203" s="288">
        <v>0.75</v>
      </c>
      <c r="J203" s="255"/>
      <c r="K203" s="255"/>
      <c r="L203" s="255">
        <v>1.25</v>
      </c>
      <c r="M203" s="255">
        <v>1.1000000000000001</v>
      </c>
      <c r="N203" s="255">
        <v>1</v>
      </c>
      <c r="O203" s="255">
        <v>0.9</v>
      </c>
      <c r="P203" s="255">
        <v>0.75</v>
      </c>
      <c r="Q203" s="255"/>
      <c r="R203" s="255"/>
      <c r="S203" s="255"/>
      <c r="T203" s="255"/>
      <c r="U203" s="255"/>
      <c r="V203" s="255"/>
      <c r="W203" s="255"/>
      <c r="X203" s="255"/>
      <c r="Y203" s="255"/>
      <c r="Z203" s="255"/>
      <c r="AA203" s="255"/>
      <c r="AB203" s="255"/>
      <c r="AC203" s="255"/>
      <c r="AD203" s="255"/>
      <c r="AE203" s="255"/>
      <c r="AF203" s="287"/>
      <c r="AG203" s="287"/>
      <c r="AH203" s="287"/>
      <c r="AI203" s="287"/>
      <c r="AJ203" s="287"/>
      <c r="AK203" s="287"/>
      <c r="AL203" s="287"/>
      <c r="AM203" s="287"/>
      <c r="AN203" s="287"/>
      <c r="AO203" s="287"/>
      <c r="AP203" s="287"/>
      <c r="AQ203" s="287"/>
      <c r="AR203" s="287"/>
      <c r="AS203" s="287"/>
      <c r="AT203" s="287"/>
      <c r="AU203" s="287"/>
      <c r="AV203" s="287"/>
      <c r="AW203" s="287"/>
      <c r="AX203" s="287"/>
      <c r="AY203" s="287"/>
      <c r="AZ203" s="287"/>
      <c r="BA203" s="287"/>
      <c r="BB203" s="287"/>
      <c r="BC203" s="287"/>
      <c r="BD203" s="287"/>
      <c r="BE203" s="287"/>
      <c r="BF203" s="287"/>
    </row>
    <row r="204" spans="2:58" hidden="1">
      <c r="B204" s="5" t="s">
        <v>325</v>
      </c>
      <c r="C204" s="5" t="str">
        <f t="shared" ca="1" si="180"/>
        <v>Reinvesticijos (po priemonės įgyvendinimo)</v>
      </c>
      <c r="D204" t="str">
        <f t="shared" ca="1" si="181"/>
        <v>True</v>
      </c>
      <c r="E204" s="288">
        <v>1.25</v>
      </c>
      <c r="F204" s="288">
        <v>1.1000000000000001</v>
      </c>
      <c r="G204" s="288">
        <v>1</v>
      </c>
      <c r="H204" s="288">
        <v>0.9</v>
      </c>
      <c r="I204" s="288">
        <v>0.75</v>
      </c>
      <c r="J204" s="255"/>
      <c r="K204" s="255"/>
      <c r="L204" s="255">
        <v>1.25</v>
      </c>
      <c r="M204" s="255">
        <v>1.1000000000000001</v>
      </c>
      <c r="N204" s="255">
        <v>1</v>
      </c>
      <c r="O204" s="255">
        <v>0.9</v>
      </c>
      <c r="P204" s="255">
        <v>0.75</v>
      </c>
      <c r="Q204" s="255"/>
      <c r="R204" s="255"/>
      <c r="S204" s="255"/>
      <c r="T204" s="255"/>
      <c r="U204" s="255"/>
      <c r="V204" s="255"/>
      <c r="W204" s="255"/>
      <c r="X204" s="255"/>
      <c r="Y204" s="255"/>
      <c r="Z204" s="255"/>
      <c r="AA204" s="255"/>
      <c r="AB204" s="255"/>
      <c r="AC204" s="255"/>
      <c r="AD204" s="255"/>
      <c r="AE204" s="255"/>
      <c r="AF204" s="287"/>
      <c r="AG204" s="287"/>
      <c r="AH204" s="287"/>
      <c r="AI204" s="287"/>
      <c r="AJ204" s="287"/>
      <c r="AK204" s="287"/>
      <c r="AL204" s="287"/>
      <c r="AM204" s="287"/>
      <c r="AN204" s="287"/>
      <c r="AO204" s="287"/>
      <c r="AP204" s="287"/>
      <c r="AQ204" s="287"/>
      <c r="AR204" s="287"/>
      <c r="AS204" s="287"/>
      <c r="AT204" s="287"/>
      <c r="AU204" s="287"/>
      <c r="AV204" s="287"/>
      <c r="AW204" s="287"/>
      <c r="AX204" s="287"/>
      <c r="AY204" s="287"/>
      <c r="AZ204" s="287"/>
      <c r="BA204" s="287"/>
      <c r="BB204" s="287"/>
      <c r="BC204" s="287"/>
      <c r="BD204" s="287"/>
      <c r="BE204" s="287"/>
      <c r="BF204" s="287"/>
    </row>
    <row r="205" spans="2:58" hidden="1">
      <c r="B205" s="5" t="s">
        <v>326</v>
      </c>
      <c r="C205" s="5" t="str">
        <f t="shared" ca="1" si="180"/>
        <v>Likutinė vertė</v>
      </c>
      <c r="D205" t="str">
        <f t="shared" ca="1" si="181"/>
        <v>False</v>
      </c>
      <c r="E205" s="288">
        <v>0.75</v>
      </c>
      <c r="F205" s="288">
        <v>0.9</v>
      </c>
      <c r="G205" s="288">
        <v>1</v>
      </c>
      <c r="H205" s="288">
        <v>1.1000000000000001</v>
      </c>
      <c r="I205" s="288">
        <v>1.25</v>
      </c>
      <c r="J205" s="255"/>
      <c r="K205" s="255"/>
      <c r="L205" s="255">
        <v>0.75</v>
      </c>
      <c r="M205" s="255">
        <v>0.9</v>
      </c>
      <c r="N205" s="255">
        <v>1</v>
      </c>
      <c r="O205" s="255">
        <v>1.1000000000000001</v>
      </c>
      <c r="P205" s="255">
        <v>1.25</v>
      </c>
      <c r="Q205" s="255"/>
      <c r="R205" s="255"/>
      <c r="S205" s="255"/>
      <c r="T205" s="255"/>
      <c r="U205" s="255"/>
      <c r="V205" s="255"/>
      <c r="W205" s="255"/>
      <c r="X205" s="255"/>
      <c r="Y205" s="255"/>
      <c r="Z205" s="255"/>
      <c r="AA205" s="255"/>
      <c r="AB205" s="255"/>
      <c r="AC205" s="255"/>
      <c r="AD205" s="255"/>
      <c r="AE205" s="255"/>
      <c r="AF205" s="287"/>
      <c r="AG205" s="287"/>
      <c r="AH205" s="287"/>
      <c r="AI205" s="287"/>
      <c r="AJ205" s="287"/>
      <c r="AK205" s="287"/>
      <c r="AL205" s="287"/>
      <c r="AM205" s="287"/>
      <c r="AN205" s="287"/>
      <c r="AO205" s="287"/>
      <c r="AP205" s="287"/>
      <c r="AQ205" s="287"/>
      <c r="AR205" s="287"/>
      <c r="AS205" s="287"/>
      <c r="AT205" s="287"/>
      <c r="AU205" s="287"/>
      <c r="AV205" s="287"/>
      <c r="AW205" s="287"/>
      <c r="AX205" s="287"/>
      <c r="AY205" s="287"/>
      <c r="AZ205" s="287"/>
      <c r="BA205" s="287"/>
      <c r="BB205" s="287"/>
      <c r="BC205" s="287"/>
      <c r="BD205" s="287"/>
      <c r="BE205" s="287"/>
      <c r="BF205" s="287"/>
    </row>
    <row r="206" spans="2:58" hidden="1">
      <c r="B206" s="5" t="s">
        <v>327</v>
      </c>
      <c r="C206" s="5" t="str">
        <f t="shared" ca="1" si="180"/>
        <v>Indijos–Ramiojo vandenynų regiono politikos studijų programos/-ų parengimas Lietuvos universitetuose</v>
      </c>
      <c r="D206" t="str">
        <f t="shared" ca="1" si="181"/>
        <v>True</v>
      </c>
      <c r="E206" s="288">
        <v>1.25</v>
      </c>
      <c r="F206" s="288">
        <v>1.1000000000000001</v>
      </c>
      <c r="G206" s="288">
        <v>1</v>
      </c>
      <c r="H206" s="288">
        <v>0.9</v>
      </c>
      <c r="I206" s="288">
        <v>0.75</v>
      </c>
      <c r="J206" s="255"/>
      <c r="K206" s="255"/>
      <c r="L206" s="255">
        <v>1.25</v>
      </c>
      <c r="M206" s="255">
        <v>1.1000000000000001</v>
      </c>
      <c r="N206" s="255">
        <v>1</v>
      </c>
      <c r="O206" s="255">
        <v>0.9</v>
      </c>
      <c r="P206" s="255">
        <v>0.75</v>
      </c>
      <c r="Q206" s="255"/>
      <c r="R206" s="255"/>
      <c r="S206" s="255"/>
      <c r="T206" s="255"/>
      <c r="U206" s="255"/>
      <c r="V206" s="255"/>
      <c r="W206" s="255"/>
      <c r="X206" s="255"/>
      <c r="Y206" s="255"/>
      <c r="Z206" s="255"/>
      <c r="AA206" s="255"/>
      <c r="AB206" s="255"/>
      <c r="AC206" s="255"/>
      <c r="AD206" s="255"/>
      <c r="AE206" s="255"/>
      <c r="AF206" s="287"/>
      <c r="AG206" s="287"/>
      <c r="AH206" s="287"/>
      <c r="AI206" s="287"/>
      <c r="AJ206" s="287"/>
      <c r="AK206" s="287"/>
      <c r="AL206" s="287"/>
      <c r="AM206" s="287"/>
      <c r="AN206" s="287"/>
      <c r="AO206" s="287"/>
      <c r="AP206" s="287"/>
      <c r="AQ206" s="287"/>
      <c r="AR206" s="287"/>
      <c r="AS206" s="287"/>
      <c r="AT206" s="287"/>
      <c r="AU206" s="287"/>
      <c r="AV206" s="287"/>
      <c r="AW206" s="287"/>
      <c r="AX206" s="287"/>
      <c r="AY206" s="287"/>
      <c r="AZ206" s="287"/>
      <c r="BA206" s="287"/>
      <c r="BB206" s="287"/>
      <c r="BC206" s="287"/>
      <c r="BD206" s="287"/>
      <c r="BE206" s="287"/>
      <c r="BF206" s="287"/>
    </row>
    <row r="207" spans="2:58" hidden="1">
      <c r="B207" s="5" t="s">
        <v>328</v>
      </c>
      <c r="C207" s="5" t="str">
        <f t="shared" ca="1" si="180"/>
        <v>Veikla</v>
      </c>
      <c r="D207" t="str">
        <f t="shared" ca="1" si="181"/>
        <v>False</v>
      </c>
      <c r="E207" s="288">
        <v>1.25</v>
      </c>
      <c r="F207" s="288">
        <v>1.1000000000000001</v>
      </c>
      <c r="G207" s="288">
        <v>1</v>
      </c>
      <c r="H207" s="288">
        <v>0.9</v>
      </c>
      <c r="I207" s="288">
        <v>0.75</v>
      </c>
      <c r="J207" s="255"/>
      <c r="K207" s="255"/>
      <c r="L207" s="255">
        <v>1.25</v>
      </c>
      <c r="M207" s="255">
        <v>1.1000000000000001</v>
      </c>
      <c r="N207" s="255">
        <v>1</v>
      </c>
      <c r="O207" s="255">
        <v>0.9</v>
      </c>
      <c r="P207" s="255">
        <v>0.75</v>
      </c>
      <c r="Q207" s="255"/>
      <c r="R207" s="255"/>
      <c r="S207" s="255"/>
      <c r="T207" s="255"/>
      <c r="U207" s="255"/>
      <c r="V207" s="255"/>
      <c r="W207" s="255"/>
      <c r="X207" s="255"/>
      <c r="Y207" s="255"/>
      <c r="Z207" s="255"/>
      <c r="AA207" s="255"/>
      <c r="AB207" s="255"/>
      <c r="AC207" s="255"/>
      <c r="AD207" s="255"/>
      <c r="AE207" s="255"/>
      <c r="AF207" s="287"/>
      <c r="AG207" s="287"/>
      <c r="AH207" s="287"/>
      <c r="AI207" s="287"/>
      <c r="AJ207" s="287"/>
      <c r="AK207" s="287"/>
      <c r="AL207" s="287"/>
      <c r="AM207" s="287"/>
      <c r="AN207" s="287"/>
      <c r="AO207" s="287"/>
      <c r="AP207" s="287"/>
      <c r="AQ207" s="287"/>
      <c r="AR207" s="287"/>
      <c r="AS207" s="287"/>
      <c r="AT207" s="287"/>
      <c r="AU207" s="287"/>
      <c r="AV207" s="287"/>
      <c r="AW207" s="287"/>
      <c r="AX207" s="287"/>
      <c r="AY207" s="287"/>
      <c r="AZ207" s="287"/>
      <c r="BA207" s="287"/>
      <c r="BB207" s="287"/>
      <c r="BC207" s="287"/>
      <c r="BD207" s="287"/>
      <c r="BE207" s="287"/>
      <c r="BF207" s="287"/>
    </row>
    <row r="208" spans="2:58" hidden="1">
      <c r="B208" s="5" t="s">
        <v>329</v>
      </c>
      <c r="C208" s="5" t="str">
        <f t="shared" ca="1" si="180"/>
        <v>Veikla</v>
      </c>
      <c r="D208" t="str">
        <f t="shared" ca="1" si="181"/>
        <v>False</v>
      </c>
      <c r="E208" s="288">
        <v>1.25</v>
      </c>
      <c r="F208" s="288">
        <v>1.1000000000000001</v>
      </c>
      <c r="G208" s="288">
        <v>1</v>
      </c>
      <c r="H208" s="288">
        <v>0.9</v>
      </c>
      <c r="I208" s="288">
        <v>0.75</v>
      </c>
      <c r="J208" s="255"/>
      <c r="K208" s="255"/>
      <c r="L208" s="255">
        <v>1.25</v>
      </c>
      <c r="M208" s="255">
        <v>1.1000000000000001</v>
      </c>
      <c r="N208" s="255">
        <v>1</v>
      </c>
      <c r="O208" s="255">
        <v>0.9</v>
      </c>
      <c r="P208" s="255">
        <v>0.75</v>
      </c>
      <c r="Q208" s="255"/>
      <c r="R208" s="255"/>
      <c r="S208" s="255"/>
      <c r="T208" s="255"/>
      <c r="U208" s="255"/>
      <c r="V208" s="255"/>
      <c r="W208" s="255"/>
      <c r="X208" s="255"/>
      <c r="Y208" s="255"/>
      <c r="Z208" s="255"/>
      <c r="AA208" s="255"/>
      <c r="AB208" s="255"/>
      <c r="AC208" s="255"/>
      <c r="AD208" s="255"/>
      <c r="AE208" s="255"/>
      <c r="AF208" s="287"/>
      <c r="AG208" s="287"/>
      <c r="AH208" s="287"/>
      <c r="AI208" s="287"/>
      <c r="AJ208" s="287"/>
      <c r="AK208" s="287"/>
      <c r="AL208" s="287"/>
      <c r="AM208" s="287"/>
      <c r="AN208" s="287"/>
      <c r="AO208" s="287"/>
      <c r="AP208" s="287"/>
      <c r="AQ208" s="287"/>
      <c r="AR208" s="287"/>
      <c r="AS208" s="287"/>
      <c r="AT208" s="287"/>
      <c r="AU208" s="287"/>
      <c r="AV208" s="287"/>
      <c r="AW208" s="287"/>
      <c r="AX208" s="287"/>
      <c r="AY208" s="287"/>
      <c r="AZ208" s="287"/>
      <c r="BA208" s="287"/>
      <c r="BB208" s="287"/>
      <c r="BC208" s="287"/>
      <c r="BD208" s="287"/>
      <c r="BE208" s="287"/>
      <c r="BF208" s="287"/>
    </row>
    <row r="209" spans="2:58" hidden="1">
      <c r="B209" s="5" t="s">
        <v>330</v>
      </c>
      <c r="C209" s="5" t="str">
        <f t="shared" ca="1" si="180"/>
        <v>Veikla</v>
      </c>
      <c r="D209" t="str">
        <f t="shared" ca="1" si="181"/>
        <v>False</v>
      </c>
      <c r="E209" s="288">
        <v>1.25</v>
      </c>
      <c r="F209" s="288">
        <v>1.1000000000000001</v>
      </c>
      <c r="G209" s="288">
        <v>1</v>
      </c>
      <c r="H209" s="288">
        <v>0.9</v>
      </c>
      <c r="I209" s="288">
        <v>0.75</v>
      </c>
      <c r="J209" s="255"/>
      <c r="K209" s="255"/>
      <c r="L209" s="255">
        <v>1.25</v>
      </c>
      <c r="M209" s="255">
        <v>1.1000000000000001</v>
      </c>
      <c r="N209" s="255">
        <v>1</v>
      </c>
      <c r="O209" s="255">
        <v>0.9</v>
      </c>
      <c r="P209" s="255">
        <v>0.75</v>
      </c>
      <c r="Q209" s="255"/>
      <c r="R209" s="255"/>
      <c r="S209" s="255"/>
      <c r="T209" s="255"/>
      <c r="U209" s="255"/>
      <c r="V209" s="255"/>
      <c r="W209" s="255"/>
      <c r="X209" s="255"/>
      <c r="Y209" s="255"/>
      <c r="Z209" s="255"/>
      <c r="AA209" s="255"/>
      <c r="AB209" s="255"/>
      <c r="AC209" s="255"/>
      <c r="AD209" s="255"/>
      <c r="AE209" s="255"/>
      <c r="AF209" s="287"/>
      <c r="AG209" s="287"/>
      <c r="AH209" s="287"/>
      <c r="AI209" s="287"/>
      <c r="AJ209" s="287"/>
      <c r="AK209" s="287"/>
      <c r="AL209" s="287"/>
      <c r="AM209" s="287"/>
      <c r="AN209" s="287"/>
      <c r="AO209" s="287"/>
      <c r="AP209" s="287"/>
      <c r="AQ209" s="287"/>
      <c r="AR209" s="287"/>
      <c r="AS209" s="287"/>
      <c r="AT209" s="287"/>
      <c r="AU209" s="287"/>
      <c r="AV209" s="287"/>
      <c r="AW209" s="287"/>
      <c r="AX209" s="287"/>
      <c r="AY209" s="287"/>
      <c r="AZ209" s="287"/>
      <c r="BA209" s="287"/>
      <c r="BB209" s="287"/>
      <c r="BC209" s="287"/>
      <c r="BD209" s="287"/>
      <c r="BE209" s="287"/>
      <c r="BF209" s="287"/>
    </row>
    <row r="210" spans="2:58" hidden="1">
      <c r="B210" s="5" t="s">
        <v>331</v>
      </c>
      <c r="C210" s="5" t="str">
        <f t="shared" ca="1" si="180"/>
        <v>Veikla</v>
      </c>
      <c r="D210" t="str">
        <f t="shared" ca="1" si="181"/>
        <v>False</v>
      </c>
      <c r="E210" s="288">
        <v>1.25</v>
      </c>
      <c r="F210" s="288">
        <v>1.1000000000000001</v>
      </c>
      <c r="G210" s="288">
        <v>1</v>
      </c>
      <c r="H210" s="288">
        <v>0.9</v>
      </c>
      <c r="I210" s="288">
        <v>0.75</v>
      </c>
      <c r="J210" s="255"/>
      <c r="K210" s="255"/>
      <c r="L210" s="255">
        <v>1.25</v>
      </c>
      <c r="M210" s="255">
        <v>1.1000000000000001</v>
      </c>
      <c r="N210" s="255">
        <v>1</v>
      </c>
      <c r="O210" s="255">
        <v>0.9</v>
      </c>
      <c r="P210" s="255">
        <v>0.75</v>
      </c>
      <c r="Q210" s="255"/>
      <c r="R210" s="255"/>
      <c r="S210" s="255"/>
      <c r="T210" s="255"/>
      <c r="U210" s="255"/>
      <c r="V210" s="255"/>
      <c r="W210" s="255"/>
      <c r="X210" s="255"/>
      <c r="Y210" s="255"/>
      <c r="Z210" s="255"/>
      <c r="AA210" s="255"/>
      <c r="AB210" s="255"/>
      <c r="AC210" s="255"/>
      <c r="AD210" s="255"/>
      <c r="AE210" s="255"/>
      <c r="AF210" s="287"/>
      <c r="AG210" s="287"/>
      <c r="AH210" s="287"/>
      <c r="AI210" s="287"/>
      <c r="AJ210" s="287"/>
      <c r="AK210" s="287"/>
      <c r="AL210" s="287"/>
      <c r="AM210" s="287"/>
      <c r="AN210" s="287"/>
      <c r="AO210" s="287"/>
      <c r="AP210" s="287"/>
      <c r="AQ210" s="287"/>
      <c r="AR210" s="287"/>
      <c r="AS210" s="287"/>
      <c r="AT210" s="287"/>
      <c r="AU210" s="287"/>
      <c r="AV210" s="287"/>
      <c r="AW210" s="287"/>
      <c r="AX210" s="287"/>
      <c r="AY210" s="287"/>
      <c r="AZ210" s="287"/>
      <c r="BA210" s="287"/>
      <c r="BB210" s="287"/>
      <c r="BC210" s="287"/>
      <c r="BD210" s="287"/>
      <c r="BE210" s="287"/>
      <c r="BF210" s="287"/>
    </row>
    <row r="211" spans="2:58" hidden="1">
      <c r="B211" s="5" t="s">
        <v>332</v>
      </c>
      <c r="C211" s="5" t="str">
        <f t="shared" ca="1" si="180"/>
        <v>Veikla</v>
      </c>
      <c r="D211" t="str">
        <f t="shared" ca="1" si="181"/>
        <v>False</v>
      </c>
      <c r="E211" s="288">
        <v>1.25</v>
      </c>
      <c r="F211" s="288">
        <v>1.1000000000000001</v>
      </c>
      <c r="G211" s="288">
        <v>1</v>
      </c>
      <c r="H211" s="288">
        <v>0.9</v>
      </c>
      <c r="I211" s="288">
        <v>0.75</v>
      </c>
      <c r="J211" s="255"/>
      <c r="K211" s="255"/>
      <c r="L211" s="255">
        <v>1.25</v>
      </c>
      <c r="M211" s="255">
        <v>1.1000000000000001</v>
      </c>
      <c r="N211" s="255">
        <v>1</v>
      </c>
      <c r="O211" s="255">
        <v>0.9</v>
      </c>
      <c r="P211" s="255">
        <v>0.75</v>
      </c>
      <c r="Q211" s="255"/>
      <c r="R211" s="255"/>
      <c r="S211" s="255"/>
      <c r="T211" s="255"/>
      <c r="U211" s="255"/>
      <c r="V211" s="255"/>
      <c r="W211" s="255"/>
      <c r="X211" s="255"/>
      <c r="Y211" s="255"/>
      <c r="Z211" s="255"/>
      <c r="AA211" s="255"/>
      <c r="AB211" s="255"/>
      <c r="AC211" s="255"/>
      <c r="AD211" s="255"/>
      <c r="AE211" s="255"/>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7"/>
    </row>
    <row r="212" spans="2:58" hidden="1">
      <c r="B212" s="5" t="s">
        <v>333</v>
      </c>
      <c r="C212" s="5" t="str">
        <f t="shared" ca="1" si="180"/>
        <v>Veikla</v>
      </c>
      <c r="D212" t="str">
        <f t="shared" ca="1" si="181"/>
        <v>False</v>
      </c>
      <c r="E212" s="288">
        <v>1.25</v>
      </c>
      <c r="F212" s="288">
        <v>1.1000000000000001</v>
      </c>
      <c r="G212" s="288">
        <v>1</v>
      </c>
      <c r="H212" s="288">
        <v>0.9</v>
      </c>
      <c r="I212" s="288">
        <v>0.75</v>
      </c>
      <c r="J212" s="255"/>
      <c r="K212" s="255"/>
      <c r="L212" s="255">
        <v>1.25</v>
      </c>
      <c r="M212" s="255">
        <v>1.1000000000000001</v>
      </c>
      <c r="N212" s="255">
        <v>1</v>
      </c>
      <c r="O212" s="255">
        <v>0.9</v>
      </c>
      <c r="P212" s="255">
        <v>0.75</v>
      </c>
      <c r="Q212" s="255"/>
      <c r="R212" s="255"/>
      <c r="S212" s="255"/>
      <c r="T212" s="255"/>
      <c r="U212" s="255"/>
      <c r="V212" s="255"/>
      <c r="W212" s="255"/>
      <c r="X212" s="255"/>
      <c r="Y212" s="255"/>
      <c r="Z212" s="255"/>
      <c r="AA212" s="255"/>
      <c r="AB212" s="255"/>
      <c r="AC212" s="255"/>
      <c r="AD212" s="255"/>
      <c r="AE212" s="255"/>
      <c r="AF212" s="287"/>
      <c r="AG212" s="287"/>
      <c r="AH212" s="287"/>
      <c r="AI212" s="287"/>
      <c r="AJ212" s="287"/>
      <c r="AK212" s="287"/>
      <c r="AL212" s="287"/>
      <c r="AM212" s="287"/>
      <c r="AN212" s="287"/>
      <c r="AO212" s="287"/>
      <c r="AP212" s="287"/>
      <c r="AQ212" s="287"/>
      <c r="AR212" s="287"/>
      <c r="AS212" s="287"/>
      <c r="AT212" s="287"/>
      <c r="AU212" s="287"/>
      <c r="AV212" s="287"/>
      <c r="AW212" s="287"/>
      <c r="AX212" s="287"/>
      <c r="AY212" s="287"/>
      <c r="AZ212" s="287"/>
      <c r="BA212" s="287"/>
      <c r="BB212" s="287"/>
      <c r="BC212" s="287"/>
      <c r="BD212" s="287"/>
      <c r="BE212" s="287"/>
      <c r="BF212" s="287"/>
    </row>
    <row r="213" spans="2:58" hidden="1">
      <c r="B213" s="5" t="s">
        <v>334</v>
      </c>
      <c r="C213" s="5" t="str">
        <f t="shared" ca="1" si="180"/>
        <v>Veikla</v>
      </c>
      <c r="D213" t="str">
        <f t="shared" ca="1" si="181"/>
        <v>False</v>
      </c>
      <c r="E213" s="288">
        <v>1.25</v>
      </c>
      <c r="F213" s="288">
        <v>1.1000000000000001</v>
      </c>
      <c r="G213" s="288">
        <v>1</v>
      </c>
      <c r="H213" s="288">
        <v>0.9</v>
      </c>
      <c r="I213" s="288">
        <v>0.75</v>
      </c>
      <c r="J213" s="255"/>
      <c r="K213" s="255"/>
      <c r="L213" s="255">
        <v>1.25</v>
      </c>
      <c r="M213" s="255">
        <v>1.1000000000000001</v>
      </c>
      <c r="N213" s="255">
        <v>1</v>
      </c>
      <c r="O213" s="255">
        <v>0.9</v>
      </c>
      <c r="P213" s="255">
        <v>0.75</v>
      </c>
      <c r="Q213" s="255"/>
      <c r="R213" s="255"/>
      <c r="S213" s="255"/>
      <c r="T213" s="255"/>
      <c r="U213" s="255"/>
      <c r="V213" s="255"/>
      <c r="W213" s="255"/>
      <c r="X213" s="255"/>
      <c r="Y213" s="255"/>
      <c r="Z213" s="255"/>
      <c r="AA213" s="255"/>
      <c r="AB213" s="255"/>
      <c r="AC213" s="255"/>
      <c r="AD213" s="255"/>
      <c r="AE213" s="255"/>
      <c r="AF213" s="287"/>
      <c r="AG213" s="287"/>
      <c r="AH213" s="287"/>
      <c r="AI213" s="287"/>
      <c r="AJ213" s="287"/>
      <c r="AK213" s="287"/>
      <c r="AL213" s="287"/>
      <c r="AM213" s="287"/>
      <c r="AN213" s="287"/>
      <c r="AO213" s="287"/>
      <c r="AP213" s="287"/>
      <c r="AQ213" s="287"/>
      <c r="AR213" s="287"/>
      <c r="AS213" s="287"/>
      <c r="AT213" s="287"/>
      <c r="AU213" s="287"/>
      <c r="AV213" s="287"/>
      <c r="AW213" s="287"/>
      <c r="AX213" s="287"/>
      <c r="AY213" s="287"/>
      <c r="AZ213" s="287"/>
      <c r="BA213" s="287"/>
      <c r="BB213" s="287"/>
      <c r="BC213" s="287"/>
      <c r="BD213" s="287"/>
      <c r="BE213" s="287"/>
      <c r="BF213" s="287"/>
    </row>
    <row r="214" spans="2:58" hidden="1">
      <c r="B214" s="5" t="s">
        <v>335</v>
      </c>
      <c r="C214" s="5" t="str">
        <f t="shared" ca="1" si="180"/>
        <v>Reinvesticijos (po priemonės įgyvendinimo)</v>
      </c>
      <c r="D214" t="str">
        <f t="shared" ca="1" si="181"/>
        <v>False</v>
      </c>
      <c r="E214" s="288">
        <v>1.25</v>
      </c>
      <c r="F214" s="288">
        <v>1.1000000000000001</v>
      </c>
      <c r="G214" s="288">
        <v>1</v>
      </c>
      <c r="H214" s="288">
        <v>0.9</v>
      </c>
      <c r="I214" s="288">
        <v>0.75</v>
      </c>
      <c r="J214" s="255"/>
      <c r="K214" s="255"/>
      <c r="L214" s="255">
        <v>1.25</v>
      </c>
      <c r="M214" s="255">
        <v>1.1000000000000001</v>
      </c>
      <c r="N214" s="255">
        <v>1</v>
      </c>
      <c r="O214" s="255">
        <v>0.9</v>
      </c>
      <c r="P214" s="255">
        <v>0.75</v>
      </c>
      <c r="Q214" s="255"/>
      <c r="R214" s="255"/>
      <c r="S214" s="255"/>
      <c r="T214" s="255"/>
      <c r="U214" s="255"/>
      <c r="V214" s="255"/>
      <c r="W214" s="255"/>
      <c r="X214" s="255"/>
      <c r="Y214" s="255"/>
      <c r="Z214" s="255"/>
      <c r="AA214" s="255"/>
      <c r="AB214" s="255"/>
      <c r="AC214" s="255"/>
      <c r="AD214" s="255"/>
      <c r="AE214" s="255"/>
      <c r="AF214" s="287"/>
      <c r="AG214" s="287"/>
      <c r="AH214" s="287"/>
      <c r="AI214" s="287"/>
      <c r="AJ214" s="287"/>
      <c r="AK214" s="287"/>
      <c r="AL214" s="287"/>
      <c r="AM214" s="287"/>
      <c r="AN214" s="287"/>
      <c r="AO214" s="287"/>
      <c r="AP214" s="287"/>
      <c r="AQ214" s="287"/>
      <c r="AR214" s="287"/>
      <c r="AS214" s="287"/>
      <c r="AT214" s="287"/>
      <c r="AU214" s="287"/>
      <c r="AV214" s="287"/>
      <c r="AW214" s="287"/>
      <c r="AX214" s="287"/>
      <c r="AY214" s="287"/>
      <c r="AZ214" s="287"/>
      <c r="BA214" s="287"/>
      <c r="BB214" s="287"/>
      <c r="BC214" s="287"/>
      <c r="BD214" s="287"/>
      <c r="BE214" s="287"/>
      <c r="BF214" s="287"/>
    </row>
    <row r="215" spans="2:58" hidden="1">
      <c r="B215" s="5" t="s">
        <v>336</v>
      </c>
      <c r="C215" s="5" t="str">
        <f t="shared" ca="1" si="180"/>
        <v>Likutinė vertė</v>
      </c>
      <c r="D215" t="str">
        <f t="shared" ca="1" si="181"/>
        <v>False</v>
      </c>
      <c r="E215" s="288">
        <v>0.75</v>
      </c>
      <c r="F215" s="288">
        <v>0.9</v>
      </c>
      <c r="G215" s="288">
        <v>1</v>
      </c>
      <c r="H215" s="288">
        <v>1.1000000000000001</v>
      </c>
      <c r="I215" s="288">
        <v>1.25</v>
      </c>
      <c r="J215" s="255"/>
      <c r="K215" s="255"/>
      <c r="L215" s="255">
        <v>0.75</v>
      </c>
      <c r="M215" s="255">
        <v>0.9</v>
      </c>
      <c r="N215" s="255">
        <v>1</v>
      </c>
      <c r="O215" s="255">
        <v>1.1000000000000001</v>
      </c>
      <c r="P215" s="255">
        <v>1.25</v>
      </c>
      <c r="Q215" s="255"/>
      <c r="R215" s="255"/>
      <c r="S215" s="255"/>
      <c r="T215" s="255"/>
      <c r="U215" s="255"/>
      <c r="V215" s="255"/>
      <c r="W215" s="255"/>
      <c r="X215" s="255"/>
      <c r="Y215" s="255"/>
      <c r="Z215" s="255"/>
      <c r="AA215" s="255"/>
      <c r="AB215" s="255"/>
      <c r="AC215" s="255"/>
      <c r="AD215" s="255"/>
      <c r="AE215" s="255"/>
      <c r="AF215" s="287"/>
      <c r="AG215" s="287"/>
      <c r="AH215" s="287"/>
      <c r="AI215" s="287"/>
      <c r="AJ215" s="287"/>
      <c r="AK215" s="287"/>
      <c r="AL215" s="287"/>
      <c r="AM215" s="287"/>
      <c r="AN215" s="287"/>
      <c r="AO215" s="287"/>
      <c r="AP215" s="287"/>
      <c r="AQ215" s="287"/>
      <c r="AR215" s="287"/>
      <c r="AS215" s="287"/>
      <c r="AT215" s="287"/>
      <c r="AU215" s="287"/>
      <c r="AV215" s="287"/>
      <c r="AW215" s="287"/>
      <c r="AX215" s="287"/>
      <c r="AY215" s="287"/>
      <c r="AZ215" s="287"/>
      <c r="BA215" s="287"/>
      <c r="BB215" s="287"/>
      <c r="BC215" s="287"/>
      <c r="BD215" s="287"/>
      <c r="BE215" s="287"/>
      <c r="BF215" s="287"/>
    </row>
    <row r="216" spans="2:58" hidden="1">
      <c r="B216" s="5" t="s">
        <v>337</v>
      </c>
      <c r="C216" s="5" t="str">
        <f t="shared" ca="1" si="180"/>
        <v>Ekonominės diplomatijos funkcijų stiprinimas</v>
      </c>
      <c r="D216" t="str">
        <f t="shared" ca="1" si="181"/>
        <v>True</v>
      </c>
      <c r="E216" s="288">
        <v>1.25</v>
      </c>
      <c r="F216" s="288">
        <v>1.1000000000000001</v>
      </c>
      <c r="G216" s="288">
        <v>1</v>
      </c>
      <c r="H216" s="288">
        <v>0.9</v>
      </c>
      <c r="I216" s="288">
        <v>0.75</v>
      </c>
      <c r="J216" s="255"/>
      <c r="K216" s="255"/>
      <c r="L216" s="255">
        <v>1.25</v>
      </c>
      <c r="M216" s="255">
        <v>1.1000000000000001</v>
      </c>
      <c r="N216" s="255">
        <v>1</v>
      </c>
      <c r="O216" s="255">
        <v>0.9</v>
      </c>
      <c r="P216" s="255">
        <v>0.75</v>
      </c>
      <c r="Q216" s="255"/>
      <c r="R216" s="255"/>
      <c r="S216" s="255"/>
      <c r="T216" s="255"/>
      <c r="U216" s="255"/>
      <c r="V216" s="255"/>
      <c r="W216" s="255"/>
      <c r="X216" s="255"/>
      <c r="Y216" s="255"/>
      <c r="Z216" s="255"/>
      <c r="AA216" s="255"/>
      <c r="AB216" s="255"/>
      <c r="AC216" s="255"/>
      <c r="AD216" s="255"/>
      <c r="AE216" s="255"/>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7"/>
    </row>
    <row r="217" spans="2:58" hidden="1">
      <c r="B217" s="5" t="s">
        <v>338</v>
      </c>
      <c r="C217" s="5" t="str">
        <f t="shared" ca="1" si="180"/>
        <v>Darbo su diaspora funkcijų stiprinimas</v>
      </c>
      <c r="D217" t="str">
        <f t="shared" ca="1" si="181"/>
        <v>True</v>
      </c>
      <c r="E217" s="288">
        <v>1.25</v>
      </c>
      <c r="F217" s="288">
        <v>1.1000000000000001</v>
      </c>
      <c r="G217" s="288">
        <v>1</v>
      </c>
      <c r="H217" s="288">
        <v>0.9</v>
      </c>
      <c r="I217" s="288">
        <v>0.75</v>
      </c>
      <c r="J217" s="255"/>
      <c r="K217" s="255"/>
      <c r="L217" s="255">
        <v>1.25</v>
      </c>
      <c r="M217" s="255">
        <v>1.1000000000000001</v>
      </c>
      <c r="N217" s="255">
        <v>1</v>
      </c>
      <c r="O217" s="255">
        <v>0.9</v>
      </c>
      <c r="P217" s="255">
        <v>0.75</v>
      </c>
      <c r="Q217" s="255"/>
      <c r="R217" s="255"/>
      <c r="S217" s="255"/>
      <c r="T217" s="255"/>
      <c r="U217" s="255"/>
      <c r="V217" s="255"/>
      <c r="W217" s="255"/>
      <c r="X217" s="255"/>
      <c r="Y217" s="255"/>
      <c r="Z217" s="255"/>
      <c r="AA217" s="255"/>
      <c r="AB217" s="255"/>
      <c r="AC217" s="255"/>
      <c r="AD217" s="255"/>
      <c r="AE217" s="255"/>
      <c r="AF217" s="287"/>
      <c r="AG217" s="287"/>
      <c r="AH217" s="287"/>
      <c r="AI217" s="287"/>
      <c r="AJ217" s="287"/>
      <c r="AK217" s="287"/>
      <c r="AL217" s="287"/>
      <c r="AM217" s="287"/>
      <c r="AN217" s="287"/>
      <c r="AO217" s="287"/>
      <c r="AP217" s="287"/>
      <c r="AQ217" s="287"/>
      <c r="AR217" s="287"/>
      <c r="AS217" s="287"/>
      <c r="AT217" s="287"/>
      <c r="AU217" s="287"/>
      <c r="AV217" s="287"/>
      <c r="AW217" s="287"/>
      <c r="AX217" s="287"/>
      <c r="AY217" s="287"/>
      <c r="AZ217" s="287"/>
      <c r="BA217" s="287"/>
      <c r="BB217" s="287"/>
      <c r="BC217" s="287"/>
      <c r="BD217" s="287"/>
      <c r="BE217" s="287"/>
      <c r="BF217" s="287"/>
    </row>
    <row r="218" spans="2:58" hidden="1">
      <c r="B218" s="5" t="s">
        <v>339</v>
      </c>
      <c r="C218" s="5" t="str">
        <f t="shared" ca="1" si="180"/>
        <v xml:space="preserve">Kursai diplomatams, dirbantiems su fondas Indijos–Ramiojo vandenynų regionu </v>
      </c>
      <c r="D218" t="str">
        <f t="shared" ca="1" si="181"/>
        <v>True</v>
      </c>
      <c r="E218" s="288">
        <v>1.25</v>
      </c>
      <c r="F218" s="288">
        <v>1.1000000000000001</v>
      </c>
      <c r="G218" s="288">
        <v>1</v>
      </c>
      <c r="H218" s="288">
        <v>0.9</v>
      </c>
      <c r="I218" s="288">
        <v>0.75</v>
      </c>
      <c r="J218" s="255"/>
      <c r="K218" s="255"/>
      <c r="L218" s="255">
        <v>1.25</v>
      </c>
      <c r="M218" s="255">
        <v>1.1000000000000001</v>
      </c>
      <c r="N218" s="255">
        <v>1</v>
      </c>
      <c r="O218" s="255">
        <v>0.9</v>
      </c>
      <c r="P218" s="255">
        <v>0.75</v>
      </c>
      <c r="Q218" s="255"/>
      <c r="R218" s="255"/>
      <c r="S218" s="255"/>
      <c r="T218" s="255"/>
      <c r="U218" s="255"/>
      <c r="V218" s="255"/>
      <c r="W218" s="255"/>
      <c r="X218" s="255"/>
      <c r="Y218" s="255"/>
      <c r="Z218" s="255"/>
      <c r="AA218" s="255"/>
      <c r="AB218" s="255"/>
      <c r="AC218" s="255"/>
      <c r="AD218" s="255"/>
      <c r="AE218" s="255"/>
      <c r="AF218" s="287"/>
      <c r="AG218" s="287"/>
      <c r="AH218" s="287"/>
      <c r="AI218" s="287"/>
      <c r="AJ218" s="287"/>
      <c r="AK218" s="287"/>
      <c r="AL218" s="287"/>
      <c r="AM218" s="287"/>
      <c r="AN218" s="287"/>
      <c r="AO218" s="287"/>
      <c r="AP218" s="287"/>
      <c r="AQ218" s="287"/>
      <c r="AR218" s="287"/>
      <c r="AS218" s="287"/>
      <c r="AT218" s="287"/>
      <c r="AU218" s="287"/>
      <c r="AV218" s="287"/>
      <c r="AW218" s="287"/>
      <c r="AX218" s="287"/>
      <c r="AY218" s="287"/>
      <c r="AZ218" s="287"/>
      <c r="BA218" s="287"/>
      <c r="BB218" s="287"/>
      <c r="BC218" s="287"/>
      <c r="BD218" s="287"/>
      <c r="BE218" s="287"/>
      <c r="BF218" s="287"/>
    </row>
    <row r="219" spans="2:58" hidden="1">
      <c r="B219" s="5" t="s">
        <v>340</v>
      </c>
      <c r="C219" s="5" t="str">
        <f t="shared" ca="1" si="180"/>
        <v>Stipendijų fondas Indijos–Ramiojo vandenynų regiono studijų studentams</v>
      </c>
      <c r="D219" t="str">
        <f t="shared" ca="1" si="181"/>
        <v>True</v>
      </c>
      <c r="E219" s="288">
        <v>1.25</v>
      </c>
      <c r="F219" s="288">
        <v>1.1000000000000001</v>
      </c>
      <c r="G219" s="288">
        <v>1</v>
      </c>
      <c r="H219" s="288">
        <v>0.9</v>
      </c>
      <c r="I219" s="288">
        <v>0.75</v>
      </c>
      <c r="J219" s="255"/>
      <c r="K219" s="255"/>
      <c r="L219" s="255">
        <v>1.25</v>
      </c>
      <c r="M219" s="255">
        <v>1.1000000000000001</v>
      </c>
      <c r="N219" s="255">
        <v>1</v>
      </c>
      <c r="O219" s="255">
        <v>0.9</v>
      </c>
      <c r="P219" s="255">
        <v>0.75</v>
      </c>
      <c r="Q219" s="255"/>
      <c r="R219" s="255"/>
      <c r="S219" s="255"/>
      <c r="T219" s="255"/>
      <c r="U219" s="255"/>
      <c r="V219" s="255"/>
      <c r="W219" s="255"/>
      <c r="X219" s="255"/>
      <c r="Y219" s="255"/>
      <c r="Z219" s="255"/>
      <c r="AA219" s="255"/>
      <c r="AB219" s="255"/>
      <c r="AC219" s="255"/>
      <c r="AD219" s="255"/>
      <c r="AE219" s="255"/>
      <c r="AF219" s="287"/>
      <c r="AG219" s="287"/>
      <c r="AH219" s="287"/>
      <c r="AI219" s="287"/>
      <c r="AJ219" s="287"/>
      <c r="AK219" s="287"/>
      <c r="AL219" s="287"/>
      <c r="AM219" s="287"/>
      <c r="AN219" s="287"/>
      <c r="AO219" s="287"/>
      <c r="AP219" s="287"/>
      <c r="AQ219" s="287"/>
      <c r="AR219" s="287"/>
      <c r="AS219" s="287"/>
      <c r="AT219" s="287"/>
      <c r="AU219" s="287"/>
      <c r="AV219" s="287"/>
      <c r="AW219" s="287"/>
      <c r="AX219" s="287"/>
      <c r="AY219" s="287"/>
      <c r="AZ219" s="287"/>
      <c r="BA219" s="287"/>
      <c r="BB219" s="287"/>
      <c r="BC219" s="287"/>
      <c r="BD219" s="287"/>
      <c r="BE219" s="287"/>
      <c r="BF219" s="287"/>
    </row>
    <row r="220" spans="2:58" hidden="1">
      <c r="B220" s="5" t="s">
        <v>341</v>
      </c>
      <c r="C220" s="5" t="str">
        <f t="shared" ca="1" si="180"/>
        <v/>
      </c>
      <c r="D220" t="str">
        <f t="shared" ca="1" si="181"/>
        <v>False</v>
      </c>
      <c r="E220" s="288">
        <v>1.25</v>
      </c>
      <c r="F220" s="288">
        <v>1.1000000000000001</v>
      </c>
      <c r="G220" s="288">
        <v>1</v>
      </c>
      <c r="H220" s="288">
        <v>0.9</v>
      </c>
      <c r="I220" s="288">
        <v>0.75</v>
      </c>
      <c r="J220" s="255"/>
      <c r="K220" s="255"/>
      <c r="L220" s="255">
        <v>1.25</v>
      </c>
      <c r="M220" s="255">
        <v>1.1000000000000001</v>
      </c>
      <c r="N220" s="255">
        <v>1</v>
      </c>
      <c r="O220" s="255">
        <v>0.9</v>
      </c>
      <c r="P220" s="255">
        <v>0.75</v>
      </c>
      <c r="Q220" s="255"/>
      <c r="R220" s="255"/>
      <c r="S220" s="255"/>
      <c r="T220" s="255"/>
      <c r="U220" s="255"/>
      <c r="V220" s="255"/>
      <c r="W220" s="255"/>
      <c r="X220" s="255"/>
      <c r="Y220" s="255"/>
      <c r="Z220" s="255"/>
      <c r="AA220" s="255"/>
      <c r="AB220" s="255"/>
      <c r="AC220" s="255"/>
      <c r="AD220" s="255"/>
      <c r="AE220" s="255"/>
      <c r="AF220" s="287"/>
      <c r="AG220" s="287"/>
      <c r="AH220" s="287"/>
      <c r="AI220" s="287"/>
      <c r="AJ220" s="287"/>
      <c r="AK220" s="287"/>
      <c r="AL220" s="287"/>
      <c r="AM220" s="287"/>
      <c r="AN220" s="287"/>
      <c r="AO220" s="287"/>
      <c r="AP220" s="287"/>
      <c r="AQ220" s="287"/>
      <c r="AR220" s="287"/>
      <c r="AS220" s="287"/>
      <c r="AT220" s="287"/>
      <c r="AU220" s="287"/>
      <c r="AV220" s="287"/>
      <c r="AW220" s="287"/>
      <c r="AX220" s="287"/>
      <c r="AY220" s="287"/>
      <c r="AZ220" s="287"/>
      <c r="BA220" s="287"/>
      <c r="BB220" s="287"/>
      <c r="BC220" s="287"/>
      <c r="BD220" s="287"/>
      <c r="BE220" s="287"/>
      <c r="BF220" s="287"/>
    </row>
    <row r="221" spans="2:58" hidden="1">
      <c r="B221" s="5" t="s">
        <v>342</v>
      </c>
      <c r="C221" s="5" t="str">
        <f t="shared" ca="1" si="180"/>
        <v/>
      </c>
      <c r="D221" t="str">
        <f t="shared" ca="1" si="181"/>
        <v>False</v>
      </c>
      <c r="E221" s="288">
        <v>1.25</v>
      </c>
      <c r="F221" s="288">
        <v>1.1000000000000001</v>
      </c>
      <c r="G221" s="288">
        <v>1</v>
      </c>
      <c r="H221" s="288">
        <v>0.9</v>
      </c>
      <c r="I221" s="288">
        <v>0.75</v>
      </c>
      <c r="J221" s="255"/>
      <c r="K221" s="255"/>
      <c r="L221" s="255">
        <v>1.25</v>
      </c>
      <c r="M221" s="255">
        <v>1.1000000000000001</v>
      </c>
      <c r="N221" s="255">
        <v>1</v>
      </c>
      <c r="O221" s="255">
        <v>0.9</v>
      </c>
      <c r="P221" s="255">
        <v>0.75</v>
      </c>
      <c r="Q221" s="255"/>
      <c r="R221" s="255"/>
      <c r="S221" s="255"/>
      <c r="T221" s="255"/>
      <c r="U221" s="255"/>
      <c r="V221" s="255"/>
      <c r="W221" s="255"/>
      <c r="X221" s="255"/>
      <c r="Y221" s="255"/>
      <c r="Z221" s="255"/>
      <c r="AA221" s="255"/>
      <c r="AB221" s="255"/>
      <c r="AC221" s="255"/>
      <c r="AD221" s="255"/>
      <c r="AE221" s="255"/>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7"/>
    </row>
    <row r="222" spans="2:58" hidden="1">
      <c r="B222" s="5" t="s">
        <v>343</v>
      </c>
      <c r="C222" s="5" t="str">
        <f t="shared" ca="1" si="180"/>
        <v/>
      </c>
      <c r="D222" t="str">
        <f t="shared" ca="1" si="181"/>
        <v>False</v>
      </c>
      <c r="E222" s="288">
        <v>1.25</v>
      </c>
      <c r="F222" s="288">
        <v>1.1000000000000001</v>
      </c>
      <c r="G222" s="288">
        <v>1</v>
      </c>
      <c r="H222" s="288">
        <v>0.9</v>
      </c>
      <c r="I222" s="288">
        <v>0.75</v>
      </c>
      <c r="J222" s="255"/>
      <c r="K222" s="255"/>
      <c r="L222" s="255">
        <v>1.25</v>
      </c>
      <c r="M222" s="255">
        <v>1.1000000000000001</v>
      </c>
      <c r="N222" s="255">
        <v>1</v>
      </c>
      <c r="O222" s="255">
        <v>0.9</v>
      </c>
      <c r="P222" s="255">
        <v>0.75</v>
      </c>
      <c r="Q222" s="255"/>
      <c r="R222" s="255"/>
      <c r="S222" s="255"/>
      <c r="T222" s="255"/>
      <c r="U222" s="255"/>
      <c r="V222" s="255"/>
      <c r="W222" s="255"/>
      <c r="X222" s="255"/>
      <c r="Y222" s="255"/>
      <c r="Z222" s="255"/>
      <c r="AA222" s="255"/>
      <c r="AB222" s="255"/>
      <c r="AC222" s="255"/>
      <c r="AD222" s="255"/>
      <c r="AE222" s="255"/>
      <c r="AF222" s="287"/>
      <c r="AG222" s="287"/>
      <c r="AH222" s="287"/>
      <c r="AI222" s="287"/>
      <c r="AJ222" s="287"/>
      <c r="AK222" s="287"/>
      <c r="AL222" s="287"/>
      <c r="AM222" s="287"/>
      <c r="AN222" s="287"/>
      <c r="AO222" s="287"/>
      <c r="AP222" s="287"/>
      <c r="AQ222" s="287"/>
      <c r="AR222" s="287"/>
      <c r="AS222" s="287"/>
      <c r="AT222" s="287"/>
      <c r="AU222" s="287"/>
      <c r="AV222" s="287"/>
      <c r="AW222" s="287"/>
      <c r="AX222" s="287"/>
      <c r="AY222" s="287"/>
      <c r="AZ222" s="287"/>
      <c r="BA222" s="287"/>
      <c r="BB222" s="287"/>
      <c r="BC222" s="287"/>
      <c r="BD222" s="287"/>
      <c r="BE222" s="287"/>
      <c r="BF222" s="287"/>
    </row>
    <row r="223" spans="2:58" hidden="1">
      <c r="B223" s="5" t="s">
        <v>344</v>
      </c>
      <c r="C223" s="5" t="str">
        <f t="shared" ca="1" si="180"/>
        <v/>
      </c>
      <c r="D223" t="str">
        <f t="shared" ca="1" si="181"/>
        <v>False</v>
      </c>
      <c r="E223" s="288">
        <v>1.25</v>
      </c>
      <c r="F223" s="288">
        <v>1.1000000000000001</v>
      </c>
      <c r="G223" s="288">
        <v>1</v>
      </c>
      <c r="H223" s="288">
        <v>0.9</v>
      </c>
      <c r="I223" s="288">
        <v>0.75</v>
      </c>
      <c r="J223" s="255"/>
      <c r="K223" s="255"/>
      <c r="L223" s="255">
        <v>1.25</v>
      </c>
      <c r="M223" s="255">
        <v>1.1000000000000001</v>
      </c>
      <c r="N223" s="255">
        <v>1</v>
      </c>
      <c r="O223" s="255">
        <v>0.9</v>
      </c>
      <c r="P223" s="255">
        <v>0.75</v>
      </c>
      <c r="Q223" s="255"/>
      <c r="R223" s="255"/>
      <c r="S223" s="255"/>
      <c r="T223" s="255"/>
      <c r="U223" s="255"/>
      <c r="V223" s="255"/>
      <c r="W223" s="255"/>
      <c r="X223" s="255"/>
      <c r="Y223" s="255"/>
      <c r="Z223" s="255"/>
      <c r="AA223" s="255"/>
      <c r="AB223" s="255"/>
      <c r="AC223" s="255"/>
      <c r="AD223" s="255"/>
      <c r="AE223" s="255"/>
      <c r="AF223" s="287"/>
      <c r="AG223" s="287"/>
      <c r="AH223" s="287"/>
      <c r="AI223" s="287"/>
      <c r="AJ223" s="287"/>
      <c r="AK223" s="287"/>
      <c r="AL223" s="287"/>
      <c r="AM223" s="287"/>
      <c r="AN223" s="287"/>
      <c r="AO223" s="287"/>
      <c r="AP223" s="287"/>
      <c r="AQ223" s="287"/>
      <c r="AR223" s="287"/>
      <c r="AS223" s="287"/>
      <c r="AT223" s="287"/>
      <c r="AU223" s="287"/>
      <c r="AV223" s="287"/>
      <c r="AW223" s="287"/>
      <c r="AX223" s="287"/>
      <c r="AY223" s="287"/>
      <c r="AZ223" s="287"/>
      <c r="BA223" s="287"/>
      <c r="BB223" s="287"/>
      <c r="BC223" s="287"/>
      <c r="BD223" s="287"/>
      <c r="BE223" s="287"/>
      <c r="BF223" s="287"/>
    </row>
    <row r="224" spans="2:58" hidden="1">
      <c r="B224" s="5" t="s">
        <v>345</v>
      </c>
      <c r="C224" s="5" t="str">
        <f t="shared" ca="1" si="180"/>
        <v>Reinvesticijos (po priemonės įgyvendinimo)</v>
      </c>
      <c r="D224" t="str">
        <f t="shared" ca="1" si="181"/>
        <v>False</v>
      </c>
      <c r="E224" s="288">
        <v>1.25</v>
      </c>
      <c r="F224" s="288">
        <v>1.1000000000000001</v>
      </c>
      <c r="G224" s="288">
        <v>1</v>
      </c>
      <c r="H224" s="288">
        <v>0.9</v>
      </c>
      <c r="I224" s="288">
        <v>0.75</v>
      </c>
      <c r="J224" s="255"/>
      <c r="K224" s="255"/>
      <c r="L224" s="255">
        <v>1.25</v>
      </c>
      <c r="M224" s="255">
        <v>1.1000000000000001</v>
      </c>
      <c r="N224" s="255">
        <v>1</v>
      </c>
      <c r="O224" s="255">
        <v>0.9</v>
      </c>
      <c r="P224" s="255">
        <v>0.75</v>
      </c>
      <c r="Q224" s="255"/>
      <c r="R224" s="255"/>
      <c r="S224" s="255"/>
      <c r="T224" s="255"/>
      <c r="U224" s="255"/>
      <c r="V224" s="255"/>
      <c r="W224" s="255"/>
      <c r="X224" s="255"/>
      <c r="Y224" s="255"/>
      <c r="Z224" s="255"/>
      <c r="AA224" s="255"/>
      <c r="AB224" s="255"/>
      <c r="AC224" s="255"/>
      <c r="AD224" s="255"/>
      <c r="AE224" s="255"/>
      <c r="AF224" s="287"/>
      <c r="AG224" s="287"/>
      <c r="AH224" s="287"/>
      <c r="AI224" s="287"/>
      <c r="AJ224" s="287"/>
      <c r="AK224" s="287"/>
      <c r="AL224" s="287"/>
      <c r="AM224" s="287"/>
      <c r="AN224" s="287"/>
      <c r="AO224" s="287"/>
      <c r="AP224" s="287"/>
      <c r="AQ224" s="287"/>
      <c r="AR224" s="287"/>
      <c r="AS224" s="287"/>
      <c r="AT224" s="287"/>
      <c r="AU224" s="287"/>
      <c r="AV224" s="287"/>
      <c r="AW224" s="287"/>
      <c r="AX224" s="287"/>
      <c r="AY224" s="287"/>
      <c r="AZ224" s="287"/>
      <c r="BA224" s="287"/>
      <c r="BB224" s="287"/>
      <c r="BC224" s="287"/>
      <c r="BD224" s="287"/>
      <c r="BE224" s="287"/>
      <c r="BF224" s="287"/>
    </row>
    <row r="225" spans="2:58" hidden="1">
      <c r="B225" s="5" t="s">
        <v>346</v>
      </c>
      <c r="C225" s="5" t="str">
        <f t="shared" ca="1" si="180"/>
        <v>Likutinė vertė</v>
      </c>
      <c r="D225" t="str">
        <f t="shared" ca="1" si="181"/>
        <v>False</v>
      </c>
      <c r="E225" s="288">
        <v>0.75</v>
      </c>
      <c r="F225" s="288">
        <v>0.9</v>
      </c>
      <c r="G225" s="288">
        <v>1</v>
      </c>
      <c r="H225" s="288">
        <v>1.1000000000000001</v>
      </c>
      <c r="I225" s="288">
        <v>1.25</v>
      </c>
      <c r="J225" s="255"/>
      <c r="K225" s="255"/>
      <c r="L225" s="255">
        <v>0.75</v>
      </c>
      <c r="M225" s="255">
        <v>0.9</v>
      </c>
      <c r="N225" s="255">
        <v>1</v>
      </c>
      <c r="O225" s="255">
        <v>1.1000000000000001</v>
      </c>
      <c r="P225" s="255">
        <v>1.25</v>
      </c>
      <c r="Q225" s="255"/>
      <c r="R225" s="255"/>
      <c r="S225" s="255"/>
      <c r="T225" s="255"/>
      <c r="U225" s="255"/>
      <c r="V225" s="255"/>
      <c r="W225" s="255"/>
      <c r="X225" s="255"/>
      <c r="Y225" s="255"/>
      <c r="Z225" s="255"/>
      <c r="AA225" s="255"/>
      <c r="AB225" s="255"/>
      <c r="AC225" s="255"/>
      <c r="AD225" s="255"/>
      <c r="AE225" s="255"/>
      <c r="AF225" s="287"/>
      <c r="AG225" s="287"/>
      <c r="AH225" s="287"/>
      <c r="AI225" s="287"/>
      <c r="AJ225" s="287"/>
      <c r="AK225" s="287"/>
      <c r="AL225" s="287"/>
      <c r="AM225" s="287"/>
      <c r="AN225" s="287"/>
      <c r="AO225" s="287"/>
      <c r="AP225" s="287"/>
      <c r="AQ225" s="287"/>
      <c r="AR225" s="287"/>
      <c r="AS225" s="287"/>
      <c r="AT225" s="287"/>
      <c r="AU225" s="287"/>
      <c r="AV225" s="287"/>
      <c r="AW225" s="287"/>
      <c r="AX225" s="287"/>
      <c r="AY225" s="287"/>
      <c r="AZ225" s="287"/>
      <c r="BA225" s="287"/>
      <c r="BB225" s="287"/>
      <c r="BC225" s="287"/>
      <c r="BD225" s="287"/>
      <c r="BE225" s="287"/>
      <c r="BF225" s="287"/>
    </row>
    <row r="226" spans="2:58" hidden="1">
      <c r="B226" s="5" t="s">
        <v>347</v>
      </c>
      <c r="C226" s="5" t="str">
        <f t="shared" ca="1" si="180"/>
        <v>Veikla</v>
      </c>
      <c r="D226" t="str">
        <f t="shared" ca="1" si="181"/>
        <v>False</v>
      </c>
      <c r="E226" s="288">
        <v>1.25</v>
      </c>
      <c r="F226" s="288">
        <v>1.1000000000000001</v>
      </c>
      <c r="G226" s="288">
        <v>1</v>
      </c>
      <c r="H226" s="288">
        <v>0.9</v>
      </c>
      <c r="I226" s="288">
        <v>0.75</v>
      </c>
      <c r="J226" s="255"/>
      <c r="K226" s="255"/>
      <c r="L226" s="255">
        <v>1.25</v>
      </c>
      <c r="M226" s="255">
        <v>1.1000000000000001</v>
      </c>
      <c r="N226" s="255">
        <v>1</v>
      </c>
      <c r="O226" s="255">
        <v>0.9</v>
      </c>
      <c r="P226" s="255">
        <v>0.75</v>
      </c>
      <c r="Q226" s="255"/>
      <c r="R226" s="255"/>
      <c r="S226" s="255"/>
      <c r="T226" s="255"/>
      <c r="U226" s="255"/>
      <c r="V226" s="255"/>
      <c r="W226" s="255"/>
      <c r="X226" s="255"/>
      <c r="Y226" s="255"/>
      <c r="Z226" s="255"/>
      <c r="AA226" s="255"/>
      <c r="AB226" s="255"/>
      <c r="AC226" s="255"/>
      <c r="AD226" s="255"/>
      <c r="AE226" s="255"/>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7"/>
    </row>
    <row r="227" spans="2:58" hidden="1">
      <c r="B227" s="5" t="s">
        <v>348</v>
      </c>
      <c r="C227" s="5" t="str">
        <f t="shared" ca="1" si="180"/>
        <v>Veikla</v>
      </c>
      <c r="D227" t="str">
        <f t="shared" ca="1" si="181"/>
        <v>False</v>
      </c>
      <c r="E227" s="288">
        <v>1.25</v>
      </c>
      <c r="F227" s="288">
        <v>1.1000000000000001</v>
      </c>
      <c r="G227" s="288">
        <v>1</v>
      </c>
      <c r="H227" s="288">
        <v>0.9</v>
      </c>
      <c r="I227" s="288">
        <v>0.75</v>
      </c>
      <c r="J227" s="255"/>
      <c r="K227" s="255"/>
      <c r="L227" s="255">
        <v>1.25</v>
      </c>
      <c r="M227" s="255">
        <v>1.1000000000000001</v>
      </c>
      <c r="N227" s="255">
        <v>1</v>
      </c>
      <c r="O227" s="255">
        <v>0.9</v>
      </c>
      <c r="P227" s="255">
        <v>0.75</v>
      </c>
      <c r="Q227" s="255"/>
      <c r="R227" s="255"/>
      <c r="S227" s="255"/>
      <c r="T227" s="255"/>
      <c r="U227" s="255"/>
      <c r="V227" s="255"/>
      <c r="W227" s="255"/>
      <c r="X227" s="255"/>
      <c r="Y227" s="255"/>
      <c r="Z227" s="255"/>
      <c r="AA227" s="255"/>
      <c r="AB227" s="255"/>
      <c r="AC227" s="255"/>
      <c r="AD227" s="255"/>
      <c r="AE227" s="255"/>
      <c r="AF227" s="287"/>
      <c r="AG227" s="287"/>
      <c r="AH227" s="287"/>
      <c r="AI227" s="287"/>
      <c r="AJ227" s="287"/>
      <c r="AK227" s="287"/>
      <c r="AL227" s="287"/>
      <c r="AM227" s="287"/>
      <c r="AN227" s="287"/>
      <c r="AO227" s="287"/>
      <c r="AP227" s="287"/>
      <c r="AQ227" s="287"/>
      <c r="AR227" s="287"/>
      <c r="AS227" s="287"/>
      <c r="AT227" s="287"/>
      <c r="AU227" s="287"/>
      <c r="AV227" s="287"/>
      <c r="AW227" s="287"/>
      <c r="AX227" s="287"/>
      <c r="AY227" s="287"/>
      <c r="AZ227" s="287"/>
      <c r="BA227" s="287"/>
      <c r="BB227" s="287"/>
      <c r="BC227" s="287"/>
      <c r="BD227" s="287"/>
      <c r="BE227" s="287"/>
      <c r="BF227" s="287"/>
    </row>
    <row r="228" spans="2:58" hidden="1">
      <c r="B228" s="5" t="s">
        <v>349</v>
      </c>
      <c r="C228" s="5" t="str">
        <f t="shared" ca="1" si="180"/>
        <v>Veikla</v>
      </c>
      <c r="D228" t="str">
        <f t="shared" ca="1" si="181"/>
        <v>False</v>
      </c>
      <c r="E228" s="288">
        <v>1.25</v>
      </c>
      <c r="F228" s="288">
        <v>1.1000000000000001</v>
      </c>
      <c r="G228" s="288">
        <v>1</v>
      </c>
      <c r="H228" s="288">
        <v>0.9</v>
      </c>
      <c r="I228" s="288">
        <v>0.75</v>
      </c>
      <c r="J228" s="255"/>
      <c r="K228" s="255"/>
      <c r="L228" s="255">
        <v>1.25</v>
      </c>
      <c r="M228" s="255">
        <v>1.1000000000000001</v>
      </c>
      <c r="N228" s="255">
        <v>1</v>
      </c>
      <c r="O228" s="255">
        <v>0.9</v>
      </c>
      <c r="P228" s="255">
        <v>0.75</v>
      </c>
      <c r="Q228" s="255"/>
      <c r="R228" s="255"/>
      <c r="S228" s="255"/>
      <c r="T228" s="255"/>
      <c r="U228" s="255"/>
      <c r="V228" s="255"/>
      <c r="W228" s="255"/>
      <c r="X228" s="255"/>
      <c r="Y228" s="255"/>
      <c r="Z228" s="255"/>
      <c r="AA228" s="255"/>
      <c r="AB228" s="255"/>
      <c r="AC228" s="255"/>
      <c r="AD228" s="255"/>
      <c r="AE228" s="255"/>
      <c r="AF228" s="287"/>
      <c r="AG228" s="287"/>
      <c r="AH228" s="287"/>
      <c r="AI228" s="287"/>
      <c r="AJ228" s="287"/>
      <c r="AK228" s="287"/>
      <c r="AL228" s="287"/>
      <c r="AM228" s="287"/>
      <c r="AN228" s="287"/>
      <c r="AO228" s="287"/>
      <c r="AP228" s="287"/>
      <c r="AQ228" s="287"/>
      <c r="AR228" s="287"/>
      <c r="AS228" s="287"/>
      <c r="AT228" s="287"/>
      <c r="AU228" s="287"/>
      <c r="AV228" s="287"/>
      <c r="AW228" s="287"/>
      <c r="AX228" s="287"/>
      <c r="AY228" s="287"/>
      <c r="AZ228" s="287"/>
      <c r="BA228" s="287"/>
      <c r="BB228" s="287"/>
      <c r="BC228" s="287"/>
      <c r="BD228" s="287"/>
      <c r="BE228" s="287"/>
      <c r="BF228" s="287"/>
    </row>
    <row r="229" spans="2:58" hidden="1">
      <c r="B229" s="5" t="s">
        <v>350</v>
      </c>
      <c r="C229" s="5" t="str">
        <f t="shared" ca="1" si="180"/>
        <v>Veikla</v>
      </c>
      <c r="D229" t="str">
        <f t="shared" ca="1" si="181"/>
        <v>False</v>
      </c>
      <c r="E229" s="288">
        <v>1.25</v>
      </c>
      <c r="F229" s="288">
        <v>1.1000000000000001</v>
      </c>
      <c r="G229" s="288">
        <v>1</v>
      </c>
      <c r="H229" s="288">
        <v>0.9</v>
      </c>
      <c r="I229" s="288">
        <v>0.75</v>
      </c>
      <c r="J229" s="255"/>
      <c r="K229" s="255"/>
      <c r="L229" s="255">
        <v>1.25</v>
      </c>
      <c r="M229" s="255">
        <v>1.1000000000000001</v>
      </c>
      <c r="N229" s="255">
        <v>1</v>
      </c>
      <c r="O229" s="255">
        <v>0.9</v>
      </c>
      <c r="P229" s="255">
        <v>0.75</v>
      </c>
      <c r="Q229" s="255"/>
      <c r="R229" s="255"/>
      <c r="S229" s="255"/>
      <c r="T229" s="255"/>
      <c r="U229" s="255"/>
      <c r="V229" s="255"/>
      <c r="W229" s="255"/>
      <c r="X229" s="255"/>
      <c r="Y229" s="255"/>
      <c r="Z229" s="255"/>
      <c r="AA229" s="255"/>
      <c r="AB229" s="255"/>
      <c r="AC229" s="255"/>
      <c r="AD229" s="255"/>
      <c r="AE229" s="255"/>
      <c r="AF229" s="287"/>
      <c r="AG229" s="287"/>
      <c r="AH229" s="287"/>
      <c r="AI229" s="287"/>
      <c r="AJ229" s="287"/>
      <c r="AK229" s="287"/>
      <c r="AL229" s="287"/>
      <c r="AM229" s="287"/>
      <c r="AN229" s="287"/>
      <c r="AO229" s="287"/>
      <c r="AP229" s="287"/>
      <c r="AQ229" s="287"/>
      <c r="AR229" s="287"/>
      <c r="AS229" s="287"/>
      <c r="AT229" s="287"/>
      <c r="AU229" s="287"/>
      <c r="AV229" s="287"/>
      <c r="AW229" s="287"/>
      <c r="AX229" s="287"/>
      <c r="AY229" s="287"/>
      <c r="AZ229" s="287"/>
      <c r="BA229" s="287"/>
      <c r="BB229" s="287"/>
      <c r="BC229" s="287"/>
      <c r="BD229" s="287"/>
      <c r="BE229" s="287"/>
      <c r="BF229" s="287"/>
    </row>
    <row r="230" spans="2:58" hidden="1">
      <c r="B230" s="5" t="s">
        <v>351</v>
      </c>
      <c r="C230" s="5" t="str">
        <f t="shared" ca="1" si="180"/>
        <v>Veikla</v>
      </c>
      <c r="D230" t="str">
        <f t="shared" ca="1" si="181"/>
        <v>False</v>
      </c>
      <c r="E230" s="288">
        <v>1.25</v>
      </c>
      <c r="F230" s="288">
        <v>1.1000000000000001</v>
      </c>
      <c r="G230" s="288">
        <v>1</v>
      </c>
      <c r="H230" s="288">
        <v>0.9</v>
      </c>
      <c r="I230" s="288">
        <v>0.75</v>
      </c>
      <c r="J230" s="255"/>
      <c r="K230" s="255"/>
      <c r="L230" s="255">
        <v>1.25</v>
      </c>
      <c r="M230" s="255">
        <v>1.1000000000000001</v>
      </c>
      <c r="N230" s="255">
        <v>1</v>
      </c>
      <c r="O230" s="255">
        <v>0.9</v>
      </c>
      <c r="P230" s="255">
        <v>0.75</v>
      </c>
      <c r="Q230" s="255"/>
      <c r="R230" s="255"/>
      <c r="S230" s="255"/>
      <c r="T230" s="255"/>
      <c r="U230" s="255"/>
      <c r="V230" s="255"/>
      <c r="W230" s="255"/>
      <c r="X230" s="255"/>
      <c r="Y230" s="255"/>
      <c r="Z230" s="255"/>
      <c r="AA230" s="255"/>
      <c r="AB230" s="255"/>
      <c r="AC230" s="255"/>
      <c r="AD230" s="255"/>
      <c r="AE230" s="255"/>
      <c r="AF230" s="287"/>
      <c r="AG230" s="287"/>
      <c r="AH230" s="287"/>
      <c r="AI230" s="287"/>
      <c r="AJ230" s="287"/>
      <c r="AK230" s="287"/>
      <c r="AL230" s="287"/>
      <c r="AM230" s="287"/>
      <c r="AN230" s="287"/>
      <c r="AO230" s="287"/>
      <c r="AP230" s="287"/>
      <c r="AQ230" s="287"/>
      <c r="AR230" s="287"/>
      <c r="AS230" s="287"/>
      <c r="AT230" s="287"/>
      <c r="AU230" s="287"/>
      <c r="AV230" s="287"/>
      <c r="AW230" s="287"/>
      <c r="AX230" s="287"/>
      <c r="AY230" s="287"/>
      <c r="AZ230" s="287"/>
      <c r="BA230" s="287"/>
      <c r="BB230" s="287"/>
      <c r="BC230" s="287"/>
      <c r="BD230" s="287"/>
      <c r="BE230" s="287"/>
      <c r="BF230" s="287"/>
    </row>
    <row r="231" spans="2:58" hidden="1">
      <c r="B231" s="5" t="s">
        <v>352</v>
      </c>
      <c r="C231" s="5" t="str">
        <f t="shared" ref="C231:C267" ca="1" si="182">IFERROR(VLOOKUP(B231,$B$12:$C$129,2,FALSE),"")</f>
        <v>Veikla</v>
      </c>
      <c r="D231" t="str">
        <f t="shared" ref="D231:D267" ca="1" si="183">IF(VLOOKUP(B231,$B$7:$G$138,COLUMNS($B$7:$G$138),FALSE)&lt;&gt;0,"True","False")</f>
        <v>False</v>
      </c>
      <c r="E231" s="288">
        <v>1.25</v>
      </c>
      <c r="F231" s="288">
        <v>1.1000000000000001</v>
      </c>
      <c r="G231" s="288">
        <v>1</v>
      </c>
      <c r="H231" s="288">
        <v>0.9</v>
      </c>
      <c r="I231" s="288">
        <v>0.75</v>
      </c>
      <c r="J231" s="255"/>
      <c r="K231" s="255"/>
      <c r="L231" s="255">
        <v>1.25</v>
      </c>
      <c r="M231" s="255">
        <v>1.1000000000000001</v>
      </c>
      <c r="N231" s="255">
        <v>1</v>
      </c>
      <c r="O231" s="255">
        <v>0.9</v>
      </c>
      <c r="P231" s="255">
        <v>0.75</v>
      </c>
      <c r="Q231" s="255"/>
      <c r="R231" s="255"/>
      <c r="S231" s="255"/>
      <c r="T231" s="255"/>
      <c r="U231" s="255"/>
      <c r="V231" s="255"/>
      <c r="W231" s="255"/>
      <c r="X231" s="255"/>
      <c r="Y231" s="255"/>
      <c r="Z231" s="255"/>
      <c r="AA231" s="255"/>
      <c r="AB231" s="255"/>
      <c r="AC231" s="255"/>
      <c r="AD231" s="255"/>
      <c r="AE231" s="255"/>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7"/>
    </row>
    <row r="232" spans="2:58" hidden="1">
      <c r="B232" s="5" t="s">
        <v>353</v>
      </c>
      <c r="C232" s="5" t="str">
        <f t="shared" ca="1" si="182"/>
        <v>Veikla</v>
      </c>
      <c r="D232" t="str">
        <f t="shared" ca="1" si="183"/>
        <v>False</v>
      </c>
      <c r="E232" s="288">
        <v>1.25</v>
      </c>
      <c r="F232" s="288">
        <v>1.1000000000000001</v>
      </c>
      <c r="G232" s="288">
        <v>1</v>
      </c>
      <c r="H232" s="288">
        <v>0.9</v>
      </c>
      <c r="I232" s="288">
        <v>0.75</v>
      </c>
      <c r="J232" s="255"/>
      <c r="K232" s="255"/>
      <c r="L232" s="255">
        <v>1.25</v>
      </c>
      <c r="M232" s="255">
        <v>1.1000000000000001</v>
      </c>
      <c r="N232" s="255">
        <v>1</v>
      </c>
      <c r="O232" s="255">
        <v>0.9</v>
      </c>
      <c r="P232" s="255">
        <v>0.75</v>
      </c>
      <c r="Q232" s="255"/>
      <c r="R232" s="255"/>
      <c r="S232" s="255"/>
      <c r="T232" s="255"/>
      <c r="U232" s="255"/>
      <c r="V232" s="255"/>
      <c r="W232" s="255"/>
      <c r="X232" s="255"/>
      <c r="Y232" s="255"/>
      <c r="Z232" s="255"/>
      <c r="AA232" s="255"/>
      <c r="AB232" s="255"/>
      <c r="AC232" s="255"/>
      <c r="AD232" s="255"/>
      <c r="AE232" s="255"/>
      <c r="AF232" s="287"/>
      <c r="AG232" s="287"/>
      <c r="AH232" s="287"/>
      <c r="AI232" s="287"/>
      <c r="AJ232" s="287"/>
      <c r="AK232" s="287"/>
      <c r="AL232" s="287"/>
      <c r="AM232" s="287"/>
      <c r="AN232" s="287"/>
      <c r="AO232" s="287"/>
      <c r="AP232" s="287"/>
      <c r="AQ232" s="287"/>
      <c r="AR232" s="287"/>
      <c r="AS232" s="287"/>
      <c r="AT232" s="287"/>
      <c r="AU232" s="287"/>
      <c r="AV232" s="287"/>
      <c r="AW232" s="287"/>
      <c r="AX232" s="287"/>
      <c r="AY232" s="287"/>
      <c r="AZ232" s="287"/>
      <c r="BA232" s="287"/>
      <c r="BB232" s="287"/>
      <c r="BC232" s="287"/>
      <c r="BD232" s="287"/>
      <c r="BE232" s="287"/>
      <c r="BF232" s="287"/>
    </row>
    <row r="233" spans="2:58" hidden="1">
      <c r="B233" s="5" t="s">
        <v>354</v>
      </c>
      <c r="C233" s="5" t="str">
        <f t="shared" ca="1" si="182"/>
        <v>Veikla</v>
      </c>
      <c r="D233" t="str">
        <f t="shared" ca="1" si="183"/>
        <v>False</v>
      </c>
      <c r="E233" s="288">
        <v>1.25</v>
      </c>
      <c r="F233" s="288">
        <v>1.1000000000000001</v>
      </c>
      <c r="G233" s="288">
        <v>1</v>
      </c>
      <c r="H233" s="288">
        <v>0.9</v>
      </c>
      <c r="I233" s="288">
        <v>0.75</v>
      </c>
      <c r="J233" s="255"/>
      <c r="K233" s="255"/>
      <c r="L233" s="255">
        <v>1.25</v>
      </c>
      <c r="M233" s="255">
        <v>1.1000000000000001</v>
      </c>
      <c r="N233" s="255">
        <v>1</v>
      </c>
      <c r="O233" s="255">
        <v>0.9</v>
      </c>
      <c r="P233" s="255">
        <v>0.75</v>
      </c>
      <c r="Q233" s="255"/>
      <c r="R233" s="255"/>
      <c r="S233" s="255"/>
      <c r="T233" s="255"/>
      <c r="U233" s="255"/>
      <c r="V233" s="255"/>
      <c r="W233" s="255"/>
      <c r="X233" s="255"/>
      <c r="Y233" s="255"/>
      <c r="Z233" s="255"/>
      <c r="AA233" s="255"/>
      <c r="AB233" s="255"/>
      <c r="AC233" s="255"/>
      <c r="AD233" s="255"/>
      <c r="AE233" s="255"/>
      <c r="AF233" s="287"/>
      <c r="AG233" s="287"/>
      <c r="AH233" s="287"/>
      <c r="AI233" s="287"/>
      <c r="AJ233" s="287"/>
      <c r="AK233" s="287"/>
      <c r="AL233" s="287"/>
      <c r="AM233" s="287"/>
      <c r="AN233" s="287"/>
      <c r="AO233" s="287"/>
      <c r="AP233" s="287"/>
      <c r="AQ233" s="287"/>
      <c r="AR233" s="287"/>
      <c r="AS233" s="287"/>
      <c r="AT233" s="287"/>
      <c r="AU233" s="287"/>
      <c r="AV233" s="287"/>
      <c r="AW233" s="287"/>
      <c r="AX233" s="287"/>
      <c r="AY233" s="287"/>
      <c r="AZ233" s="287"/>
      <c r="BA233" s="287"/>
      <c r="BB233" s="287"/>
      <c r="BC233" s="287"/>
      <c r="BD233" s="287"/>
      <c r="BE233" s="287"/>
      <c r="BF233" s="287"/>
    </row>
    <row r="234" spans="2:58" hidden="1">
      <c r="B234" s="5" t="s">
        <v>355</v>
      </c>
      <c r="C234" s="5" t="str">
        <f t="shared" ca="1" si="182"/>
        <v>Reinvesticijos (po priemonės įgyvendinimo)</v>
      </c>
      <c r="D234" t="str">
        <f t="shared" ca="1" si="183"/>
        <v>False</v>
      </c>
      <c r="E234" s="288">
        <v>1.25</v>
      </c>
      <c r="F234" s="288">
        <v>1.1000000000000001</v>
      </c>
      <c r="G234" s="288">
        <v>1</v>
      </c>
      <c r="H234" s="288">
        <v>0.9</v>
      </c>
      <c r="I234" s="288">
        <v>0.75</v>
      </c>
      <c r="J234" s="255"/>
      <c r="K234" s="255"/>
      <c r="L234" s="255">
        <v>1.25</v>
      </c>
      <c r="M234" s="255">
        <v>1.1000000000000001</v>
      </c>
      <c r="N234" s="255">
        <v>1</v>
      </c>
      <c r="O234" s="255">
        <v>0.9</v>
      </c>
      <c r="P234" s="255">
        <v>0.75</v>
      </c>
      <c r="Q234" s="255"/>
      <c r="R234" s="255"/>
      <c r="S234" s="255"/>
      <c r="T234" s="255"/>
      <c r="U234" s="255"/>
      <c r="V234" s="255"/>
      <c r="W234" s="255"/>
      <c r="X234" s="255"/>
      <c r="Y234" s="255"/>
      <c r="Z234" s="255"/>
      <c r="AA234" s="255"/>
      <c r="AB234" s="255"/>
      <c r="AC234" s="255"/>
      <c r="AD234" s="255"/>
      <c r="AE234" s="255"/>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row>
    <row r="235" spans="2:58" hidden="1">
      <c r="B235" s="5" t="s">
        <v>356</v>
      </c>
      <c r="C235" s="5" t="str">
        <f t="shared" ca="1" si="182"/>
        <v>Likutinė vertė</v>
      </c>
      <c r="D235" t="str">
        <f t="shared" ca="1" si="183"/>
        <v>False</v>
      </c>
      <c r="E235" s="288">
        <v>0.75</v>
      </c>
      <c r="F235" s="288">
        <v>0.9</v>
      </c>
      <c r="G235" s="288">
        <v>1</v>
      </c>
      <c r="H235" s="288">
        <v>1.1000000000000001</v>
      </c>
      <c r="I235" s="288">
        <v>1.25</v>
      </c>
      <c r="J235" s="255"/>
      <c r="K235" s="255"/>
      <c r="L235" s="255">
        <v>0.75</v>
      </c>
      <c r="M235" s="255">
        <v>0.9</v>
      </c>
      <c r="N235" s="255">
        <v>1</v>
      </c>
      <c r="O235" s="255">
        <v>1.1000000000000001</v>
      </c>
      <c r="P235" s="255">
        <v>1.25</v>
      </c>
      <c r="Q235" s="255"/>
      <c r="R235" s="255"/>
      <c r="S235" s="255"/>
      <c r="T235" s="255"/>
      <c r="U235" s="255"/>
      <c r="V235" s="255"/>
      <c r="W235" s="255"/>
      <c r="X235" s="255"/>
      <c r="Y235" s="255"/>
      <c r="Z235" s="255"/>
      <c r="AA235" s="255"/>
      <c r="AB235" s="255"/>
      <c r="AC235" s="255"/>
      <c r="AD235" s="255"/>
      <c r="AE235" s="255"/>
      <c r="AF235" s="287"/>
      <c r="AG235" s="287"/>
      <c r="AH235" s="287"/>
      <c r="AI235" s="287"/>
      <c r="AJ235" s="287"/>
      <c r="AK235" s="287"/>
      <c r="AL235" s="287"/>
      <c r="AM235" s="287"/>
      <c r="AN235" s="287"/>
      <c r="AO235" s="287"/>
      <c r="AP235" s="287"/>
      <c r="AQ235" s="287"/>
      <c r="AR235" s="287"/>
      <c r="AS235" s="287"/>
      <c r="AT235" s="287"/>
      <c r="AU235" s="287"/>
      <c r="AV235" s="287"/>
      <c r="AW235" s="287"/>
      <c r="AX235" s="287"/>
      <c r="AY235" s="287"/>
      <c r="AZ235" s="287"/>
      <c r="BA235" s="287"/>
      <c r="BB235" s="287"/>
      <c r="BC235" s="287"/>
      <c r="BD235" s="287"/>
      <c r="BE235" s="287"/>
      <c r="BF235" s="287"/>
    </row>
    <row r="236" spans="2:58" hidden="1">
      <c r="B236" s="5" t="s">
        <v>357</v>
      </c>
      <c r="C236" s="5" t="str">
        <f t="shared" ca="1" si="182"/>
        <v>Ekonominės diplomatijos funkcijų stiprinimas</v>
      </c>
      <c r="D236" t="str">
        <f t="shared" ca="1" si="183"/>
        <v>True</v>
      </c>
      <c r="E236" s="288">
        <v>1.25</v>
      </c>
      <c r="F236" s="288">
        <v>1.1000000000000001</v>
      </c>
      <c r="G236" s="288">
        <v>1</v>
      </c>
      <c r="H236" s="288">
        <v>0.9</v>
      </c>
      <c r="I236" s="288">
        <v>0.75</v>
      </c>
      <c r="J236" s="255"/>
      <c r="K236" s="255"/>
      <c r="L236" s="255">
        <v>1.25</v>
      </c>
      <c r="M236" s="255">
        <v>1.1000000000000001</v>
      </c>
      <c r="N236" s="255">
        <v>1</v>
      </c>
      <c r="O236" s="255">
        <v>0.9</v>
      </c>
      <c r="P236" s="255">
        <v>0.75</v>
      </c>
      <c r="Q236" s="255"/>
      <c r="R236" s="255"/>
      <c r="S236" s="255"/>
      <c r="T236" s="255"/>
      <c r="U236" s="255"/>
      <c r="V236" s="255"/>
      <c r="W236" s="255"/>
      <c r="X236" s="255"/>
      <c r="Y236" s="255"/>
      <c r="Z236" s="255"/>
      <c r="AA236" s="255"/>
      <c r="AB236" s="255"/>
      <c r="AC236" s="255"/>
      <c r="AD236" s="255"/>
      <c r="AE236" s="255"/>
      <c r="AF236" s="287"/>
      <c r="AG236" s="287"/>
      <c r="AH236" s="287"/>
      <c r="AI236" s="287"/>
      <c r="AJ236" s="287"/>
      <c r="AK236" s="287"/>
      <c r="AL236" s="287"/>
      <c r="AM236" s="287"/>
      <c r="AN236" s="287"/>
      <c r="AO236" s="287"/>
      <c r="AP236" s="287"/>
      <c r="AQ236" s="287"/>
      <c r="AR236" s="287"/>
      <c r="AS236" s="287"/>
      <c r="AT236" s="287"/>
      <c r="AU236" s="287"/>
      <c r="AV236" s="287"/>
      <c r="AW236" s="287"/>
      <c r="AX236" s="287"/>
      <c r="AY236" s="287"/>
      <c r="AZ236" s="287"/>
      <c r="BA236" s="287"/>
      <c r="BB236" s="287"/>
      <c r="BC236" s="287"/>
      <c r="BD236" s="287"/>
      <c r="BE236" s="287"/>
      <c r="BF236" s="287"/>
    </row>
    <row r="237" spans="2:58" hidden="1">
      <c r="B237" s="5" t="s">
        <v>358</v>
      </c>
      <c r="C237" s="5" t="str">
        <f t="shared" ca="1" si="182"/>
        <v>Darbo su diaspora funkcijų stiprinimas</v>
      </c>
      <c r="D237" t="str">
        <f t="shared" ca="1" si="183"/>
        <v>True</v>
      </c>
      <c r="E237" s="288">
        <v>1.25</v>
      </c>
      <c r="F237" s="288">
        <v>1.1000000000000001</v>
      </c>
      <c r="G237" s="288">
        <v>1</v>
      </c>
      <c r="H237" s="288">
        <v>0.9</v>
      </c>
      <c r="I237" s="288">
        <v>0.75</v>
      </c>
      <c r="J237" s="255"/>
      <c r="K237" s="255"/>
      <c r="L237" s="255">
        <v>1.25</v>
      </c>
      <c r="M237" s="255">
        <v>1.1000000000000001</v>
      </c>
      <c r="N237" s="255">
        <v>1</v>
      </c>
      <c r="O237" s="255">
        <v>0.9</v>
      </c>
      <c r="P237" s="255">
        <v>0.75</v>
      </c>
      <c r="Q237" s="255"/>
      <c r="R237" s="255"/>
      <c r="S237" s="255"/>
      <c r="T237" s="255"/>
      <c r="U237" s="255"/>
      <c r="V237" s="255"/>
      <c r="W237" s="255"/>
      <c r="X237" s="255"/>
      <c r="Y237" s="255"/>
      <c r="Z237" s="255"/>
      <c r="AA237" s="255"/>
      <c r="AB237" s="255"/>
      <c r="AC237" s="255"/>
      <c r="AD237" s="255"/>
      <c r="AE237" s="255"/>
      <c r="AF237" s="287"/>
      <c r="AG237" s="287"/>
      <c r="AH237" s="287"/>
      <c r="AI237" s="287"/>
      <c r="AJ237" s="287"/>
      <c r="AK237" s="287"/>
      <c r="AL237" s="287"/>
      <c r="AM237" s="287"/>
      <c r="AN237" s="287"/>
      <c r="AO237" s="287"/>
      <c r="AP237" s="287"/>
      <c r="AQ237" s="287"/>
      <c r="AR237" s="287"/>
      <c r="AS237" s="287"/>
      <c r="AT237" s="287"/>
      <c r="AU237" s="287"/>
      <c r="AV237" s="287"/>
      <c r="AW237" s="287"/>
      <c r="AX237" s="287"/>
      <c r="AY237" s="287"/>
      <c r="AZ237" s="287"/>
      <c r="BA237" s="287"/>
      <c r="BB237" s="287"/>
      <c r="BC237" s="287"/>
      <c r="BD237" s="287"/>
      <c r="BE237" s="287"/>
      <c r="BF237" s="287"/>
    </row>
    <row r="238" spans="2:58" hidden="1">
      <c r="B238" s="5" t="s">
        <v>359</v>
      </c>
      <c r="C238" s="5" t="str">
        <f t="shared" ca="1" si="182"/>
        <v xml:space="preserve">Kursai diplomatams, dirbantiems su Azijos regionu </v>
      </c>
      <c r="D238" t="str">
        <f t="shared" ca="1" si="183"/>
        <v>True</v>
      </c>
      <c r="E238" s="288">
        <v>1.25</v>
      </c>
      <c r="F238" s="288">
        <v>1.1000000000000001</v>
      </c>
      <c r="G238" s="288">
        <v>1</v>
      </c>
      <c r="H238" s="288">
        <v>0.9</v>
      </c>
      <c r="I238" s="288">
        <v>0.75</v>
      </c>
      <c r="J238" s="255"/>
      <c r="K238" s="255"/>
      <c r="L238" s="255">
        <v>1.25</v>
      </c>
      <c r="M238" s="255">
        <v>1.1000000000000001</v>
      </c>
      <c r="N238" s="255">
        <v>1</v>
      </c>
      <c r="O238" s="255">
        <v>0.9</v>
      </c>
      <c r="P238" s="255">
        <v>0.75</v>
      </c>
      <c r="Q238" s="255"/>
      <c r="R238" s="255"/>
      <c r="S238" s="255"/>
      <c r="T238" s="255"/>
      <c r="U238" s="255"/>
      <c r="V238" s="255"/>
      <c r="W238" s="255"/>
      <c r="X238" s="255"/>
      <c r="Y238" s="255"/>
      <c r="Z238" s="255"/>
      <c r="AA238" s="255"/>
      <c r="AB238" s="255"/>
      <c r="AC238" s="255"/>
      <c r="AD238" s="255"/>
      <c r="AE238" s="255"/>
      <c r="AF238" s="287"/>
      <c r="AG238" s="287"/>
      <c r="AH238" s="287"/>
      <c r="AI238" s="287"/>
      <c r="AJ238" s="287"/>
      <c r="AK238" s="287"/>
      <c r="AL238" s="287"/>
      <c r="AM238" s="287"/>
      <c r="AN238" s="287"/>
      <c r="AO238" s="287"/>
      <c r="AP238" s="287"/>
      <c r="AQ238" s="287"/>
      <c r="AR238" s="287"/>
      <c r="AS238" s="287"/>
      <c r="AT238" s="287"/>
      <c r="AU238" s="287"/>
      <c r="AV238" s="287"/>
      <c r="AW238" s="287"/>
      <c r="AX238" s="287"/>
      <c r="AY238" s="287"/>
      <c r="AZ238" s="287"/>
      <c r="BA238" s="287"/>
      <c r="BB238" s="287"/>
      <c r="BC238" s="287"/>
      <c r="BD238" s="287"/>
      <c r="BE238" s="287"/>
      <c r="BF238" s="287"/>
    </row>
    <row r="239" spans="2:58" hidden="1">
      <c r="B239" s="5" t="s">
        <v>360</v>
      </c>
      <c r="C239" s="5" t="str">
        <f t="shared" ca="1" si="182"/>
        <v>Stipendijų fondas Azijos regiono studijų studentams</v>
      </c>
      <c r="D239" t="str">
        <f t="shared" ca="1" si="183"/>
        <v>True</v>
      </c>
      <c r="E239" s="288">
        <v>1.25</v>
      </c>
      <c r="F239" s="288">
        <v>1.1000000000000001</v>
      </c>
      <c r="G239" s="288">
        <v>1</v>
      </c>
      <c r="H239" s="288">
        <v>0.9</v>
      </c>
      <c r="I239" s="288">
        <v>0.75</v>
      </c>
      <c r="J239" s="255"/>
      <c r="K239" s="255"/>
      <c r="L239" s="255">
        <v>1.25</v>
      </c>
      <c r="M239" s="255">
        <v>1.1000000000000001</v>
      </c>
      <c r="N239" s="255">
        <v>1</v>
      </c>
      <c r="O239" s="255">
        <v>0.9</v>
      </c>
      <c r="P239" s="255">
        <v>0.75</v>
      </c>
      <c r="Q239" s="255"/>
      <c r="R239" s="255"/>
      <c r="S239" s="255"/>
      <c r="T239" s="255"/>
      <c r="U239" s="255"/>
      <c r="V239" s="255"/>
      <c r="W239" s="255"/>
      <c r="X239" s="255"/>
      <c r="Y239" s="255"/>
      <c r="Z239" s="255"/>
      <c r="AA239" s="255"/>
      <c r="AB239" s="255"/>
      <c r="AC239" s="255"/>
      <c r="AD239" s="255"/>
      <c r="AE239" s="255"/>
      <c r="AF239" s="287"/>
      <c r="AG239" s="287"/>
      <c r="AH239" s="287"/>
      <c r="AI239" s="287"/>
      <c r="AJ239" s="287"/>
      <c r="AK239" s="287"/>
      <c r="AL239" s="287"/>
      <c r="AM239" s="287"/>
      <c r="AN239" s="287"/>
      <c r="AO239" s="287"/>
      <c r="AP239" s="287"/>
      <c r="AQ239" s="287"/>
      <c r="AR239" s="287"/>
      <c r="AS239" s="287"/>
      <c r="AT239" s="287"/>
      <c r="AU239" s="287"/>
      <c r="AV239" s="287"/>
      <c r="AW239" s="287"/>
      <c r="AX239" s="287"/>
      <c r="AY239" s="287"/>
      <c r="AZ239" s="287"/>
      <c r="BA239" s="287"/>
      <c r="BB239" s="287"/>
      <c r="BC239" s="287"/>
      <c r="BD239" s="287"/>
      <c r="BE239" s="287"/>
      <c r="BF239" s="287"/>
    </row>
    <row r="240" spans="2:58" hidden="1">
      <c r="B240" s="5" t="s">
        <v>361</v>
      </c>
      <c r="C240" s="5" t="str">
        <f t="shared" ca="1" si="182"/>
        <v xml:space="preserve">Ambasados Singapūre išlaikymo išlaidos </v>
      </c>
      <c r="D240" t="str">
        <f t="shared" ca="1" si="183"/>
        <v>True</v>
      </c>
      <c r="E240" s="288">
        <v>1.25</v>
      </c>
      <c r="F240" s="288">
        <v>1.1000000000000001</v>
      </c>
      <c r="G240" s="288">
        <v>1</v>
      </c>
      <c r="H240" s="288">
        <v>0.9</v>
      </c>
      <c r="I240" s="288">
        <v>0.75</v>
      </c>
      <c r="J240" s="255"/>
      <c r="K240" s="255"/>
      <c r="L240" s="255">
        <v>1.25</v>
      </c>
      <c r="M240" s="255">
        <v>1.1000000000000001</v>
      </c>
      <c r="N240" s="255">
        <v>1</v>
      </c>
      <c r="O240" s="255">
        <v>0.9</v>
      </c>
      <c r="P240" s="255">
        <v>0.75</v>
      </c>
      <c r="Q240" s="255"/>
      <c r="R240" s="255"/>
      <c r="S240" s="255"/>
      <c r="T240" s="255"/>
      <c r="U240" s="255"/>
      <c r="V240" s="255"/>
      <c r="W240" s="255"/>
      <c r="X240" s="255"/>
      <c r="Y240" s="255"/>
      <c r="Z240" s="255"/>
      <c r="AA240" s="255"/>
      <c r="AB240" s="255"/>
      <c r="AC240" s="255"/>
      <c r="AD240" s="255"/>
      <c r="AE240" s="255"/>
      <c r="AF240" s="287"/>
      <c r="AG240" s="287"/>
      <c r="AH240" s="287"/>
      <c r="AI240" s="287"/>
      <c r="AJ240" s="287"/>
      <c r="AK240" s="287"/>
      <c r="AL240" s="287"/>
      <c r="AM240" s="287"/>
      <c r="AN240" s="287"/>
      <c r="AO240" s="287"/>
      <c r="AP240" s="287"/>
      <c r="AQ240" s="287"/>
      <c r="AR240" s="287"/>
      <c r="AS240" s="287"/>
      <c r="AT240" s="287"/>
      <c r="AU240" s="287"/>
      <c r="AV240" s="287"/>
      <c r="AW240" s="287"/>
      <c r="AX240" s="287"/>
      <c r="AY240" s="287"/>
      <c r="AZ240" s="287"/>
      <c r="BA240" s="287"/>
      <c r="BB240" s="287"/>
      <c r="BC240" s="287"/>
      <c r="BD240" s="287"/>
      <c r="BE240" s="287"/>
      <c r="BF240" s="287"/>
    </row>
    <row r="241" spans="2:58" hidden="1">
      <c r="B241" s="5" t="s">
        <v>362</v>
      </c>
      <c r="C241" s="5" t="str">
        <f t="shared" ca="1" si="182"/>
        <v>Kitų, naujai įsteigtų, ambasadų užsienio valstybėse išlaikymo išlaidos</v>
      </c>
      <c r="D241" t="str">
        <f t="shared" ca="1" si="183"/>
        <v>True</v>
      </c>
      <c r="E241" s="288">
        <v>1.25</v>
      </c>
      <c r="F241" s="288">
        <v>1.1000000000000001</v>
      </c>
      <c r="G241" s="288">
        <v>1</v>
      </c>
      <c r="H241" s="288">
        <v>0.9</v>
      </c>
      <c r="I241" s="288">
        <v>0.75</v>
      </c>
      <c r="J241" s="255"/>
      <c r="K241" s="255"/>
      <c r="L241" s="255">
        <v>1.25</v>
      </c>
      <c r="M241" s="255">
        <v>1.1000000000000001</v>
      </c>
      <c r="N241" s="255">
        <v>1</v>
      </c>
      <c r="O241" s="255">
        <v>0.9</v>
      </c>
      <c r="P241" s="255">
        <v>0.75</v>
      </c>
      <c r="Q241" s="255"/>
      <c r="R241" s="255"/>
      <c r="S241" s="255"/>
      <c r="T241" s="255"/>
      <c r="U241" s="255"/>
      <c r="V241" s="255"/>
      <c r="W241" s="255"/>
      <c r="X241" s="255"/>
      <c r="Y241" s="255"/>
      <c r="Z241" s="255"/>
      <c r="AA241" s="255"/>
      <c r="AB241" s="255"/>
      <c r="AC241" s="255"/>
      <c r="AD241" s="255"/>
      <c r="AE241" s="255"/>
      <c r="AF241" s="287"/>
      <c r="AG241" s="287"/>
      <c r="AH241" s="287"/>
      <c r="AI241" s="287"/>
      <c r="AJ241" s="287"/>
      <c r="AK241" s="287"/>
      <c r="AL241" s="287"/>
      <c r="AM241" s="287"/>
      <c r="AN241" s="287"/>
      <c r="AO241" s="287"/>
      <c r="AP241" s="287"/>
      <c r="AQ241" s="287"/>
      <c r="AR241" s="287"/>
      <c r="AS241" s="287"/>
      <c r="AT241" s="287"/>
      <c r="AU241" s="287"/>
      <c r="AV241" s="287"/>
      <c r="AW241" s="287"/>
      <c r="AX241" s="287"/>
      <c r="AY241" s="287"/>
      <c r="AZ241" s="287"/>
      <c r="BA241" s="287"/>
      <c r="BB241" s="287"/>
      <c r="BC241" s="287"/>
      <c r="BD241" s="287"/>
      <c r="BE241" s="287"/>
      <c r="BF241" s="287"/>
    </row>
    <row r="242" spans="2:58" hidden="1">
      <c r="B242" s="5" t="s">
        <v>363</v>
      </c>
      <c r="C242" s="5" t="str">
        <f t="shared" ca="1" si="182"/>
        <v/>
      </c>
      <c r="D242" t="str">
        <f t="shared" ca="1" si="183"/>
        <v>False</v>
      </c>
      <c r="E242" s="288">
        <v>1.25</v>
      </c>
      <c r="F242" s="288">
        <v>1.1000000000000001</v>
      </c>
      <c r="G242" s="288">
        <v>1</v>
      </c>
      <c r="H242" s="288">
        <v>0.9</v>
      </c>
      <c r="I242" s="288">
        <v>0.75</v>
      </c>
      <c r="J242" s="255"/>
      <c r="K242" s="255"/>
      <c r="L242" s="255">
        <v>1.25</v>
      </c>
      <c r="M242" s="255">
        <v>1.1000000000000001</v>
      </c>
      <c r="N242" s="255">
        <v>1</v>
      </c>
      <c r="O242" s="255">
        <v>0.9</v>
      </c>
      <c r="P242" s="255">
        <v>0.75</v>
      </c>
      <c r="Q242" s="255"/>
      <c r="R242" s="255"/>
      <c r="S242" s="255"/>
      <c r="T242" s="255"/>
      <c r="U242" s="255"/>
      <c r="V242" s="255"/>
      <c r="W242" s="255"/>
      <c r="X242" s="255"/>
      <c r="Y242" s="255"/>
      <c r="Z242" s="255"/>
      <c r="AA242" s="255"/>
      <c r="AB242" s="255"/>
      <c r="AC242" s="255"/>
      <c r="AD242" s="255"/>
      <c r="AE242" s="255"/>
      <c r="AF242" s="287"/>
      <c r="AG242" s="287"/>
      <c r="AH242" s="287"/>
      <c r="AI242" s="287"/>
      <c r="AJ242" s="287"/>
      <c r="AK242" s="287"/>
      <c r="AL242" s="287"/>
      <c r="AM242" s="287"/>
      <c r="AN242" s="287"/>
      <c r="AO242" s="287"/>
      <c r="AP242" s="287"/>
      <c r="AQ242" s="287"/>
      <c r="AR242" s="287"/>
      <c r="AS242" s="287"/>
      <c r="AT242" s="287"/>
      <c r="AU242" s="287"/>
      <c r="AV242" s="287"/>
      <c r="AW242" s="287"/>
      <c r="AX242" s="287"/>
      <c r="AY242" s="287"/>
      <c r="AZ242" s="287"/>
      <c r="BA242" s="287"/>
      <c r="BB242" s="287"/>
      <c r="BC242" s="287"/>
      <c r="BD242" s="287"/>
      <c r="BE242" s="287"/>
      <c r="BF242" s="287"/>
    </row>
    <row r="243" spans="2:58" hidden="1">
      <c r="B243" s="5" t="s">
        <v>364</v>
      </c>
      <c r="C243" s="5" t="str">
        <f t="shared" ca="1" si="182"/>
        <v/>
      </c>
      <c r="D243" t="str">
        <f t="shared" ca="1" si="183"/>
        <v>False</v>
      </c>
      <c r="E243" s="288">
        <v>1.25</v>
      </c>
      <c r="F243" s="288">
        <v>1.1000000000000001</v>
      </c>
      <c r="G243" s="288">
        <v>1</v>
      </c>
      <c r="H243" s="288">
        <v>0.9</v>
      </c>
      <c r="I243" s="288">
        <v>0.75</v>
      </c>
      <c r="J243" s="255"/>
      <c r="K243" s="255"/>
      <c r="L243" s="255">
        <v>1.25</v>
      </c>
      <c r="M243" s="255">
        <v>1.1000000000000001</v>
      </c>
      <c r="N243" s="255">
        <v>1</v>
      </c>
      <c r="O243" s="255">
        <v>0.9</v>
      </c>
      <c r="P243" s="255">
        <v>0.75</v>
      </c>
      <c r="Q243" s="255"/>
      <c r="R243" s="255"/>
      <c r="S243" s="255"/>
      <c r="T243" s="255"/>
      <c r="U243" s="255"/>
      <c r="V243" s="255"/>
      <c r="W243" s="255"/>
      <c r="X243" s="255"/>
      <c r="Y243" s="255"/>
      <c r="Z243" s="255"/>
      <c r="AA243" s="255"/>
      <c r="AB243" s="255"/>
      <c r="AC243" s="255"/>
      <c r="AD243" s="255"/>
      <c r="AE243" s="255"/>
      <c r="AF243" s="287"/>
      <c r="AG243" s="287"/>
      <c r="AH243" s="287"/>
      <c r="AI243" s="287"/>
      <c r="AJ243" s="287"/>
      <c r="AK243" s="287"/>
      <c r="AL243" s="287"/>
      <c r="AM243" s="287"/>
      <c r="AN243" s="287"/>
      <c r="AO243" s="287"/>
      <c r="AP243" s="287"/>
      <c r="AQ243" s="287"/>
      <c r="AR243" s="287"/>
      <c r="AS243" s="287"/>
      <c r="AT243" s="287"/>
      <c r="AU243" s="287"/>
      <c r="AV243" s="287"/>
      <c r="AW243" s="287"/>
      <c r="AX243" s="287"/>
      <c r="AY243" s="287"/>
      <c r="AZ243" s="287"/>
      <c r="BA243" s="287"/>
      <c r="BB243" s="287"/>
      <c r="BC243" s="287"/>
      <c r="BD243" s="287"/>
      <c r="BE243" s="287"/>
      <c r="BF243" s="287"/>
    </row>
    <row r="244" spans="2:58" hidden="1">
      <c r="B244" s="5" t="s">
        <v>365</v>
      </c>
      <c r="C244" s="5" t="str">
        <f t="shared" ca="1" si="182"/>
        <v/>
      </c>
      <c r="D244" t="str">
        <f t="shared" ca="1" si="183"/>
        <v>False</v>
      </c>
      <c r="E244" s="288">
        <v>1.25</v>
      </c>
      <c r="F244" s="288">
        <v>1.1000000000000001</v>
      </c>
      <c r="G244" s="288">
        <v>1</v>
      </c>
      <c r="H244" s="288">
        <v>0.9</v>
      </c>
      <c r="I244" s="288">
        <v>0.75</v>
      </c>
      <c r="J244" s="255"/>
      <c r="K244" s="255"/>
      <c r="L244" s="255">
        <v>1.25</v>
      </c>
      <c r="M244" s="255">
        <v>1.1000000000000001</v>
      </c>
      <c r="N244" s="255">
        <v>1</v>
      </c>
      <c r="O244" s="255">
        <v>0.9</v>
      </c>
      <c r="P244" s="255">
        <v>0.75</v>
      </c>
      <c r="Q244" s="255"/>
      <c r="R244" s="255"/>
      <c r="S244" s="255"/>
      <c r="T244" s="255"/>
      <c r="U244" s="255"/>
      <c r="V244" s="255"/>
      <c r="W244" s="255"/>
      <c r="X244" s="255"/>
      <c r="Y244" s="255"/>
      <c r="Z244" s="255"/>
      <c r="AA244" s="255"/>
      <c r="AB244" s="255"/>
      <c r="AC244" s="255"/>
      <c r="AD244" s="255"/>
      <c r="AE244" s="255"/>
      <c r="AF244" s="287"/>
      <c r="AG244" s="287"/>
      <c r="AH244" s="287"/>
      <c r="AI244" s="287"/>
      <c r="AJ244" s="287"/>
      <c r="AK244" s="287"/>
      <c r="AL244" s="287"/>
      <c r="AM244" s="287"/>
      <c r="AN244" s="287"/>
      <c r="AO244" s="287"/>
      <c r="AP244" s="287"/>
      <c r="AQ244" s="287"/>
      <c r="AR244" s="287"/>
      <c r="AS244" s="287"/>
      <c r="AT244" s="287"/>
      <c r="AU244" s="287"/>
      <c r="AV244" s="287"/>
      <c r="AW244" s="287"/>
      <c r="AX244" s="287"/>
      <c r="AY244" s="287"/>
      <c r="AZ244" s="287"/>
      <c r="BA244" s="287"/>
      <c r="BB244" s="287"/>
      <c r="BC244" s="287"/>
      <c r="BD244" s="287"/>
      <c r="BE244" s="287"/>
      <c r="BF244" s="287"/>
    </row>
    <row r="245" spans="2:58" hidden="1">
      <c r="B245" s="5" t="s">
        <v>366</v>
      </c>
      <c r="C245" s="5" t="str">
        <f t="shared" ca="1" si="182"/>
        <v/>
      </c>
      <c r="D245" t="str">
        <f t="shared" ca="1" si="183"/>
        <v>False</v>
      </c>
      <c r="E245" s="288">
        <v>1.25</v>
      </c>
      <c r="F245" s="288">
        <v>1.1000000000000001</v>
      </c>
      <c r="G245" s="288">
        <v>1</v>
      </c>
      <c r="H245" s="288">
        <v>0.9</v>
      </c>
      <c r="I245" s="288">
        <v>0.75</v>
      </c>
      <c r="J245" s="255"/>
      <c r="K245" s="255"/>
      <c r="L245" s="255">
        <v>1.25</v>
      </c>
      <c r="M245" s="255">
        <v>1.1000000000000001</v>
      </c>
      <c r="N245" s="255">
        <v>1</v>
      </c>
      <c r="O245" s="255">
        <v>0.9</v>
      </c>
      <c r="P245" s="255">
        <v>0.75</v>
      </c>
      <c r="Q245" s="255"/>
      <c r="R245" s="255"/>
      <c r="S245" s="255"/>
      <c r="T245" s="255"/>
      <c r="U245" s="255"/>
      <c r="V245" s="255"/>
      <c r="W245" s="255"/>
      <c r="X245" s="255"/>
      <c r="Y245" s="255"/>
      <c r="Z245" s="255"/>
      <c r="AA245" s="255"/>
      <c r="AB245" s="255"/>
      <c r="AC245" s="255"/>
      <c r="AD245" s="255"/>
      <c r="AE245" s="255"/>
      <c r="AF245" s="287"/>
      <c r="AG245" s="287"/>
      <c r="AH245" s="287"/>
      <c r="AI245" s="287"/>
      <c r="AJ245" s="287"/>
      <c r="AK245" s="287"/>
      <c r="AL245" s="287"/>
      <c r="AM245" s="287"/>
      <c r="AN245" s="287"/>
      <c r="AO245" s="287"/>
      <c r="AP245" s="287"/>
      <c r="AQ245" s="287"/>
      <c r="AR245" s="287"/>
      <c r="AS245" s="287"/>
      <c r="AT245" s="287"/>
      <c r="AU245" s="287"/>
      <c r="AV245" s="287"/>
      <c r="AW245" s="287"/>
      <c r="AX245" s="287"/>
      <c r="AY245" s="287"/>
      <c r="AZ245" s="287"/>
      <c r="BA245" s="287"/>
      <c r="BB245" s="287"/>
      <c r="BC245" s="287"/>
      <c r="BD245" s="287"/>
      <c r="BE245" s="287"/>
      <c r="BF245" s="287"/>
    </row>
    <row r="246" spans="2:58" hidden="1">
      <c r="B246" s="5" t="s">
        <v>367</v>
      </c>
      <c r="C246" s="5" t="str">
        <f t="shared" ca="1" si="182"/>
        <v>Konsulinės paslaugos (Singapūras)</v>
      </c>
      <c r="D246" t="str">
        <f t="shared" ca="1" si="183"/>
        <v>True</v>
      </c>
      <c r="E246" s="288">
        <v>0.75</v>
      </c>
      <c r="F246" s="288">
        <v>0.9</v>
      </c>
      <c r="G246" s="288">
        <v>1</v>
      </c>
      <c r="H246" s="288">
        <v>1.1000000000000001</v>
      </c>
      <c r="I246" s="288">
        <v>1.25</v>
      </c>
      <c r="J246" s="255"/>
      <c r="K246" s="255"/>
      <c r="L246" s="255">
        <v>0.75</v>
      </c>
      <c r="M246" s="255">
        <v>0.9</v>
      </c>
      <c r="N246" s="255">
        <v>1</v>
      </c>
      <c r="O246" s="255">
        <v>1.1000000000000001</v>
      </c>
      <c r="P246" s="255">
        <v>1.25</v>
      </c>
      <c r="Q246" s="255"/>
      <c r="R246" s="255"/>
      <c r="S246" s="255"/>
      <c r="T246" s="255"/>
      <c r="U246" s="255"/>
      <c r="V246" s="255"/>
      <c r="W246" s="255"/>
      <c r="X246" s="255"/>
      <c r="Y246" s="255"/>
      <c r="Z246" s="255"/>
      <c r="AA246" s="255"/>
      <c r="AB246" s="255"/>
      <c r="AC246" s="255"/>
      <c r="AD246" s="255"/>
      <c r="AE246" s="255"/>
      <c r="AF246" s="287"/>
      <c r="AG246" s="287"/>
      <c r="AH246" s="287"/>
      <c r="AI246" s="287"/>
      <c r="AJ246" s="287"/>
      <c r="AK246" s="287"/>
      <c r="AL246" s="287"/>
      <c r="AM246" s="287"/>
      <c r="AN246" s="287"/>
      <c r="AO246" s="287"/>
      <c r="AP246" s="287"/>
      <c r="AQ246" s="287"/>
      <c r="AR246" s="287"/>
      <c r="AS246" s="287"/>
      <c r="AT246" s="287"/>
      <c r="AU246" s="287"/>
      <c r="AV246" s="287"/>
      <c r="AW246" s="287"/>
      <c r="AX246" s="287"/>
      <c r="AY246" s="287"/>
      <c r="AZ246" s="287"/>
      <c r="BA246" s="287"/>
      <c r="BB246" s="287"/>
      <c r="BC246" s="287"/>
      <c r="BD246" s="287"/>
      <c r="BE246" s="287"/>
      <c r="BF246" s="287"/>
    </row>
    <row r="247" spans="2:58" hidden="1">
      <c r="B247" s="5" t="s">
        <v>368</v>
      </c>
      <c r="C247" s="5" t="str">
        <f t="shared" ca="1" si="182"/>
        <v>Konsulines paslaugos (kitų, naujai įsteigtų atstovybių)</v>
      </c>
      <c r="D247" t="str">
        <f t="shared" ca="1" si="183"/>
        <v>True</v>
      </c>
      <c r="E247" s="288">
        <v>0.75</v>
      </c>
      <c r="F247" s="288">
        <v>0.9</v>
      </c>
      <c r="G247" s="288">
        <v>1</v>
      </c>
      <c r="H247" s="288">
        <v>1.1000000000000001</v>
      </c>
      <c r="I247" s="288">
        <v>1.25</v>
      </c>
      <c r="J247" s="255"/>
      <c r="K247" s="255"/>
      <c r="L247" s="255">
        <v>0.75</v>
      </c>
      <c r="M247" s="255">
        <v>0.9</v>
      </c>
      <c r="N247" s="255">
        <v>1</v>
      </c>
      <c r="O247" s="255">
        <v>1.1000000000000001</v>
      </c>
      <c r="P247" s="255">
        <v>1.25</v>
      </c>
      <c r="Q247" s="255"/>
      <c r="R247" s="255"/>
      <c r="S247" s="255"/>
      <c r="T247" s="255"/>
      <c r="U247" s="255"/>
      <c r="V247" s="255"/>
      <c r="W247" s="255"/>
      <c r="X247" s="255"/>
      <c r="Y247" s="255"/>
      <c r="Z247" s="255"/>
      <c r="AA247" s="255"/>
      <c r="AB247" s="255"/>
      <c r="AC247" s="255"/>
      <c r="AD247" s="255"/>
      <c r="AE247" s="255"/>
      <c r="AF247" s="287"/>
      <c r="AG247" s="287"/>
      <c r="AH247" s="287"/>
      <c r="AI247" s="287"/>
      <c r="AJ247" s="287"/>
      <c r="AK247" s="287"/>
      <c r="AL247" s="287"/>
      <c r="AM247" s="287"/>
      <c r="AN247" s="287"/>
      <c r="AO247" s="287"/>
      <c r="AP247" s="287"/>
      <c r="AQ247" s="287"/>
      <c r="AR247" s="287"/>
      <c r="AS247" s="287"/>
      <c r="AT247" s="287"/>
      <c r="AU247" s="287"/>
      <c r="AV247" s="287"/>
      <c r="AW247" s="287"/>
      <c r="AX247" s="287"/>
      <c r="AY247" s="287"/>
      <c r="AZ247" s="287"/>
      <c r="BA247" s="287"/>
      <c r="BB247" s="287"/>
      <c r="BC247" s="287"/>
      <c r="BD247" s="287"/>
      <c r="BE247" s="287"/>
      <c r="BF247" s="287"/>
    </row>
    <row r="248" spans="2:58" hidden="1">
      <c r="B248" s="5" t="s">
        <v>369</v>
      </c>
      <c r="C248" s="5" t="str">
        <f t="shared" ca="1" si="182"/>
        <v/>
      </c>
      <c r="D248" t="str">
        <f t="shared" ca="1" si="183"/>
        <v>False</v>
      </c>
      <c r="E248" s="288">
        <v>0.75</v>
      </c>
      <c r="F248" s="288">
        <v>0.9</v>
      </c>
      <c r="G248" s="288">
        <v>1</v>
      </c>
      <c r="H248" s="288">
        <v>1.1000000000000001</v>
      </c>
      <c r="I248" s="288">
        <v>1.25</v>
      </c>
      <c r="J248" s="255"/>
      <c r="K248" s="255"/>
      <c r="L248" s="255">
        <v>0.75</v>
      </c>
      <c r="M248" s="255">
        <v>0.9</v>
      </c>
      <c r="N248" s="255">
        <v>1</v>
      </c>
      <c r="O248" s="255">
        <v>1.1000000000000001</v>
      </c>
      <c r="P248" s="255">
        <v>1.25</v>
      </c>
      <c r="Q248" s="255"/>
      <c r="R248" s="255"/>
      <c r="S248" s="255"/>
      <c r="T248" s="255"/>
      <c r="U248" s="255"/>
      <c r="V248" s="255"/>
      <c r="W248" s="255"/>
      <c r="X248" s="255"/>
      <c r="Y248" s="255"/>
      <c r="Z248" s="255"/>
      <c r="AA248" s="255"/>
      <c r="AB248" s="255"/>
      <c r="AC248" s="255"/>
      <c r="AD248" s="255"/>
      <c r="AE248" s="255"/>
      <c r="AF248" s="287"/>
      <c r="AG248" s="287"/>
      <c r="AH248" s="287"/>
      <c r="AI248" s="287"/>
      <c r="AJ248" s="287"/>
      <c r="AK248" s="287"/>
      <c r="AL248" s="287"/>
      <c r="AM248" s="287"/>
      <c r="AN248" s="287"/>
      <c r="AO248" s="287"/>
      <c r="AP248" s="287"/>
      <c r="AQ248" s="287"/>
      <c r="AR248" s="287"/>
      <c r="AS248" s="287"/>
      <c r="AT248" s="287"/>
      <c r="AU248" s="287"/>
      <c r="AV248" s="287"/>
      <c r="AW248" s="287"/>
      <c r="AX248" s="287"/>
      <c r="AY248" s="287"/>
      <c r="AZ248" s="287"/>
      <c r="BA248" s="287"/>
      <c r="BB248" s="287"/>
      <c r="BC248" s="287"/>
      <c r="BD248" s="287"/>
      <c r="BE248" s="287"/>
      <c r="BF248" s="287"/>
    </row>
    <row r="249" spans="2:58" hidden="1">
      <c r="B249" s="5" t="s">
        <v>370</v>
      </c>
      <c r="C249" s="5" t="str">
        <f t="shared" ca="1" si="182"/>
        <v>Veiklos pajamos 4 (viešojo sektoriaus)</v>
      </c>
      <c r="D249" t="str">
        <f t="shared" ca="1" si="183"/>
        <v>False</v>
      </c>
      <c r="E249" s="288">
        <v>0.75</v>
      </c>
      <c r="F249" s="288">
        <v>0.9</v>
      </c>
      <c r="G249" s="288">
        <v>1</v>
      </c>
      <c r="H249" s="288">
        <v>1.1000000000000001</v>
      </c>
      <c r="I249" s="288">
        <v>1.25</v>
      </c>
      <c r="J249" s="255"/>
      <c r="K249" s="255"/>
      <c r="L249" s="255">
        <v>0.75</v>
      </c>
      <c r="M249" s="255">
        <v>0.9</v>
      </c>
      <c r="N249" s="255">
        <v>1</v>
      </c>
      <c r="O249" s="255">
        <v>1.1000000000000001</v>
      </c>
      <c r="P249" s="255">
        <v>1.25</v>
      </c>
      <c r="Q249" s="255"/>
      <c r="R249" s="255"/>
      <c r="S249" s="255"/>
      <c r="T249" s="255"/>
      <c r="U249" s="255"/>
      <c r="V249" s="255"/>
      <c r="W249" s="255"/>
      <c r="X249" s="255"/>
      <c r="Y249" s="255"/>
      <c r="Z249" s="255"/>
      <c r="AA249" s="255"/>
      <c r="AB249" s="255"/>
      <c r="AC249" s="255"/>
      <c r="AD249" s="255"/>
      <c r="AE249" s="255"/>
      <c r="AF249" s="287"/>
      <c r="AG249" s="287"/>
      <c r="AH249" s="287"/>
      <c r="AI249" s="287"/>
      <c r="AJ249" s="287"/>
      <c r="AK249" s="287"/>
      <c r="AL249" s="287"/>
      <c r="AM249" s="287"/>
      <c r="AN249" s="287"/>
      <c r="AO249" s="287"/>
      <c r="AP249" s="287"/>
      <c r="AQ249" s="287"/>
      <c r="AR249" s="287"/>
      <c r="AS249" s="287"/>
      <c r="AT249" s="287"/>
      <c r="AU249" s="287"/>
      <c r="AV249" s="287"/>
      <c r="AW249" s="287"/>
      <c r="AX249" s="287"/>
      <c r="AY249" s="287"/>
      <c r="AZ249" s="287"/>
      <c r="BA249" s="287"/>
      <c r="BB249" s="287"/>
      <c r="BC249" s="287"/>
      <c r="BD249" s="287"/>
      <c r="BE249" s="287"/>
      <c r="BF249" s="287"/>
    </row>
    <row r="250" spans="2:58" hidden="1">
      <c r="B250" s="5" t="s">
        <v>371</v>
      </c>
      <c r="C250" s="5" t="str">
        <f t="shared" ca="1" si="182"/>
        <v>Veiklos pajamos 5 (viešojo sektoriaus)</v>
      </c>
      <c r="D250" t="str">
        <f t="shared" ca="1" si="183"/>
        <v>False</v>
      </c>
      <c r="E250" s="288">
        <v>0.75</v>
      </c>
      <c r="F250" s="288">
        <v>0.9</v>
      </c>
      <c r="G250" s="288">
        <v>1</v>
      </c>
      <c r="H250" s="288">
        <v>1.1000000000000001</v>
      </c>
      <c r="I250" s="288">
        <v>1.25</v>
      </c>
      <c r="J250" s="255"/>
      <c r="K250" s="255"/>
      <c r="L250" s="255">
        <v>0.75</v>
      </c>
      <c r="M250" s="255">
        <v>0.9</v>
      </c>
      <c r="N250" s="255">
        <v>1</v>
      </c>
      <c r="O250" s="255">
        <v>1.1000000000000001</v>
      </c>
      <c r="P250" s="255">
        <v>1.25</v>
      </c>
      <c r="Q250" s="255"/>
      <c r="R250" s="255"/>
      <c r="S250" s="255"/>
      <c r="T250" s="255"/>
      <c r="U250" s="255"/>
      <c r="V250" s="255"/>
      <c r="W250" s="255"/>
      <c r="X250" s="255"/>
      <c r="Y250" s="255"/>
      <c r="Z250" s="255"/>
      <c r="AA250" s="255"/>
      <c r="AB250" s="255"/>
      <c r="AC250" s="255"/>
      <c r="AD250" s="255"/>
      <c r="AE250" s="255"/>
      <c r="AF250" s="287"/>
      <c r="AG250" s="287"/>
      <c r="AH250" s="287"/>
      <c r="AI250" s="287"/>
      <c r="AJ250" s="287"/>
      <c r="AK250" s="287"/>
      <c r="AL250" s="287"/>
      <c r="AM250" s="287"/>
      <c r="AN250" s="287"/>
      <c r="AO250" s="287"/>
      <c r="AP250" s="287"/>
      <c r="AQ250" s="287"/>
      <c r="AR250" s="287"/>
      <c r="AS250" s="287"/>
      <c r="AT250" s="287"/>
      <c r="AU250" s="287"/>
      <c r="AV250" s="287"/>
      <c r="AW250" s="287"/>
      <c r="AX250" s="287"/>
      <c r="AY250" s="287"/>
      <c r="AZ250" s="287"/>
      <c r="BA250" s="287"/>
      <c r="BB250" s="287"/>
      <c r="BC250" s="287"/>
      <c r="BD250" s="287"/>
      <c r="BE250" s="287"/>
      <c r="BF250" s="287"/>
    </row>
    <row r="251" spans="2:58" hidden="1">
      <c r="B251" s="5" t="s">
        <v>372</v>
      </c>
      <c r="C251" s="5" t="str">
        <f t="shared" ca="1" si="182"/>
        <v>Veiklos pajamos 1 (privataus ir NVO sektoriaus)</v>
      </c>
      <c r="D251" t="str">
        <f t="shared" ca="1" si="183"/>
        <v>False</v>
      </c>
      <c r="E251" s="288">
        <v>0.75</v>
      </c>
      <c r="F251" s="288">
        <v>0.9</v>
      </c>
      <c r="G251" s="288">
        <v>1</v>
      </c>
      <c r="H251" s="288">
        <v>1.1000000000000001</v>
      </c>
      <c r="I251" s="288">
        <v>1.25</v>
      </c>
      <c r="J251" s="255"/>
      <c r="K251" s="255"/>
      <c r="L251" s="255">
        <v>0.75</v>
      </c>
      <c r="M251" s="255">
        <v>0.9</v>
      </c>
      <c r="N251" s="255">
        <v>1</v>
      </c>
      <c r="O251" s="255">
        <v>1.1000000000000001</v>
      </c>
      <c r="P251" s="255">
        <v>1.25</v>
      </c>
      <c r="Q251" s="255"/>
      <c r="R251" s="255"/>
      <c r="S251" s="255"/>
      <c r="T251" s="255"/>
      <c r="U251" s="255"/>
      <c r="V251" s="255"/>
      <c r="W251" s="255"/>
      <c r="X251" s="255"/>
      <c r="Y251" s="255"/>
      <c r="Z251" s="255"/>
      <c r="AA251" s="255"/>
      <c r="AB251" s="255"/>
      <c r="AC251" s="255"/>
      <c r="AD251" s="255"/>
      <c r="AE251" s="255"/>
      <c r="AF251" s="287"/>
      <c r="AG251" s="287"/>
      <c r="AH251" s="287"/>
      <c r="AI251" s="287"/>
      <c r="AJ251" s="287"/>
      <c r="AK251" s="287"/>
      <c r="AL251" s="287"/>
      <c r="AM251" s="287"/>
      <c r="AN251" s="287"/>
      <c r="AO251" s="287"/>
      <c r="AP251" s="287"/>
      <c r="AQ251" s="287"/>
      <c r="AR251" s="287"/>
      <c r="AS251" s="287"/>
      <c r="AT251" s="287"/>
      <c r="AU251" s="287"/>
      <c r="AV251" s="287"/>
      <c r="AW251" s="287"/>
      <c r="AX251" s="287"/>
      <c r="AY251" s="287"/>
      <c r="AZ251" s="287"/>
      <c r="BA251" s="287"/>
      <c r="BB251" s="287"/>
      <c r="BC251" s="287"/>
      <c r="BD251" s="287"/>
      <c r="BE251" s="287"/>
      <c r="BF251" s="287"/>
    </row>
    <row r="252" spans="2:58" hidden="1">
      <c r="B252" s="5" t="s">
        <v>373</v>
      </c>
      <c r="C252" s="5" t="str">
        <f t="shared" ca="1" si="182"/>
        <v>Veiklos pajamos 2 (privataus ir NVO sektoriaus)</v>
      </c>
      <c r="D252" t="str">
        <f t="shared" ca="1" si="183"/>
        <v>False</v>
      </c>
      <c r="E252" s="288">
        <v>0.75</v>
      </c>
      <c r="F252" s="288">
        <v>0.9</v>
      </c>
      <c r="G252" s="288">
        <v>1</v>
      </c>
      <c r="H252" s="288">
        <v>1.1000000000000001</v>
      </c>
      <c r="I252" s="288">
        <v>1.25</v>
      </c>
      <c r="J252" s="255"/>
      <c r="K252" s="255"/>
      <c r="L252" s="255">
        <v>0.75</v>
      </c>
      <c r="M252" s="255">
        <v>0.9</v>
      </c>
      <c r="N252" s="255">
        <v>1</v>
      </c>
      <c r="O252" s="255">
        <v>1.1000000000000001</v>
      </c>
      <c r="P252" s="255">
        <v>1.25</v>
      </c>
      <c r="Q252" s="255"/>
      <c r="R252" s="255"/>
      <c r="S252" s="255"/>
      <c r="T252" s="255"/>
      <c r="U252" s="255"/>
      <c r="V252" s="255"/>
      <c r="W252" s="255"/>
      <c r="X252" s="255"/>
      <c r="Y252" s="255"/>
      <c r="Z252" s="255"/>
      <c r="AA252" s="255"/>
      <c r="AB252" s="255"/>
      <c r="AC252" s="255"/>
      <c r="AD252" s="255"/>
      <c r="AE252" s="255"/>
      <c r="AF252" s="287"/>
      <c r="AG252" s="287"/>
      <c r="AH252" s="287"/>
      <c r="AI252" s="287"/>
      <c r="AJ252" s="287"/>
      <c r="AK252" s="287"/>
      <c r="AL252" s="287"/>
      <c r="AM252" s="287"/>
      <c r="AN252" s="287"/>
      <c r="AO252" s="287"/>
      <c r="AP252" s="287"/>
      <c r="AQ252" s="287"/>
      <c r="AR252" s="287"/>
      <c r="AS252" s="287"/>
      <c r="AT252" s="287"/>
      <c r="AU252" s="287"/>
      <c r="AV252" s="287"/>
      <c r="AW252" s="287"/>
      <c r="AX252" s="287"/>
      <c r="AY252" s="287"/>
      <c r="AZ252" s="287"/>
      <c r="BA252" s="287"/>
      <c r="BB252" s="287"/>
      <c r="BC252" s="287"/>
      <c r="BD252" s="287"/>
      <c r="BE252" s="287"/>
      <c r="BF252" s="287"/>
    </row>
    <row r="253" spans="2:58" hidden="1">
      <c r="B253" s="5" t="s">
        <v>374</v>
      </c>
      <c r="C253" s="5" t="str">
        <f t="shared" ca="1" si="182"/>
        <v>Veiklos pajamos 3 (privataus ir NVO sektoriaus)</v>
      </c>
      <c r="D253" t="str">
        <f t="shared" ca="1" si="183"/>
        <v>False</v>
      </c>
      <c r="E253" s="288">
        <v>0.75</v>
      </c>
      <c r="F253" s="288">
        <v>0.9</v>
      </c>
      <c r="G253" s="288">
        <v>1</v>
      </c>
      <c r="H253" s="288">
        <v>1.1000000000000001</v>
      </c>
      <c r="I253" s="288">
        <v>1.25</v>
      </c>
      <c r="J253" s="255"/>
      <c r="K253" s="255"/>
      <c r="L253" s="255">
        <v>0.75</v>
      </c>
      <c r="M253" s="255">
        <v>0.9</v>
      </c>
      <c r="N253" s="255">
        <v>1</v>
      </c>
      <c r="O253" s="255">
        <v>1.1000000000000001</v>
      </c>
      <c r="P253" s="255">
        <v>1.25</v>
      </c>
      <c r="Q253" s="255"/>
      <c r="R253" s="255"/>
      <c r="S253" s="255"/>
      <c r="T253" s="255"/>
      <c r="U253" s="255"/>
      <c r="V253" s="255"/>
      <c r="W253" s="255"/>
      <c r="X253" s="255"/>
      <c r="Y253" s="255"/>
      <c r="Z253" s="255"/>
      <c r="AA253" s="255"/>
      <c r="AB253" s="255"/>
      <c r="AC253" s="255"/>
      <c r="AD253" s="255"/>
      <c r="AE253" s="255"/>
      <c r="AF253" s="287"/>
      <c r="AG253" s="287"/>
      <c r="AH253" s="287"/>
      <c r="AI253" s="287"/>
      <c r="AJ253" s="287"/>
      <c r="AK253" s="287"/>
      <c r="AL253" s="287"/>
      <c r="AM253" s="287"/>
      <c r="AN253" s="287"/>
      <c r="AO253" s="287"/>
      <c r="AP253" s="287"/>
      <c r="AQ253" s="287"/>
      <c r="AR253" s="287"/>
      <c r="AS253" s="287"/>
      <c r="AT253" s="287"/>
      <c r="AU253" s="287"/>
      <c r="AV253" s="287"/>
      <c r="AW253" s="287"/>
      <c r="AX253" s="287"/>
      <c r="AY253" s="287"/>
      <c r="AZ253" s="287"/>
      <c r="BA253" s="287"/>
      <c r="BB253" s="287"/>
      <c r="BC253" s="287"/>
      <c r="BD253" s="287"/>
      <c r="BE253" s="287"/>
      <c r="BF253" s="287"/>
    </row>
    <row r="254" spans="2:58" hidden="1">
      <c r="B254" s="5" t="s">
        <v>375</v>
      </c>
      <c r="C254" s="5" t="str">
        <f t="shared" ca="1" si="182"/>
        <v>Veiklos pajamos 4 (privataus ir NVO sektoriaus)</v>
      </c>
      <c r="D254" t="str">
        <f t="shared" ca="1" si="183"/>
        <v>False</v>
      </c>
      <c r="E254" s="288">
        <v>0.75</v>
      </c>
      <c r="F254" s="288">
        <v>0.9</v>
      </c>
      <c r="G254" s="288">
        <v>1</v>
      </c>
      <c r="H254" s="288">
        <v>1.1000000000000001</v>
      </c>
      <c r="I254" s="288">
        <v>1.25</v>
      </c>
      <c r="J254" s="255"/>
      <c r="K254" s="255"/>
      <c r="L254" s="255">
        <v>0.75</v>
      </c>
      <c r="M254" s="255">
        <v>0.9</v>
      </c>
      <c r="N254" s="255">
        <v>1</v>
      </c>
      <c r="O254" s="255">
        <v>1.1000000000000001</v>
      </c>
      <c r="P254" s="255">
        <v>1.25</v>
      </c>
      <c r="Q254" s="255"/>
      <c r="R254" s="255"/>
      <c r="S254" s="255"/>
      <c r="T254" s="255"/>
      <c r="U254" s="255"/>
      <c r="V254" s="255"/>
      <c r="W254" s="255"/>
      <c r="X254" s="255"/>
      <c r="Y254" s="255"/>
      <c r="Z254" s="255"/>
      <c r="AA254" s="255"/>
      <c r="AB254" s="255"/>
      <c r="AC254" s="255"/>
      <c r="AD254" s="255"/>
      <c r="AE254" s="255"/>
      <c r="AF254" s="287"/>
      <c r="AG254" s="287"/>
      <c r="AH254" s="287"/>
      <c r="AI254" s="287"/>
      <c r="AJ254" s="287"/>
      <c r="AK254" s="287"/>
      <c r="AL254" s="287"/>
      <c r="AM254" s="287"/>
      <c r="AN254" s="287"/>
      <c r="AO254" s="287"/>
      <c r="AP254" s="287"/>
      <c r="AQ254" s="287"/>
      <c r="AR254" s="287"/>
      <c r="AS254" s="287"/>
      <c r="AT254" s="287"/>
      <c r="AU254" s="287"/>
      <c r="AV254" s="287"/>
      <c r="AW254" s="287"/>
      <c r="AX254" s="287"/>
      <c r="AY254" s="287"/>
      <c r="AZ254" s="287"/>
      <c r="BA254" s="287"/>
      <c r="BB254" s="287"/>
      <c r="BC254" s="287"/>
      <c r="BD254" s="287"/>
      <c r="BE254" s="287"/>
      <c r="BF254" s="287"/>
    </row>
    <row r="255" spans="2:58" hidden="1">
      <c r="B255" s="5" t="s">
        <v>376</v>
      </c>
      <c r="C255" s="5" t="str">
        <f t="shared" ca="1" si="182"/>
        <v>Veiklos pajamos 5 (privataus ir NVO sektoriaus)</v>
      </c>
      <c r="D255" t="str">
        <f t="shared" ca="1" si="183"/>
        <v>False</v>
      </c>
      <c r="E255" s="288">
        <v>0.75</v>
      </c>
      <c r="F255" s="288">
        <v>0.9</v>
      </c>
      <c r="G255" s="288">
        <v>1</v>
      </c>
      <c r="H255" s="288">
        <v>1.1000000000000001</v>
      </c>
      <c r="I255" s="288">
        <v>1.25</v>
      </c>
      <c r="J255" s="255"/>
      <c r="K255" s="255"/>
      <c r="L255" s="255">
        <v>0.75</v>
      </c>
      <c r="M255" s="255">
        <v>0.9</v>
      </c>
      <c r="N255" s="255">
        <v>1</v>
      </c>
      <c r="O255" s="255">
        <v>1.1000000000000001</v>
      </c>
      <c r="P255" s="255">
        <v>1.25</v>
      </c>
      <c r="Q255" s="255"/>
      <c r="R255" s="255"/>
      <c r="S255" s="255"/>
      <c r="T255" s="255"/>
      <c r="U255" s="255"/>
      <c r="V255" s="255"/>
      <c r="W255" s="255"/>
      <c r="X255" s="255"/>
      <c r="Y255" s="255"/>
      <c r="Z255" s="255"/>
      <c r="AA255" s="255"/>
      <c r="AB255" s="255"/>
      <c r="AC255" s="255"/>
      <c r="AD255" s="255"/>
      <c r="AE255" s="255"/>
      <c r="AF255" s="287"/>
      <c r="AG255" s="287"/>
      <c r="AH255" s="287"/>
      <c r="AI255" s="287"/>
      <c r="AJ255" s="287"/>
      <c r="AK255" s="287"/>
      <c r="AL255" s="287"/>
      <c r="AM255" s="287"/>
      <c r="AN255" s="287"/>
      <c r="AO255" s="287"/>
      <c r="AP255" s="287"/>
      <c r="AQ255" s="287"/>
      <c r="AR255" s="287"/>
      <c r="AS255" s="287"/>
      <c r="AT255" s="287"/>
      <c r="AU255" s="287"/>
      <c r="AV255" s="287"/>
      <c r="AW255" s="287"/>
      <c r="AX255" s="287"/>
      <c r="AY255" s="287"/>
      <c r="AZ255" s="287"/>
      <c r="BA255" s="287"/>
      <c r="BB255" s="287"/>
      <c r="BC255" s="287"/>
      <c r="BD255" s="287"/>
      <c r="BE255" s="287"/>
      <c r="BF255" s="287"/>
    </row>
    <row r="256" spans="2:58" hidden="1">
      <c r="B256" s="5" t="s">
        <v>149</v>
      </c>
      <c r="C256" s="5" t="str">
        <f t="shared" ca="1" si="182"/>
        <v>MOKESTINĖS PAJAMOS</v>
      </c>
      <c r="D256" t="str">
        <f t="shared" ca="1" si="183"/>
        <v>False</v>
      </c>
      <c r="E256" s="288">
        <v>0.75</v>
      </c>
      <c r="F256" s="288">
        <v>0.9</v>
      </c>
      <c r="G256" s="288">
        <v>1</v>
      </c>
      <c r="H256" s="288">
        <v>1.1000000000000001</v>
      </c>
      <c r="I256" s="288">
        <v>1.25</v>
      </c>
      <c r="J256" s="255"/>
      <c r="K256" s="255"/>
      <c r="L256" s="255">
        <v>0.75</v>
      </c>
      <c r="M256" s="255">
        <v>0.9</v>
      </c>
      <c r="N256" s="255">
        <v>1</v>
      </c>
      <c r="O256" s="255">
        <v>1.1000000000000001</v>
      </c>
      <c r="P256" s="255">
        <v>1.25</v>
      </c>
      <c r="Q256" s="255"/>
      <c r="R256" s="255"/>
      <c r="S256" s="255"/>
      <c r="T256" s="255"/>
      <c r="U256" s="255"/>
      <c r="V256" s="255"/>
      <c r="W256" s="255"/>
      <c r="X256" s="255"/>
      <c r="Y256" s="255"/>
      <c r="Z256" s="255"/>
      <c r="AA256" s="255"/>
      <c r="AB256" s="255"/>
      <c r="AC256" s="255"/>
      <c r="AD256" s="255"/>
      <c r="AE256" s="255"/>
      <c r="AF256" s="287"/>
      <c r="AG256" s="287"/>
      <c r="AH256" s="287"/>
      <c r="AI256" s="287"/>
      <c r="AJ256" s="287"/>
      <c r="AK256" s="287"/>
      <c r="AL256" s="287"/>
      <c r="AM256" s="287"/>
      <c r="AN256" s="287"/>
      <c r="AO256" s="287"/>
      <c r="AP256" s="287"/>
      <c r="AQ256" s="287"/>
      <c r="AR256" s="287"/>
      <c r="AS256" s="287"/>
      <c r="AT256" s="287"/>
      <c r="AU256" s="287"/>
      <c r="AV256" s="287"/>
      <c r="AW256" s="287"/>
      <c r="AX256" s="287"/>
      <c r="AY256" s="287"/>
      <c r="AZ256" s="287"/>
      <c r="BA256" s="287"/>
      <c r="BB256" s="287"/>
      <c r="BC256" s="287"/>
      <c r="BD256" s="287"/>
      <c r="BE256" s="287"/>
      <c r="BF256" s="287"/>
    </row>
    <row r="257" spans="2:58" hidden="1">
      <c r="B257" s="5" t="s">
        <v>27</v>
      </c>
      <c r="C257" s="5" t="str">
        <f t="shared" ca="1" si="182"/>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257" t="str">
        <f t="shared" ca="1" si="183"/>
        <v>True</v>
      </c>
      <c r="E257" s="288">
        <v>0.75</v>
      </c>
      <c r="F257" s="288">
        <v>0.9</v>
      </c>
      <c r="G257" s="288">
        <v>1</v>
      </c>
      <c r="H257" s="288">
        <v>1.1000000000000001</v>
      </c>
      <c r="I257" s="288">
        <v>1.25</v>
      </c>
      <c r="J257" s="255"/>
      <c r="K257" s="255"/>
      <c r="L257" s="255">
        <v>0.75</v>
      </c>
      <c r="M257" s="255">
        <v>0.9</v>
      </c>
      <c r="N257" s="255">
        <v>1</v>
      </c>
      <c r="O257" s="255">
        <v>1.1000000000000001</v>
      </c>
      <c r="P257" s="255">
        <v>1.25</v>
      </c>
      <c r="Q257" s="255"/>
      <c r="R257" s="255"/>
      <c r="S257" s="255"/>
      <c r="T257" s="255"/>
      <c r="U257" s="255"/>
      <c r="V257" s="255"/>
      <c r="W257" s="255"/>
      <c r="X257" s="255"/>
      <c r="Y257" s="255"/>
      <c r="Z257" s="255"/>
      <c r="AA257" s="255"/>
      <c r="AB257" s="255"/>
      <c r="AC257" s="255"/>
      <c r="AD257" s="255"/>
      <c r="AE257" s="255"/>
      <c r="AF257" s="287"/>
      <c r="AG257" s="287"/>
      <c r="AH257" s="287"/>
      <c r="AI257" s="287"/>
      <c r="AJ257" s="287"/>
      <c r="AK257" s="287"/>
      <c r="AL257" s="287"/>
      <c r="AM257" s="287"/>
      <c r="AN257" s="287"/>
      <c r="AO257" s="287"/>
      <c r="AP257" s="287"/>
      <c r="AQ257" s="287"/>
      <c r="AR257" s="287"/>
      <c r="AS257" s="287"/>
      <c r="AT257" s="287"/>
      <c r="AU257" s="287"/>
      <c r="AV257" s="287"/>
      <c r="AW257" s="287"/>
      <c r="AX257" s="287"/>
      <c r="AY257" s="287"/>
      <c r="AZ257" s="287"/>
      <c r="BA257" s="287"/>
      <c r="BB257" s="287"/>
      <c r="BC257" s="287"/>
      <c r="BD257" s="287"/>
      <c r="BE257" s="287"/>
      <c r="BF257" s="287"/>
    </row>
    <row r="258" spans="2:58" hidden="1">
      <c r="B258" s="5" t="s">
        <v>377</v>
      </c>
      <c r="C258" s="5" t="str">
        <f t="shared" ca="1" si="182"/>
        <v>Ekonominės diplomatijos plėtros sukurta pridėtinė vertė</v>
      </c>
      <c r="D258" t="str">
        <f t="shared" ca="1" si="183"/>
        <v>True</v>
      </c>
      <c r="E258" s="288">
        <v>0.75</v>
      </c>
      <c r="F258" s="288">
        <v>0.9</v>
      </c>
      <c r="G258" s="288">
        <v>1</v>
      </c>
      <c r="H258" s="288">
        <v>1.1000000000000001</v>
      </c>
      <c r="I258" s="288">
        <v>1.25</v>
      </c>
      <c r="J258" s="255"/>
      <c r="K258" s="255"/>
      <c r="L258" s="255">
        <v>0.75</v>
      </c>
      <c r="M258" s="255">
        <v>0.9</v>
      </c>
      <c r="N258" s="255">
        <v>1</v>
      </c>
      <c r="O258" s="255">
        <v>1.1000000000000001</v>
      </c>
      <c r="P258" s="255">
        <v>1.25</v>
      </c>
      <c r="Q258" s="255"/>
      <c r="R258" s="255"/>
      <c r="S258" s="255"/>
      <c r="T258" s="255"/>
      <c r="U258" s="255"/>
      <c r="V258" s="255"/>
      <c r="W258" s="255"/>
      <c r="X258" s="255"/>
      <c r="Y258" s="255"/>
      <c r="Z258" s="255"/>
      <c r="AA258" s="255"/>
      <c r="AB258" s="255"/>
      <c r="AC258" s="255"/>
      <c r="AD258" s="255"/>
      <c r="AE258" s="255"/>
      <c r="AF258" s="287"/>
      <c r="AG258" s="287"/>
      <c r="AH258" s="287"/>
      <c r="AI258" s="287"/>
      <c r="AJ258" s="287"/>
      <c r="AK258" s="287"/>
      <c r="AL258" s="287"/>
      <c r="AM258" s="287"/>
      <c r="AN258" s="287"/>
      <c r="AO258" s="287"/>
      <c r="AP258" s="287"/>
      <c r="AQ258" s="287"/>
      <c r="AR258" s="287"/>
      <c r="AS258" s="287"/>
      <c r="AT258" s="287"/>
      <c r="AU258" s="287"/>
      <c r="AV258" s="287"/>
      <c r="AW258" s="287"/>
      <c r="AX258" s="287"/>
      <c r="AY258" s="287"/>
      <c r="AZ258" s="287"/>
      <c r="BA258" s="287"/>
      <c r="BB258" s="287"/>
      <c r="BC258" s="287"/>
      <c r="BD258" s="287"/>
      <c r="BE258" s="287"/>
      <c r="BF258" s="287"/>
    </row>
    <row r="259" spans="2:58" hidden="1">
      <c r="B259" s="5" t="s">
        <v>378</v>
      </c>
      <c r="C259" s="5" t="str">
        <f t="shared" ca="1" si="182"/>
        <v>Naujų atstovybių sukurta pridėtinė vertė</v>
      </c>
      <c r="D259" t="str">
        <f t="shared" ca="1" si="183"/>
        <v>True</v>
      </c>
      <c r="E259" s="288">
        <v>0.75</v>
      </c>
      <c r="F259" s="288">
        <v>0.9</v>
      </c>
      <c r="G259" s="288">
        <v>1</v>
      </c>
      <c r="H259" s="288">
        <v>1.1000000000000001</v>
      </c>
      <c r="I259" s="288">
        <v>1.25</v>
      </c>
      <c r="J259" s="255"/>
      <c r="K259" s="255"/>
      <c r="L259" s="255">
        <v>0.75</v>
      </c>
      <c r="M259" s="255">
        <v>0.9</v>
      </c>
      <c r="N259" s="255">
        <v>1</v>
      </c>
      <c r="O259" s="255">
        <v>1.1000000000000001</v>
      </c>
      <c r="P259" s="255">
        <v>1.25</v>
      </c>
      <c r="Q259" s="255"/>
      <c r="R259" s="255"/>
      <c r="S259" s="255"/>
      <c r="T259" s="255"/>
      <c r="U259" s="255"/>
      <c r="V259" s="255"/>
      <c r="W259" s="255"/>
      <c r="X259" s="255"/>
      <c r="Y259" s="255"/>
      <c r="Z259" s="255"/>
      <c r="AA259" s="255"/>
      <c r="AB259" s="255"/>
      <c r="AC259" s="255"/>
      <c r="AD259" s="255"/>
      <c r="AE259" s="255"/>
      <c r="AF259" s="287"/>
      <c r="AG259" s="287"/>
      <c r="AH259" s="287"/>
      <c r="AI259" s="287"/>
      <c r="AJ259" s="287"/>
      <c r="AK259" s="287"/>
      <c r="AL259" s="287"/>
      <c r="AM259" s="287"/>
      <c r="AN259" s="287"/>
      <c r="AO259" s="287"/>
      <c r="AP259" s="287"/>
      <c r="AQ259" s="287"/>
      <c r="AR259" s="287"/>
      <c r="AS259" s="287"/>
      <c r="AT259" s="287"/>
      <c r="AU259" s="287"/>
      <c r="AV259" s="287"/>
      <c r="AW259" s="287"/>
      <c r="AX259" s="287"/>
      <c r="AY259" s="287"/>
      <c r="AZ259" s="287"/>
      <c r="BA259" s="287"/>
      <c r="BB259" s="287"/>
      <c r="BC259" s="287"/>
      <c r="BD259" s="287"/>
      <c r="BE259" s="287"/>
      <c r="BF259" s="287"/>
    </row>
    <row r="260" spans="2:58" hidden="1">
      <c r="B260" s="5" t="s">
        <v>379</v>
      </c>
      <c r="C260" s="5" t="str">
        <f t="shared" ca="1" si="182"/>
        <v/>
      </c>
      <c r="D260" t="str">
        <f t="shared" ca="1" si="183"/>
        <v>False</v>
      </c>
      <c r="E260" s="288">
        <v>0.75</v>
      </c>
      <c r="F260" s="288">
        <v>0.9</v>
      </c>
      <c r="G260" s="288">
        <v>1</v>
      </c>
      <c r="H260" s="288">
        <v>1.1000000000000001</v>
      </c>
      <c r="I260" s="288">
        <v>1.25</v>
      </c>
      <c r="J260" s="255"/>
      <c r="K260" s="255"/>
      <c r="L260" s="255">
        <v>0.75</v>
      </c>
      <c r="M260" s="255">
        <v>0.9</v>
      </c>
      <c r="N260" s="255">
        <v>1</v>
      </c>
      <c r="O260" s="255">
        <v>1.1000000000000001</v>
      </c>
      <c r="P260" s="255">
        <v>1.25</v>
      </c>
      <c r="Q260" s="255"/>
      <c r="R260" s="255"/>
      <c r="S260" s="255"/>
      <c r="T260" s="255"/>
      <c r="U260" s="255"/>
      <c r="V260" s="255"/>
      <c r="W260" s="255"/>
      <c r="X260" s="255"/>
      <c r="Y260" s="255"/>
      <c r="Z260" s="255"/>
      <c r="AA260" s="255"/>
      <c r="AB260" s="255"/>
      <c r="AC260" s="255"/>
      <c r="AD260" s="255"/>
      <c r="AE260" s="255"/>
      <c r="AF260" s="287"/>
      <c r="AG260" s="287"/>
      <c r="AH260" s="287"/>
      <c r="AI260" s="287"/>
      <c r="AJ260" s="287"/>
      <c r="AK260" s="287"/>
      <c r="AL260" s="287"/>
      <c r="AM260" s="287"/>
      <c r="AN260" s="287"/>
      <c r="AO260" s="287"/>
      <c r="AP260" s="287"/>
      <c r="AQ260" s="287"/>
      <c r="AR260" s="287"/>
      <c r="AS260" s="287"/>
      <c r="AT260" s="287"/>
      <c r="AU260" s="287"/>
      <c r="AV260" s="287"/>
      <c r="AW260" s="287"/>
      <c r="AX260" s="287"/>
      <c r="AY260" s="287"/>
      <c r="AZ260" s="287"/>
      <c r="BA260" s="287"/>
      <c r="BB260" s="287"/>
      <c r="BC260" s="287"/>
      <c r="BD260" s="287"/>
      <c r="BE260" s="287"/>
      <c r="BF260" s="287"/>
    </row>
    <row r="261" spans="2:58" hidden="1">
      <c r="B261" s="5" t="s">
        <v>380</v>
      </c>
      <c r="C261" s="5" t="str">
        <f t="shared" ca="1" si="182"/>
        <v/>
      </c>
      <c r="D261" t="str">
        <f t="shared" ca="1" si="183"/>
        <v>False</v>
      </c>
      <c r="E261" s="288">
        <v>0.75</v>
      </c>
      <c r="F261" s="288">
        <v>0.9</v>
      </c>
      <c r="G261" s="288">
        <v>1</v>
      </c>
      <c r="H261" s="288">
        <v>1.1000000000000001</v>
      </c>
      <c r="I261" s="288">
        <v>1.25</v>
      </c>
      <c r="J261" s="255"/>
      <c r="K261" s="255"/>
      <c r="L261" s="255">
        <v>0.75</v>
      </c>
      <c r="M261" s="255">
        <v>0.9</v>
      </c>
      <c r="N261" s="255">
        <v>1</v>
      </c>
      <c r="O261" s="255">
        <v>1.1000000000000001</v>
      </c>
      <c r="P261" s="255">
        <v>1.25</v>
      </c>
      <c r="Q261" s="255"/>
      <c r="R261" s="255"/>
      <c r="S261" s="255"/>
      <c r="T261" s="255"/>
      <c r="U261" s="255"/>
      <c r="V261" s="255"/>
      <c r="W261" s="255"/>
      <c r="X261" s="255"/>
      <c r="Y261" s="255"/>
      <c r="Z261" s="255"/>
      <c r="AA261" s="255"/>
      <c r="AB261" s="255"/>
      <c r="AC261" s="255"/>
      <c r="AD261" s="255"/>
      <c r="AE261" s="255"/>
      <c r="AF261" s="287"/>
      <c r="AG261" s="287"/>
      <c r="AH261" s="287"/>
      <c r="AI261" s="287"/>
      <c r="AJ261" s="287"/>
      <c r="AK261" s="287"/>
      <c r="AL261" s="287"/>
      <c r="AM261" s="287"/>
      <c r="AN261" s="287"/>
      <c r="AO261" s="287"/>
      <c r="AP261" s="287"/>
      <c r="AQ261" s="287"/>
      <c r="AR261" s="287"/>
      <c r="AS261" s="287"/>
      <c r="AT261" s="287"/>
      <c r="AU261" s="287"/>
      <c r="AV261" s="287"/>
      <c r="AW261" s="287"/>
      <c r="AX261" s="287"/>
      <c r="AY261" s="287"/>
      <c r="AZ261" s="287"/>
      <c r="BA261" s="287"/>
      <c r="BB261" s="287"/>
      <c r="BC261" s="287"/>
      <c r="BD261" s="287"/>
      <c r="BE261" s="287"/>
      <c r="BF261" s="287"/>
    </row>
    <row r="262" spans="2:58" hidden="1">
      <c r="B262" s="5" t="s">
        <v>381</v>
      </c>
      <c r="C262" s="5" t="str">
        <f t="shared" ca="1" si="182"/>
        <v/>
      </c>
      <c r="D262" t="str">
        <f t="shared" ca="1" si="183"/>
        <v>False</v>
      </c>
      <c r="E262" s="288">
        <v>0.75</v>
      </c>
      <c r="F262" s="288">
        <v>0.9</v>
      </c>
      <c r="G262" s="288">
        <v>1</v>
      </c>
      <c r="H262" s="288">
        <v>1.1000000000000001</v>
      </c>
      <c r="I262" s="288">
        <v>1.25</v>
      </c>
      <c r="J262" s="255"/>
      <c r="K262" s="255"/>
      <c r="L262" s="255">
        <v>0.75</v>
      </c>
      <c r="M262" s="255">
        <v>0.9</v>
      </c>
      <c r="N262" s="255">
        <v>1</v>
      </c>
      <c r="O262" s="255">
        <v>1.1000000000000001</v>
      </c>
      <c r="P262" s="255">
        <v>1.25</v>
      </c>
      <c r="Q262" s="255"/>
      <c r="R262" s="255"/>
      <c r="S262" s="255"/>
      <c r="T262" s="255"/>
      <c r="U262" s="255"/>
      <c r="V262" s="255"/>
      <c r="W262" s="255"/>
      <c r="X262" s="255"/>
      <c r="Y262" s="255"/>
      <c r="Z262" s="255"/>
      <c r="AA262" s="255"/>
      <c r="AB262" s="255"/>
      <c r="AC262" s="255"/>
      <c r="AD262" s="255"/>
      <c r="AE262" s="255"/>
      <c r="AF262" s="287"/>
      <c r="AG262" s="287"/>
      <c r="AH262" s="287"/>
      <c r="AI262" s="287"/>
      <c r="AJ262" s="287"/>
      <c r="AK262" s="287"/>
      <c r="AL262" s="287"/>
      <c r="AM262" s="287"/>
      <c r="AN262" s="287"/>
      <c r="AO262" s="287"/>
      <c r="AP262" s="287"/>
      <c r="AQ262" s="287"/>
      <c r="AR262" s="287"/>
      <c r="AS262" s="287"/>
      <c r="AT262" s="287"/>
      <c r="AU262" s="287"/>
      <c r="AV262" s="287"/>
      <c r="AW262" s="287"/>
      <c r="AX262" s="287"/>
      <c r="AY262" s="287"/>
      <c r="AZ262" s="287"/>
      <c r="BA262" s="287"/>
      <c r="BB262" s="287"/>
      <c r="BC262" s="287"/>
      <c r="BD262" s="287"/>
      <c r="BE262" s="287"/>
      <c r="BF262" s="287"/>
    </row>
    <row r="263" spans="2:58" hidden="1">
      <c r="B263" s="5" t="s">
        <v>382</v>
      </c>
      <c r="C263" s="5" t="str">
        <f t="shared" ca="1" si="182"/>
        <v/>
      </c>
      <c r="D263" t="str">
        <f t="shared" ca="1" si="183"/>
        <v>False</v>
      </c>
      <c r="E263" s="288">
        <v>0.75</v>
      </c>
      <c r="F263" s="288">
        <v>0.9</v>
      </c>
      <c r="G263" s="288">
        <v>1</v>
      </c>
      <c r="H263" s="288">
        <v>1.1000000000000001</v>
      </c>
      <c r="I263" s="288">
        <v>1.25</v>
      </c>
      <c r="J263" s="255"/>
      <c r="K263" s="255"/>
      <c r="L263" s="255">
        <v>0.75</v>
      </c>
      <c r="M263" s="255">
        <v>0.9</v>
      </c>
      <c r="N263" s="255">
        <v>1</v>
      </c>
      <c r="O263" s="255">
        <v>1.1000000000000001</v>
      </c>
      <c r="P263" s="255">
        <v>1.25</v>
      </c>
      <c r="Q263" s="255"/>
      <c r="R263" s="255"/>
      <c r="S263" s="255"/>
      <c r="T263" s="255"/>
      <c r="U263" s="255"/>
      <c r="V263" s="255"/>
      <c r="W263" s="255"/>
      <c r="X263" s="255"/>
      <c r="Y263" s="255"/>
      <c r="Z263" s="255"/>
      <c r="AA263" s="255"/>
      <c r="AB263" s="255"/>
      <c r="AC263" s="255"/>
      <c r="AD263" s="255"/>
      <c r="AE263" s="255"/>
      <c r="AF263" s="287"/>
      <c r="AG263" s="287"/>
      <c r="AH263" s="287"/>
      <c r="AI263" s="287"/>
      <c r="AJ263" s="287"/>
      <c r="AK263" s="287"/>
      <c r="AL263" s="287"/>
      <c r="AM263" s="287"/>
      <c r="AN263" s="287"/>
      <c r="AO263" s="287"/>
      <c r="AP263" s="287"/>
      <c r="AQ263" s="287"/>
      <c r="AR263" s="287"/>
      <c r="AS263" s="287"/>
      <c r="AT263" s="287"/>
      <c r="AU263" s="287"/>
      <c r="AV263" s="287"/>
      <c r="AW263" s="287"/>
      <c r="AX263" s="287"/>
      <c r="AY263" s="287"/>
      <c r="AZ263" s="287"/>
      <c r="BA263" s="287"/>
      <c r="BB263" s="287"/>
      <c r="BC263" s="287"/>
      <c r="BD263" s="287"/>
      <c r="BE263" s="287"/>
      <c r="BF263" s="287"/>
    </row>
    <row r="264" spans="2:58" hidden="1">
      <c r="B264" s="5" t="s">
        <v>383</v>
      </c>
      <c r="C264" s="5" t="str">
        <f t="shared" ca="1" si="182"/>
        <v/>
      </c>
      <c r="D264" t="str">
        <f t="shared" ca="1" si="183"/>
        <v>False</v>
      </c>
      <c r="E264" s="288">
        <v>0.75</v>
      </c>
      <c r="F264" s="288">
        <v>0.9</v>
      </c>
      <c r="G264" s="288">
        <v>1</v>
      </c>
      <c r="H264" s="288">
        <v>1.1000000000000001</v>
      </c>
      <c r="I264" s="288">
        <v>1.25</v>
      </c>
      <c r="J264" s="255"/>
      <c r="K264" s="255"/>
      <c r="L264" s="255">
        <v>0.75</v>
      </c>
      <c r="M264" s="255">
        <v>0.9</v>
      </c>
      <c r="N264" s="255">
        <v>1</v>
      </c>
      <c r="O264" s="255">
        <v>1.1000000000000001</v>
      </c>
      <c r="P264" s="255">
        <v>1.25</v>
      </c>
      <c r="Q264" s="255"/>
      <c r="R264" s="255"/>
      <c r="S264" s="255"/>
      <c r="T264" s="255"/>
      <c r="U264" s="255"/>
      <c r="V264" s="255"/>
      <c r="W264" s="255"/>
      <c r="X264" s="255"/>
      <c r="Y264" s="255"/>
      <c r="Z264" s="255"/>
      <c r="AA264" s="255"/>
      <c r="AB264" s="255"/>
      <c r="AC264" s="255"/>
      <c r="AD264" s="255"/>
      <c r="AE264" s="255"/>
      <c r="AF264" s="287"/>
      <c r="AG264" s="287"/>
      <c r="AH264" s="287"/>
      <c r="AI264" s="287"/>
      <c r="AJ264" s="287"/>
      <c r="AK264" s="287"/>
      <c r="AL264" s="287"/>
      <c r="AM264" s="287"/>
      <c r="AN264" s="287"/>
      <c r="AO264" s="287"/>
      <c r="AP264" s="287"/>
      <c r="AQ264" s="287"/>
      <c r="AR264" s="287"/>
      <c r="AS264" s="287"/>
      <c r="AT264" s="287"/>
      <c r="AU264" s="287"/>
      <c r="AV264" s="287"/>
      <c r="AW264" s="287"/>
      <c r="AX264" s="287"/>
      <c r="AY264" s="287"/>
      <c r="AZ264" s="287"/>
      <c r="BA264" s="287"/>
      <c r="BB264" s="287"/>
      <c r="BC264" s="287"/>
      <c r="BD264" s="287"/>
      <c r="BE264" s="287"/>
      <c r="BF264" s="287"/>
    </row>
    <row r="265" spans="2:58" hidden="1">
      <c r="B265" s="5" t="s">
        <v>384</v>
      </c>
      <c r="C265" s="5" t="str">
        <f t="shared" ca="1" si="182"/>
        <v/>
      </c>
      <c r="D265" t="str">
        <f t="shared" ca="1" si="183"/>
        <v>False</v>
      </c>
      <c r="E265" s="288">
        <v>1.25</v>
      </c>
      <c r="F265" s="288">
        <v>1.1000000000000001</v>
      </c>
      <c r="G265" s="288">
        <v>1</v>
      </c>
      <c r="H265" s="288">
        <v>0.9</v>
      </c>
      <c r="I265" s="288">
        <v>0.75</v>
      </c>
      <c r="J265" s="255"/>
      <c r="K265" s="255"/>
      <c r="L265" s="255">
        <v>1.25</v>
      </c>
      <c r="M265" s="255">
        <v>1.1000000000000001</v>
      </c>
      <c r="N265" s="255">
        <v>1</v>
      </c>
      <c r="O265" s="255">
        <v>0.9</v>
      </c>
      <c r="P265" s="255">
        <v>0.75</v>
      </c>
      <c r="Q265" s="255"/>
      <c r="R265" s="255"/>
      <c r="S265" s="255"/>
      <c r="T265" s="255"/>
      <c r="U265" s="255"/>
      <c r="V265" s="255"/>
      <c r="W265" s="255"/>
      <c r="X265" s="255"/>
      <c r="Y265" s="255"/>
      <c r="Z265" s="255"/>
      <c r="AA265" s="255"/>
      <c r="AB265" s="255"/>
      <c r="AC265" s="255"/>
      <c r="AD265" s="255"/>
      <c r="AE265" s="255"/>
      <c r="AF265" s="287"/>
      <c r="AG265" s="287"/>
      <c r="AH265" s="287"/>
      <c r="AI265" s="287"/>
      <c r="AJ265" s="287"/>
      <c r="AK265" s="287"/>
      <c r="AL265" s="287"/>
      <c r="AM265" s="287"/>
      <c r="AN265" s="287"/>
      <c r="AO265" s="287"/>
      <c r="AP265" s="287"/>
      <c r="AQ265" s="287"/>
      <c r="AR265" s="287"/>
      <c r="AS265" s="287"/>
      <c r="AT265" s="287"/>
      <c r="AU265" s="287"/>
      <c r="AV265" s="287"/>
      <c r="AW265" s="287"/>
      <c r="AX265" s="287"/>
      <c r="AY265" s="287"/>
      <c r="AZ265" s="287"/>
      <c r="BA265" s="287"/>
      <c r="BB265" s="287"/>
      <c r="BC265" s="287"/>
      <c r="BD265" s="287"/>
      <c r="BE265" s="287"/>
      <c r="BF265" s="287"/>
    </row>
    <row r="266" spans="2:58" hidden="1">
      <c r="B266" s="5" t="s">
        <v>385</v>
      </c>
      <c r="C266" s="5" t="str">
        <f t="shared" ca="1" si="182"/>
        <v/>
      </c>
      <c r="D266" t="str">
        <f t="shared" ca="1" si="183"/>
        <v>False</v>
      </c>
      <c r="E266" s="288">
        <v>1.25</v>
      </c>
      <c r="F266" s="288">
        <v>1.1000000000000001</v>
      </c>
      <c r="G266" s="288">
        <v>1</v>
      </c>
      <c r="H266" s="288">
        <v>0.9</v>
      </c>
      <c r="I266" s="288">
        <v>0.75</v>
      </c>
      <c r="J266" s="255"/>
      <c r="K266" s="255"/>
      <c r="L266" s="255">
        <v>1.25</v>
      </c>
      <c r="M266" s="255">
        <v>1.1000000000000001</v>
      </c>
      <c r="N266" s="255">
        <v>1</v>
      </c>
      <c r="O266" s="255">
        <v>0.9</v>
      </c>
      <c r="P266" s="255">
        <v>0.75</v>
      </c>
      <c r="Q266" s="255"/>
      <c r="R266" s="255"/>
      <c r="S266" s="255"/>
      <c r="T266" s="255"/>
      <c r="U266" s="255"/>
      <c r="V266" s="255"/>
      <c r="W266" s="255"/>
      <c r="X266" s="255"/>
      <c r="Y266" s="255"/>
      <c r="Z266" s="255"/>
      <c r="AA266" s="255"/>
      <c r="AB266" s="255"/>
      <c r="AC266" s="255"/>
      <c r="AD266" s="255"/>
      <c r="AE266" s="255"/>
      <c r="AF266" s="287"/>
      <c r="AG266" s="287"/>
      <c r="AH266" s="287"/>
      <c r="AI266" s="287"/>
      <c r="AJ266" s="287"/>
      <c r="AK266" s="287"/>
      <c r="AL266" s="287"/>
      <c r="AM266" s="287"/>
      <c r="AN266" s="287"/>
      <c r="AO266" s="287"/>
      <c r="AP266" s="287"/>
      <c r="AQ266" s="287"/>
      <c r="AR266" s="287"/>
      <c r="AS266" s="287"/>
      <c r="AT266" s="287"/>
      <c r="AU266" s="287"/>
      <c r="AV266" s="287"/>
      <c r="AW266" s="287"/>
      <c r="AX266" s="287"/>
      <c r="AY266" s="287"/>
      <c r="AZ266" s="287"/>
      <c r="BA266" s="287"/>
      <c r="BB266" s="287"/>
      <c r="BC266" s="287"/>
      <c r="BD266" s="287"/>
      <c r="BE266" s="287"/>
      <c r="BF266" s="287"/>
    </row>
    <row r="267" spans="2:58" hidden="1">
      <c r="B267" s="5" t="s">
        <v>386</v>
      </c>
      <c r="C267" s="5" t="str">
        <f t="shared" ca="1" si="182"/>
        <v/>
      </c>
      <c r="D267" t="str">
        <f t="shared" ca="1" si="183"/>
        <v>False</v>
      </c>
      <c r="E267" s="288">
        <v>1.25</v>
      </c>
      <c r="F267" s="288">
        <v>1.1000000000000001</v>
      </c>
      <c r="G267" s="288">
        <v>1</v>
      </c>
      <c r="H267" s="288">
        <v>0.9</v>
      </c>
      <c r="I267" s="288">
        <v>0.75</v>
      </c>
      <c r="J267" s="255"/>
      <c r="K267" s="255"/>
      <c r="L267" s="255">
        <v>1.25</v>
      </c>
      <c r="M267" s="255">
        <v>1.1000000000000001</v>
      </c>
      <c r="N267" s="255">
        <v>1</v>
      </c>
      <c r="O267" s="255">
        <v>0.9</v>
      </c>
      <c r="P267" s="255">
        <v>0.75</v>
      </c>
      <c r="Q267" s="255"/>
      <c r="R267" s="255"/>
      <c r="S267" s="255"/>
      <c r="T267" s="255"/>
      <c r="U267" s="255"/>
      <c r="V267" s="255"/>
      <c r="W267" s="255"/>
      <c r="X267" s="255"/>
      <c r="Y267" s="255"/>
      <c r="Z267" s="255"/>
      <c r="AA267" s="255"/>
      <c r="AB267" s="255"/>
      <c r="AC267" s="255"/>
      <c r="AD267" s="255"/>
      <c r="AE267" s="255"/>
      <c r="AF267" s="287"/>
      <c r="AG267" s="287"/>
      <c r="AH267" s="287"/>
      <c r="AI267" s="287"/>
      <c r="AJ267" s="287"/>
      <c r="AK267" s="287"/>
      <c r="AL267" s="287"/>
      <c r="AM267" s="287"/>
      <c r="AN267" s="287"/>
      <c r="AO267" s="287"/>
      <c r="AP267" s="287"/>
      <c r="AQ267" s="287"/>
      <c r="AR267" s="287"/>
      <c r="AS267" s="287"/>
      <c r="AT267" s="287"/>
      <c r="AU267" s="287"/>
      <c r="AV267" s="287"/>
      <c r="AW267" s="287"/>
      <c r="AX267" s="287"/>
      <c r="AY267" s="287"/>
      <c r="AZ267" s="287"/>
      <c r="BA267" s="287"/>
      <c r="BB267" s="287"/>
      <c r="BC267" s="287"/>
      <c r="BD267" s="287"/>
      <c r="BE267" s="287"/>
      <c r="BF267" s="287"/>
    </row>
    <row r="268" spans="2:58"/>
    <row r="269" spans="2:58">
      <c r="B269" s="226"/>
      <c r="C269" s="31" t="s">
        <v>437</v>
      </c>
      <c r="E269" s="226"/>
      <c r="F269" s="227"/>
      <c r="G269" s="227"/>
      <c r="H269" s="227"/>
      <c r="I269" s="227"/>
      <c r="J269" s="227"/>
      <c r="K269" s="227"/>
      <c r="L269" s="261"/>
    </row>
    <row r="270" spans="2:58">
      <c r="B270" s="227"/>
      <c r="C270" s="277" t="s">
        <v>431</v>
      </c>
      <c r="E270" s="280" t="s">
        <v>423</v>
      </c>
      <c r="F270" s="280" t="s">
        <v>424</v>
      </c>
      <c r="G270" s="280" t="s">
        <v>425</v>
      </c>
      <c r="H270" s="280" t="s">
        <v>426</v>
      </c>
      <c r="I270" s="280" t="s">
        <v>427</v>
      </c>
      <c r="J270" s="282"/>
      <c r="K270" s="282"/>
      <c r="L270" s="282"/>
      <c r="M270" s="282"/>
      <c r="N270" s="282"/>
    </row>
    <row r="271" spans="2:58">
      <c r="C271" s="275" t="s">
        <v>240</v>
      </c>
      <c r="D271" s="5"/>
      <c r="E271" s="289">
        <v>12.25042631382443</v>
      </c>
      <c r="F271" s="289">
        <v>16.705126791578767</v>
      </c>
      <c r="G271" s="289">
        <v>20.417377189707391</v>
      </c>
      <c r="H271" s="289">
        <v>24.954572120753458</v>
      </c>
      <c r="I271" s="289">
        <v>34.028961982845637</v>
      </c>
    </row>
    <row r="272" spans="2:58">
      <c r="C272" s="275" t="s">
        <v>285</v>
      </c>
      <c r="D272" s="5"/>
      <c r="E272" s="289">
        <v>1438589129.6156573</v>
      </c>
      <c r="F272" s="289">
        <v>1767225273.532778</v>
      </c>
      <c r="G272" s="289">
        <v>1986316036.1441908</v>
      </c>
      <c r="H272" s="289">
        <v>2205406798.7556052</v>
      </c>
      <c r="I272" s="289">
        <v>2534042942.6727257</v>
      </c>
    </row>
    <row r="273" spans="3:17">
      <c r="C273" s="275" t="s">
        <v>286</v>
      </c>
      <c r="D273" s="5"/>
      <c r="E273" s="289">
        <v>21.638658341918436</v>
      </c>
      <c r="F273" s="289">
        <v>30.166955853282996</v>
      </c>
      <c r="G273" s="289">
        <v>37.273540873408344</v>
      </c>
      <c r="H273" s="289">
        <v>45.959224764673706</v>
      </c>
      <c r="I273" s="289">
        <v>63.330429615210335</v>
      </c>
      <c r="K273" t="s">
        <v>414</v>
      </c>
    </row>
    <row r="274" spans="3:17">
      <c r="C274" s="275" t="s">
        <v>261</v>
      </c>
      <c r="D274" s="5"/>
      <c r="E274" s="289" t="s">
        <v>414</v>
      </c>
      <c r="F274" s="289" t="s">
        <v>414</v>
      </c>
      <c r="G274" s="289" t="s">
        <v>414</v>
      </c>
      <c r="H274" s="289" t="s">
        <v>414</v>
      </c>
      <c r="I274" s="289" t="s">
        <v>414</v>
      </c>
      <c r="N274" t="s">
        <v>414</v>
      </c>
    </row>
    <row r="275" spans="3:17">
      <c r="C275" s="275" t="s">
        <v>398</v>
      </c>
      <c r="D275" s="5"/>
      <c r="E275" s="289">
        <v>9.1280000000000001</v>
      </c>
      <c r="F275" s="289">
        <v>9.1280000000000001</v>
      </c>
      <c r="G275" s="289">
        <v>9.1280000000000001</v>
      </c>
      <c r="H275" s="289">
        <v>9.1280000000000001</v>
      </c>
      <c r="I275" s="289">
        <v>9.1280000000000001</v>
      </c>
      <c r="Q275" t="s">
        <v>414</v>
      </c>
    </row>
    <row r="276" spans="3:17">
      <c r="C276" s="275" t="s">
        <v>185</v>
      </c>
      <c r="D276" s="5"/>
      <c r="E276" s="289">
        <v>-57338844.434973486</v>
      </c>
      <c r="F276" s="289">
        <v>-49442666.820935637</v>
      </c>
      <c r="G276" s="289">
        <v>-44178548.411577068</v>
      </c>
      <c r="H276" s="289">
        <v>-38914430.0022185</v>
      </c>
      <c r="I276" s="289">
        <v>-31018252.388180651</v>
      </c>
    </row>
    <row r="277" spans="3:17">
      <c r="C277" s="275" t="s">
        <v>391</v>
      </c>
      <c r="D277" s="5"/>
      <c r="E277" s="289">
        <v>-136656619.30035719</v>
      </c>
      <c r="F277" s="289">
        <v>-119254541.57351218</v>
      </c>
      <c r="G277" s="289">
        <v>-107653156.42228208</v>
      </c>
      <c r="H277" s="289">
        <v>-96051771.271052063</v>
      </c>
      <c r="I277" s="289">
        <v>-78649693.544207007</v>
      </c>
    </row>
    <row r="278" spans="3:17">
      <c r="C278" s="275" t="s">
        <v>392</v>
      </c>
      <c r="D278" s="5"/>
      <c r="E278" s="289" t="s">
        <v>414</v>
      </c>
      <c r="F278" s="289" t="s">
        <v>414</v>
      </c>
      <c r="G278" s="289" t="s">
        <v>414</v>
      </c>
      <c r="H278" s="289" t="s">
        <v>414</v>
      </c>
      <c r="I278" s="289" t="s">
        <v>414</v>
      </c>
    </row>
    <row r="279" spans="3:17">
      <c r="C279" s="275" t="s">
        <v>393</v>
      </c>
      <c r="D279" s="5"/>
      <c r="E279" s="289">
        <v>2.2428059910732028E-2</v>
      </c>
      <c r="F279" s="289">
        <v>3.0583718060089138E-2</v>
      </c>
      <c r="G279" s="289">
        <v>3.7380099851220046E-2</v>
      </c>
      <c r="H279" s="289">
        <v>4.5686788707046719E-2</v>
      </c>
      <c r="I279" s="289">
        <v>6.2300166418700093E-2</v>
      </c>
    </row>
    <row r="280" spans="3:17"/>
    <row r="281" spans="3:17"/>
  </sheetData>
  <sheetProtection algorithmName="SHA-512" hashValue="b5Iizp8NcOmNr7fuXSAg0uvNMgH+sG2jxmEHVit+U4JiXSLiLH+DRVZxGOii5RxlagNF+PxRDBmWg0GnRGGTiA==" saltValue="64Psuf84v0nncU19ukRSe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I113:DC115 H116:DC129 H7:DC112">
    <cfRule type="containsBlanks" dxfId="5" priority="4">
      <formula>LEN(TRIM(H7))=0</formula>
    </cfRule>
  </conditionalFormatting>
  <conditionalFormatting sqref="H113:DC115">
    <cfRule type="containsBlanks" dxfId="4" priority="3">
      <formula>LEN(TRIM(H113))=0</formula>
    </cfRule>
  </conditionalFormatting>
  <conditionalFormatting sqref="E152:F160">
    <cfRule type="containsText" dxfId="3" priority="2" operator="containsText" text="Įveskite">
      <formula>NOT(ISERROR(SEARCH("Įveskite",E152)))</formula>
    </cfRule>
  </conditionalFormatting>
  <conditionalFormatting sqref="E271:E376">
    <cfRule type="expression" dxfId="2" priority="1">
      <formula>$E271="Taip"</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1000000}"/>
    <dataValidation allowBlank="1" sqref="B12:C129 DE12:DE129" xr:uid="{00000000-0002-0000-0F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3000000}"/>
    <dataValidation type="list" allowBlank="1" showInputMessage="1" showErrorMessage="1" sqref="E166:I267" xr:uid="{00000000-0002-0000-0F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327660</xdr:colOff>
                    <xdr:row>3</xdr:row>
                    <xdr:rowOff>182880</xdr:rowOff>
                  </from>
                  <to>
                    <xdr:col>2</xdr:col>
                    <xdr:colOff>1813560</xdr:colOff>
                    <xdr:row>3</xdr:row>
                    <xdr:rowOff>579120</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2042160</xdr:colOff>
                    <xdr:row>3</xdr:row>
                    <xdr:rowOff>175260</xdr:rowOff>
                  </from>
                  <to>
                    <xdr:col>2</xdr:col>
                    <xdr:colOff>3528060</xdr:colOff>
                    <xdr:row>3</xdr:row>
                    <xdr:rowOff>571500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3764280</xdr:colOff>
                    <xdr:row>3</xdr:row>
                    <xdr:rowOff>152400</xdr:rowOff>
                  </from>
                  <to>
                    <xdr:col>2</xdr:col>
                    <xdr:colOff>5250180</xdr:colOff>
                    <xdr:row>3</xdr:row>
                    <xdr:rowOff>563880</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5509260</xdr:colOff>
                    <xdr:row>3</xdr:row>
                    <xdr:rowOff>175260</xdr:rowOff>
                  </from>
                  <to>
                    <xdr:col>2</xdr:col>
                    <xdr:colOff>5852160</xdr:colOff>
                    <xdr:row>3</xdr:row>
                    <xdr:rowOff>571500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dimension ref="A1:OW112"/>
  <sheetViews>
    <sheetView zoomScale="90" zoomScaleNormal="90" workbookViewId="0">
      <pane xSplit="5" ySplit="8" topLeftCell="CF74" activePane="bottomRight" state="frozenSplit"/>
      <selection activeCell="C20" sqref="C20"/>
      <selection pane="topRight" activeCell="C20" sqref="C20"/>
      <selection pane="bottomLeft" activeCell="C20" sqref="C20"/>
      <selection pane="bottomRight" activeCell="BJ92" sqref="BJ92:BM92"/>
    </sheetView>
  </sheetViews>
  <sheetFormatPr defaultRowHeight="14.4"/>
  <cols>
    <col min="1" max="1" width="3.6640625" customWidth="1"/>
    <col min="2" max="2" width="10.109375" customWidth="1"/>
    <col min="3" max="3" width="90.6640625" customWidth="1"/>
    <col min="4" max="4" width="14.6640625" customWidth="1"/>
    <col min="5" max="5" width="8.33203125" bestFit="1" customWidth="1"/>
    <col min="6" max="100" width="3.88671875" customWidth="1"/>
    <col min="101" max="325" width="3.88671875" hidden="1" customWidth="1"/>
    <col min="326" max="413" width="9.109375" hidden="1" customWidth="1"/>
    <col min="414" max="420" width="0" hidden="1" customWidth="1"/>
  </cols>
  <sheetData>
    <row r="1" spans="1:325" ht="9" customHeight="1">
      <c r="A1" s="310"/>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10"/>
      <c r="B2" s="293" t="s">
        <v>477</v>
      </c>
      <c r="C2" s="903" t="str">
        <f>IF(Pradžia!E6="","",Pradžia!E6)</f>
        <v xml:space="preserve">Didinti diplomatinio atstovavimo tinklo efektyvumą </v>
      </c>
      <c r="D2" s="903"/>
      <c r="E2" s="903"/>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10"/>
      <c r="F3" s="296"/>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6">
      <c r="A4" s="310"/>
      <c r="B4" s="312" t="s">
        <v>476</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6">
      <c r="A5" s="310"/>
      <c r="B5" s="312"/>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8.600000000000001" thickBot="1">
      <c r="A6" s="310"/>
      <c r="B6" s="18" t="s">
        <v>206</v>
      </c>
      <c r="C6" s="18"/>
      <c r="D6" s="292"/>
      <c r="E6" s="292"/>
      <c r="F6" s="872">
        <f ca="1">IF(F7=Rezultatai!$H$40,0,IF(F7-Rezultatai!$H$40&lt;0,"",F7-Rezultatai!$H$40))</f>
        <v>0</v>
      </c>
      <c r="G6" s="872"/>
      <c r="H6" s="872"/>
      <c r="I6" s="872"/>
      <c r="J6" s="872">
        <f ca="1">IF(J7=Rezultatai!$H$40,0,IF(J7-Rezultatai!$H$40&lt;0,"",J7-Rezultatai!$H$40))</f>
        <v>1</v>
      </c>
      <c r="K6" s="872"/>
      <c r="L6" s="872"/>
      <c r="M6" s="872"/>
      <c r="N6" s="872">
        <f ca="1">IF(N7=Rezultatai!$H$40,0,IF(N7-Rezultatai!$H$40&lt;0,"",N7-Rezultatai!$H$40))</f>
        <v>2</v>
      </c>
      <c r="O6" s="872"/>
      <c r="P6" s="872"/>
      <c r="Q6" s="872"/>
      <c r="R6" s="872">
        <f ca="1">IF(R7=Rezultatai!$H$40,0,IF(R7-Rezultatai!$H$40&lt;0,"",R7-Rezultatai!$H$40))</f>
        <v>3</v>
      </c>
      <c r="S6" s="872"/>
      <c r="T6" s="872"/>
      <c r="U6" s="872"/>
      <c r="V6" s="872">
        <f ca="1">IF(V7=Rezultatai!$H$40,0,IF(V7-Rezultatai!$H$40&lt;0,"",V7-Rezultatai!$H$40))</f>
        <v>4</v>
      </c>
      <c r="W6" s="872"/>
      <c r="X6" s="872"/>
      <c r="Y6" s="872"/>
      <c r="Z6" s="872">
        <f ca="1">IF(Z7=Rezultatai!$H$40,0,IF(Z7-Rezultatai!$H$40&lt;0,"",Z7-Rezultatai!$H$40))</f>
        <v>5</v>
      </c>
      <c r="AA6" s="872"/>
      <c r="AB6" s="872"/>
      <c r="AC6" s="872"/>
      <c r="AD6" s="872">
        <f ca="1">IF(AD7=Rezultatai!$H$40,0,IF(AD7-Rezultatai!$H$40&lt;0,"",AD7-Rezultatai!$H$40))</f>
        <v>6</v>
      </c>
      <c r="AE6" s="872"/>
      <c r="AF6" s="872"/>
      <c r="AG6" s="872"/>
      <c r="AH6" s="872">
        <f ca="1">IF(AH7=Rezultatai!$H$40,0,IF(AH7-Rezultatai!$H$40&lt;0,"",AH7-Rezultatai!$H$40))</f>
        <v>7</v>
      </c>
      <c r="AI6" s="872"/>
      <c r="AJ6" s="872"/>
      <c r="AK6" s="872"/>
      <c r="AL6" s="872">
        <f ca="1">IF(AL7=Rezultatai!$H$40,0,IF(AL7-Rezultatai!$H$40&lt;0,"",AL7-Rezultatai!$H$40))</f>
        <v>8</v>
      </c>
      <c r="AM6" s="872"/>
      <c r="AN6" s="872"/>
      <c r="AO6" s="872"/>
      <c r="AP6" s="872">
        <f ca="1">IF(AP7=Rezultatai!$H$40,0,IF(AP7-Rezultatai!$H$40&lt;0,"",AP7-Rezultatai!$H$40))</f>
        <v>9</v>
      </c>
      <c r="AQ6" s="872"/>
      <c r="AR6" s="872"/>
      <c r="AS6" s="872"/>
      <c r="AT6" s="872">
        <f ca="1">IF(AT7=Rezultatai!$H$40,0,IF(AT7-Rezultatai!$H$40&lt;0,"",AT7-Rezultatai!$H$40))</f>
        <v>10</v>
      </c>
      <c r="AU6" s="872"/>
      <c r="AV6" s="872"/>
      <c r="AW6" s="872"/>
      <c r="AX6" s="872">
        <f ca="1">IF(AX7=Rezultatai!$H$40,0,IF(AX7-Rezultatai!$H$40&lt;0,"",AX7-Rezultatai!$H$40))</f>
        <v>11</v>
      </c>
      <c r="AY6" s="872"/>
      <c r="AZ6" s="872"/>
      <c r="BA6" s="872"/>
      <c r="BB6" s="872">
        <f ca="1">IF(BB7=Rezultatai!$H$40,0,IF(BB7-Rezultatai!$H$40&lt;0,"",BB7-Rezultatai!$H$40))</f>
        <v>12</v>
      </c>
      <c r="BC6" s="872"/>
      <c r="BD6" s="872"/>
      <c r="BE6" s="872"/>
      <c r="BF6" s="872">
        <f ca="1">IF(BF7=Rezultatai!$H$40,0,IF(BF7-Rezultatai!$H$40&lt;0,"",BF7-Rezultatai!$H$40))</f>
        <v>13</v>
      </c>
      <c r="BG6" s="872"/>
      <c r="BH6" s="872"/>
      <c r="BI6" s="872"/>
      <c r="BJ6" s="872">
        <f ca="1">IF(BJ7=Rezultatai!$H$40,0,IF(BJ7-Rezultatai!$H$40&lt;0,"",BJ7-Rezultatai!$H$40))</f>
        <v>14</v>
      </c>
      <c r="BK6" s="872"/>
      <c r="BL6" s="872"/>
      <c r="BM6" s="872"/>
      <c r="BN6" s="872">
        <f ca="1">IF(BN7=Rezultatai!$H$40,0,IF(BN7-Rezultatai!$H$40&lt;0,"",BN7-Rezultatai!$H$40))</f>
        <v>15</v>
      </c>
      <c r="BO6" s="872"/>
      <c r="BP6" s="872"/>
      <c r="BQ6" s="872"/>
      <c r="BR6" s="872">
        <f ca="1">IF(BR7=Rezultatai!$H$40,0,IF(BR7-Rezultatai!$H$40&lt;0,"",BR7-Rezultatai!$H$40))</f>
        <v>16</v>
      </c>
      <c r="BS6" s="872"/>
      <c r="BT6" s="872"/>
      <c r="BU6" s="872"/>
      <c r="BV6" s="872">
        <f ca="1">IF(BV7=Rezultatai!$H$40,0,IF(BV7-Rezultatai!$H$40&lt;0,"",BV7-Rezultatai!$H$40))</f>
        <v>17</v>
      </c>
      <c r="BW6" s="872"/>
      <c r="BX6" s="872"/>
      <c r="BY6" s="872"/>
      <c r="BZ6" s="872">
        <f ca="1">IF(BZ7=Rezultatai!$H$40,0,IF(BZ7-Rezultatai!$H$40&lt;0,"",BZ7-Rezultatai!$H$40))</f>
        <v>18</v>
      </c>
      <c r="CA6" s="872"/>
      <c r="CB6" s="872"/>
      <c r="CC6" s="872"/>
      <c r="CD6" s="872">
        <f ca="1">IF(CD7=Rezultatai!$H$40,0,IF(CD7-Rezultatai!$H$40&lt;0,"",CD7-Rezultatai!$H$40))</f>
        <v>19</v>
      </c>
      <c r="CE6" s="872"/>
      <c r="CF6" s="872"/>
      <c r="CG6" s="872"/>
      <c r="CH6" s="872">
        <f ca="1">IF(CH7=Rezultatai!$H$40,0,IF(CH7-Rezultatai!$H$40&lt;0,"",CH7-Rezultatai!$H$40))</f>
        <v>20</v>
      </c>
      <c r="CI6" s="872"/>
      <c r="CJ6" s="872"/>
      <c r="CK6" s="872"/>
      <c r="CL6" s="872">
        <f ca="1">IF(CL7=Rezultatai!$H$40,0,IF(CL7-Rezultatai!$H$40&lt;0,"",CL7-Rezultatai!$H$40))</f>
        <v>21</v>
      </c>
      <c r="CM6" s="872"/>
      <c r="CN6" s="872"/>
      <c r="CO6" s="872"/>
      <c r="CP6" s="872">
        <f ca="1">IF(CP7=Rezultatai!$H$40,0,IF(CP7-Rezultatai!$H$40&lt;0,"",CP7-Rezultatai!$H$40))</f>
        <v>22</v>
      </c>
      <c r="CQ6" s="872"/>
      <c r="CR6" s="872"/>
      <c r="CS6" s="872"/>
      <c r="CT6" s="872">
        <f ca="1">IF(CT7=Rezultatai!$H$40,0,IF(CT7-Rezultatai!$H$40&lt;0,"",CT7-Rezultatai!$H$40))</f>
        <v>23</v>
      </c>
      <c r="CU6" s="872"/>
      <c r="CV6" s="872"/>
      <c r="CW6" s="872"/>
      <c r="CX6" s="872">
        <f ca="1">IF(CX7=Rezultatai!$H$40,0,IF(CX7-Rezultatai!$H$40&lt;0,"",CX7-Rezultatai!$H$40))</f>
        <v>24</v>
      </c>
      <c r="CY6" s="872"/>
      <c r="CZ6" s="872"/>
      <c r="DA6" s="872"/>
      <c r="DB6" s="872">
        <f ca="1">IF(DB7=Rezultatai!$H$40,0,IF(DB7-Rezultatai!$H$40&lt;0,"",DB7-Rezultatai!$H$40))</f>
        <v>25</v>
      </c>
      <c r="DC6" s="872"/>
      <c r="DD6" s="872"/>
      <c r="DE6" s="872"/>
      <c r="DF6" s="872">
        <f ca="1">IF(DF7=Rezultatai!$H$40,0,IF(DF7-Rezultatai!$H$40&lt;0,"",DF7-Rezultatai!$H$40))</f>
        <v>26</v>
      </c>
      <c r="DG6" s="872"/>
      <c r="DH6" s="872"/>
      <c r="DI6" s="872"/>
      <c r="DJ6" s="872">
        <f ca="1">IF(DJ7=Rezultatai!$H$40,0,IF(DJ7-Rezultatai!$H$40&lt;0,"",DJ7-Rezultatai!$H$40))</f>
        <v>27</v>
      </c>
      <c r="DK6" s="872"/>
      <c r="DL6" s="872"/>
      <c r="DM6" s="872"/>
      <c r="DN6" s="872">
        <f ca="1">IF(DN7=Rezultatai!$H$40,0,IF(DN7-Rezultatai!$H$40&lt;0,"",DN7-Rezultatai!$H$40))</f>
        <v>28</v>
      </c>
      <c r="DO6" s="872"/>
      <c r="DP6" s="872"/>
      <c r="DQ6" s="872"/>
      <c r="DR6" s="872">
        <f ca="1">IF(DR7=Rezultatai!$H$40,0,IF(DR7-Rezultatai!$H$40&lt;0,"",DR7-Rezultatai!$H$40))</f>
        <v>29</v>
      </c>
      <c r="DS6" s="872"/>
      <c r="DT6" s="872"/>
      <c r="DU6" s="872"/>
      <c r="DV6" s="872">
        <f ca="1">IF(DV7=Rezultatai!$H$40,0,IF(DV7-Rezultatai!$H$40&lt;0,"",DV7-Rezultatai!$H$40))</f>
        <v>30</v>
      </c>
      <c r="DW6" s="872"/>
      <c r="DX6" s="872"/>
      <c r="DY6" s="872"/>
      <c r="DZ6" s="872">
        <f ca="1">IF(DZ7=Rezultatai!$H$40,0,IF(DZ7-Rezultatai!$H$40&lt;0,"",DZ7-Rezultatai!$H$40))</f>
        <v>31</v>
      </c>
      <c r="EA6" s="872"/>
      <c r="EB6" s="872"/>
      <c r="EC6" s="872"/>
      <c r="ED6" s="872">
        <f ca="1">IF(ED7=Rezultatai!$H$40,0,IF(ED7-Rezultatai!$H$40&lt;0,"",ED7-Rezultatai!$H$40))</f>
        <v>32</v>
      </c>
      <c r="EE6" s="872"/>
      <c r="EF6" s="872"/>
      <c r="EG6" s="872"/>
      <c r="EH6" s="872">
        <f ca="1">IF(EH7=Rezultatai!$H$40,0,IF(EH7-Rezultatai!$H$40&lt;0,"",EH7-Rezultatai!$H$40))</f>
        <v>33</v>
      </c>
      <c r="EI6" s="872"/>
      <c r="EJ6" s="872"/>
      <c r="EK6" s="872"/>
      <c r="EL6" s="872">
        <f ca="1">IF(EL7=Rezultatai!$H$40,0,IF(EL7-Rezultatai!$H$40&lt;0,"",EL7-Rezultatai!$H$40))</f>
        <v>34</v>
      </c>
      <c r="EM6" s="872"/>
      <c r="EN6" s="872"/>
      <c r="EO6" s="872"/>
      <c r="EP6" s="872">
        <f ca="1">IF(EP7=Rezultatai!$H$40,0,IF(EP7-Rezultatai!$H$40&lt;0,"",EP7-Rezultatai!$H$40))</f>
        <v>35</v>
      </c>
      <c r="EQ6" s="872"/>
      <c r="ER6" s="872"/>
      <c r="ES6" s="872"/>
      <c r="ET6" s="872">
        <f ca="1">IF(ET7=Rezultatai!$H$40,0,IF(ET7-Rezultatai!$H$40&lt;0,"",ET7-Rezultatai!$H$40))</f>
        <v>36</v>
      </c>
      <c r="EU6" s="872"/>
      <c r="EV6" s="872"/>
      <c r="EW6" s="872"/>
      <c r="EX6" s="872">
        <f ca="1">IF(EX7=Rezultatai!$H$40,0,IF(EX7-Rezultatai!$H$40&lt;0,"",EX7-Rezultatai!$H$40))</f>
        <v>37</v>
      </c>
      <c r="EY6" s="872"/>
      <c r="EZ6" s="872"/>
      <c r="FA6" s="872"/>
      <c r="FB6" s="872">
        <f ca="1">IF(FB7=Rezultatai!$H$40,0,IF(FB7-Rezultatai!$H$40&lt;0,"",FB7-Rezultatai!$H$40))</f>
        <v>38</v>
      </c>
      <c r="FC6" s="872"/>
      <c r="FD6" s="872"/>
      <c r="FE6" s="872"/>
      <c r="FF6" s="872">
        <f ca="1">IF(FF7=Rezultatai!$H$40,0,IF(FF7-Rezultatai!$H$40&lt;0,"",FF7-Rezultatai!$H$40))</f>
        <v>39</v>
      </c>
      <c r="FG6" s="872"/>
      <c r="FH6" s="872"/>
      <c r="FI6" s="872"/>
      <c r="FJ6" s="872">
        <f ca="1">IF(FJ7=Rezultatai!$H$40,0,IF(FJ7-Rezultatai!$H$40&lt;0,"",FJ7-Rezultatai!$H$40))</f>
        <v>40</v>
      </c>
      <c r="FK6" s="872"/>
      <c r="FL6" s="872"/>
      <c r="FM6" s="872"/>
      <c r="FN6" s="872">
        <f ca="1">IF(FN7=Rezultatai!$H$40,0,IF(FN7-Rezultatai!$H$40&lt;0,"",FN7-Rezultatai!$H$40))</f>
        <v>41</v>
      </c>
      <c r="FO6" s="872"/>
      <c r="FP6" s="872"/>
      <c r="FQ6" s="872"/>
      <c r="FR6" s="872">
        <f ca="1">IF(FR7=Rezultatai!$H$40,0,IF(FR7-Rezultatai!$H$40&lt;0,"",FR7-Rezultatai!$H$40))</f>
        <v>42</v>
      </c>
      <c r="FS6" s="872"/>
      <c r="FT6" s="872"/>
      <c r="FU6" s="872"/>
      <c r="FV6" s="872">
        <f ca="1">IF(FV7=Rezultatai!$H$40,0,IF(FV7-Rezultatai!$H$40&lt;0,"",FV7-Rezultatai!$H$40))</f>
        <v>43</v>
      </c>
      <c r="FW6" s="872"/>
      <c r="FX6" s="872"/>
      <c r="FY6" s="872"/>
      <c r="FZ6" s="872">
        <f ca="1">IF(FZ7=Rezultatai!$H$40,0,IF(FZ7-Rezultatai!$H$40&lt;0,"",FZ7-Rezultatai!$H$40))</f>
        <v>44</v>
      </c>
      <c r="GA6" s="872"/>
      <c r="GB6" s="872"/>
      <c r="GC6" s="872"/>
      <c r="GD6" s="872">
        <f ca="1">IF(GD7=Rezultatai!$H$40,0,IF(GD7-Rezultatai!$H$40&lt;0,"",GD7-Rezultatai!$H$40))</f>
        <v>45</v>
      </c>
      <c r="GE6" s="872"/>
      <c r="GF6" s="872"/>
      <c r="GG6" s="872"/>
      <c r="GH6" s="872">
        <f ca="1">IF(GH7=Rezultatai!$H$40,0,IF(GH7-Rezultatai!$H$40&lt;0,"",GH7-Rezultatai!$H$40))</f>
        <v>46</v>
      </c>
      <c r="GI6" s="872"/>
      <c r="GJ6" s="872"/>
      <c r="GK6" s="872"/>
      <c r="GL6" s="872">
        <f ca="1">IF(GL7=Rezultatai!$H$40,0,IF(GL7-Rezultatai!$H$40&lt;0,"",GL7-Rezultatai!$H$40))</f>
        <v>47</v>
      </c>
      <c r="GM6" s="872"/>
      <c r="GN6" s="872"/>
      <c r="GO6" s="872"/>
      <c r="GP6" s="872">
        <f ca="1">IF(GP7=Rezultatai!$H$40,0,IF(GP7-Rezultatai!$H$40&lt;0,"",GP7-Rezultatai!$H$40))</f>
        <v>48</v>
      </c>
      <c r="GQ6" s="872"/>
      <c r="GR6" s="872"/>
      <c r="GS6" s="872"/>
      <c r="GT6" s="872">
        <f ca="1">IF(GT7=Rezultatai!$H$40,0,IF(GT7-Rezultatai!$H$40&lt;0,"",GT7-Rezultatai!$H$40))</f>
        <v>49</v>
      </c>
      <c r="GU6" s="872"/>
      <c r="GV6" s="872"/>
      <c r="GW6" s="872"/>
      <c r="GX6" s="872">
        <f ca="1">IF(GX7=Rezultatai!$H$40,0,IF(GX7-Rezultatai!$H$40&lt;0,"",GX7-Rezultatai!$H$40))</f>
        <v>50</v>
      </c>
      <c r="GY6" s="872"/>
      <c r="GZ6" s="872"/>
      <c r="HA6" s="872"/>
      <c r="HB6" s="872">
        <f ca="1">IF(HB7=Rezultatai!$H$40,0,IF(HB7-Rezultatai!$H$40&lt;0,"",HB7-Rezultatai!$H$40))</f>
        <v>51</v>
      </c>
      <c r="HC6" s="872"/>
      <c r="HD6" s="872"/>
      <c r="HE6" s="872"/>
      <c r="HF6" s="872">
        <f ca="1">IF(HF7=Rezultatai!$H$40,0,IF(HF7-Rezultatai!$H$40&lt;0,"",HF7-Rezultatai!$H$40))</f>
        <v>52</v>
      </c>
      <c r="HG6" s="872"/>
      <c r="HH6" s="872"/>
      <c r="HI6" s="872"/>
      <c r="HJ6" s="872">
        <f ca="1">IF(HJ7=Rezultatai!$H$40,0,IF(HJ7-Rezultatai!$H$40&lt;0,"",HJ7-Rezultatai!$H$40))</f>
        <v>53</v>
      </c>
      <c r="HK6" s="872"/>
      <c r="HL6" s="872"/>
      <c r="HM6" s="872"/>
      <c r="HN6" s="872">
        <f ca="1">IF(HN7=Rezultatai!$H$40,0,IF(HN7-Rezultatai!$H$40&lt;0,"",HN7-Rezultatai!$H$40))</f>
        <v>54</v>
      </c>
      <c r="HO6" s="872"/>
      <c r="HP6" s="872"/>
      <c r="HQ6" s="872"/>
      <c r="HR6" s="872">
        <f ca="1">IF(HR7=Rezultatai!$H$40,0,IF(HR7-Rezultatai!$H$40&lt;0,"",HR7-Rezultatai!$H$40))</f>
        <v>55</v>
      </c>
      <c r="HS6" s="872"/>
      <c r="HT6" s="872"/>
      <c r="HU6" s="872"/>
      <c r="HV6" s="872">
        <f ca="1">IF(HV7=Rezultatai!$H$40,0,IF(HV7-Rezultatai!$H$40&lt;0,"",HV7-Rezultatai!$H$40))</f>
        <v>56</v>
      </c>
      <c r="HW6" s="872"/>
      <c r="HX6" s="872"/>
      <c r="HY6" s="872"/>
      <c r="HZ6" s="872">
        <f ca="1">IF(HZ7=Rezultatai!$H$40,0,IF(HZ7-Rezultatai!$H$40&lt;0,"",HZ7-Rezultatai!$H$40))</f>
        <v>57</v>
      </c>
      <c r="IA6" s="872"/>
      <c r="IB6" s="872"/>
      <c r="IC6" s="872"/>
      <c r="ID6" s="872">
        <f ca="1">IF(ID7=Rezultatai!$H$40,0,IF(ID7-Rezultatai!$H$40&lt;0,"",ID7-Rezultatai!$H$40))</f>
        <v>58</v>
      </c>
      <c r="IE6" s="872"/>
      <c r="IF6" s="872"/>
      <c r="IG6" s="872"/>
      <c r="IH6" s="872">
        <f ca="1">IF(IH7=Rezultatai!$H$40,0,IF(IH7-Rezultatai!$H$40&lt;0,"",IH7-Rezultatai!$H$40))</f>
        <v>59</v>
      </c>
      <c r="II6" s="872"/>
      <c r="IJ6" s="872"/>
      <c r="IK6" s="872"/>
      <c r="IL6" s="872">
        <f ca="1">IF(IL7=Rezultatai!$H$40,0,IF(IL7-Rezultatai!$H$40&lt;0,"",IL7-Rezultatai!$H$40))</f>
        <v>60</v>
      </c>
      <c r="IM6" s="872"/>
      <c r="IN6" s="872"/>
      <c r="IO6" s="872"/>
      <c r="IP6" s="872">
        <f ca="1">IF(IP7=Rezultatai!$H$40,0,IF(IP7-Rezultatai!$H$40&lt;0,"",IP7-Rezultatai!$H$40))</f>
        <v>61</v>
      </c>
      <c r="IQ6" s="872"/>
      <c r="IR6" s="872"/>
      <c r="IS6" s="872"/>
      <c r="IT6" s="872">
        <f ca="1">IF(IT7=Rezultatai!$H$40,0,IF(IT7-Rezultatai!$H$40&lt;0,"",IT7-Rezultatai!$H$40))</f>
        <v>62</v>
      </c>
      <c r="IU6" s="872"/>
      <c r="IV6" s="872"/>
      <c r="IW6" s="872"/>
      <c r="IX6" s="872">
        <f ca="1">IF(IX7=Rezultatai!$H$40,0,IF(IX7-Rezultatai!$H$40&lt;0,"",IX7-Rezultatai!$H$40))</f>
        <v>63</v>
      </c>
      <c r="IY6" s="872"/>
      <c r="IZ6" s="872"/>
      <c r="JA6" s="872"/>
      <c r="JB6" s="872">
        <f ca="1">IF(JB7=Rezultatai!$H$40,0,IF(JB7-Rezultatai!$H$40&lt;0,"",JB7-Rezultatai!$H$40))</f>
        <v>64</v>
      </c>
      <c r="JC6" s="872"/>
      <c r="JD6" s="872"/>
      <c r="JE6" s="872"/>
      <c r="JF6" s="872">
        <f ca="1">IF(JF7=Rezultatai!$H$40,0,IF(JF7-Rezultatai!$H$40&lt;0,"",JF7-Rezultatai!$H$40))</f>
        <v>65</v>
      </c>
      <c r="JG6" s="872"/>
      <c r="JH6" s="872"/>
      <c r="JI6" s="872"/>
      <c r="JJ6" s="872">
        <f ca="1">IF(JJ7=Rezultatai!$H$40,0,IF(JJ7-Rezultatai!$H$40&lt;0,"",JJ7-Rezultatai!$H$40))</f>
        <v>66</v>
      </c>
      <c r="JK6" s="872"/>
      <c r="JL6" s="872"/>
      <c r="JM6" s="872"/>
      <c r="JN6" s="872">
        <f ca="1">IF(JN7=Rezultatai!$H$40,0,IF(JN7-Rezultatai!$H$40&lt;0,"",JN7-Rezultatai!$H$40))</f>
        <v>67</v>
      </c>
      <c r="JO6" s="872"/>
      <c r="JP6" s="872"/>
      <c r="JQ6" s="872"/>
      <c r="JR6" s="872">
        <f ca="1">IF(JR7=Rezultatai!$H$40,0,IF(JR7-Rezultatai!$H$40&lt;0,"",JR7-Rezultatai!$H$40))</f>
        <v>68</v>
      </c>
      <c r="JS6" s="872"/>
      <c r="JT6" s="872"/>
      <c r="JU6" s="872"/>
      <c r="JV6" s="872">
        <f ca="1">IF(JV7=Rezultatai!$H$40,0,IF(JV7-Rezultatai!$H$40&lt;0,"",JV7-Rezultatai!$H$40))</f>
        <v>69</v>
      </c>
      <c r="JW6" s="872"/>
      <c r="JX6" s="872"/>
      <c r="JY6" s="872"/>
      <c r="JZ6" s="872">
        <f ca="1">IF(JZ7=Rezultatai!$H$40,0,IF(JZ7-Rezultatai!$H$40&lt;0,"",JZ7-Rezultatai!$H$40))</f>
        <v>70</v>
      </c>
      <c r="KA6" s="872"/>
      <c r="KB6" s="872"/>
      <c r="KC6" s="872"/>
      <c r="KD6" s="872">
        <f ca="1">IF(KD7=Rezultatai!$H$40,0,IF(KD7-Rezultatai!$H$40&lt;0,"",KD7-Rezultatai!$H$40))</f>
        <v>71</v>
      </c>
      <c r="KE6" s="872"/>
      <c r="KF6" s="872"/>
      <c r="KG6" s="872"/>
      <c r="KH6" s="872">
        <f ca="1">IF(KH7=Rezultatai!$H$40,0,IF(KH7-Rezultatai!$H$40&lt;0,"",KH7-Rezultatai!$H$40))</f>
        <v>72</v>
      </c>
      <c r="KI6" s="872"/>
      <c r="KJ6" s="872"/>
      <c r="KK6" s="872"/>
      <c r="KL6" s="872">
        <f ca="1">IF(KL7=Rezultatai!$H$40,0,IF(KL7-Rezultatai!$H$40&lt;0,"",KL7-Rezultatai!$H$40))</f>
        <v>73</v>
      </c>
      <c r="KM6" s="872"/>
      <c r="KN6" s="872"/>
      <c r="KO6" s="872"/>
      <c r="KP6" s="872">
        <f ca="1">IF(KP7=Rezultatai!$H$40,0,IF(KP7-Rezultatai!$H$40&lt;0,"",KP7-Rezultatai!$H$40))</f>
        <v>74</v>
      </c>
      <c r="KQ6" s="872"/>
      <c r="KR6" s="872"/>
      <c r="KS6" s="872"/>
      <c r="KT6" s="872">
        <f ca="1">IF(KT7=Rezultatai!$H$40,0,IF(KT7-Rezultatai!$H$40&lt;0,"",KT7-Rezultatai!$H$40))</f>
        <v>75</v>
      </c>
      <c r="KU6" s="872"/>
      <c r="KV6" s="872"/>
      <c r="KW6" s="872"/>
      <c r="KX6" s="872">
        <f ca="1">IF(KX7=Rezultatai!$H$40,0,IF(KX7-Rezultatai!$H$40&lt;0,"",KX7-Rezultatai!$H$40))</f>
        <v>76</v>
      </c>
      <c r="KY6" s="872"/>
      <c r="KZ6" s="872"/>
      <c r="LA6" s="872"/>
      <c r="LB6" s="872">
        <f ca="1">IF(LB7=Rezultatai!$H$40,0,IF(LB7-Rezultatai!$H$40&lt;0,"",LB7-Rezultatai!$H$40))</f>
        <v>77</v>
      </c>
      <c r="LC6" s="872"/>
      <c r="LD6" s="872"/>
      <c r="LE6" s="872"/>
      <c r="LF6" s="872">
        <f ca="1">IF(LF7=Rezultatai!$H$40,0,IF(LF7-Rezultatai!$H$40&lt;0,"",LF7-Rezultatai!$H$40))</f>
        <v>78</v>
      </c>
      <c r="LG6" s="872"/>
      <c r="LH6" s="872"/>
      <c r="LI6" s="872"/>
      <c r="LJ6" s="872">
        <f ca="1">IF(LJ7=Rezultatai!$H$40,0,IF(LJ7-Rezultatai!$H$40&lt;0,"",LJ7-Rezultatai!$H$40))</f>
        <v>79</v>
      </c>
      <c r="LK6" s="872"/>
      <c r="LL6" s="872"/>
      <c r="LM6" s="872"/>
    </row>
    <row r="7" spans="1:325" ht="21">
      <c r="A7" s="311"/>
      <c r="B7" s="904" t="s">
        <v>475</v>
      </c>
      <c r="C7" s="906" t="s">
        <v>474</v>
      </c>
      <c r="D7" s="906" t="s">
        <v>473</v>
      </c>
      <c r="E7" s="906"/>
      <c r="F7" s="908" t="str">
        <f ca="1">IF(Pradžia!E8="",TEXT(TODAY(),"yyyy"),TEXT(Pradžia!E8,"yyyy"))</f>
        <v>2022</v>
      </c>
      <c r="G7" s="908"/>
      <c r="H7" s="908"/>
      <c r="I7" s="908"/>
      <c r="J7" s="901">
        <f ca="1">F7+1</f>
        <v>2023</v>
      </c>
      <c r="K7" s="901"/>
      <c r="L7" s="901"/>
      <c r="M7" s="901"/>
      <c r="N7" s="901">
        <f ca="1">J7+1</f>
        <v>2024</v>
      </c>
      <c r="O7" s="901"/>
      <c r="P7" s="901"/>
      <c r="Q7" s="901"/>
      <c r="R7" s="901">
        <f ca="1">N7+1</f>
        <v>2025</v>
      </c>
      <c r="S7" s="901"/>
      <c r="T7" s="901"/>
      <c r="U7" s="901"/>
      <c r="V7" s="901">
        <f ca="1">R7+1</f>
        <v>2026</v>
      </c>
      <c r="W7" s="901"/>
      <c r="X7" s="901"/>
      <c r="Y7" s="901"/>
      <c r="Z7" s="901">
        <f ca="1">V7+1</f>
        <v>2027</v>
      </c>
      <c r="AA7" s="901"/>
      <c r="AB7" s="901"/>
      <c r="AC7" s="901"/>
      <c r="AD7" s="901">
        <f ca="1">Z7+1</f>
        <v>2028</v>
      </c>
      <c r="AE7" s="901"/>
      <c r="AF7" s="901"/>
      <c r="AG7" s="901"/>
      <c r="AH7" s="901">
        <f ca="1">AD7+1</f>
        <v>2029</v>
      </c>
      <c r="AI7" s="901"/>
      <c r="AJ7" s="901"/>
      <c r="AK7" s="901"/>
      <c r="AL7" s="901">
        <f ca="1">AH7+1</f>
        <v>2030</v>
      </c>
      <c r="AM7" s="901"/>
      <c r="AN7" s="901"/>
      <c r="AO7" s="901"/>
      <c r="AP7" s="901">
        <f ca="1">AL7+1</f>
        <v>2031</v>
      </c>
      <c r="AQ7" s="901"/>
      <c r="AR7" s="901"/>
      <c r="AS7" s="901"/>
      <c r="AT7" s="901">
        <f ca="1">AP7+1</f>
        <v>2032</v>
      </c>
      <c r="AU7" s="901"/>
      <c r="AV7" s="901"/>
      <c r="AW7" s="901"/>
      <c r="AX7" s="901">
        <f ca="1">AT7+1</f>
        <v>2033</v>
      </c>
      <c r="AY7" s="901"/>
      <c r="AZ7" s="901"/>
      <c r="BA7" s="901"/>
      <c r="BB7" s="901">
        <f ca="1">AX7+1</f>
        <v>2034</v>
      </c>
      <c r="BC7" s="901"/>
      <c r="BD7" s="901"/>
      <c r="BE7" s="901"/>
      <c r="BF7" s="901">
        <f ca="1">BB7+1</f>
        <v>2035</v>
      </c>
      <c r="BG7" s="901"/>
      <c r="BH7" s="901"/>
      <c r="BI7" s="901"/>
      <c r="BJ7" s="901">
        <f ca="1">BF7+1</f>
        <v>2036</v>
      </c>
      <c r="BK7" s="901"/>
      <c r="BL7" s="901"/>
      <c r="BM7" s="901"/>
      <c r="BN7" s="901">
        <f ca="1">BJ7+1</f>
        <v>2037</v>
      </c>
      <c r="BO7" s="901"/>
      <c r="BP7" s="901"/>
      <c r="BQ7" s="901"/>
      <c r="BR7" s="901">
        <f ca="1">BN7+1</f>
        <v>2038</v>
      </c>
      <c r="BS7" s="901"/>
      <c r="BT7" s="901"/>
      <c r="BU7" s="901"/>
      <c r="BV7" s="901">
        <f ca="1">BR7+1</f>
        <v>2039</v>
      </c>
      <c r="BW7" s="901"/>
      <c r="BX7" s="901"/>
      <c r="BY7" s="901"/>
      <c r="BZ7" s="901">
        <f ca="1">BV7+1</f>
        <v>2040</v>
      </c>
      <c r="CA7" s="901"/>
      <c r="CB7" s="901"/>
      <c r="CC7" s="901"/>
      <c r="CD7" s="901">
        <f ca="1">BZ7+1</f>
        <v>2041</v>
      </c>
      <c r="CE7" s="901"/>
      <c r="CF7" s="901"/>
      <c r="CG7" s="901"/>
      <c r="CH7" s="901">
        <f ca="1">CD7+1</f>
        <v>2042</v>
      </c>
      <c r="CI7" s="901"/>
      <c r="CJ7" s="901"/>
      <c r="CK7" s="901"/>
      <c r="CL7" s="901">
        <f ca="1">CH7+1</f>
        <v>2043</v>
      </c>
      <c r="CM7" s="901"/>
      <c r="CN7" s="901"/>
      <c r="CO7" s="901"/>
      <c r="CP7" s="901">
        <f ca="1">CL7+1</f>
        <v>2044</v>
      </c>
      <c r="CQ7" s="901"/>
      <c r="CR7" s="901"/>
      <c r="CS7" s="901"/>
      <c r="CT7" s="901">
        <f ca="1">CP7+1</f>
        <v>2045</v>
      </c>
      <c r="CU7" s="901"/>
      <c r="CV7" s="901"/>
      <c r="CW7" s="901"/>
      <c r="CX7" s="901">
        <f ca="1">CT7+1</f>
        <v>2046</v>
      </c>
      <c r="CY7" s="901"/>
      <c r="CZ7" s="901"/>
      <c r="DA7" s="901"/>
      <c r="DB7" s="901">
        <f ca="1">CX7+1</f>
        <v>2047</v>
      </c>
      <c r="DC7" s="901"/>
      <c r="DD7" s="901"/>
      <c r="DE7" s="901"/>
      <c r="DF7" s="901">
        <f ca="1">DB7+1</f>
        <v>2048</v>
      </c>
      <c r="DG7" s="901"/>
      <c r="DH7" s="901"/>
      <c r="DI7" s="901"/>
      <c r="DJ7" s="901">
        <f ca="1">DF7+1</f>
        <v>2049</v>
      </c>
      <c r="DK7" s="901"/>
      <c r="DL7" s="901"/>
      <c r="DM7" s="901"/>
      <c r="DN7" s="901">
        <f ca="1">DJ7+1</f>
        <v>2050</v>
      </c>
      <c r="DO7" s="901"/>
      <c r="DP7" s="901"/>
      <c r="DQ7" s="901"/>
      <c r="DR7" s="901">
        <f ca="1">DN7+1</f>
        <v>2051</v>
      </c>
      <c r="DS7" s="901"/>
      <c r="DT7" s="901"/>
      <c r="DU7" s="901"/>
      <c r="DV7" s="901">
        <f ca="1">DR7+1</f>
        <v>2052</v>
      </c>
      <c r="DW7" s="901"/>
      <c r="DX7" s="901"/>
      <c r="DY7" s="901"/>
      <c r="DZ7" s="901">
        <f ca="1">DV7+1</f>
        <v>2053</v>
      </c>
      <c r="EA7" s="901"/>
      <c r="EB7" s="901"/>
      <c r="EC7" s="901"/>
      <c r="ED7" s="901">
        <f ca="1">DZ7+1</f>
        <v>2054</v>
      </c>
      <c r="EE7" s="901"/>
      <c r="EF7" s="901"/>
      <c r="EG7" s="901"/>
      <c r="EH7" s="901">
        <f ca="1">ED7+1</f>
        <v>2055</v>
      </c>
      <c r="EI7" s="901"/>
      <c r="EJ7" s="901"/>
      <c r="EK7" s="901"/>
      <c r="EL7" s="901">
        <f ca="1">EH7+1</f>
        <v>2056</v>
      </c>
      <c r="EM7" s="901"/>
      <c r="EN7" s="901"/>
      <c r="EO7" s="901"/>
      <c r="EP7" s="901">
        <f ca="1">EL7+1</f>
        <v>2057</v>
      </c>
      <c r="EQ7" s="901"/>
      <c r="ER7" s="901"/>
      <c r="ES7" s="901"/>
      <c r="ET7" s="901">
        <f ca="1">EP7+1</f>
        <v>2058</v>
      </c>
      <c r="EU7" s="901"/>
      <c r="EV7" s="901"/>
      <c r="EW7" s="901"/>
      <c r="EX7" s="901">
        <f ca="1">ET7+1</f>
        <v>2059</v>
      </c>
      <c r="EY7" s="901"/>
      <c r="EZ7" s="901"/>
      <c r="FA7" s="901"/>
      <c r="FB7" s="901">
        <f ca="1">EX7+1</f>
        <v>2060</v>
      </c>
      <c r="FC7" s="901"/>
      <c r="FD7" s="901"/>
      <c r="FE7" s="901"/>
      <c r="FF7" s="901">
        <f ca="1">FB7+1</f>
        <v>2061</v>
      </c>
      <c r="FG7" s="901"/>
      <c r="FH7" s="901"/>
      <c r="FI7" s="901"/>
      <c r="FJ7" s="901">
        <f ca="1">FF7+1</f>
        <v>2062</v>
      </c>
      <c r="FK7" s="901"/>
      <c r="FL7" s="901"/>
      <c r="FM7" s="901"/>
      <c r="FN7" s="901">
        <f ca="1">FJ7+1</f>
        <v>2063</v>
      </c>
      <c r="FO7" s="901"/>
      <c r="FP7" s="901"/>
      <c r="FQ7" s="901"/>
      <c r="FR7" s="901">
        <f ca="1">FN7+1</f>
        <v>2064</v>
      </c>
      <c r="FS7" s="901"/>
      <c r="FT7" s="901"/>
      <c r="FU7" s="901"/>
      <c r="FV7" s="901">
        <f ca="1">FR7+1</f>
        <v>2065</v>
      </c>
      <c r="FW7" s="901"/>
      <c r="FX7" s="901"/>
      <c r="FY7" s="901"/>
      <c r="FZ7" s="901">
        <f ca="1">FV7+1</f>
        <v>2066</v>
      </c>
      <c r="GA7" s="901"/>
      <c r="GB7" s="901"/>
      <c r="GC7" s="901"/>
      <c r="GD7" s="901">
        <f ca="1">FZ7+1</f>
        <v>2067</v>
      </c>
      <c r="GE7" s="901"/>
      <c r="GF7" s="901"/>
      <c r="GG7" s="901"/>
      <c r="GH7" s="901">
        <f ca="1">GD7+1</f>
        <v>2068</v>
      </c>
      <c r="GI7" s="901"/>
      <c r="GJ7" s="901"/>
      <c r="GK7" s="901"/>
      <c r="GL7" s="901">
        <f ca="1">GH7+1</f>
        <v>2069</v>
      </c>
      <c r="GM7" s="901"/>
      <c r="GN7" s="901"/>
      <c r="GO7" s="901"/>
      <c r="GP7" s="901">
        <f ca="1">GL7+1</f>
        <v>2070</v>
      </c>
      <c r="GQ7" s="901"/>
      <c r="GR7" s="901"/>
      <c r="GS7" s="901"/>
      <c r="GT7" s="901">
        <f ca="1">GP7+1</f>
        <v>2071</v>
      </c>
      <c r="GU7" s="901"/>
      <c r="GV7" s="901"/>
      <c r="GW7" s="901"/>
      <c r="GX7" s="901">
        <f ca="1">GT7+1</f>
        <v>2072</v>
      </c>
      <c r="GY7" s="901"/>
      <c r="GZ7" s="901"/>
      <c r="HA7" s="901"/>
      <c r="HB7" s="901">
        <f ca="1">GX7+1</f>
        <v>2073</v>
      </c>
      <c r="HC7" s="901"/>
      <c r="HD7" s="901"/>
      <c r="HE7" s="901"/>
      <c r="HF7" s="901">
        <f ca="1">HB7+1</f>
        <v>2074</v>
      </c>
      <c r="HG7" s="901"/>
      <c r="HH7" s="901"/>
      <c r="HI7" s="901"/>
      <c r="HJ7" s="901">
        <f ca="1">HF7+1</f>
        <v>2075</v>
      </c>
      <c r="HK7" s="901"/>
      <c r="HL7" s="901"/>
      <c r="HM7" s="901"/>
      <c r="HN7" s="901">
        <f ca="1">HJ7+1</f>
        <v>2076</v>
      </c>
      <c r="HO7" s="901"/>
      <c r="HP7" s="901"/>
      <c r="HQ7" s="901"/>
      <c r="HR7" s="901">
        <f ca="1">HN7+1</f>
        <v>2077</v>
      </c>
      <c r="HS7" s="901"/>
      <c r="HT7" s="901"/>
      <c r="HU7" s="901"/>
      <c r="HV7" s="901">
        <f ca="1">HR7+1</f>
        <v>2078</v>
      </c>
      <c r="HW7" s="901"/>
      <c r="HX7" s="901"/>
      <c r="HY7" s="901"/>
      <c r="HZ7" s="901">
        <f ca="1">HV7+1</f>
        <v>2079</v>
      </c>
      <c r="IA7" s="901"/>
      <c r="IB7" s="901"/>
      <c r="IC7" s="901"/>
      <c r="ID7" s="901">
        <f ca="1">HZ7+1</f>
        <v>2080</v>
      </c>
      <c r="IE7" s="901"/>
      <c r="IF7" s="901"/>
      <c r="IG7" s="901"/>
      <c r="IH7" s="901">
        <f ca="1">ID7+1</f>
        <v>2081</v>
      </c>
      <c r="II7" s="901"/>
      <c r="IJ7" s="901"/>
      <c r="IK7" s="901"/>
      <c r="IL7" s="901">
        <f ca="1">IH7+1</f>
        <v>2082</v>
      </c>
      <c r="IM7" s="901"/>
      <c r="IN7" s="901"/>
      <c r="IO7" s="901"/>
      <c r="IP7" s="901">
        <f ca="1">IL7+1</f>
        <v>2083</v>
      </c>
      <c r="IQ7" s="901"/>
      <c r="IR7" s="901"/>
      <c r="IS7" s="901"/>
      <c r="IT7" s="901">
        <f ca="1">IP7+1</f>
        <v>2084</v>
      </c>
      <c r="IU7" s="901"/>
      <c r="IV7" s="901"/>
      <c r="IW7" s="901"/>
      <c r="IX7" s="901">
        <f ca="1">IT7+1</f>
        <v>2085</v>
      </c>
      <c r="IY7" s="901"/>
      <c r="IZ7" s="901"/>
      <c r="JA7" s="901"/>
      <c r="JB7" s="901">
        <f ca="1">IX7+1</f>
        <v>2086</v>
      </c>
      <c r="JC7" s="901"/>
      <c r="JD7" s="901"/>
      <c r="JE7" s="901"/>
      <c r="JF7" s="901">
        <f ca="1">JB7+1</f>
        <v>2087</v>
      </c>
      <c r="JG7" s="901"/>
      <c r="JH7" s="901"/>
      <c r="JI7" s="901"/>
      <c r="JJ7" s="901">
        <f ca="1">JF7+1</f>
        <v>2088</v>
      </c>
      <c r="JK7" s="901"/>
      <c r="JL7" s="901"/>
      <c r="JM7" s="901"/>
      <c r="JN7" s="901">
        <f ca="1">JJ7+1</f>
        <v>2089</v>
      </c>
      <c r="JO7" s="901"/>
      <c r="JP7" s="901"/>
      <c r="JQ7" s="901"/>
      <c r="JR7" s="901">
        <f ca="1">JN7+1</f>
        <v>2090</v>
      </c>
      <c r="JS7" s="901"/>
      <c r="JT7" s="901"/>
      <c r="JU7" s="901"/>
      <c r="JV7" s="901">
        <f ca="1">JR7+1</f>
        <v>2091</v>
      </c>
      <c r="JW7" s="901"/>
      <c r="JX7" s="901"/>
      <c r="JY7" s="901"/>
      <c r="JZ7" s="901">
        <f ca="1">JV7+1</f>
        <v>2092</v>
      </c>
      <c r="KA7" s="901"/>
      <c r="KB7" s="901"/>
      <c r="KC7" s="901"/>
      <c r="KD7" s="901">
        <f ca="1">JZ7+1</f>
        <v>2093</v>
      </c>
      <c r="KE7" s="901"/>
      <c r="KF7" s="901"/>
      <c r="KG7" s="901"/>
      <c r="KH7" s="901">
        <f ca="1">KD7+1</f>
        <v>2094</v>
      </c>
      <c r="KI7" s="901"/>
      <c r="KJ7" s="901"/>
      <c r="KK7" s="901"/>
      <c r="KL7" s="901">
        <f ca="1">KH7+1</f>
        <v>2095</v>
      </c>
      <c r="KM7" s="901"/>
      <c r="KN7" s="901"/>
      <c r="KO7" s="901"/>
      <c r="KP7" s="901">
        <f ca="1">KL7+1</f>
        <v>2096</v>
      </c>
      <c r="KQ7" s="901"/>
      <c r="KR7" s="901"/>
      <c r="KS7" s="901"/>
      <c r="KT7" s="901">
        <f ca="1">KP7+1</f>
        <v>2097</v>
      </c>
      <c r="KU7" s="901"/>
      <c r="KV7" s="901"/>
      <c r="KW7" s="901"/>
      <c r="KX7" s="901">
        <f ca="1">KT7+1</f>
        <v>2098</v>
      </c>
      <c r="KY7" s="901"/>
      <c r="KZ7" s="901"/>
      <c r="LA7" s="901"/>
      <c r="LB7" s="901">
        <f ca="1">KX7+1</f>
        <v>2099</v>
      </c>
      <c r="LC7" s="901"/>
      <c r="LD7" s="901"/>
      <c r="LE7" s="901"/>
      <c r="LF7" s="901">
        <f ca="1">LB7+1</f>
        <v>2100</v>
      </c>
      <c r="LG7" s="901"/>
      <c r="LH7" s="901"/>
      <c r="LI7" s="901"/>
      <c r="LJ7" s="901">
        <f ca="1">LF7+1</f>
        <v>2101</v>
      </c>
      <c r="LK7" s="901"/>
      <c r="LL7" s="901"/>
      <c r="LM7" s="902"/>
    </row>
    <row r="8" spans="1:325" ht="21.6" thickBot="1">
      <c r="A8" s="311"/>
      <c r="B8" s="905"/>
      <c r="C8" s="907"/>
      <c r="D8" s="907"/>
      <c r="E8" s="907"/>
      <c r="F8" s="343" t="s">
        <v>469</v>
      </c>
      <c r="G8" s="343" t="s">
        <v>472</v>
      </c>
      <c r="H8" s="343" t="s">
        <v>471</v>
      </c>
      <c r="I8" s="343" t="s">
        <v>470</v>
      </c>
      <c r="J8" s="343" t="s">
        <v>469</v>
      </c>
      <c r="K8" s="343" t="s">
        <v>472</v>
      </c>
      <c r="L8" s="343" t="s">
        <v>471</v>
      </c>
      <c r="M8" s="343" t="s">
        <v>470</v>
      </c>
      <c r="N8" s="343" t="s">
        <v>469</v>
      </c>
      <c r="O8" s="343" t="s">
        <v>472</v>
      </c>
      <c r="P8" s="343" t="s">
        <v>471</v>
      </c>
      <c r="Q8" s="343" t="s">
        <v>470</v>
      </c>
      <c r="R8" s="343" t="s">
        <v>469</v>
      </c>
      <c r="S8" s="343" t="s">
        <v>472</v>
      </c>
      <c r="T8" s="343" t="s">
        <v>471</v>
      </c>
      <c r="U8" s="343" t="s">
        <v>470</v>
      </c>
      <c r="V8" s="343" t="s">
        <v>469</v>
      </c>
      <c r="W8" s="343" t="s">
        <v>472</v>
      </c>
      <c r="X8" s="343" t="s">
        <v>471</v>
      </c>
      <c r="Y8" s="343" t="s">
        <v>470</v>
      </c>
      <c r="Z8" s="343" t="s">
        <v>469</v>
      </c>
      <c r="AA8" s="343" t="s">
        <v>472</v>
      </c>
      <c r="AB8" s="343" t="s">
        <v>471</v>
      </c>
      <c r="AC8" s="343" t="s">
        <v>470</v>
      </c>
      <c r="AD8" s="343" t="s">
        <v>469</v>
      </c>
      <c r="AE8" s="343" t="s">
        <v>472</v>
      </c>
      <c r="AF8" s="343" t="s">
        <v>471</v>
      </c>
      <c r="AG8" s="343" t="s">
        <v>470</v>
      </c>
      <c r="AH8" s="343" t="s">
        <v>469</v>
      </c>
      <c r="AI8" s="343" t="s">
        <v>472</v>
      </c>
      <c r="AJ8" s="343" t="s">
        <v>471</v>
      </c>
      <c r="AK8" s="343" t="s">
        <v>470</v>
      </c>
      <c r="AL8" s="343" t="s">
        <v>469</v>
      </c>
      <c r="AM8" s="343" t="s">
        <v>472</v>
      </c>
      <c r="AN8" s="343" t="s">
        <v>471</v>
      </c>
      <c r="AO8" s="343" t="s">
        <v>470</v>
      </c>
      <c r="AP8" s="343" t="s">
        <v>469</v>
      </c>
      <c r="AQ8" s="343" t="s">
        <v>472</v>
      </c>
      <c r="AR8" s="343" t="s">
        <v>471</v>
      </c>
      <c r="AS8" s="343" t="s">
        <v>470</v>
      </c>
      <c r="AT8" s="343" t="s">
        <v>469</v>
      </c>
      <c r="AU8" s="343" t="s">
        <v>472</v>
      </c>
      <c r="AV8" s="343" t="s">
        <v>471</v>
      </c>
      <c r="AW8" s="343" t="s">
        <v>470</v>
      </c>
      <c r="AX8" s="343" t="s">
        <v>469</v>
      </c>
      <c r="AY8" s="343" t="s">
        <v>472</v>
      </c>
      <c r="AZ8" s="343" t="s">
        <v>471</v>
      </c>
      <c r="BA8" s="343" t="s">
        <v>470</v>
      </c>
      <c r="BB8" s="343" t="s">
        <v>469</v>
      </c>
      <c r="BC8" s="343" t="s">
        <v>472</v>
      </c>
      <c r="BD8" s="343" t="s">
        <v>471</v>
      </c>
      <c r="BE8" s="343" t="s">
        <v>470</v>
      </c>
      <c r="BF8" s="343" t="s">
        <v>469</v>
      </c>
      <c r="BG8" s="343" t="s">
        <v>472</v>
      </c>
      <c r="BH8" s="343" t="s">
        <v>471</v>
      </c>
      <c r="BI8" s="343" t="s">
        <v>470</v>
      </c>
      <c r="BJ8" s="343" t="s">
        <v>469</v>
      </c>
      <c r="BK8" s="343" t="s">
        <v>472</v>
      </c>
      <c r="BL8" s="343" t="s">
        <v>471</v>
      </c>
      <c r="BM8" s="343" t="s">
        <v>470</v>
      </c>
      <c r="BN8" s="343" t="s">
        <v>469</v>
      </c>
      <c r="BO8" s="343" t="s">
        <v>472</v>
      </c>
      <c r="BP8" s="343" t="s">
        <v>471</v>
      </c>
      <c r="BQ8" s="343" t="s">
        <v>470</v>
      </c>
      <c r="BR8" s="343" t="s">
        <v>469</v>
      </c>
      <c r="BS8" s="343" t="s">
        <v>472</v>
      </c>
      <c r="BT8" s="343" t="s">
        <v>471</v>
      </c>
      <c r="BU8" s="343" t="s">
        <v>470</v>
      </c>
      <c r="BV8" s="343" t="s">
        <v>469</v>
      </c>
      <c r="BW8" s="343" t="s">
        <v>472</v>
      </c>
      <c r="BX8" s="343" t="s">
        <v>471</v>
      </c>
      <c r="BY8" s="343" t="s">
        <v>470</v>
      </c>
      <c r="BZ8" s="343" t="s">
        <v>469</v>
      </c>
      <c r="CA8" s="343" t="s">
        <v>472</v>
      </c>
      <c r="CB8" s="343" t="s">
        <v>471</v>
      </c>
      <c r="CC8" s="343" t="s">
        <v>470</v>
      </c>
      <c r="CD8" s="343" t="s">
        <v>469</v>
      </c>
      <c r="CE8" s="343" t="s">
        <v>472</v>
      </c>
      <c r="CF8" s="343" t="s">
        <v>471</v>
      </c>
      <c r="CG8" s="343" t="s">
        <v>470</v>
      </c>
      <c r="CH8" s="343" t="s">
        <v>469</v>
      </c>
      <c r="CI8" s="343" t="s">
        <v>472</v>
      </c>
      <c r="CJ8" s="343" t="s">
        <v>471</v>
      </c>
      <c r="CK8" s="343" t="s">
        <v>470</v>
      </c>
      <c r="CL8" s="343" t="s">
        <v>469</v>
      </c>
      <c r="CM8" s="343" t="s">
        <v>472</v>
      </c>
      <c r="CN8" s="343" t="s">
        <v>471</v>
      </c>
      <c r="CO8" s="343" t="s">
        <v>470</v>
      </c>
      <c r="CP8" s="343" t="s">
        <v>469</v>
      </c>
      <c r="CQ8" s="343" t="s">
        <v>472</v>
      </c>
      <c r="CR8" s="343" t="s">
        <v>471</v>
      </c>
      <c r="CS8" s="343" t="s">
        <v>470</v>
      </c>
      <c r="CT8" s="343" t="s">
        <v>469</v>
      </c>
      <c r="CU8" s="343" t="s">
        <v>472</v>
      </c>
      <c r="CV8" s="343" t="s">
        <v>471</v>
      </c>
      <c r="CW8" s="343" t="s">
        <v>470</v>
      </c>
      <c r="CX8" s="343" t="s">
        <v>469</v>
      </c>
      <c r="CY8" s="343" t="s">
        <v>472</v>
      </c>
      <c r="CZ8" s="343" t="s">
        <v>471</v>
      </c>
      <c r="DA8" s="343" t="s">
        <v>470</v>
      </c>
      <c r="DB8" s="343" t="s">
        <v>469</v>
      </c>
      <c r="DC8" s="343" t="s">
        <v>472</v>
      </c>
      <c r="DD8" s="343" t="s">
        <v>471</v>
      </c>
      <c r="DE8" s="343" t="s">
        <v>470</v>
      </c>
      <c r="DF8" s="343" t="s">
        <v>469</v>
      </c>
      <c r="DG8" s="343" t="s">
        <v>472</v>
      </c>
      <c r="DH8" s="343" t="s">
        <v>471</v>
      </c>
      <c r="DI8" s="343" t="s">
        <v>470</v>
      </c>
      <c r="DJ8" s="343" t="s">
        <v>469</v>
      </c>
      <c r="DK8" s="343" t="s">
        <v>472</v>
      </c>
      <c r="DL8" s="343" t="s">
        <v>471</v>
      </c>
      <c r="DM8" s="343" t="s">
        <v>470</v>
      </c>
      <c r="DN8" s="343" t="s">
        <v>469</v>
      </c>
      <c r="DO8" s="343" t="s">
        <v>472</v>
      </c>
      <c r="DP8" s="343" t="s">
        <v>471</v>
      </c>
      <c r="DQ8" s="343" t="s">
        <v>470</v>
      </c>
      <c r="DR8" s="343" t="s">
        <v>469</v>
      </c>
      <c r="DS8" s="343" t="s">
        <v>472</v>
      </c>
      <c r="DT8" s="343" t="s">
        <v>471</v>
      </c>
      <c r="DU8" s="343" t="s">
        <v>470</v>
      </c>
      <c r="DV8" s="343" t="s">
        <v>469</v>
      </c>
      <c r="DW8" s="343" t="s">
        <v>472</v>
      </c>
      <c r="DX8" s="343" t="s">
        <v>471</v>
      </c>
      <c r="DY8" s="343" t="s">
        <v>470</v>
      </c>
      <c r="DZ8" s="343" t="s">
        <v>469</v>
      </c>
      <c r="EA8" s="343" t="s">
        <v>472</v>
      </c>
      <c r="EB8" s="343" t="s">
        <v>471</v>
      </c>
      <c r="EC8" s="343" t="s">
        <v>470</v>
      </c>
      <c r="ED8" s="343" t="s">
        <v>469</v>
      </c>
      <c r="EE8" s="343" t="s">
        <v>472</v>
      </c>
      <c r="EF8" s="343" t="s">
        <v>471</v>
      </c>
      <c r="EG8" s="343" t="s">
        <v>470</v>
      </c>
      <c r="EH8" s="343" t="s">
        <v>469</v>
      </c>
      <c r="EI8" s="343" t="s">
        <v>472</v>
      </c>
      <c r="EJ8" s="343" t="s">
        <v>471</v>
      </c>
      <c r="EK8" s="343" t="s">
        <v>470</v>
      </c>
      <c r="EL8" s="343" t="s">
        <v>469</v>
      </c>
      <c r="EM8" s="343" t="s">
        <v>472</v>
      </c>
      <c r="EN8" s="343" t="s">
        <v>471</v>
      </c>
      <c r="EO8" s="343" t="s">
        <v>470</v>
      </c>
      <c r="EP8" s="343" t="s">
        <v>469</v>
      </c>
      <c r="EQ8" s="343" t="s">
        <v>472</v>
      </c>
      <c r="ER8" s="343" t="s">
        <v>471</v>
      </c>
      <c r="ES8" s="343" t="s">
        <v>470</v>
      </c>
      <c r="ET8" s="343" t="s">
        <v>469</v>
      </c>
      <c r="EU8" s="343" t="s">
        <v>472</v>
      </c>
      <c r="EV8" s="343" t="s">
        <v>471</v>
      </c>
      <c r="EW8" s="343" t="s">
        <v>470</v>
      </c>
      <c r="EX8" s="343" t="s">
        <v>469</v>
      </c>
      <c r="EY8" s="343" t="s">
        <v>472</v>
      </c>
      <c r="EZ8" s="343" t="s">
        <v>471</v>
      </c>
      <c r="FA8" s="343" t="s">
        <v>470</v>
      </c>
      <c r="FB8" s="343" t="s">
        <v>469</v>
      </c>
      <c r="FC8" s="343" t="s">
        <v>472</v>
      </c>
      <c r="FD8" s="343" t="s">
        <v>471</v>
      </c>
      <c r="FE8" s="343" t="s">
        <v>470</v>
      </c>
      <c r="FF8" s="343" t="s">
        <v>469</v>
      </c>
      <c r="FG8" s="343" t="s">
        <v>472</v>
      </c>
      <c r="FH8" s="343" t="s">
        <v>471</v>
      </c>
      <c r="FI8" s="343" t="s">
        <v>470</v>
      </c>
      <c r="FJ8" s="343" t="s">
        <v>469</v>
      </c>
      <c r="FK8" s="343" t="s">
        <v>472</v>
      </c>
      <c r="FL8" s="343" t="s">
        <v>471</v>
      </c>
      <c r="FM8" s="343" t="s">
        <v>470</v>
      </c>
      <c r="FN8" s="343" t="s">
        <v>469</v>
      </c>
      <c r="FO8" s="343" t="s">
        <v>472</v>
      </c>
      <c r="FP8" s="343" t="s">
        <v>471</v>
      </c>
      <c r="FQ8" s="343" t="s">
        <v>470</v>
      </c>
      <c r="FR8" s="343" t="s">
        <v>469</v>
      </c>
      <c r="FS8" s="343" t="s">
        <v>472</v>
      </c>
      <c r="FT8" s="343" t="s">
        <v>471</v>
      </c>
      <c r="FU8" s="343" t="s">
        <v>470</v>
      </c>
      <c r="FV8" s="343" t="s">
        <v>469</v>
      </c>
      <c r="FW8" s="343" t="s">
        <v>472</v>
      </c>
      <c r="FX8" s="343" t="s">
        <v>471</v>
      </c>
      <c r="FY8" s="343" t="s">
        <v>470</v>
      </c>
      <c r="FZ8" s="343" t="s">
        <v>469</v>
      </c>
      <c r="GA8" s="343" t="s">
        <v>472</v>
      </c>
      <c r="GB8" s="343" t="s">
        <v>471</v>
      </c>
      <c r="GC8" s="343" t="s">
        <v>470</v>
      </c>
      <c r="GD8" s="343" t="s">
        <v>469</v>
      </c>
      <c r="GE8" s="343" t="s">
        <v>472</v>
      </c>
      <c r="GF8" s="343" t="s">
        <v>471</v>
      </c>
      <c r="GG8" s="343" t="s">
        <v>470</v>
      </c>
      <c r="GH8" s="343" t="s">
        <v>469</v>
      </c>
      <c r="GI8" s="343" t="s">
        <v>472</v>
      </c>
      <c r="GJ8" s="343" t="s">
        <v>471</v>
      </c>
      <c r="GK8" s="343" t="s">
        <v>470</v>
      </c>
      <c r="GL8" s="343" t="s">
        <v>469</v>
      </c>
      <c r="GM8" s="343" t="s">
        <v>472</v>
      </c>
      <c r="GN8" s="343" t="s">
        <v>471</v>
      </c>
      <c r="GO8" s="343" t="s">
        <v>470</v>
      </c>
      <c r="GP8" s="343" t="s">
        <v>469</v>
      </c>
      <c r="GQ8" s="343" t="s">
        <v>472</v>
      </c>
      <c r="GR8" s="343" t="s">
        <v>471</v>
      </c>
      <c r="GS8" s="343" t="s">
        <v>470</v>
      </c>
      <c r="GT8" s="343" t="s">
        <v>469</v>
      </c>
      <c r="GU8" s="343" t="s">
        <v>472</v>
      </c>
      <c r="GV8" s="343" t="s">
        <v>471</v>
      </c>
      <c r="GW8" s="343" t="s">
        <v>470</v>
      </c>
      <c r="GX8" s="343" t="s">
        <v>469</v>
      </c>
      <c r="GY8" s="343" t="s">
        <v>472</v>
      </c>
      <c r="GZ8" s="343" t="s">
        <v>471</v>
      </c>
      <c r="HA8" s="343" t="s">
        <v>470</v>
      </c>
      <c r="HB8" s="343" t="s">
        <v>469</v>
      </c>
      <c r="HC8" s="343" t="s">
        <v>472</v>
      </c>
      <c r="HD8" s="343" t="s">
        <v>471</v>
      </c>
      <c r="HE8" s="343" t="s">
        <v>470</v>
      </c>
      <c r="HF8" s="343" t="s">
        <v>469</v>
      </c>
      <c r="HG8" s="343" t="s">
        <v>472</v>
      </c>
      <c r="HH8" s="343" t="s">
        <v>471</v>
      </c>
      <c r="HI8" s="343" t="s">
        <v>470</v>
      </c>
      <c r="HJ8" s="343" t="s">
        <v>469</v>
      </c>
      <c r="HK8" s="343" t="s">
        <v>472</v>
      </c>
      <c r="HL8" s="343" t="s">
        <v>471</v>
      </c>
      <c r="HM8" s="343" t="s">
        <v>470</v>
      </c>
      <c r="HN8" s="343" t="s">
        <v>469</v>
      </c>
      <c r="HO8" s="343" t="s">
        <v>472</v>
      </c>
      <c r="HP8" s="343" t="s">
        <v>471</v>
      </c>
      <c r="HQ8" s="343" t="s">
        <v>470</v>
      </c>
      <c r="HR8" s="343" t="s">
        <v>469</v>
      </c>
      <c r="HS8" s="343" t="s">
        <v>472</v>
      </c>
      <c r="HT8" s="343" t="s">
        <v>471</v>
      </c>
      <c r="HU8" s="343" t="s">
        <v>470</v>
      </c>
      <c r="HV8" s="343" t="s">
        <v>469</v>
      </c>
      <c r="HW8" s="343" t="s">
        <v>472</v>
      </c>
      <c r="HX8" s="343" t="s">
        <v>471</v>
      </c>
      <c r="HY8" s="343" t="s">
        <v>470</v>
      </c>
      <c r="HZ8" s="343" t="s">
        <v>469</v>
      </c>
      <c r="IA8" s="343" t="s">
        <v>472</v>
      </c>
      <c r="IB8" s="343" t="s">
        <v>471</v>
      </c>
      <c r="IC8" s="343" t="s">
        <v>470</v>
      </c>
      <c r="ID8" s="343" t="s">
        <v>469</v>
      </c>
      <c r="IE8" s="343" t="s">
        <v>472</v>
      </c>
      <c r="IF8" s="343" t="s">
        <v>471</v>
      </c>
      <c r="IG8" s="343" t="s">
        <v>470</v>
      </c>
      <c r="IH8" s="343" t="s">
        <v>469</v>
      </c>
      <c r="II8" s="343" t="s">
        <v>472</v>
      </c>
      <c r="IJ8" s="343" t="s">
        <v>471</v>
      </c>
      <c r="IK8" s="343" t="s">
        <v>470</v>
      </c>
      <c r="IL8" s="343" t="s">
        <v>469</v>
      </c>
      <c r="IM8" s="343" t="s">
        <v>472</v>
      </c>
      <c r="IN8" s="343" t="s">
        <v>471</v>
      </c>
      <c r="IO8" s="343" t="s">
        <v>470</v>
      </c>
      <c r="IP8" s="343" t="s">
        <v>469</v>
      </c>
      <c r="IQ8" s="343" t="s">
        <v>472</v>
      </c>
      <c r="IR8" s="343" t="s">
        <v>471</v>
      </c>
      <c r="IS8" s="343" t="s">
        <v>470</v>
      </c>
      <c r="IT8" s="343" t="s">
        <v>469</v>
      </c>
      <c r="IU8" s="343" t="s">
        <v>472</v>
      </c>
      <c r="IV8" s="343" t="s">
        <v>471</v>
      </c>
      <c r="IW8" s="343" t="s">
        <v>470</v>
      </c>
      <c r="IX8" s="343" t="s">
        <v>469</v>
      </c>
      <c r="IY8" s="343" t="s">
        <v>472</v>
      </c>
      <c r="IZ8" s="343" t="s">
        <v>471</v>
      </c>
      <c r="JA8" s="343" t="s">
        <v>470</v>
      </c>
      <c r="JB8" s="343" t="s">
        <v>469</v>
      </c>
      <c r="JC8" s="343" t="s">
        <v>472</v>
      </c>
      <c r="JD8" s="343" t="s">
        <v>471</v>
      </c>
      <c r="JE8" s="343" t="s">
        <v>470</v>
      </c>
      <c r="JF8" s="343" t="s">
        <v>469</v>
      </c>
      <c r="JG8" s="343" t="s">
        <v>472</v>
      </c>
      <c r="JH8" s="343" t="s">
        <v>471</v>
      </c>
      <c r="JI8" s="343" t="s">
        <v>470</v>
      </c>
      <c r="JJ8" s="343" t="s">
        <v>469</v>
      </c>
      <c r="JK8" s="343" t="s">
        <v>472</v>
      </c>
      <c r="JL8" s="343" t="s">
        <v>471</v>
      </c>
      <c r="JM8" s="343" t="s">
        <v>470</v>
      </c>
      <c r="JN8" s="343" t="s">
        <v>469</v>
      </c>
      <c r="JO8" s="343" t="s">
        <v>472</v>
      </c>
      <c r="JP8" s="343" t="s">
        <v>471</v>
      </c>
      <c r="JQ8" s="343" t="s">
        <v>470</v>
      </c>
      <c r="JR8" s="343" t="s">
        <v>469</v>
      </c>
      <c r="JS8" s="343" t="s">
        <v>472</v>
      </c>
      <c r="JT8" s="343" t="s">
        <v>471</v>
      </c>
      <c r="JU8" s="343" t="s">
        <v>470</v>
      </c>
      <c r="JV8" s="343" t="s">
        <v>469</v>
      </c>
      <c r="JW8" s="343" t="s">
        <v>472</v>
      </c>
      <c r="JX8" s="343" t="s">
        <v>471</v>
      </c>
      <c r="JY8" s="343" t="s">
        <v>470</v>
      </c>
      <c r="JZ8" s="343" t="s">
        <v>469</v>
      </c>
      <c r="KA8" s="343" t="s">
        <v>472</v>
      </c>
      <c r="KB8" s="343" t="s">
        <v>471</v>
      </c>
      <c r="KC8" s="343" t="s">
        <v>470</v>
      </c>
      <c r="KD8" s="343" t="s">
        <v>469</v>
      </c>
      <c r="KE8" s="343" t="s">
        <v>472</v>
      </c>
      <c r="KF8" s="343" t="s">
        <v>471</v>
      </c>
      <c r="KG8" s="343" t="s">
        <v>470</v>
      </c>
      <c r="KH8" s="343" t="s">
        <v>469</v>
      </c>
      <c r="KI8" s="343" t="s">
        <v>472</v>
      </c>
      <c r="KJ8" s="343" t="s">
        <v>471</v>
      </c>
      <c r="KK8" s="343" t="s">
        <v>470</v>
      </c>
      <c r="KL8" s="343" t="s">
        <v>469</v>
      </c>
      <c r="KM8" s="343" t="s">
        <v>472</v>
      </c>
      <c r="KN8" s="343" t="s">
        <v>471</v>
      </c>
      <c r="KO8" s="343" t="s">
        <v>470</v>
      </c>
      <c r="KP8" s="343" t="s">
        <v>469</v>
      </c>
      <c r="KQ8" s="343" t="s">
        <v>472</v>
      </c>
      <c r="KR8" s="343" t="s">
        <v>471</v>
      </c>
      <c r="KS8" s="343" t="s">
        <v>470</v>
      </c>
      <c r="KT8" s="343" t="s">
        <v>469</v>
      </c>
      <c r="KU8" s="343" t="s">
        <v>472</v>
      </c>
      <c r="KV8" s="343" t="s">
        <v>471</v>
      </c>
      <c r="KW8" s="343" t="s">
        <v>470</v>
      </c>
      <c r="KX8" s="343" t="s">
        <v>469</v>
      </c>
      <c r="KY8" s="343" t="s">
        <v>472</v>
      </c>
      <c r="KZ8" s="343" t="s">
        <v>471</v>
      </c>
      <c r="LA8" s="343" t="s">
        <v>470</v>
      </c>
      <c r="LB8" s="343" t="s">
        <v>469</v>
      </c>
      <c r="LC8" s="343" t="s">
        <v>472</v>
      </c>
      <c r="LD8" s="343" t="s">
        <v>471</v>
      </c>
      <c r="LE8" s="343" t="s">
        <v>470</v>
      </c>
      <c r="LF8" s="343" t="s">
        <v>469</v>
      </c>
      <c r="LG8" s="343" t="s">
        <v>472</v>
      </c>
      <c r="LH8" s="343" t="s">
        <v>471</v>
      </c>
      <c r="LI8" s="343" t="s">
        <v>470</v>
      </c>
      <c r="LJ8" s="343" t="s">
        <v>469</v>
      </c>
      <c r="LK8" s="343" t="s">
        <v>472</v>
      </c>
      <c r="LL8" s="343" t="s">
        <v>471</v>
      </c>
      <c r="LM8" s="344" t="s">
        <v>470</v>
      </c>
    </row>
    <row r="9" spans="1:325">
      <c r="A9" s="310"/>
      <c r="B9" s="352" t="s">
        <v>468</v>
      </c>
      <c r="C9" s="351" t="s">
        <v>467</v>
      </c>
      <c r="D9" s="341">
        <f>D31+D10</f>
        <v>0</v>
      </c>
      <c r="E9" s="342"/>
      <c r="F9" s="879"/>
      <c r="G9" s="880"/>
      <c r="H9" s="880"/>
      <c r="I9" s="880"/>
      <c r="J9" s="880"/>
      <c r="K9" s="880"/>
      <c r="L9" s="880"/>
      <c r="M9" s="880"/>
      <c r="N9" s="880"/>
      <c r="O9" s="880"/>
      <c r="P9" s="880"/>
      <c r="Q9" s="880"/>
      <c r="R9" s="880"/>
      <c r="S9" s="880"/>
      <c r="T9" s="880"/>
      <c r="U9" s="880"/>
      <c r="V9" s="880"/>
      <c r="W9" s="880"/>
      <c r="X9" s="880"/>
      <c r="Y9" s="880"/>
      <c r="Z9" s="880"/>
      <c r="AA9" s="880"/>
      <c r="AB9" s="880"/>
      <c r="AC9" s="880"/>
      <c r="AD9" s="880"/>
      <c r="AE9" s="880"/>
      <c r="AF9" s="880"/>
      <c r="AG9" s="880"/>
      <c r="AH9" s="880"/>
      <c r="AI9" s="880"/>
      <c r="AJ9" s="880"/>
      <c r="AK9" s="880"/>
      <c r="AL9" s="880"/>
      <c r="AM9" s="880"/>
      <c r="AN9" s="880"/>
      <c r="AO9" s="880"/>
      <c r="AP9" s="880"/>
      <c r="AQ9" s="880"/>
      <c r="AR9" s="880"/>
      <c r="AS9" s="880"/>
      <c r="AT9" s="880"/>
      <c r="AU9" s="880"/>
      <c r="AV9" s="880"/>
      <c r="AW9" s="880"/>
      <c r="AX9" s="880"/>
      <c r="AY9" s="880"/>
      <c r="AZ9" s="880"/>
      <c r="BA9" s="880"/>
      <c r="BB9" s="880"/>
      <c r="BC9" s="880"/>
      <c r="BD9" s="880"/>
      <c r="BE9" s="880"/>
      <c r="BF9" s="880"/>
      <c r="BG9" s="880"/>
      <c r="BH9" s="880"/>
      <c r="BI9" s="880"/>
      <c r="BJ9" s="880"/>
      <c r="BK9" s="880"/>
      <c r="BL9" s="880"/>
      <c r="BM9" s="880"/>
      <c r="BN9" s="880"/>
      <c r="BO9" s="880"/>
      <c r="BP9" s="880"/>
      <c r="BQ9" s="880"/>
      <c r="BR9" s="880"/>
      <c r="BS9" s="880"/>
      <c r="BT9" s="880"/>
      <c r="BU9" s="880"/>
      <c r="BV9" s="880"/>
      <c r="BW9" s="880"/>
      <c r="BX9" s="880"/>
      <c r="BY9" s="880"/>
      <c r="BZ9" s="880"/>
      <c r="CA9" s="880"/>
      <c r="CB9" s="880"/>
      <c r="CC9" s="880"/>
      <c r="CD9" s="880"/>
      <c r="CE9" s="880"/>
      <c r="CF9" s="880"/>
      <c r="CG9" s="880"/>
      <c r="CH9" s="880"/>
      <c r="CI9" s="880"/>
      <c r="CJ9" s="880"/>
      <c r="CK9" s="880"/>
      <c r="CL9" s="880"/>
      <c r="CM9" s="880"/>
      <c r="CN9" s="880"/>
      <c r="CO9" s="880"/>
      <c r="CP9" s="880"/>
      <c r="CQ9" s="880"/>
      <c r="CR9" s="880"/>
      <c r="CS9" s="880"/>
      <c r="CT9" s="880"/>
      <c r="CU9" s="880"/>
      <c r="CV9" s="880"/>
      <c r="CW9" s="880"/>
      <c r="CX9" s="880"/>
      <c r="CY9" s="880"/>
      <c r="CZ9" s="880"/>
      <c r="DA9" s="880"/>
      <c r="DB9" s="880"/>
      <c r="DC9" s="880"/>
      <c r="DD9" s="880"/>
      <c r="DE9" s="880"/>
      <c r="DF9" s="880"/>
      <c r="DG9" s="880"/>
      <c r="DH9" s="880"/>
      <c r="DI9" s="880"/>
      <c r="DJ9" s="880"/>
      <c r="DK9" s="880"/>
      <c r="DL9" s="880"/>
      <c r="DM9" s="880"/>
      <c r="DN9" s="880"/>
      <c r="DO9" s="880"/>
      <c r="DP9" s="880"/>
      <c r="DQ9" s="880"/>
      <c r="DR9" s="880"/>
      <c r="DS9" s="880"/>
      <c r="DT9" s="880"/>
      <c r="DU9" s="880"/>
      <c r="DV9" s="880"/>
      <c r="DW9" s="880"/>
      <c r="DX9" s="880"/>
      <c r="DY9" s="880"/>
      <c r="DZ9" s="880"/>
      <c r="EA9" s="880"/>
      <c r="EB9" s="880"/>
      <c r="EC9" s="880"/>
      <c r="ED9" s="880"/>
      <c r="EE9" s="880"/>
      <c r="EF9" s="880"/>
      <c r="EG9" s="880"/>
      <c r="EH9" s="880"/>
      <c r="EI9" s="880"/>
      <c r="EJ9" s="880"/>
      <c r="EK9" s="880"/>
      <c r="EL9" s="880"/>
      <c r="EM9" s="880"/>
      <c r="EN9" s="880"/>
      <c r="EO9" s="880"/>
      <c r="EP9" s="880"/>
      <c r="EQ9" s="880"/>
      <c r="ER9" s="880"/>
      <c r="ES9" s="880"/>
      <c r="ET9" s="880"/>
      <c r="EU9" s="880"/>
      <c r="EV9" s="880"/>
      <c r="EW9" s="880"/>
      <c r="EX9" s="880"/>
      <c r="EY9" s="880"/>
      <c r="EZ9" s="880"/>
      <c r="FA9" s="880"/>
      <c r="FB9" s="880"/>
      <c r="FC9" s="880"/>
      <c r="FD9" s="880"/>
      <c r="FE9" s="880"/>
      <c r="FF9" s="880"/>
      <c r="FG9" s="880"/>
      <c r="FH9" s="880"/>
      <c r="FI9" s="880"/>
      <c r="FJ9" s="880"/>
      <c r="FK9" s="880"/>
      <c r="FL9" s="880"/>
      <c r="FM9" s="880"/>
      <c r="FN9" s="880"/>
      <c r="FO9" s="880"/>
      <c r="FP9" s="880"/>
      <c r="FQ9" s="880"/>
      <c r="FR9" s="880"/>
      <c r="FS9" s="880"/>
      <c r="FT9" s="880"/>
      <c r="FU9" s="880"/>
      <c r="FV9" s="880"/>
      <c r="FW9" s="880"/>
      <c r="FX9" s="880"/>
      <c r="FY9" s="880"/>
      <c r="FZ9" s="880"/>
      <c r="GA9" s="880"/>
      <c r="GB9" s="880"/>
      <c r="GC9" s="880"/>
      <c r="GD9" s="880"/>
      <c r="GE9" s="880"/>
      <c r="GF9" s="880"/>
      <c r="GG9" s="880"/>
      <c r="GH9" s="880"/>
      <c r="GI9" s="880"/>
      <c r="GJ9" s="880"/>
      <c r="GK9" s="880"/>
      <c r="GL9" s="880"/>
      <c r="GM9" s="880"/>
      <c r="GN9" s="880"/>
      <c r="GO9" s="880"/>
      <c r="GP9" s="880"/>
      <c r="GQ9" s="880"/>
      <c r="GR9" s="880"/>
      <c r="GS9" s="880"/>
      <c r="GT9" s="880"/>
      <c r="GU9" s="880"/>
      <c r="GV9" s="880"/>
      <c r="GW9" s="880"/>
      <c r="GX9" s="880"/>
      <c r="GY9" s="880"/>
      <c r="GZ9" s="880"/>
      <c r="HA9" s="880"/>
      <c r="HB9" s="880"/>
      <c r="HC9" s="880"/>
      <c r="HD9" s="880"/>
      <c r="HE9" s="880"/>
      <c r="HF9" s="880"/>
      <c r="HG9" s="880"/>
      <c r="HH9" s="880"/>
      <c r="HI9" s="880"/>
      <c r="HJ9" s="880"/>
      <c r="HK9" s="880"/>
      <c r="HL9" s="880"/>
      <c r="HM9" s="880"/>
      <c r="HN9" s="880"/>
      <c r="HO9" s="880"/>
      <c r="HP9" s="880"/>
      <c r="HQ9" s="880"/>
      <c r="HR9" s="880"/>
      <c r="HS9" s="880"/>
      <c r="HT9" s="880"/>
      <c r="HU9" s="880"/>
      <c r="HV9" s="880"/>
      <c r="HW9" s="880"/>
      <c r="HX9" s="880"/>
      <c r="HY9" s="880"/>
      <c r="HZ9" s="880"/>
      <c r="IA9" s="880"/>
      <c r="IB9" s="880"/>
      <c r="IC9" s="880"/>
      <c r="ID9" s="880"/>
      <c r="IE9" s="880"/>
      <c r="IF9" s="880"/>
      <c r="IG9" s="880"/>
      <c r="IH9" s="880"/>
      <c r="II9" s="880"/>
      <c r="IJ9" s="880"/>
      <c r="IK9" s="880"/>
      <c r="IL9" s="880"/>
      <c r="IM9" s="880"/>
      <c r="IN9" s="880"/>
      <c r="IO9" s="880"/>
      <c r="IP9" s="880"/>
      <c r="IQ9" s="880"/>
      <c r="IR9" s="880"/>
      <c r="IS9" s="880"/>
      <c r="IT9" s="880"/>
      <c r="IU9" s="880"/>
      <c r="IV9" s="880"/>
      <c r="IW9" s="880"/>
      <c r="IX9" s="880"/>
      <c r="IY9" s="880"/>
      <c r="IZ9" s="880"/>
      <c r="JA9" s="880"/>
      <c r="JB9" s="880"/>
      <c r="JC9" s="880"/>
      <c r="JD9" s="880"/>
      <c r="JE9" s="880"/>
      <c r="JF9" s="880"/>
      <c r="JG9" s="880"/>
      <c r="JH9" s="880"/>
      <c r="JI9" s="880"/>
      <c r="JJ9" s="880"/>
      <c r="JK9" s="880"/>
      <c r="JL9" s="880"/>
      <c r="JM9" s="880"/>
      <c r="JN9" s="880"/>
      <c r="JO9" s="880"/>
      <c r="JP9" s="880"/>
      <c r="JQ9" s="880"/>
      <c r="JR9" s="880"/>
      <c r="JS9" s="880"/>
      <c r="JT9" s="880"/>
      <c r="JU9" s="880"/>
      <c r="JV9" s="880"/>
      <c r="JW9" s="880"/>
      <c r="JX9" s="880"/>
      <c r="JY9" s="880"/>
      <c r="JZ9" s="880"/>
      <c r="KA9" s="880"/>
      <c r="KB9" s="880"/>
      <c r="KC9" s="880"/>
      <c r="KD9" s="880"/>
      <c r="KE9" s="880"/>
      <c r="KF9" s="880"/>
      <c r="KG9" s="880"/>
      <c r="KH9" s="880"/>
      <c r="KI9" s="880"/>
      <c r="KJ9" s="880"/>
      <c r="KK9" s="880"/>
      <c r="KL9" s="880"/>
      <c r="KM9" s="880"/>
      <c r="KN9" s="880"/>
      <c r="KO9" s="880"/>
      <c r="KP9" s="880"/>
      <c r="KQ9" s="880"/>
      <c r="KR9" s="880"/>
      <c r="KS9" s="880"/>
      <c r="KT9" s="880"/>
      <c r="KU9" s="880"/>
      <c r="KV9" s="880"/>
      <c r="KW9" s="880"/>
      <c r="KX9" s="880"/>
      <c r="KY9" s="880"/>
      <c r="KZ9" s="880"/>
      <c r="LA9" s="880"/>
      <c r="LB9" s="880"/>
      <c r="LC9" s="880"/>
      <c r="LD9" s="880"/>
      <c r="LE9" s="880"/>
      <c r="LF9" s="880"/>
      <c r="LG9" s="880"/>
      <c r="LH9" s="880"/>
      <c r="LI9" s="880"/>
      <c r="LJ9" s="880"/>
      <c r="LK9" s="880"/>
      <c r="LL9" s="880"/>
      <c r="LM9" s="881"/>
    </row>
    <row r="10" spans="1:325">
      <c r="A10" s="310"/>
      <c r="B10" s="350" t="s">
        <v>466</v>
      </c>
      <c r="C10" s="353" t="s">
        <v>465</v>
      </c>
      <c r="D10" s="338">
        <f>SUM(D11:D30)</f>
        <v>0</v>
      </c>
      <c r="E10" s="345"/>
      <c r="F10" s="882"/>
      <c r="G10" s="882"/>
      <c r="H10" s="882"/>
      <c r="I10" s="882"/>
      <c r="J10" s="882"/>
      <c r="K10" s="882"/>
      <c r="L10" s="882"/>
      <c r="M10" s="882"/>
      <c r="N10" s="882"/>
      <c r="O10" s="882"/>
      <c r="P10" s="882"/>
      <c r="Q10" s="882"/>
      <c r="R10" s="882"/>
      <c r="S10" s="882"/>
      <c r="T10" s="882"/>
      <c r="U10" s="882"/>
      <c r="V10" s="882"/>
      <c r="W10" s="882"/>
      <c r="X10" s="882"/>
      <c r="Y10" s="882"/>
      <c r="Z10" s="882"/>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c r="IW10" s="882"/>
      <c r="IX10" s="882"/>
      <c r="IY10" s="882"/>
      <c r="IZ10" s="882"/>
      <c r="JA10" s="882"/>
      <c r="JB10" s="882"/>
      <c r="JC10" s="882"/>
      <c r="JD10" s="882"/>
      <c r="JE10" s="882"/>
      <c r="JF10" s="882"/>
      <c r="JG10" s="882"/>
      <c r="JH10" s="882"/>
      <c r="JI10" s="882"/>
      <c r="JJ10" s="882"/>
      <c r="JK10" s="882"/>
      <c r="JL10" s="882"/>
      <c r="JM10" s="882"/>
      <c r="JN10" s="882"/>
      <c r="JO10" s="882"/>
      <c r="JP10" s="882"/>
      <c r="JQ10" s="882"/>
      <c r="JR10" s="882"/>
      <c r="JS10" s="882"/>
      <c r="JT10" s="882"/>
      <c r="JU10" s="882"/>
      <c r="JV10" s="882"/>
      <c r="JW10" s="882"/>
      <c r="JX10" s="882"/>
      <c r="JY10" s="882"/>
      <c r="JZ10" s="882"/>
      <c r="KA10" s="882"/>
      <c r="KB10" s="882"/>
      <c r="KC10" s="882"/>
      <c r="KD10" s="882"/>
      <c r="KE10" s="882"/>
      <c r="KF10" s="882"/>
      <c r="KG10" s="882"/>
      <c r="KH10" s="882"/>
      <c r="KI10" s="882"/>
      <c r="KJ10" s="882"/>
      <c r="KK10" s="882"/>
      <c r="KL10" s="882"/>
      <c r="KM10" s="882"/>
      <c r="KN10" s="882"/>
      <c r="KO10" s="882"/>
      <c r="KP10" s="882"/>
      <c r="KQ10" s="882"/>
      <c r="KR10" s="882"/>
      <c r="KS10" s="882"/>
      <c r="KT10" s="882"/>
      <c r="KU10" s="882"/>
      <c r="KV10" s="882"/>
      <c r="KW10" s="882"/>
      <c r="KX10" s="882"/>
      <c r="KY10" s="882"/>
      <c r="KZ10" s="882"/>
      <c r="LA10" s="882"/>
      <c r="LB10" s="882"/>
      <c r="LC10" s="882"/>
      <c r="LD10" s="882"/>
      <c r="LE10" s="882"/>
      <c r="LF10" s="882"/>
      <c r="LG10" s="882"/>
      <c r="LH10" s="882"/>
      <c r="LI10" s="882"/>
      <c r="LJ10" s="882"/>
      <c r="LK10" s="882"/>
      <c r="LL10" s="882"/>
      <c r="LM10" s="883"/>
    </row>
    <row r="11" spans="1:325">
      <c r="A11" s="310"/>
      <c r="B11" s="309" t="s">
        <v>464</v>
      </c>
      <c r="C11" s="347" t="s">
        <v>463</v>
      </c>
      <c r="D11" s="339"/>
      <c r="E11" s="346"/>
      <c r="F11" s="336"/>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c r="AT11" s="331"/>
      <c r="AU11" s="331"/>
      <c r="AV11" s="331"/>
      <c r="AW11" s="331"/>
      <c r="AX11" s="331"/>
      <c r="AY11" s="331"/>
      <c r="AZ11" s="331"/>
      <c r="BA11" s="331"/>
      <c r="BB11" s="331"/>
      <c r="BC11" s="331"/>
      <c r="BD11" s="331"/>
      <c r="BE11" s="331"/>
      <c r="BF11" s="331"/>
      <c r="BG11" s="331"/>
      <c r="BH11" s="331"/>
      <c r="BI11" s="331"/>
      <c r="BJ11" s="331"/>
      <c r="BK11" s="331"/>
      <c r="BL11" s="331"/>
      <c r="BM11" s="331"/>
      <c r="BN11" s="331"/>
      <c r="BO11" s="331"/>
      <c r="BP11" s="331"/>
      <c r="BQ11" s="331"/>
      <c r="BR11" s="331"/>
      <c r="BS11" s="331"/>
      <c r="BT11" s="331"/>
      <c r="BU11" s="331"/>
      <c r="BV11" s="331"/>
      <c r="BW11" s="331"/>
      <c r="BX11" s="331"/>
      <c r="BY11" s="331"/>
      <c r="BZ11" s="331"/>
      <c r="CA11" s="331"/>
      <c r="CB11" s="331"/>
      <c r="CC11" s="331"/>
      <c r="CD11" s="331"/>
      <c r="CE11" s="331"/>
      <c r="CF11" s="331"/>
      <c r="CG11" s="331"/>
      <c r="CH11" s="331"/>
      <c r="CI11" s="331"/>
      <c r="CJ11" s="331"/>
      <c r="CK11" s="331"/>
      <c r="CL11" s="331"/>
      <c r="CM11" s="331"/>
      <c r="CN11" s="331"/>
      <c r="CO11" s="331"/>
      <c r="CP11" s="331"/>
      <c r="CQ11" s="331"/>
      <c r="CR11" s="331"/>
      <c r="CS11" s="331"/>
      <c r="CT11" s="331"/>
      <c r="CU11" s="331"/>
      <c r="CV11" s="331"/>
      <c r="CW11" s="331"/>
      <c r="CX11" s="331"/>
      <c r="CY11" s="331"/>
      <c r="CZ11" s="331"/>
      <c r="DA11" s="331"/>
      <c r="DB11" s="331"/>
      <c r="DC11" s="331"/>
      <c r="DD11" s="331"/>
      <c r="DE11" s="331"/>
      <c r="DF11" s="331"/>
      <c r="DG11" s="331"/>
      <c r="DH11" s="331"/>
      <c r="DI11" s="331"/>
      <c r="DJ11" s="331"/>
      <c r="DK11" s="331"/>
      <c r="DL11" s="331"/>
      <c r="DM11" s="331"/>
      <c r="DN11" s="331"/>
      <c r="DO11" s="331"/>
      <c r="DP11" s="331"/>
      <c r="DQ11" s="331"/>
      <c r="DR11" s="331"/>
      <c r="DS11" s="331"/>
      <c r="DT11" s="331"/>
      <c r="DU11" s="331"/>
      <c r="DV11" s="331"/>
      <c r="DW11" s="331"/>
      <c r="DX11" s="331"/>
      <c r="DY11" s="331"/>
      <c r="DZ11" s="331"/>
      <c r="EA11" s="331"/>
      <c r="EB11" s="331"/>
      <c r="EC11" s="331"/>
      <c r="ED11" s="331"/>
      <c r="EE11" s="331"/>
      <c r="EF11" s="331"/>
      <c r="EG11" s="331"/>
      <c r="EH11" s="331"/>
      <c r="EI11" s="331"/>
      <c r="EJ11" s="331"/>
      <c r="EK11" s="331"/>
      <c r="EL11" s="331"/>
      <c r="EM11" s="331"/>
      <c r="EN11" s="331"/>
      <c r="EO11" s="331"/>
      <c r="EP11" s="331"/>
      <c r="EQ11" s="331"/>
      <c r="ER11" s="331"/>
      <c r="ES11" s="331"/>
      <c r="ET11" s="331"/>
      <c r="EU11" s="331"/>
      <c r="EV11" s="331"/>
      <c r="EW11" s="331"/>
      <c r="EX11" s="331"/>
      <c r="EY11" s="331"/>
      <c r="EZ11" s="331"/>
      <c r="FA11" s="331"/>
      <c r="FB11" s="331"/>
      <c r="FC11" s="331"/>
      <c r="FD11" s="331"/>
      <c r="FE11" s="331"/>
      <c r="FF11" s="331"/>
      <c r="FG11" s="331"/>
      <c r="FH11" s="331"/>
      <c r="FI11" s="331"/>
      <c r="FJ11" s="331"/>
      <c r="FK11" s="331"/>
      <c r="FL11" s="331"/>
      <c r="FM11" s="331"/>
      <c r="FN11" s="331"/>
      <c r="FO11" s="331"/>
      <c r="FP11" s="331"/>
      <c r="FQ11" s="331"/>
      <c r="FR11" s="331"/>
      <c r="FS11" s="331"/>
      <c r="FT11" s="331"/>
      <c r="FU11" s="331"/>
      <c r="FV11" s="331"/>
      <c r="FW11" s="331"/>
      <c r="FX11" s="331"/>
      <c r="FY11" s="331"/>
      <c r="FZ11" s="331"/>
      <c r="GA11" s="331"/>
      <c r="GB11" s="331"/>
      <c r="GC11" s="331"/>
      <c r="GD11" s="331"/>
      <c r="GE11" s="331"/>
      <c r="GF11" s="331"/>
      <c r="GG11" s="331"/>
      <c r="GH11" s="331"/>
      <c r="GI11" s="331"/>
      <c r="GJ11" s="331"/>
      <c r="GK11" s="331"/>
      <c r="GL11" s="331"/>
      <c r="GM11" s="331"/>
      <c r="GN11" s="331"/>
      <c r="GO11" s="331"/>
      <c r="GP11" s="331"/>
      <c r="GQ11" s="331"/>
      <c r="GR11" s="331"/>
      <c r="GS11" s="331"/>
      <c r="GT11" s="331"/>
      <c r="GU11" s="331"/>
      <c r="GV11" s="331"/>
      <c r="GW11" s="331"/>
      <c r="GX11" s="331"/>
      <c r="GY11" s="331"/>
      <c r="GZ11" s="331"/>
      <c r="HA11" s="331"/>
      <c r="HB11" s="331"/>
      <c r="HC11" s="331"/>
      <c r="HD11" s="331"/>
      <c r="HE11" s="331"/>
      <c r="HF11" s="331"/>
      <c r="HG11" s="331"/>
      <c r="HH11" s="331"/>
      <c r="HI11" s="331"/>
      <c r="HJ11" s="331"/>
      <c r="HK11" s="331"/>
      <c r="HL11" s="331"/>
      <c r="HM11" s="331"/>
      <c r="HN11" s="331"/>
      <c r="HO11" s="331"/>
      <c r="HP11" s="331"/>
      <c r="HQ11" s="331"/>
      <c r="HR11" s="331"/>
      <c r="HS11" s="331"/>
      <c r="HT11" s="331"/>
      <c r="HU11" s="331"/>
      <c r="HV11" s="331"/>
      <c r="HW11" s="331"/>
      <c r="HX11" s="331"/>
      <c r="HY11" s="331"/>
      <c r="HZ11" s="331"/>
      <c r="IA11" s="331"/>
      <c r="IB11" s="331"/>
      <c r="IC11" s="331"/>
      <c r="ID11" s="331"/>
      <c r="IE11" s="331"/>
      <c r="IF11" s="331"/>
      <c r="IG11" s="331"/>
      <c r="IH11" s="331"/>
      <c r="II11" s="331"/>
      <c r="IJ11" s="331"/>
      <c r="IK11" s="331"/>
      <c r="IL11" s="331"/>
      <c r="IM11" s="331"/>
      <c r="IN11" s="331"/>
      <c r="IO11" s="331"/>
      <c r="IP11" s="331"/>
      <c r="IQ11" s="331"/>
      <c r="IR11" s="331"/>
      <c r="IS11" s="331"/>
      <c r="IT11" s="331"/>
      <c r="IU11" s="331"/>
      <c r="IV11" s="331"/>
      <c r="IW11" s="331"/>
      <c r="IX11" s="331"/>
      <c r="IY11" s="331"/>
      <c r="IZ11" s="331"/>
      <c r="JA11" s="331"/>
      <c r="JB11" s="331"/>
      <c r="JC11" s="331"/>
      <c r="JD11" s="331"/>
      <c r="JE11" s="331"/>
      <c r="JF11" s="331"/>
      <c r="JG11" s="331"/>
      <c r="JH11" s="331"/>
      <c r="JI11" s="331"/>
      <c r="JJ11" s="331"/>
      <c r="JK11" s="331"/>
      <c r="JL11" s="331"/>
      <c r="JM11" s="331"/>
      <c r="JN11" s="331"/>
      <c r="JO11" s="331"/>
      <c r="JP11" s="331"/>
      <c r="JQ11" s="331"/>
      <c r="JR11" s="331"/>
      <c r="JS11" s="331"/>
      <c r="JT11" s="331"/>
      <c r="JU11" s="331"/>
      <c r="JV11" s="331"/>
      <c r="JW11" s="331"/>
      <c r="JX11" s="331"/>
      <c r="JY11" s="331"/>
      <c r="JZ11" s="331"/>
      <c r="KA11" s="331"/>
      <c r="KB11" s="331"/>
      <c r="KC11" s="331"/>
      <c r="KD11" s="331"/>
      <c r="KE11" s="331"/>
      <c r="KF11" s="331"/>
      <c r="KG11" s="331"/>
      <c r="KH11" s="331"/>
      <c r="KI11" s="331"/>
      <c r="KJ11" s="331"/>
      <c r="KK11" s="331"/>
      <c r="KL11" s="331"/>
      <c r="KM11" s="331"/>
      <c r="KN11" s="331"/>
      <c r="KO11" s="331"/>
      <c r="KP11" s="331"/>
      <c r="KQ11" s="331"/>
      <c r="KR11" s="331"/>
      <c r="KS11" s="331"/>
      <c r="KT11" s="331"/>
      <c r="KU11" s="331"/>
      <c r="KV11" s="331"/>
      <c r="KW11" s="331"/>
      <c r="KX11" s="331"/>
      <c r="KY11" s="331"/>
      <c r="KZ11" s="331"/>
      <c r="LA11" s="331"/>
      <c r="LB11" s="331"/>
      <c r="LC11" s="331"/>
      <c r="LD11" s="331"/>
      <c r="LE11" s="331"/>
      <c r="LF11" s="331"/>
      <c r="LG11" s="331"/>
      <c r="LH11" s="331"/>
      <c r="LI11" s="331"/>
      <c r="LJ11" s="331"/>
      <c r="LK11" s="331"/>
      <c r="LL11" s="331"/>
      <c r="LM11" s="331"/>
    </row>
    <row r="12" spans="1:325">
      <c r="A12" s="310"/>
      <c r="B12" s="309" t="s">
        <v>462</v>
      </c>
      <c r="C12" s="347" t="s">
        <v>461</v>
      </c>
      <c r="D12" s="339"/>
      <c r="E12" s="346"/>
      <c r="F12" s="336"/>
      <c r="G12" s="331"/>
      <c r="H12" s="331"/>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1"/>
      <c r="BR12" s="331"/>
      <c r="BS12" s="331"/>
      <c r="BT12" s="331"/>
      <c r="BU12" s="331"/>
      <c r="BV12" s="331"/>
      <c r="BW12" s="331"/>
      <c r="BX12" s="331"/>
      <c r="BY12" s="331"/>
      <c r="BZ12" s="331"/>
      <c r="CA12" s="331"/>
      <c r="CB12" s="331"/>
      <c r="CC12" s="331"/>
      <c r="CD12" s="331"/>
      <c r="CE12" s="331"/>
      <c r="CF12" s="331"/>
      <c r="CG12" s="331"/>
      <c r="CH12" s="331"/>
      <c r="CI12" s="331"/>
      <c r="CJ12" s="331"/>
      <c r="CK12" s="331"/>
      <c r="CL12" s="331"/>
      <c r="CM12" s="331"/>
      <c r="CN12" s="331"/>
      <c r="CO12" s="331"/>
      <c r="CP12" s="331"/>
      <c r="CQ12" s="331"/>
      <c r="CR12" s="331"/>
      <c r="CS12" s="331"/>
      <c r="CT12" s="331"/>
      <c r="CU12" s="331"/>
      <c r="CV12" s="331"/>
      <c r="CW12" s="331"/>
      <c r="CX12" s="331"/>
      <c r="CY12" s="331"/>
      <c r="CZ12" s="331"/>
      <c r="DA12" s="331"/>
      <c r="DB12" s="331"/>
      <c r="DC12" s="331"/>
      <c r="DD12" s="331"/>
      <c r="DE12" s="331"/>
      <c r="DF12" s="331"/>
      <c r="DG12" s="331"/>
      <c r="DH12" s="331"/>
      <c r="DI12" s="331"/>
      <c r="DJ12" s="331"/>
      <c r="DK12" s="331"/>
      <c r="DL12" s="331"/>
      <c r="DM12" s="331"/>
      <c r="DN12" s="331"/>
      <c r="DO12" s="331"/>
      <c r="DP12" s="331"/>
      <c r="DQ12" s="331"/>
      <c r="DR12" s="331"/>
      <c r="DS12" s="331"/>
      <c r="DT12" s="331"/>
      <c r="DU12" s="331"/>
      <c r="DV12" s="331"/>
      <c r="DW12" s="331"/>
      <c r="DX12" s="331"/>
      <c r="DY12" s="331"/>
      <c r="DZ12" s="331"/>
      <c r="EA12" s="331"/>
      <c r="EB12" s="331"/>
      <c r="EC12" s="331"/>
      <c r="ED12" s="331"/>
      <c r="EE12" s="331"/>
      <c r="EF12" s="331"/>
      <c r="EG12" s="331"/>
      <c r="EH12" s="331"/>
      <c r="EI12" s="331"/>
      <c r="EJ12" s="331"/>
      <c r="EK12" s="331"/>
      <c r="EL12" s="331"/>
      <c r="EM12" s="331"/>
      <c r="EN12" s="331"/>
      <c r="EO12" s="331"/>
      <c r="EP12" s="331"/>
      <c r="EQ12" s="331"/>
      <c r="ER12" s="331"/>
      <c r="ES12" s="331"/>
      <c r="ET12" s="331"/>
      <c r="EU12" s="331"/>
      <c r="EV12" s="331"/>
      <c r="EW12" s="331"/>
      <c r="EX12" s="331"/>
      <c r="EY12" s="331"/>
      <c r="EZ12" s="331"/>
      <c r="FA12" s="331"/>
      <c r="FB12" s="331"/>
      <c r="FC12" s="331"/>
      <c r="FD12" s="331"/>
      <c r="FE12" s="331"/>
      <c r="FF12" s="331"/>
      <c r="FG12" s="331"/>
      <c r="FH12" s="331"/>
      <c r="FI12" s="331"/>
      <c r="FJ12" s="331"/>
      <c r="FK12" s="331"/>
      <c r="FL12" s="331"/>
      <c r="FM12" s="331"/>
      <c r="FN12" s="331"/>
      <c r="FO12" s="331"/>
      <c r="FP12" s="331"/>
      <c r="FQ12" s="331"/>
      <c r="FR12" s="331"/>
      <c r="FS12" s="331"/>
      <c r="FT12" s="331"/>
      <c r="FU12" s="331"/>
      <c r="FV12" s="331"/>
      <c r="FW12" s="331"/>
      <c r="FX12" s="331"/>
      <c r="FY12" s="331"/>
      <c r="FZ12" s="331"/>
      <c r="GA12" s="331"/>
      <c r="GB12" s="331"/>
      <c r="GC12" s="331"/>
      <c r="GD12" s="331"/>
      <c r="GE12" s="331"/>
      <c r="GF12" s="331"/>
      <c r="GG12" s="331"/>
      <c r="GH12" s="331"/>
      <c r="GI12" s="331"/>
      <c r="GJ12" s="331"/>
      <c r="GK12" s="331"/>
      <c r="GL12" s="331"/>
      <c r="GM12" s="331"/>
      <c r="GN12" s="331"/>
      <c r="GO12" s="331"/>
      <c r="GP12" s="331"/>
      <c r="GQ12" s="331"/>
      <c r="GR12" s="331"/>
      <c r="GS12" s="331"/>
      <c r="GT12" s="331"/>
      <c r="GU12" s="331"/>
      <c r="GV12" s="331"/>
      <c r="GW12" s="331"/>
      <c r="GX12" s="331"/>
      <c r="GY12" s="331"/>
      <c r="GZ12" s="331"/>
      <c r="HA12" s="331"/>
      <c r="HB12" s="331"/>
      <c r="HC12" s="331"/>
      <c r="HD12" s="331"/>
      <c r="HE12" s="331"/>
      <c r="HF12" s="331"/>
      <c r="HG12" s="331"/>
      <c r="HH12" s="331"/>
      <c r="HI12" s="331"/>
      <c r="HJ12" s="331"/>
      <c r="HK12" s="331"/>
      <c r="HL12" s="331"/>
      <c r="HM12" s="331"/>
      <c r="HN12" s="331"/>
      <c r="HO12" s="331"/>
      <c r="HP12" s="331"/>
      <c r="HQ12" s="331"/>
      <c r="HR12" s="331"/>
      <c r="HS12" s="331"/>
      <c r="HT12" s="331"/>
      <c r="HU12" s="331"/>
      <c r="HV12" s="331"/>
      <c r="HW12" s="331"/>
      <c r="HX12" s="331"/>
      <c r="HY12" s="331"/>
      <c r="HZ12" s="331"/>
      <c r="IA12" s="331"/>
      <c r="IB12" s="331"/>
      <c r="IC12" s="331"/>
      <c r="ID12" s="331"/>
      <c r="IE12" s="331"/>
      <c r="IF12" s="331"/>
      <c r="IG12" s="331"/>
      <c r="IH12" s="331"/>
      <c r="II12" s="331"/>
      <c r="IJ12" s="331"/>
      <c r="IK12" s="331"/>
      <c r="IL12" s="331"/>
      <c r="IM12" s="331"/>
      <c r="IN12" s="331"/>
      <c r="IO12" s="331"/>
      <c r="IP12" s="331"/>
      <c r="IQ12" s="331"/>
      <c r="IR12" s="331"/>
      <c r="IS12" s="331"/>
      <c r="IT12" s="331"/>
      <c r="IU12" s="331"/>
      <c r="IV12" s="331"/>
      <c r="IW12" s="331"/>
      <c r="IX12" s="331"/>
      <c r="IY12" s="331"/>
      <c r="IZ12" s="331"/>
      <c r="JA12" s="331"/>
      <c r="JB12" s="331"/>
      <c r="JC12" s="331"/>
      <c r="JD12" s="331"/>
      <c r="JE12" s="331"/>
      <c r="JF12" s="331"/>
      <c r="JG12" s="331"/>
      <c r="JH12" s="331"/>
      <c r="JI12" s="331"/>
      <c r="JJ12" s="331"/>
      <c r="JK12" s="331"/>
      <c r="JL12" s="331"/>
      <c r="JM12" s="331"/>
      <c r="JN12" s="331"/>
      <c r="JO12" s="331"/>
      <c r="JP12" s="331"/>
      <c r="JQ12" s="331"/>
      <c r="JR12" s="331"/>
      <c r="JS12" s="331"/>
      <c r="JT12" s="331"/>
      <c r="JU12" s="331"/>
      <c r="JV12" s="331"/>
      <c r="JW12" s="331"/>
      <c r="JX12" s="331"/>
      <c r="JY12" s="331"/>
      <c r="JZ12" s="331"/>
      <c r="KA12" s="331"/>
      <c r="KB12" s="331"/>
      <c r="KC12" s="331"/>
      <c r="KD12" s="331"/>
      <c r="KE12" s="331"/>
      <c r="KF12" s="331"/>
      <c r="KG12" s="331"/>
      <c r="KH12" s="331"/>
      <c r="KI12" s="331"/>
      <c r="KJ12" s="331"/>
      <c r="KK12" s="331"/>
      <c r="KL12" s="331"/>
      <c r="KM12" s="331"/>
      <c r="KN12" s="331"/>
      <c r="KO12" s="331"/>
      <c r="KP12" s="331"/>
      <c r="KQ12" s="331"/>
      <c r="KR12" s="331"/>
      <c r="KS12" s="331"/>
      <c r="KT12" s="331"/>
      <c r="KU12" s="331"/>
      <c r="KV12" s="331"/>
      <c r="KW12" s="331"/>
      <c r="KX12" s="331"/>
      <c r="KY12" s="331"/>
      <c r="KZ12" s="331"/>
      <c r="LA12" s="331"/>
      <c r="LB12" s="331"/>
      <c r="LC12" s="331"/>
      <c r="LD12" s="331"/>
      <c r="LE12" s="331"/>
      <c r="LF12" s="331"/>
      <c r="LG12" s="331"/>
      <c r="LH12" s="331"/>
      <c r="LI12" s="331"/>
      <c r="LJ12" s="331"/>
      <c r="LK12" s="331"/>
      <c r="LL12" s="331"/>
      <c r="LM12" s="331"/>
    </row>
    <row r="13" spans="1:325">
      <c r="A13" s="310"/>
      <c r="B13" s="309" t="s">
        <v>460</v>
      </c>
      <c r="C13" s="347" t="s">
        <v>459</v>
      </c>
      <c r="D13" s="339"/>
      <c r="E13" s="346"/>
      <c r="F13" s="336"/>
      <c r="G13" s="331"/>
      <c r="H13" s="332"/>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1"/>
      <c r="BP13" s="331"/>
      <c r="BQ13" s="331"/>
      <c r="BR13" s="331"/>
      <c r="BS13" s="331"/>
      <c r="BT13" s="331"/>
      <c r="BU13" s="331"/>
      <c r="BV13" s="331"/>
      <c r="BW13" s="331"/>
      <c r="BX13" s="331"/>
      <c r="BY13" s="331"/>
      <c r="BZ13" s="331"/>
      <c r="CA13" s="331"/>
      <c r="CB13" s="331"/>
      <c r="CC13" s="331"/>
      <c r="CD13" s="331"/>
      <c r="CE13" s="331"/>
      <c r="CF13" s="331"/>
      <c r="CG13" s="331"/>
      <c r="CH13" s="331"/>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1"/>
      <c r="ET13" s="331"/>
      <c r="EU13" s="331"/>
      <c r="EV13" s="331"/>
      <c r="EW13" s="331"/>
      <c r="EX13" s="331"/>
      <c r="EY13" s="331"/>
      <c r="EZ13" s="331"/>
      <c r="FA13" s="331"/>
      <c r="FB13" s="331"/>
      <c r="FC13" s="331"/>
      <c r="FD13" s="331"/>
      <c r="FE13" s="331"/>
      <c r="FF13" s="331"/>
      <c r="FG13" s="331"/>
      <c r="FH13" s="331"/>
      <c r="FI13" s="331"/>
      <c r="FJ13" s="331"/>
      <c r="FK13" s="331"/>
      <c r="FL13" s="331"/>
      <c r="FM13" s="331"/>
      <c r="FN13" s="331"/>
      <c r="FO13" s="331"/>
      <c r="FP13" s="331"/>
      <c r="FQ13" s="331"/>
      <c r="FR13" s="331"/>
      <c r="FS13" s="331"/>
      <c r="FT13" s="331"/>
      <c r="FU13" s="331"/>
      <c r="FV13" s="331"/>
      <c r="FW13" s="331"/>
      <c r="FX13" s="331"/>
      <c r="FY13" s="331"/>
      <c r="FZ13" s="331"/>
      <c r="GA13" s="331"/>
      <c r="GB13" s="331"/>
      <c r="GC13" s="331"/>
      <c r="GD13" s="331"/>
      <c r="GE13" s="331"/>
      <c r="GF13" s="331"/>
      <c r="GG13" s="331"/>
      <c r="GH13" s="331"/>
      <c r="GI13" s="331"/>
      <c r="GJ13" s="331"/>
      <c r="GK13" s="331"/>
      <c r="GL13" s="331"/>
      <c r="GM13" s="331"/>
      <c r="GN13" s="331"/>
      <c r="GO13" s="331"/>
      <c r="GP13" s="331"/>
      <c r="GQ13" s="331"/>
      <c r="GR13" s="331"/>
      <c r="GS13" s="331"/>
      <c r="GT13" s="331"/>
      <c r="GU13" s="331"/>
      <c r="GV13" s="331"/>
      <c r="GW13" s="331"/>
      <c r="GX13" s="331"/>
      <c r="GY13" s="331"/>
      <c r="GZ13" s="331"/>
      <c r="HA13" s="331"/>
      <c r="HB13" s="331"/>
      <c r="HC13" s="331"/>
      <c r="HD13" s="331"/>
      <c r="HE13" s="331"/>
      <c r="HF13" s="331"/>
      <c r="HG13" s="331"/>
      <c r="HH13" s="331"/>
      <c r="HI13" s="331"/>
      <c r="HJ13" s="331"/>
      <c r="HK13" s="331"/>
      <c r="HL13" s="331"/>
      <c r="HM13" s="331"/>
      <c r="HN13" s="331"/>
      <c r="HO13" s="331"/>
      <c r="HP13" s="331"/>
      <c r="HQ13" s="331"/>
      <c r="HR13" s="331"/>
      <c r="HS13" s="331"/>
      <c r="HT13" s="331"/>
      <c r="HU13" s="331"/>
      <c r="HV13" s="331"/>
      <c r="HW13" s="331"/>
      <c r="HX13" s="331"/>
      <c r="HY13" s="331"/>
      <c r="HZ13" s="331"/>
      <c r="IA13" s="331"/>
      <c r="IB13" s="331"/>
      <c r="IC13" s="331"/>
      <c r="ID13" s="331"/>
      <c r="IE13" s="331"/>
      <c r="IF13" s="331"/>
      <c r="IG13" s="331"/>
      <c r="IH13" s="331"/>
      <c r="II13" s="331"/>
      <c r="IJ13" s="331"/>
      <c r="IK13" s="331"/>
      <c r="IL13" s="331"/>
      <c r="IM13" s="331"/>
      <c r="IN13" s="331"/>
      <c r="IO13" s="331"/>
      <c r="IP13" s="331"/>
      <c r="IQ13" s="331"/>
      <c r="IR13" s="331"/>
      <c r="IS13" s="331"/>
      <c r="IT13" s="331"/>
      <c r="IU13" s="331"/>
      <c r="IV13" s="331"/>
      <c r="IW13" s="331"/>
      <c r="IX13" s="331"/>
      <c r="IY13" s="331"/>
      <c r="IZ13" s="331"/>
      <c r="JA13" s="331"/>
      <c r="JB13" s="331"/>
      <c r="JC13" s="331"/>
      <c r="JD13" s="331"/>
      <c r="JE13" s="331"/>
      <c r="JF13" s="331"/>
      <c r="JG13" s="331"/>
      <c r="JH13" s="331"/>
      <c r="JI13" s="331"/>
      <c r="JJ13" s="331"/>
      <c r="JK13" s="331"/>
      <c r="JL13" s="331"/>
      <c r="JM13" s="331"/>
      <c r="JN13" s="331"/>
      <c r="JO13" s="331"/>
      <c r="JP13" s="331"/>
      <c r="JQ13" s="331"/>
      <c r="JR13" s="331"/>
      <c r="JS13" s="331"/>
      <c r="JT13" s="331"/>
      <c r="JU13" s="331"/>
      <c r="JV13" s="331"/>
      <c r="JW13" s="331"/>
      <c r="JX13" s="331"/>
      <c r="JY13" s="331"/>
      <c r="JZ13" s="331"/>
      <c r="KA13" s="331"/>
      <c r="KB13" s="331"/>
      <c r="KC13" s="331"/>
      <c r="KD13" s="331"/>
      <c r="KE13" s="331"/>
      <c r="KF13" s="331"/>
      <c r="KG13" s="331"/>
      <c r="KH13" s="331"/>
      <c r="KI13" s="331"/>
      <c r="KJ13" s="331"/>
      <c r="KK13" s="331"/>
      <c r="KL13" s="331"/>
      <c r="KM13" s="331"/>
      <c r="KN13" s="331"/>
      <c r="KO13" s="331"/>
      <c r="KP13" s="331"/>
      <c r="KQ13" s="331"/>
      <c r="KR13" s="331"/>
      <c r="KS13" s="331"/>
      <c r="KT13" s="331"/>
      <c r="KU13" s="331"/>
      <c r="KV13" s="331"/>
      <c r="KW13" s="331"/>
      <c r="KX13" s="331"/>
      <c r="KY13" s="331"/>
      <c r="KZ13" s="331"/>
      <c r="LA13" s="331"/>
      <c r="LB13" s="331"/>
      <c r="LC13" s="331"/>
      <c r="LD13" s="331"/>
      <c r="LE13" s="331"/>
      <c r="LF13" s="331"/>
      <c r="LG13" s="331"/>
      <c r="LH13" s="331"/>
      <c r="LI13" s="331"/>
      <c r="LJ13" s="331"/>
      <c r="LK13" s="331"/>
      <c r="LL13" s="331"/>
      <c r="LM13" s="331"/>
    </row>
    <row r="14" spans="1:325">
      <c r="A14" s="310"/>
      <c r="B14" s="309" t="s">
        <v>458</v>
      </c>
      <c r="C14" s="347" t="s">
        <v>457</v>
      </c>
      <c r="D14" s="339"/>
      <c r="E14" s="346"/>
      <c r="F14" s="336"/>
      <c r="G14" s="331"/>
      <c r="H14" s="332"/>
      <c r="I14" s="332"/>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1"/>
      <c r="BR14" s="331"/>
      <c r="BS14" s="331"/>
      <c r="BT14" s="331"/>
      <c r="BU14" s="331"/>
      <c r="BV14" s="331"/>
      <c r="BW14" s="331"/>
      <c r="BX14" s="331"/>
      <c r="BY14" s="331"/>
      <c r="BZ14" s="331"/>
      <c r="CA14" s="331"/>
      <c r="CB14" s="331"/>
      <c r="CC14" s="331"/>
      <c r="CD14" s="331"/>
      <c r="CE14" s="331"/>
      <c r="CF14" s="331"/>
      <c r="CG14" s="331"/>
      <c r="CH14" s="331"/>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1"/>
      <c r="ET14" s="331"/>
      <c r="EU14" s="331"/>
      <c r="EV14" s="331"/>
      <c r="EW14" s="331"/>
      <c r="EX14" s="331"/>
      <c r="EY14" s="331"/>
      <c r="EZ14" s="331"/>
      <c r="FA14" s="331"/>
      <c r="FB14" s="331"/>
      <c r="FC14" s="331"/>
      <c r="FD14" s="331"/>
      <c r="FE14" s="331"/>
      <c r="FF14" s="331"/>
      <c r="FG14" s="331"/>
      <c r="FH14" s="331"/>
      <c r="FI14" s="331"/>
      <c r="FJ14" s="331"/>
      <c r="FK14" s="331"/>
      <c r="FL14" s="331"/>
      <c r="FM14" s="331"/>
      <c r="FN14" s="331"/>
      <c r="FO14" s="331"/>
      <c r="FP14" s="331"/>
      <c r="FQ14" s="331"/>
      <c r="FR14" s="331"/>
      <c r="FS14" s="331"/>
      <c r="FT14" s="331"/>
      <c r="FU14" s="331"/>
      <c r="FV14" s="331"/>
      <c r="FW14" s="331"/>
      <c r="FX14" s="331"/>
      <c r="FY14" s="331"/>
      <c r="FZ14" s="331"/>
      <c r="GA14" s="331"/>
      <c r="GB14" s="331"/>
      <c r="GC14" s="331"/>
      <c r="GD14" s="331"/>
      <c r="GE14" s="331"/>
      <c r="GF14" s="331"/>
      <c r="GG14" s="331"/>
      <c r="GH14" s="331"/>
      <c r="GI14" s="331"/>
      <c r="GJ14" s="331"/>
      <c r="GK14" s="331"/>
      <c r="GL14" s="331"/>
      <c r="GM14" s="331"/>
      <c r="GN14" s="331"/>
      <c r="GO14" s="331"/>
      <c r="GP14" s="331"/>
      <c r="GQ14" s="331"/>
      <c r="GR14" s="331"/>
      <c r="GS14" s="331"/>
      <c r="GT14" s="331"/>
      <c r="GU14" s="331"/>
      <c r="GV14" s="331"/>
      <c r="GW14" s="331"/>
      <c r="GX14" s="331"/>
      <c r="GY14" s="331"/>
      <c r="GZ14" s="331"/>
      <c r="HA14" s="331"/>
      <c r="HB14" s="331"/>
      <c r="HC14" s="331"/>
      <c r="HD14" s="331"/>
      <c r="HE14" s="331"/>
      <c r="HF14" s="331"/>
      <c r="HG14" s="331"/>
      <c r="HH14" s="331"/>
      <c r="HI14" s="331"/>
      <c r="HJ14" s="331"/>
      <c r="HK14" s="331"/>
      <c r="HL14" s="331"/>
      <c r="HM14" s="331"/>
      <c r="HN14" s="331"/>
      <c r="HO14" s="331"/>
      <c r="HP14" s="331"/>
      <c r="HQ14" s="331"/>
      <c r="HR14" s="331"/>
      <c r="HS14" s="331"/>
      <c r="HT14" s="331"/>
      <c r="HU14" s="331"/>
      <c r="HV14" s="331"/>
      <c r="HW14" s="331"/>
      <c r="HX14" s="331"/>
      <c r="HY14" s="331"/>
      <c r="HZ14" s="331"/>
      <c r="IA14" s="331"/>
      <c r="IB14" s="331"/>
      <c r="IC14" s="331"/>
      <c r="ID14" s="331"/>
      <c r="IE14" s="331"/>
      <c r="IF14" s="331"/>
      <c r="IG14" s="331"/>
      <c r="IH14" s="331"/>
      <c r="II14" s="331"/>
      <c r="IJ14" s="331"/>
      <c r="IK14" s="331"/>
      <c r="IL14" s="331"/>
      <c r="IM14" s="331"/>
      <c r="IN14" s="331"/>
      <c r="IO14" s="331"/>
      <c r="IP14" s="331"/>
      <c r="IQ14" s="331"/>
      <c r="IR14" s="331"/>
      <c r="IS14" s="331"/>
      <c r="IT14" s="331"/>
      <c r="IU14" s="331"/>
      <c r="IV14" s="331"/>
      <c r="IW14" s="331"/>
      <c r="IX14" s="331"/>
      <c r="IY14" s="331"/>
      <c r="IZ14" s="331"/>
      <c r="JA14" s="331"/>
      <c r="JB14" s="331"/>
      <c r="JC14" s="331"/>
      <c r="JD14" s="331"/>
      <c r="JE14" s="331"/>
      <c r="JF14" s="331"/>
      <c r="JG14" s="331"/>
      <c r="JH14" s="331"/>
      <c r="JI14" s="331"/>
      <c r="JJ14" s="331"/>
      <c r="JK14" s="331"/>
      <c r="JL14" s="331"/>
      <c r="JM14" s="331"/>
      <c r="JN14" s="331"/>
      <c r="JO14" s="331"/>
      <c r="JP14" s="331"/>
      <c r="JQ14" s="331"/>
      <c r="JR14" s="331"/>
      <c r="JS14" s="331"/>
      <c r="JT14" s="331"/>
      <c r="JU14" s="331"/>
      <c r="JV14" s="331"/>
      <c r="JW14" s="331"/>
      <c r="JX14" s="331"/>
      <c r="JY14" s="331"/>
      <c r="JZ14" s="331"/>
      <c r="KA14" s="331"/>
      <c r="KB14" s="331"/>
      <c r="KC14" s="331"/>
      <c r="KD14" s="331"/>
      <c r="KE14" s="331"/>
      <c r="KF14" s="331"/>
      <c r="KG14" s="331"/>
      <c r="KH14" s="331"/>
      <c r="KI14" s="331"/>
      <c r="KJ14" s="331"/>
      <c r="KK14" s="331"/>
      <c r="KL14" s="331"/>
      <c r="KM14" s="331"/>
      <c r="KN14" s="331"/>
      <c r="KO14" s="331"/>
      <c r="KP14" s="331"/>
      <c r="KQ14" s="331"/>
      <c r="KR14" s="331"/>
      <c r="KS14" s="331"/>
      <c r="KT14" s="331"/>
      <c r="KU14" s="331"/>
      <c r="KV14" s="331"/>
      <c r="KW14" s="331"/>
      <c r="KX14" s="331"/>
      <c r="KY14" s="331"/>
      <c r="KZ14" s="331"/>
      <c r="LA14" s="331"/>
      <c r="LB14" s="331"/>
      <c r="LC14" s="331"/>
      <c r="LD14" s="331"/>
      <c r="LE14" s="331"/>
      <c r="LF14" s="331"/>
      <c r="LG14" s="331"/>
      <c r="LH14" s="331"/>
      <c r="LI14" s="331"/>
      <c r="LJ14" s="331"/>
      <c r="LK14" s="331"/>
      <c r="LL14" s="331"/>
      <c r="LM14" s="331"/>
    </row>
    <row r="15" spans="1:325">
      <c r="A15" s="310"/>
      <c r="B15" s="309" t="s">
        <v>456</v>
      </c>
      <c r="C15" s="347" t="s">
        <v>529</v>
      </c>
      <c r="D15" s="339"/>
      <c r="E15" s="346"/>
      <c r="F15" s="336"/>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3"/>
      <c r="BT15" s="333"/>
      <c r="BU15" s="333"/>
      <c r="BV15" s="333"/>
      <c r="BW15" s="333"/>
      <c r="BX15" s="333"/>
      <c r="BY15" s="333"/>
      <c r="BZ15" s="333"/>
      <c r="CA15" s="333"/>
      <c r="CB15" s="333"/>
      <c r="CC15" s="333"/>
      <c r="CD15" s="333"/>
      <c r="CE15" s="333"/>
      <c r="CF15" s="333"/>
      <c r="CG15" s="333"/>
      <c r="CH15" s="333"/>
      <c r="CI15" s="333"/>
      <c r="CJ15" s="333"/>
      <c r="CK15" s="333"/>
      <c r="CL15" s="333"/>
      <c r="CM15" s="333"/>
      <c r="CN15" s="333"/>
      <c r="CO15" s="333"/>
      <c r="CP15" s="333"/>
      <c r="CQ15" s="333"/>
      <c r="CR15" s="333"/>
      <c r="CS15" s="333"/>
      <c r="CT15" s="333"/>
      <c r="CU15" s="333"/>
      <c r="CV15" s="333"/>
      <c r="CW15" s="333"/>
      <c r="CX15" s="333"/>
      <c r="CY15" s="333"/>
      <c r="CZ15" s="333"/>
      <c r="DA15" s="333"/>
      <c r="DB15" s="333"/>
      <c r="DC15" s="333"/>
      <c r="DD15" s="333"/>
      <c r="DE15" s="333"/>
      <c r="DF15" s="333"/>
      <c r="DG15" s="333"/>
      <c r="DH15" s="333"/>
      <c r="DI15" s="333"/>
      <c r="DJ15" s="333"/>
      <c r="DK15" s="333"/>
      <c r="DL15" s="333"/>
      <c r="DM15" s="333"/>
      <c r="DN15" s="333"/>
      <c r="DO15" s="333"/>
      <c r="DP15" s="333"/>
      <c r="DQ15" s="333"/>
      <c r="DR15" s="333"/>
      <c r="DS15" s="333"/>
      <c r="DT15" s="333"/>
      <c r="DU15" s="333"/>
      <c r="DV15" s="333"/>
      <c r="DW15" s="333"/>
      <c r="DX15" s="333"/>
      <c r="DY15" s="333"/>
      <c r="DZ15" s="333"/>
      <c r="EA15" s="333"/>
      <c r="EB15" s="333"/>
      <c r="EC15" s="333"/>
      <c r="ED15" s="333"/>
      <c r="EE15" s="333"/>
      <c r="EF15" s="333"/>
      <c r="EG15" s="333"/>
      <c r="EH15" s="333"/>
      <c r="EI15" s="333"/>
      <c r="EJ15" s="333"/>
      <c r="EK15" s="333"/>
      <c r="EL15" s="333"/>
      <c r="EM15" s="333"/>
      <c r="EN15" s="333"/>
      <c r="EO15" s="333"/>
      <c r="EP15" s="333"/>
      <c r="EQ15" s="333"/>
      <c r="ER15" s="333"/>
      <c r="ES15" s="333"/>
      <c r="ET15" s="333"/>
      <c r="EU15" s="333"/>
      <c r="EV15" s="333"/>
      <c r="EW15" s="333"/>
      <c r="EX15" s="333"/>
      <c r="EY15" s="333"/>
      <c r="EZ15" s="333"/>
      <c r="FA15" s="333"/>
      <c r="FB15" s="333"/>
      <c r="FC15" s="333"/>
      <c r="FD15" s="333"/>
      <c r="FE15" s="333"/>
      <c r="FF15" s="333"/>
      <c r="FG15" s="333"/>
      <c r="FH15" s="333"/>
      <c r="FI15" s="333"/>
      <c r="FJ15" s="333"/>
      <c r="FK15" s="333"/>
      <c r="FL15" s="333"/>
      <c r="FM15" s="333"/>
      <c r="FN15" s="333"/>
      <c r="FO15" s="333"/>
      <c r="FP15" s="333"/>
      <c r="FQ15" s="333"/>
      <c r="FR15" s="333"/>
      <c r="FS15" s="333"/>
      <c r="FT15" s="333"/>
      <c r="FU15" s="333"/>
      <c r="FV15" s="333"/>
      <c r="FW15" s="333"/>
      <c r="FX15" s="333"/>
      <c r="FY15" s="333"/>
      <c r="FZ15" s="333"/>
      <c r="GA15" s="333"/>
      <c r="GB15" s="333"/>
      <c r="GC15" s="333"/>
      <c r="GD15" s="333"/>
      <c r="GE15" s="333"/>
      <c r="GF15" s="333"/>
      <c r="GG15" s="333"/>
      <c r="GH15" s="333"/>
      <c r="GI15" s="333"/>
      <c r="GJ15" s="333"/>
      <c r="GK15" s="333"/>
      <c r="GL15" s="333"/>
      <c r="GM15" s="333"/>
      <c r="GN15" s="333"/>
      <c r="GO15" s="333"/>
      <c r="GP15" s="333"/>
      <c r="GQ15" s="333"/>
      <c r="GR15" s="333"/>
      <c r="GS15" s="333"/>
      <c r="GT15" s="333"/>
      <c r="GU15" s="333"/>
      <c r="GV15" s="333"/>
      <c r="GW15" s="333"/>
      <c r="GX15" s="333"/>
      <c r="GY15" s="333"/>
      <c r="GZ15" s="333"/>
      <c r="HA15" s="333"/>
      <c r="HB15" s="333"/>
      <c r="HC15" s="333"/>
      <c r="HD15" s="333"/>
      <c r="HE15" s="333"/>
      <c r="HF15" s="333"/>
      <c r="HG15" s="333"/>
      <c r="HH15" s="333"/>
      <c r="HI15" s="333"/>
      <c r="HJ15" s="333"/>
      <c r="HK15" s="333"/>
      <c r="HL15" s="333"/>
      <c r="HM15" s="333"/>
      <c r="HN15" s="333"/>
      <c r="HO15" s="333"/>
      <c r="HP15" s="333"/>
      <c r="HQ15" s="333"/>
      <c r="HR15" s="333"/>
      <c r="HS15" s="333"/>
      <c r="HT15" s="333"/>
      <c r="HU15" s="333"/>
      <c r="HV15" s="333"/>
      <c r="HW15" s="333"/>
      <c r="HX15" s="333"/>
      <c r="HY15" s="333"/>
      <c r="HZ15" s="333"/>
      <c r="IA15" s="333"/>
      <c r="IB15" s="333"/>
      <c r="IC15" s="333"/>
      <c r="ID15" s="333"/>
      <c r="IE15" s="333"/>
      <c r="IF15" s="333"/>
      <c r="IG15" s="333"/>
      <c r="IH15" s="333"/>
      <c r="II15" s="333"/>
      <c r="IJ15" s="333"/>
      <c r="IK15" s="333"/>
      <c r="IL15" s="333"/>
      <c r="IM15" s="333"/>
      <c r="IN15" s="333"/>
      <c r="IO15" s="333"/>
      <c r="IP15" s="333"/>
      <c r="IQ15" s="333"/>
      <c r="IR15" s="333"/>
      <c r="IS15" s="333"/>
      <c r="IT15" s="333"/>
      <c r="IU15" s="333"/>
      <c r="IV15" s="333"/>
      <c r="IW15" s="333"/>
      <c r="IX15" s="333"/>
      <c r="IY15" s="333"/>
      <c r="IZ15" s="333"/>
      <c r="JA15" s="333"/>
      <c r="JB15" s="333"/>
      <c r="JC15" s="333"/>
      <c r="JD15" s="333"/>
      <c r="JE15" s="333"/>
      <c r="JF15" s="333"/>
      <c r="JG15" s="333"/>
      <c r="JH15" s="333"/>
      <c r="JI15" s="333"/>
      <c r="JJ15" s="333"/>
      <c r="JK15" s="333"/>
      <c r="JL15" s="333"/>
      <c r="JM15" s="333"/>
      <c r="JN15" s="333"/>
      <c r="JO15" s="333"/>
      <c r="JP15" s="333"/>
      <c r="JQ15" s="333"/>
      <c r="JR15" s="333"/>
      <c r="JS15" s="333"/>
      <c r="JT15" s="333"/>
      <c r="JU15" s="333"/>
      <c r="JV15" s="333"/>
      <c r="JW15" s="333"/>
      <c r="JX15" s="333"/>
      <c r="JY15" s="333"/>
      <c r="JZ15" s="333"/>
      <c r="KA15" s="333"/>
      <c r="KB15" s="333"/>
      <c r="KC15" s="333"/>
      <c r="KD15" s="333"/>
      <c r="KE15" s="333"/>
      <c r="KF15" s="333"/>
      <c r="KG15" s="333"/>
      <c r="KH15" s="333"/>
      <c r="KI15" s="333"/>
      <c r="KJ15" s="333"/>
      <c r="KK15" s="333"/>
      <c r="KL15" s="333"/>
      <c r="KM15" s="333"/>
      <c r="KN15" s="333"/>
      <c r="KO15" s="333"/>
      <c r="KP15" s="333"/>
      <c r="KQ15" s="333"/>
      <c r="KR15" s="333"/>
      <c r="KS15" s="333"/>
      <c r="KT15" s="333"/>
      <c r="KU15" s="333"/>
      <c r="KV15" s="333"/>
      <c r="KW15" s="333"/>
      <c r="KX15" s="333"/>
      <c r="KY15" s="333"/>
      <c r="KZ15" s="333"/>
      <c r="LA15" s="333"/>
      <c r="LB15" s="333"/>
      <c r="LC15" s="333"/>
      <c r="LD15" s="333"/>
      <c r="LE15" s="333"/>
      <c r="LF15" s="333"/>
      <c r="LG15" s="333"/>
      <c r="LH15" s="333"/>
      <c r="LI15" s="333"/>
      <c r="LJ15" s="333"/>
      <c r="LK15" s="333"/>
      <c r="LL15" s="333"/>
      <c r="LM15" s="333"/>
    </row>
    <row r="16" spans="1:325" ht="28.8">
      <c r="A16" s="310" t="str">
        <f>IF(OR(Data3!B5="Grand Total",Data3!B5=0),"",Data3!B5)</f>
        <v>D.1.1.</v>
      </c>
      <c r="B16" s="309" t="s">
        <v>530</v>
      </c>
      <c r="C16" s="347" t="str">
        <f ca="1">IFERROR(VLOOKUP(A16,Rezultatai!$B$44:$C$106,2,FALSE),"")</f>
        <v xml:space="preserve">Veikla (nurodykite pavadinimą; suplanuotas investicijas pagrįskite prielaidų lape)
Analitinė studija dėl diplomatinio atstovavimo tinklo plėtros </v>
      </c>
      <c r="D16" s="339"/>
      <c r="E16" s="346"/>
      <c r="F16" s="336"/>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3"/>
      <c r="BJ16" s="333"/>
      <c r="BK16" s="333"/>
      <c r="BL16" s="333"/>
      <c r="BM16" s="333"/>
      <c r="BN16" s="333"/>
      <c r="BO16" s="333"/>
      <c r="BP16" s="333"/>
      <c r="BQ16" s="333"/>
      <c r="BR16" s="333"/>
      <c r="BS16" s="333"/>
      <c r="BT16" s="333"/>
      <c r="BU16" s="333"/>
      <c r="BV16" s="333"/>
      <c r="BW16" s="333"/>
      <c r="BX16" s="333"/>
      <c r="BY16" s="333"/>
      <c r="BZ16" s="333"/>
      <c r="CA16" s="333"/>
      <c r="CB16" s="333"/>
      <c r="CC16" s="333"/>
      <c r="CD16" s="333"/>
      <c r="CE16" s="333"/>
      <c r="CF16" s="333"/>
      <c r="CG16" s="333"/>
      <c r="CH16" s="333"/>
      <c r="CI16" s="333"/>
      <c r="CJ16" s="333"/>
      <c r="CK16" s="333"/>
      <c r="CL16" s="333"/>
      <c r="CM16" s="333"/>
      <c r="CN16" s="333"/>
      <c r="CO16" s="333"/>
      <c r="CP16" s="333"/>
      <c r="CQ16" s="333"/>
      <c r="CR16" s="333"/>
      <c r="CS16" s="333"/>
      <c r="CT16" s="333"/>
      <c r="CU16" s="333"/>
      <c r="CV16" s="333"/>
      <c r="CW16" s="333"/>
      <c r="CX16" s="333"/>
      <c r="CY16" s="333"/>
      <c r="CZ16" s="333"/>
      <c r="DA16" s="333"/>
      <c r="DB16" s="333"/>
      <c r="DC16" s="333"/>
      <c r="DD16" s="333"/>
      <c r="DE16" s="333"/>
      <c r="DF16" s="333"/>
      <c r="DG16" s="333"/>
      <c r="DH16" s="333"/>
      <c r="DI16" s="333"/>
      <c r="DJ16" s="333"/>
      <c r="DK16" s="333"/>
      <c r="DL16" s="333"/>
      <c r="DM16" s="333"/>
      <c r="DN16" s="333"/>
      <c r="DO16" s="333"/>
      <c r="DP16" s="333"/>
      <c r="DQ16" s="333"/>
      <c r="DR16" s="333"/>
      <c r="DS16" s="333"/>
      <c r="DT16" s="333"/>
      <c r="DU16" s="333"/>
      <c r="DV16" s="333"/>
      <c r="DW16" s="333"/>
      <c r="DX16" s="333"/>
      <c r="DY16" s="333"/>
      <c r="DZ16" s="333"/>
      <c r="EA16" s="333"/>
      <c r="EB16" s="333"/>
      <c r="EC16" s="333"/>
      <c r="ED16" s="333"/>
      <c r="EE16" s="333"/>
      <c r="EF16" s="333"/>
      <c r="EG16" s="333"/>
      <c r="EH16" s="333"/>
      <c r="EI16" s="333"/>
      <c r="EJ16" s="333"/>
      <c r="EK16" s="333"/>
      <c r="EL16" s="333"/>
      <c r="EM16" s="333"/>
      <c r="EN16" s="333"/>
      <c r="EO16" s="333"/>
      <c r="EP16" s="333"/>
      <c r="EQ16" s="333"/>
      <c r="ER16" s="333"/>
      <c r="ES16" s="333"/>
      <c r="ET16" s="333"/>
      <c r="EU16" s="333"/>
      <c r="EV16" s="333"/>
      <c r="EW16" s="333"/>
      <c r="EX16" s="333"/>
      <c r="EY16" s="333"/>
      <c r="EZ16" s="333"/>
      <c r="FA16" s="333"/>
      <c r="FB16" s="333"/>
      <c r="FC16" s="333"/>
      <c r="FD16" s="333"/>
      <c r="FE16" s="333"/>
      <c r="FF16" s="333"/>
      <c r="FG16" s="333"/>
      <c r="FH16" s="333"/>
      <c r="FI16" s="333"/>
      <c r="FJ16" s="333"/>
      <c r="FK16" s="333"/>
      <c r="FL16" s="333"/>
      <c r="FM16" s="333"/>
      <c r="FN16" s="333"/>
      <c r="FO16" s="333"/>
      <c r="FP16" s="333"/>
      <c r="FQ16" s="333"/>
      <c r="FR16" s="333"/>
      <c r="FS16" s="333"/>
      <c r="FT16" s="333"/>
      <c r="FU16" s="333"/>
      <c r="FV16" s="333"/>
      <c r="FW16" s="333"/>
      <c r="FX16" s="333"/>
      <c r="FY16" s="333"/>
      <c r="FZ16" s="333"/>
      <c r="GA16" s="333"/>
      <c r="GB16" s="333"/>
      <c r="GC16" s="333"/>
      <c r="GD16" s="333"/>
      <c r="GE16" s="333"/>
      <c r="GF16" s="333"/>
      <c r="GG16" s="333"/>
      <c r="GH16" s="333"/>
      <c r="GI16" s="333"/>
      <c r="GJ16" s="333"/>
      <c r="GK16" s="333"/>
      <c r="GL16" s="333"/>
      <c r="GM16" s="333"/>
      <c r="GN16" s="333"/>
      <c r="GO16" s="333"/>
      <c r="GP16" s="333"/>
      <c r="GQ16" s="333"/>
      <c r="GR16" s="333"/>
      <c r="GS16" s="333"/>
      <c r="GT16" s="333"/>
      <c r="GU16" s="333"/>
      <c r="GV16" s="333"/>
      <c r="GW16" s="333"/>
      <c r="GX16" s="333"/>
      <c r="GY16" s="333"/>
      <c r="GZ16" s="333"/>
      <c r="HA16" s="333"/>
      <c r="HB16" s="333"/>
      <c r="HC16" s="333"/>
      <c r="HD16" s="333"/>
      <c r="HE16" s="333"/>
      <c r="HF16" s="333"/>
      <c r="HG16" s="333"/>
      <c r="HH16" s="333"/>
      <c r="HI16" s="333"/>
      <c r="HJ16" s="333"/>
      <c r="HK16" s="333"/>
      <c r="HL16" s="333"/>
      <c r="HM16" s="333"/>
      <c r="HN16" s="333"/>
      <c r="HO16" s="333"/>
      <c r="HP16" s="333"/>
      <c r="HQ16" s="333"/>
      <c r="HR16" s="333"/>
      <c r="HS16" s="333"/>
      <c r="HT16" s="333"/>
      <c r="HU16" s="333"/>
      <c r="HV16" s="333"/>
      <c r="HW16" s="333"/>
      <c r="HX16" s="333"/>
      <c r="HY16" s="333"/>
      <c r="HZ16" s="333"/>
      <c r="IA16" s="333"/>
      <c r="IB16" s="333"/>
      <c r="IC16" s="333"/>
      <c r="ID16" s="333"/>
      <c r="IE16" s="333"/>
      <c r="IF16" s="333"/>
      <c r="IG16" s="333"/>
      <c r="IH16" s="333"/>
      <c r="II16" s="333"/>
      <c r="IJ16" s="333"/>
      <c r="IK16" s="333"/>
      <c r="IL16" s="333"/>
      <c r="IM16" s="333"/>
      <c r="IN16" s="333"/>
      <c r="IO16" s="333"/>
      <c r="IP16" s="333"/>
      <c r="IQ16" s="333"/>
      <c r="IR16" s="333"/>
      <c r="IS16" s="333"/>
      <c r="IT16" s="333"/>
      <c r="IU16" s="333"/>
      <c r="IV16" s="333"/>
      <c r="IW16" s="333"/>
      <c r="IX16" s="333"/>
      <c r="IY16" s="333"/>
      <c r="IZ16" s="333"/>
      <c r="JA16" s="333"/>
      <c r="JB16" s="333"/>
      <c r="JC16" s="333"/>
      <c r="JD16" s="333"/>
      <c r="JE16" s="333"/>
      <c r="JF16" s="333"/>
      <c r="JG16" s="333"/>
      <c r="JH16" s="333"/>
      <c r="JI16" s="333"/>
      <c r="JJ16" s="333"/>
      <c r="JK16" s="333"/>
      <c r="JL16" s="333"/>
      <c r="JM16" s="333"/>
      <c r="JN16" s="333"/>
      <c r="JO16" s="333"/>
      <c r="JP16" s="333"/>
      <c r="JQ16" s="333"/>
      <c r="JR16" s="333"/>
      <c r="JS16" s="333"/>
      <c r="JT16" s="333"/>
      <c r="JU16" s="333"/>
      <c r="JV16" s="333"/>
      <c r="JW16" s="333"/>
      <c r="JX16" s="333"/>
      <c r="JY16" s="333"/>
      <c r="JZ16" s="333"/>
      <c r="KA16" s="333"/>
      <c r="KB16" s="333"/>
      <c r="KC16" s="333"/>
      <c r="KD16" s="333"/>
      <c r="KE16" s="333"/>
      <c r="KF16" s="333"/>
      <c r="KG16" s="333"/>
      <c r="KH16" s="333"/>
      <c r="KI16" s="333"/>
      <c r="KJ16" s="333"/>
      <c r="KK16" s="333"/>
      <c r="KL16" s="333"/>
      <c r="KM16" s="333"/>
      <c r="KN16" s="333"/>
      <c r="KO16" s="333"/>
      <c r="KP16" s="333"/>
      <c r="KQ16" s="333"/>
      <c r="KR16" s="333"/>
      <c r="KS16" s="333"/>
      <c r="KT16" s="333"/>
      <c r="KU16" s="333"/>
      <c r="KV16" s="333"/>
      <c r="KW16" s="333"/>
      <c r="KX16" s="333"/>
      <c r="KY16" s="333"/>
      <c r="KZ16" s="333"/>
      <c r="LA16" s="333"/>
      <c r="LB16" s="333"/>
      <c r="LC16" s="333"/>
      <c r="LD16" s="333"/>
      <c r="LE16" s="333"/>
      <c r="LF16" s="333"/>
      <c r="LG16" s="333"/>
      <c r="LH16" s="333"/>
      <c r="LI16" s="333"/>
      <c r="LJ16" s="333"/>
      <c r="LK16" s="333"/>
      <c r="LL16" s="333"/>
      <c r="LM16" s="333"/>
    </row>
    <row r="17" spans="1:325">
      <c r="A17" s="310" t="str">
        <f>IF(OR(Data3!B6="Grand Total",Data3!B6=0),"",Data3!B6)</f>
        <v>E.1.1.</v>
      </c>
      <c r="B17" s="309" t="s">
        <v>533</v>
      </c>
      <c r="C17" s="347" t="str">
        <f ca="1">IFERROR(VLOOKUP(A17,Rezultatai!$B$44:$C$106,2,FALSE),"")</f>
        <v>Ambasados Singapūre įsteigimas</v>
      </c>
      <c r="D17" s="339"/>
      <c r="E17" s="346"/>
      <c r="F17" s="336"/>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3"/>
      <c r="BJ17" s="333"/>
      <c r="BK17" s="333"/>
      <c r="BL17" s="333"/>
      <c r="BM17" s="333"/>
      <c r="BN17" s="333"/>
      <c r="BO17" s="333"/>
      <c r="BP17" s="333"/>
      <c r="BQ17" s="333"/>
      <c r="BR17" s="333"/>
      <c r="BS17" s="333"/>
      <c r="BT17" s="333"/>
      <c r="BU17" s="333"/>
      <c r="BV17" s="333"/>
      <c r="BW17" s="333"/>
      <c r="BX17" s="333"/>
      <c r="BY17" s="333"/>
      <c r="BZ17" s="333"/>
      <c r="CA17" s="333"/>
      <c r="CB17" s="333"/>
      <c r="CC17" s="333"/>
      <c r="CD17" s="333"/>
      <c r="CE17" s="333"/>
      <c r="CF17" s="333"/>
      <c r="CG17" s="333"/>
      <c r="CH17" s="333"/>
      <c r="CI17" s="333"/>
      <c r="CJ17" s="333"/>
      <c r="CK17" s="333"/>
      <c r="CL17" s="333"/>
      <c r="CM17" s="333"/>
      <c r="CN17" s="333"/>
      <c r="CO17" s="333"/>
      <c r="CP17" s="333"/>
      <c r="CQ17" s="333"/>
      <c r="CR17" s="333"/>
      <c r="CS17" s="333"/>
      <c r="CT17" s="333"/>
      <c r="CU17" s="333"/>
      <c r="CV17" s="333"/>
      <c r="CW17" s="333"/>
      <c r="CX17" s="333"/>
      <c r="CY17" s="333"/>
      <c r="CZ17" s="333"/>
      <c r="DA17" s="333"/>
      <c r="DB17" s="333"/>
      <c r="DC17" s="333"/>
      <c r="DD17" s="333"/>
      <c r="DE17" s="333"/>
      <c r="DF17" s="333"/>
      <c r="DG17" s="333"/>
      <c r="DH17" s="333"/>
      <c r="DI17" s="333"/>
      <c r="DJ17" s="333"/>
      <c r="DK17" s="333"/>
      <c r="DL17" s="333"/>
      <c r="DM17" s="333"/>
      <c r="DN17" s="333"/>
      <c r="DO17" s="333"/>
      <c r="DP17" s="333"/>
      <c r="DQ17" s="333"/>
      <c r="DR17" s="333"/>
      <c r="DS17" s="333"/>
      <c r="DT17" s="333"/>
      <c r="DU17" s="333"/>
      <c r="DV17" s="333"/>
      <c r="DW17" s="333"/>
      <c r="DX17" s="333"/>
      <c r="DY17" s="333"/>
      <c r="DZ17" s="333"/>
      <c r="EA17" s="333"/>
      <c r="EB17" s="333"/>
      <c r="EC17" s="333"/>
      <c r="ED17" s="333"/>
      <c r="EE17" s="333"/>
      <c r="EF17" s="333"/>
      <c r="EG17" s="333"/>
      <c r="EH17" s="333"/>
      <c r="EI17" s="333"/>
      <c r="EJ17" s="333"/>
      <c r="EK17" s="333"/>
      <c r="EL17" s="333"/>
      <c r="EM17" s="333"/>
      <c r="EN17" s="333"/>
      <c r="EO17" s="333"/>
      <c r="EP17" s="333"/>
      <c r="EQ17" s="333"/>
      <c r="ER17" s="333"/>
      <c r="ES17" s="333"/>
      <c r="ET17" s="333"/>
      <c r="EU17" s="333"/>
      <c r="EV17" s="333"/>
      <c r="EW17" s="333"/>
      <c r="EX17" s="333"/>
      <c r="EY17" s="333"/>
      <c r="EZ17" s="333"/>
      <c r="FA17" s="333"/>
      <c r="FB17" s="333"/>
      <c r="FC17" s="333"/>
      <c r="FD17" s="333"/>
      <c r="FE17" s="333"/>
      <c r="FF17" s="333"/>
      <c r="FG17" s="333"/>
      <c r="FH17" s="333"/>
      <c r="FI17" s="333"/>
      <c r="FJ17" s="333"/>
      <c r="FK17" s="333"/>
      <c r="FL17" s="333"/>
      <c r="FM17" s="333"/>
      <c r="FN17" s="333"/>
      <c r="FO17" s="333"/>
      <c r="FP17" s="333"/>
      <c r="FQ17" s="333"/>
      <c r="FR17" s="333"/>
      <c r="FS17" s="333"/>
      <c r="FT17" s="333"/>
      <c r="FU17" s="333"/>
      <c r="FV17" s="333"/>
      <c r="FW17" s="333"/>
      <c r="FX17" s="333"/>
      <c r="FY17" s="333"/>
      <c r="FZ17" s="333"/>
      <c r="GA17" s="333"/>
      <c r="GB17" s="333"/>
      <c r="GC17" s="333"/>
      <c r="GD17" s="333"/>
      <c r="GE17" s="333"/>
      <c r="GF17" s="333"/>
      <c r="GG17" s="333"/>
      <c r="GH17" s="333"/>
      <c r="GI17" s="333"/>
      <c r="GJ17" s="333"/>
      <c r="GK17" s="333"/>
      <c r="GL17" s="333"/>
      <c r="GM17" s="333"/>
      <c r="GN17" s="333"/>
      <c r="GO17" s="333"/>
      <c r="GP17" s="333"/>
      <c r="GQ17" s="333"/>
      <c r="GR17" s="333"/>
      <c r="GS17" s="333"/>
      <c r="GT17" s="333"/>
      <c r="GU17" s="333"/>
      <c r="GV17" s="333"/>
      <c r="GW17" s="333"/>
      <c r="GX17" s="333"/>
      <c r="GY17" s="333"/>
      <c r="GZ17" s="333"/>
      <c r="HA17" s="333"/>
      <c r="HB17" s="333"/>
      <c r="HC17" s="333"/>
      <c r="HD17" s="333"/>
      <c r="HE17" s="333"/>
      <c r="HF17" s="333"/>
      <c r="HG17" s="333"/>
      <c r="HH17" s="333"/>
      <c r="HI17" s="333"/>
      <c r="HJ17" s="333"/>
      <c r="HK17" s="333"/>
      <c r="HL17" s="333"/>
      <c r="HM17" s="333"/>
      <c r="HN17" s="333"/>
      <c r="HO17" s="333"/>
      <c r="HP17" s="333"/>
      <c r="HQ17" s="333"/>
      <c r="HR17" s="333"/>
      <c r="HS17" s="333"/>
      <c r="HT17" s="333"/>
      <c r="HU17" s="333"/>
      <c r="HV17" s="333"/>
      <c r="HW17" s="333"/>
      <c r="HX17" s="333"/>
      <c r="HY17" s="333"/>
      <c r="HZ17" s="333"/>
      <c r="IA17" s="333"/>
      <c r="IB17" s="333"/>
      <c r="IC17" s="333"/>
      <c r="ID17" s="333"/>
      <c r="IE17" s="333"/>
      <c r="IF17" s="333"/>
      <c r="IG17" s="333"/>
      <c r="IH17" s="333"/>
      <c r="II17" s="333"/>
      <c r="IJ17" s="333"/>
      <c r="IK17" s="333"/>
      <c r="IL17" s="333"/>
      <c r="IM17" s="333"/>
      <c r="IN17" s="333"/>
      <c r="IO17" s="333"/>
      <c r="IP17" s="333"/>
      <c r="IQ17" s="333"/>
      <c r="IR17" s="333"/>
      <c r="IS17" s="333"/>
      <c r="IT17" s="333"/>
      <c r="IU17" s="333"/>
      <c r="IV17" s="333"/>
      <c r="IW17" s="333"/>
      <c r="IX17" s="333"/>
      <c r="IY17" s="333"/>
      <c r="IZ17" s="333"/>
      <c r="JA17" s="333"/>
      <c r="JB17" s="333"/>
      <c r="JC17" s="333"/>
      <c r="JD17" s="333"/>
      <c r="JE17" s="333"/>
      <c r="JF17" s="333"/>
      <c r="JG17" s="333"/>
      <c r="JH17" s="333"/>
      <c r="JI17" s="333"/>
      <c r="JJ17" s="333"/>
      <c r="JK17" s="333"/>
      <c r="JL17" s="333"/>
      <c r="JM17" s="333"/>
      <c r="JN17" s="333"/>
      <c r="JO17" s="333"/>
      <c r="JP17" s="333"/>
      <c r="JQ17" s="333"/>
      <c r="JR17" s="333"/>
      <c r="JS17" s="333"/>
      <c r="JT17" s="333"/>
      <c r="JU17" s="333"/>
      <c r="JV17" s="333"/>
      <c r="JW17" s="333"/>
      <c r="JX17" s="333"/>
      <c r="JY17" s="333"/>
      <c r="JZ17" s="333"/>
      <c r="KA17" s="333"/>
      <c r="KB17" s="333"/>
      <c r="KC17" s="333"/>
      <c r="KD17" s="333"/>
      <c r="KE17" s="333"/>
      <c r="KF17" s="333"/>
      <c r="KG17" s="333"/>
      <c r="KH17" s="333"/>
      <c r="KI17" s="333"/>
      <c r="KJ17" s="333"/>
      <c r="KK17" s="333"/>
      <c r="KL17" s="333"/>
      <c r="KM17" s="333"/>
      <c r="KN17" s="333"/>
      <c r="KO17" s="333"/>
      <c r="KP17" s="333"/>
      <c r="KQ17" s="333"/>
      <c r="KR17" s="333"/>
      <c r="KS17" s="333"/>
      <c r="KT17" s="333"/>
      <c r="KU17" s="333"/>
      <c r="KV17" s="333"/>
      <c r="KW17" s="333"/>
      <c r="KX17" s="333"/>
      <c r="KY17" s="333"/>
      <c r="KZ17" s="333"/>
      <c r="LA17" s="333"/>
      <c r="LB17" s="333"/>
      <c r="LC17" s="333"/>
      <c r="LD17" s="333"/>
      <c r="LE17" s="333"/>
      <c r="LF17" s="333"/>
      <c r="LG17" s="333"/>
      <c r="LH17" s="333"/>
      <c r="LI17" s="333"/>
      <c r="LJ17" s="333"/>
      <c r="LK17" s="333"/>
      <c r="LL17" s="333"/>
      <c r="LM17" s="333"/>
    </row>
    <row r="18" spans="1:325">
      <c r="A18" s="310" t="str">
        <f>IF(OR(Data3!B7="Grand Total",Data3!B7=0),"",Data3!B7)</f>
        <v>E.1.2.</v>
      </c>
      <c r="B18" s="309" t="s">
        <v>534</v>
      </c>
      <c r="C18" s="347" t="str">
        <f ca="1">IFERROR(VLOOKUP(A18,Rezultatai!$B$44:$C$106,2,FALSE),"")</f>
        <v>Ambasadų kitose užsienio valstybėse įsteigimas (politinės/ekonominės svarbos scenarijus)</v>
      </c>
      <c r="D18" s="339"/>
      <c r="E18" s="346"/>
      <c r="F18" s="336"/>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c r="BR18" s="333"/>
      <c r="BS18" s="333"/>
      <c r="BT18" s="333"/>
      <c r="BU18" s="333"/>
      <c r="BV18" s="333"/>
      <c r="BW18" s="333"/>
      <c r="BX18" s="333"/>
      <c r="BY18" s="333"/>
      <c r="BZ18" s="333"/>
      <c r="CA18" s="333"/>
      <c r="CB18" s="333"/>
      <c r="CC18" s="333"/>
      <c r="CD18" s="333"/>
      <c r="CE18" s="333"/>
      <c r="CF18" s="333"/>
      <c r="CG18" s="333"/>
      <c r="CH18" s="333"/>
      <c r="CI18" s="333"/>
      <c r="CJ18" s="333"/>
      <c r="CK18" s="333"/>
      <c r="CL18" s="333"/>
      <c r="CM18" s="333"/>
      <c r="CN18" s="333"/>
      <c r="CO18" s="333"/>
      <c r="CP18" s="333"/>
      <c r="CQ18" s="333"/>
      <c r="CR18" s="333"/>
      <c r="CS18" s="333"/>
      <c r="CT18" s="333"/>
      <c r="CU18" s="333"/>
      <c r="CV18" s="333"/>
      <c r="CW18" s="333"/>
      <c r="CX18" s="333"/>
      <c r="CY18" s="333"/>
      <c r="CZ18" s="333"/>
      <c r="DA18" s="333"/>
      <c r="DB18" s="333"/>
      <c r="DC18" s="333"/>
      <c r="DD18" s="333"/>
      <c r="DE18" s="333"/>
      <c r="DF18" s="333"/>
      <c r="DG18" s="333"/>
      <c r="DH18" s="333"/>
      <c r="DI18" s="333"/>
      <c r="DJ18" s="333"/>
      <c r="DK18" s="333"/>
      <c r="DL18" s="333"/>
      <c r="DM18" s="333"/>
      <c r="DN18" s="333"/>
      <c r="DO18" s="333"/>
      <c r="DP18" s="333"/>
      <c r="DQ18" s="333"/>
      <c r="DR18" s="333"/>
      <c r="DS18" s="333"/>
      <c r="DT18" s="333"/>
      <c r="DU18" s="333"/>
      <c r="DV18" s="333"/>
      <c r="DW18" s="333"/>
      <c r="DX18" s="333"/>
      <c r="DY18" s="333"/>
      <c r="DZ18" s="333"/>
      <c r="EA18" s="333"/>
      <c r="EB18" s="333"/>
      <c r="EC18" s="333"/>
      <c r="ED18" s="333"/>
      <c r="EE18" s="333"/>
      <c r="EF18" s="333"/>
      <c r="EG18" s="333"/>
      <c r="EH18" s="333"/>
      <c r="EI18" s="333"/>
      <c r="EJ18" s="333"/>
      <c r="EK18" s="333"/>
      <c r="EL18" s="333"/>
      <c r="EM18" s="333"/>
      <c r="EN18" s="333"/>
      <c r="EO18" s="333"/>
      <c r="EP18" s="333"/>
      <c r="EQ18" s="333"/>
      <c r="ER18" s="333"/>
      <c r="ES18" s="333"/>
      <c r="ET18" s="333"/>
      <c r="EU18" s="333"/>
      <c r="EV18" s="333"/>
      <c r="EW18" s="333"/>
      <c r="EX18" s="333"/>
      <c r="EY18" s="333"/>
      <c r="EZ18" s="333"/>
      <c r="FA18" s="333"/>
      <c r="FB18" s="333"/>
      <c r="FC18" s="333"/>
      <c r="FD18" s="333"/>
      <c r="FE18" s="333"/>
      <c r="FF18" s="333"/>
      <c r="FG18" s="333"/>
      <c r="FH18" s="333"/>
      <c r="FI18" s="333"/>
      <c r="FJ18" s="333"/>
      <c r="FK18" s="333"/>
      <c r="FL18" s="333"/>
      <c r="FM18" s="333"/>
      <c r="FN18" s="333"/>
      <c r="FO18" s="333"/>
      <c r="FP18" s="333"/>
      <c r="FQ18" s="333"/>
      <c r="FR18" s="333"/>
      <c r="FS18" s="333"/>
      <c r="FT18" s="333"/>
      <c r="FU18" s="333"/>
      <c r="FV18" s="333"/>
      <c r="FW18" s="333"/>
      <c r="FX18" s="333"/>
      <c r="FY18" s="333"/>
      <c r="FZ18" s="333"/>
      <c r="GA18" s="333"/>
      <c r="GB18" s="333"/>
      <c r="GC18" s="333"/>
      <c r="GD18" s="333"/>
      <c r="GE18" s="333"/>
      <c r="GF18" s="333"/>
      <c r="GG18" s="333"/>
      <c r="GH18" s="333"/>
      <c r="GI18" s="333"/>
      <c r="GJ18" s="333"/>
      <c r="GK18" s="333"/>
      <c r="GL18" s="333"/>
      <c r="GM18" s="333"/>
      <c r="GN18" s="333"/>
      <c r="GO18" s="333"/>
      <c r="GP18" s="333"/>
      <c r="GQ18" s="333"/>
      <c r="GR18" s="333"/>
      <c r="GS18" s="333"/>
      <c r="GT18" s="333"/>
      <c r="GU18" s="333"/>
      <c r="GV18" s="333"/>
      <c r="GW18" s="333"/>
      <c r="GX18" s="333"/>
      <c r="GY18" s="333"/>
      <c r="GZ18" s="333"/>
      <c r="HA18" s="333"/>
      <c r="HB18" s="333"/>
      <c r="HC18" s="333"/>
      <c r="HD18" s="333"/>
      <c r="HE18" s="333"/>
      <c r="HF18" s="333"/>
      <c r="HG18" s="333"/>
      <c r="HH18" s="333"/>
      <c r="HI18" s="333"/>
      <c r="HJ18" s="333"/>
      <c r="HK18" s="333"/>
      <c r="HL18" s="333"/>
      <c r="HM18" s="333"/>
      <c r="HN18" s="333"/>
      <c r="HO18" s="333"/>
      <c r="HP18" s="333"/>
      <c r="HQ18" s="333"/>
      <c r="HR18" s="333"/>
      <c r="HS18" s="333"/>
      <c r="HT18" s="333"/>
      <c r="HU18" s="333"/>
      <c r="HV18" s="333"/>
      <c r="HW18" s="333"/>
      <c r="HX18" s="333"/>
      <c r="HY18" s="333"/>
      <c r="HZ18" s="333"/>
      <c r="IA18" s="333"/>
      <c r="IB18" s="333"/>
      <c r="IC18" s="333"/>
      <c r="ID18" s="333"/>
      <c r="IE18" s="333"/>
      <c r="IF18" s="333"/>
      <c r="IG18" s="333"/>
      <c r="IH18" s="333"/>
      <c r="II18" s="333"/>
      <c r="IJ18" s="333"/>
      <c r="IK18" s="333"/>
      <c r="IL18" s="333"/>
      <c r="IM18" s="333"/>
      <c r="IN18" s="333"/>
      <c r="IO18" s="333"/>
      <c r="IP18" s="333"/>
      <c r="IQ18" s="333"/>
      <c r="IR18" s="333"/>
      <c r="IS18" s="333"/>
      <c r="IT18" s="333"/>
      <c r="IU18" s="333"/>
      <c r="IV18" s="333"/>
      <c r="IW18" s="333"/>
      <c r="IX18" s="333"/>
      <c r="IY18" s="333"/>
      <c r="IZ18" s="333"/>
      <c r="JA18" s="333"/>
      <c r="JB18" s="333"/>
      <c r="JC18" s="333"/>
      <c r="JD18" s="333"/>
      <c r="JE18" s="333"/>
      <c r="JF18" s="333"/>
      <c r="JG18" s="333"/>
      <c r="JH18" s="333"/>
      <c r="JI18" s="333"/>
      <c r="JJ18" s="333"/>
      <c r="JK18" s="333"/>
      <c r="JL18" s="333"/>
      <c r="JM18" s="333"/>
      <c r="JN18" s="333"/>
      <c r="JO18" s="333"/>
      <c r="JP18" s="333"/>
      <c r="JQ18" s="333"/>
      <c r="JR18" s="333"/>
      <c r="JS18" s="333"/>
      <c r="JT18" s="333"/>
      <c r="JU18" s="333"/>
      <c r="JV18" s="333"/>
      <c r="JW18" s="333"/>
      <c r="JX18" s="333"/>
      <c r="JY18" s="333"/>
      <c r="JZ18" s="333"/>
      <c r="KA18" s="333"/>
      <c r="KB18" s="333"/>
      <c r="KC18" s="333"/>
      <c r="KD18" s="333"/>
      <c r="KE18" s="333"/>
      <c r="KF18" s="333"/>
      <c r="KG18" s="333"/>
      <c r="KH18" s="333"/>
      <c r="KI18" s="333"/>
      <c r="KJ18" s="333"/>
      <c r="KK18" s="333"/>
      <c r="KL18" s="333"/>
      <c r="KM18" s="333"/>
      <c r="KN18" s="333"/>
      <c r="KO18" s="333"/>
      <c r="KP18" s="333"/>
      <c r="KQ18" s="333"/>
      <c r="KR18" s="333"/>
      <c r="KS18" s="333"/>
      <c r="KT18" s="333"/>
      <c r="KU18" s="333"/>
      <c r="KV18" s="333"/>
      <c r="KW18" s="333"/>
      <c r="KX18" s="333"/>
      <c r="KY18" s="333"/>
      <c r="KZ18" s="333"/>
      <c r="LA18" s="333"/>
      <c r="LB18" s="333"/>
      <c r="LC18" s="333"/>
      <c r="LD18" s="333"/>
      <c r="LE18" s="333"/>
      <c r="LF18" s="333"/>
      <c r="LG18" s="333"/>
      <c r="LH18" s="333"/>
      <c r="LI18" s="333"/>
      <c r="LJ18" s="333"/>
      <c r="LK18" s="333"/>
      <c r="LL18" s="333"/>
      <c r="LM18" s="333"/>
    </row>
    <row r="19" spans="1:325">
      <c r="A19" s="310" t="str">
        <f>IF(OR(Data3!B8="Grand Total",Data3!B8=0),"",Data3!B8)</f>
        <v>E.1.3.</v>
      </c>
      <c r="B19" s="309" t="s">
        <v>535</v>
      </c>
      <c r="C19" s="347" t="str">
        <f ca="1">IFERROR(VLOOKUP(A19,Rezultatai!$B$44:$C$106,2,FALSE),"")</f>
        <v>Valstybės veiklos tarptautinėse organizacijose pozicijų derinimo, stebėsenos sistemos sukūrimas</v>
      </c>
      <c r="D19" s="339"/>
      <c r="E19" s="346"/>
      <c r="F19" s="336"/>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3"/>
      <c r="BJ19" s="333"/>
      <c r="BK19" s="333"/>
      <c r="BL19" s="333"/>
      <c r="BM19" s="333"/>
      <c r="BN19" s="333"/>
      <c r="BO19" s="333"/>
      <c r="BP19" s="333"/>
      <c r="BQ19" s="333"/>
      <c r="BR19" s="333"/>
      <c r="BS19" s="333"/>
      <c r="BT19" s="333"/>
      <c r="BU19" s="333"/>
      <c r="BV19" s="333"/>
      <c r="BW19" s="333"/>
      <c r="BX19" s="333"/>
      <c r="BY19" s="333"/>
      <c r="BZ19" s="333"/>
      <c r="CA19" s="333"/>
      <c r="CB19" s="333"/>
      <c r="CC19" s="333"/>
      <c r="CD19" s="333"/>
      <c r="CE19" s="333"/>
      <c r="CF19" s="333"/>
      <c r="CG19" s="333"/>
      <c r="CH19" s="333"/>
      <c r="CI19" s="333"/>
      <c r="CJ19" s="333"/>
      <c r="CK19" s="333"/>
      <c r="CL19" s="333"/>
      <c r="CM19" s="333"/>
      <c r="CN19" s="333"/>
      <c r="CO19" s="333"/>
      <c r="CP19" s="333"/>
      <c r="CQ19" s="333"/>
      <c r="CR19" s="333"/>
      <c r="CS19" s="333"/>
      <c r="CT19" s="333"/>
      <c r="CU19" s="333"/>
      <c r="CV19" s="333"/>
      <c r="CW19" s="333"/>
      <c r="CX19" s="333"/>
      <c r="CY19" s="333"/>
      <c r="CZ19" s="333"/>
      <c r="DA19" s="333"/>
      <c r="DB19" s="333"/>
      <c r="DC19" s="333"/>
      <c r="DD19" s="333"/>
      <c r="DE19" s="333"/>
      <c r="DF19" s="333"/>
      <c r="DG19" s="333"/>
      <c r="DH19" s="333"/>
      <c r="DI19" s="333"/>
      <c r="DJ19" s="333"/>
      <c r="DK19" s="333"/>
      <c r="DL19" s="333"/>
      <c r="DM19" s="333"/>
      <c r="DN19" s="333"/>
      <c r="DO19" s="333"/>
      <c r="DP19" s="333"/>
      <c r="DQ19" s="333"/>
      <c r="DR19" s="333"/>
      <c r="DS19" s="333"/>
      <c r="DT19" s="333"/>
      <c r="DU19" s="333"/>
      <c r="DV19" s="333"/>
      <c r="DW19" s="333"/>
      <c r="DX19" s="333"/>
      <c r="DY19" s="333"/>
      <c r="DZ19" s="333"/>
      <c r="EA19" s="333"/>
      <c r="EB19" s="333"/>
      <c r="EC19" s="333"/>
      <c r="ED19" s="333"/>
      <c r="EE19" s="333"/>
      <c r="EF19" s="333"/>
      <c r="EG19" s="333"/>
      <c r="EH19" s="333"/>
      <c r="EI19" s="333"/>
      <c r="EJ19" s="333"/>
      <c r="EK19" s="333"/>
      <c r="EL19" s="333"/>
      <c r="EM19" s="333"/>
      <c r="EN19" s="333"/>
      <c r="EO19" s="333"/>
      <c r="EP19" s="333"/>
      <c r="EQ19" s="333"/>
      <c r="ER19" s="333"/>
      <c r="ES19" s="333"/>
      <c r="ET19" s="333"/>
      <c r="EU19" s="333"/>
      <c r="EV19" s="333"/>
      <c r="EW19" s="333"/>
      <c r="EX19" s="333"/>
      <c r="EY19" s="333"/>
      <c r="EZ19" s="333"/>
      <c r="FA19" s="333"/>
      <c r="FB19" s="333"/>
      <c r="FC19" s="333"/>
      <c r="FD19" s="333"/>
      <c r="FE19" s="333"/>
      <c r="FF19" s="333"/>
      <c r="FG19" s="333"/>
      <c r="FH19" s="333"/>
      <c r="FI19" s="333"/>
      <c r="FJ19" s="333"/>
      <c r="FK19" s="333"/>
      <c r="FL19" s="333"/>
      <c r="FM19" s="333"/>
      <c r="FN19" s="333"/>
      <c r="FO19" s="333"/>
      <c r="FP19" s="333"/>
      <c r="FQ19" s="333"/>
      <c r="FR19" s="333"/>
      <c r="FS19" s="333"/>
      <c r="FT19" s="333"/>
      <c r="FU19" s="333"/>
      <c r="FV19" s="333"/>
      <c r="FW19" s="333"/>
      <c r="FX19" s="333"/>
      <c r="FY19" s="333"/>
      <c r="FZ19" s="333"/>
      <c r="GA19" s="333"/>
      <c r="GB19" s="333"/>
      <c r="GC19" s="333"/>
      <c r="GD19" s="333"/>
      <c r="GE19" s="333"/>
      <c r="GF19" s="333"/>
      <c r="GG19" s="333"/>
      <c r="GH19" s="333"/>
      <c r="GI19" s="333"/>
      <c r="GJ19" s="333"/>
      <c r="GK19" s="333"/>
      <c r="GL19" s="333"/>
      <c r="GM19" s="333"/>
      <c r="GN19" s="333"/>
      <c r="GO19" s="333"/>
      <c r="GP19" s="333"/>
      <c r="GQ19" s="333"/>
      <c r="GR19" s="333"/>
      <c r="GS19" s="333"/>
      <c r="GT19" s="333"/>
      <c r="GU19" s="333"/>
      <c r="GV19" s="333"/>
      <c r="GW19" s="333"/>
      <c r="GX19" s="333"/>
      <c r="GY19" s="333"/>
      <c r="GZ19" s="333"/>
      <c r="HA19" s="333"/>
      <c r="HB19" s="333"/>
      <c r="HC19" s="333"/>
      <c r="HD19" s="333"/>
      <c r="HE19" s="333"/>
      <c r="HF19" s="333"/>
      <c r="HG19" s="333"/>
      <c r="HH19" s="333"/>
      <c r="HI19" s="333"/>
      <c r="HJ19" s="333"/>
      <c r="HK19" s="333"/>
      <c r="HL19" s="333"/>
      <c r="HM19" s="333"/>
      <c r="HN19" s="333"/>
      <c r="HO19" s="333"/>
      <c r="HP19" s="333"/>
      <c r="HQ19" s="333"/>
      <c r="HR19" s="333"/>
      <c r="HS19" s="333"/>
      <c r="HT19" s="333"/>
      <c r="HU19" s="333"/>
      <c r="HV19" s="333"/>
      <c r="HW19" s="333"/>
      <c r="HX19" s="333"/>
      <c r="HY19" s="333"/>
      <c r="HZ19" s="333"/>
      <c r="IA19" s="333"/>
      <c r="IB19" s="333"/>
      <c r="IC19" s="333"/>
      <c r="ID19" s="333"/>
      <c r="IE19" s="333"/>
      <c r="IF19" s="333"/>
      <c r="IG19" s="333"/>
      <c r="IH19" s="333"/>
      <c r="II19" s="333"/>
      <c r="IJ19" s="333"/>
      <c r="IK19" s="333"/>
      <c r="IL19" s="333"/>
      <c r="IM19" s="333"/>
      <c r="IN19" s="333"/>
      <c r="IO19" s="333"/>
      <c r="IP19" s="333"/>
      <c r="IQ19" s="333"/>
      <c r="IR19" s="333"/>
      <c r="IS19" s="333"/>
      <c r="IT19" s="333"/>
      <c r="IU19" s="333"/>
      <c r="IV19" s="333"/>
      <c r="IW19" s="333"/>
      <c r="IX19" s="333"/>
      <c r="IY19" s="333"/>
      <c r="IZ19" s="333"/>
      <c r="JA19" s="333"/>
      <c r="JB19" s="333"/>
      <c r="JC19" s="333"/>
      <c r="JD19" s="333"/>
      <c r="JE19" s="333"/>
      <c r="JF19" s="333"/>
      <c r="JG19" s="333"/>
      <c r="JH19" s="333"/>
      <c r="JI19" s="333"/>
      <c r="JJ19" s="333"/>
      <c r="JK19" s="333"/>
      <c r="JL19" s="333"/>
      <c r="JM19" s="333"/>
      <c r="JN19" s="333"/>
      <c r="JO19" s="333"/>
      <c r="JP19" s="333"/>
      <c r="JQ19" s="333"/>
      <c r="JR19" s="333"/>
      <c r="JS19" s="333"/>
      <c r="JT19" s="333"/>
      <c r="JU19" s="333"/>
      <c r="JV19" s="333"/>
      <c r="JW19" s="333"/>
      <c r="JX19" s="333"/>
      <c r="JY19" s="333"/>
      <c r="JZ19" s="333"/>
      <c r="KA19" s="333"/>
      <c r="KB19" s="333"/>
      <c r="KC19" s="333"/>
      <c r="KD19" s="333"/>
      <c r="KE19" s="333"/>
      <c r="KF19" s="333"/>
      <c r="KG19" s="333"/>
      <c r="KH19" s="333"/>
      <c r="KI19" s="333"/>
      <c r="KJ19" s="333"/>
      <c r="KK19" s="333"/>
      <c r="KL19" s="333"/>
      <c r="KM19" s="333"/>
      <c r="KN19" s="333"/>
      <c r="KO19" s="333"/>
      <c r="KP19" s="333"/>
      <c r="KQ19" s="333"/>
      <c r="KR19" s="333"/>
      <c r="KS19" s="333"/>
      <c r="KT19" s="333"/>
      <c r="KU19" s="333"/>
      <c r="KV19" s="333"/>
      <c r="KW19" s="333"/>
      <c r="KX19" s="333"/>
      <c r="KY19" s="333"/>
      <c r="KZ19" s="333"/>
      <c r="LA19" s="333"/>
      <c r="LB19" s="333"/>
      <c r="LC19" s="333"/>
      <c r="LD19" s="333"/>
      <c r="LE19" s="333"/>
      <c r="LF19" s="333"/>
      <c r="LG19" s="333"/>
      <c r="LH19" s="333"/>
      <c r="LI19" s="333"/>
      <c r="LJ19" s="333"/>
      <c r="LK19" s="333"/>
      <c r="LL19" s="333"/>
      <c r="LM19" s="333"/>
    </row>
    <row r="20" spans="1:325">
      <c r="A20" s="310" t="str">
        <f>IF(OR(Data3!B9="Grand Total",Data3!B9=0),"",Data3!B9)</f>
        <v>E.1.4.</v>
      </c>
      <c r="B20" s="309" t="s">
        <v>536</v>
      </c>
      <c r="C20" s="347">
        <f ca="1">IFERROR(VLOOKUP(A20,Rezultatai!$B$44:$C$106,2,FALSE),"")</f>
        <v>0</v>
      </c>
      <c r="D20" s="339"/>
      <c r="E20" s="346"/>
      <c r="F20" s="336"/>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333"/>
      <c r="BX20" s="333"/>
      <c r="BY20" s="333"/>
      <c r="BZ20" s="333"/>
      <c r="CA20" s="333"/>
      <c r="CB20" s="333"/>
      <c r="CC20" s="333"/>
      <c r="CD20" s="333"/>
      <c r="CE20" s="333"/>
      <c r="CF20" s="333"/>
      <c r="CG20" s="333"/>
      <c r="CH20" s="333"/>
      <c r="CI20" s="333"/>
      <c r="CJ20" s="333"/>
      <c r="CK20" s="333"/>
      <c r="CL20" s="333"/>
      <c r="CM20" s="333"/>
      <c r="CN20" s="333"/>
      <c r="CO20" s="333"/>
      <c r="CP20" s="333"/>
      <c r="CQ20" s="333"/>
      <c r="CR20" s="333"/>
      <c r="CS20" s="333"/>
      <c r="CT20" s="333"/>
      <c r="CU20" s="333"/>
      <c r="CV20" s="333"/>
      <c r="CW20" s="333"/>
      <c r="CX20" s="333"/>
      <c r="CY20" s="333"/>
      <c r="CZ20" s="333"/>
      <c r="DA20" s="333"/>
      <c r="DB20" s="333"/>
      <c r="DC20" s="333"/>
      <c r="DD20" s="333"/>
      <c r="DE20" s="333"/>
      <c r="DF20" s="333"/>
      <c r="DG20" s="333"/>
      <c r="DH20" s="333"/>
      <c r="DI20" s="333"/>
      <c r="DJ20" s="333"/>
      <c r="DK20" s="333"/>
      <c r="DL20" s="333"/>
      <c r="DM20" s="333"/>
      <c r="DN20" s="333"/>
      <c r="DO20" s="333"/>
      <c r="DP20" s="333"/>
      <c r="DQ20" s="333"/>
      <c r="DR20" s="333"/>
      <c r="DS20" s="333"/>
      <c r="DT20" s="333"/>
      <c r="DU20" s="333"/>
      <c r="DV20" s="333"/>
      <c r="DW20" s="333"/>
      <c r="DX20" s="333"/>
      <c r="DY20" s="333"/>
      <c r="DZ20" s="333"/>
      <c r="EA20" s="333"/>
      <c r="EB20" s="333"/>
      <c r="EC20" s="333"/>
      <c r="ED20" s="333"/>
      <c r="EE20" s="333"/>
      <c r="EF20" s="333"/>
      <c r="EG20" s="333"/>
      <c r="EH20" s="333"/>
      <c r="EI20" s="333"/>
      <c r="EJ20" s="333"/>
      <c r="EK20" s="333"/>
      <c r="EL20" s="333"/>
      <c r="EM20" s="333"/>
      <c r="EN20" s="333"/>
      <c r="EO20" s="333"/>
      <c r="EP20" s="333"/>
      <c r="EQ20" s="333"/>
      <c r="ER20" s="333"/>
      <c r="ES20" s="333"/>
      <c r="ET20" s="333"/>
      <c r="EU20" s="333"/>
      <c r="EV20" s="333"/>
      <c r="EW20" s="333"/>
      <c r="EX20" s="333"/>
      <c r="EY20" s="333"/>
      <c r="EZ20" s="333"/>
      <c r="FA20" s="333"/>
      <c r="FB20" s="333"/>
      <c r="FC20" s="333"/>
      <c r="FD20" s="333"/>
      <c r="FE20" s="333"/>
      <c r="FF20" s="333"/>
      <c r="FG20" s="333"/>
      <c r="FH20" s="333"/>
      <c r="FI20" s="333"/>
      <c r="FJ20" s="333"/>
      <c r="FK20" s="333"/>
      <c r="FL20" s="333"/>
      <c r="FM20" s="333"/>
      <c r="FN20" s="333"/>
      <c r="FO20" s="333"/>
      <c r="FP20" s="333"/>
      <c r="FQ20" s="333"/>
      <c r="FR20" s="333"/>
      <c r="FS20" s="333"/>
      <c r="FT20" s="333"/>
      <c r="FU20" s="333"/>
      <c r="FV20" s="333"/>
      <c r="FW20" s="333"/>
      <c r="FX20" s="333"/>
      <c r="FY20" s="333"/>
      <c r="FZ20" s="333"/>
      <c r="GA20" s="333"/>
      <c r="GB20" s="333"/>
      <c r="GC20" s="333"/>
      <c r="GD20" s="333"/>
      <c r="GE20" s="333"/>
      <c r="GF20" s="333"/>
      <c r="GG20" s="333"/>
      <c r="GH20" s="333"/>
      <c r="GI20" s="333"/>
      <c r="GJ20" s="333"/>
      <c r="GK20" s="333"/>
      <c r="GL20" s="333"/>
      <c r="GM20" s="333"/>
      <c r="GN20" s="333"/>
      <c r="GO20" s="333"/>
      <c r="GP20" s="333"/>
      <c r="GQ20" s="333"/>
      <c r="GR20" s="333"/>
      <c r="GS20" s="333"/>
      <c r="GT20" s="333"/>
      <c r="GU20" s="333"/>
      <c r="GV20" s="333"/>
      <c r="GW20" s="333"/>
      <c r="GX20" s="333"/>
      <c r="GY20" s="333"/>
      <c r="GZ20" s="333"/>
      <c r="HA20" s="333"/>
      <c r="HB20" s="333"/>
      <c r="HC20" s="333"/>
      <c r="HD20" s="333"/>
      <c r="HE20" s="333"/>
      <c r="HF20" s="333"/>
      <c r="HG20" s="333"/>
      <c r="HH20" s="333"/>
      <c r="HI20" s="333"/>
      <c r="HJ20" s="333"/>
      <c r="HK20" s="333"/>
      <c r="HL20" s="333"/>
      <c r="HM20" s="333"/>
      <c r="HN20" s="333"/>
      <c r="HO20" s="333"/>
      <c r="HP20" s="333"/>
      <c r="HQ20" s="333"/>
      <c r="HR20" s="333"/>
      <c r="HS20" s="333"/>
      <c r="HT20" s="333"/>
      <c r="HU20" s="333"/>
      <c r="HV20" s="333"/>
      <c r="HW20" s="333"/>
      <c r="HX20" s="333"/>
      <c r="HY20" s="333"/>
      <c r="HZ20" s="333"/>
      <c r="IA20" s="333"/>
      <c r="IB20" s="333"/>
      <c r="IC20" s="333"/>
      <c r="ID20" s="333"/>
      <c r="IE20" s="333"/>
      <c r="IF20" s="333"/>
      <c r="IG20" s="333"/>
      <c r="IH20" s="333"/>
      <c r="II20" s="333"/>
      <c r="IJ20" s="333"/>
      <c r="IK20" s="333"/>
      <c r="IL20" s="333"/>
      <c r="IM20" s="333"/>
      <c r="IN20" s="333"/>
      <c r="IO20" s="333"/>
      <c r="IP20" s="333"/>
      <c r="IQ20" s="333"/>
      <c r="IR20" s="333"/>
      <c r="IS20" s="333"/>
      <c r="IT20" s="333"/>
      <c r="IU20" s="333"/>
      <c r="IV20" s="333"/>
      <c r="IW20" s="333"/>
      <c r="IX20" s="333"/>
      <c r="IY20" s="333"/>
      <c r="IZ20" s="333"/>
      <c r="JA20" s="333"/>
      <c r="JB20" s="333"/>
      <c r="JC20" s="333"/>
      <c r="JD20" s="333"/>
      <c r="JE20" s="333"/>
      <c r="JF20" s="333"/>
      <c r="JG20" s="333"/>
      <c r="JH20" s="333"/>
      <c r="JI20" s="333"/>
      <c r="JJ20" s="333"/>
      <c r="JK20" s="333"/>
      <c r="JL20" s="333"/>
      <c r="JM20" s="333"/>
      <c r="JN20" s="333"/>
      <c r="JO20" s="333"/>
      <c r="JP20" s="333"/>
      <c r="JQ20" s="333"/>
      <c r="JR20" s="333"/>
      <c r="JS20" s="333"/>
      <c r="JT20" s="333"/>
      <c r="JU20" s="333"/>
      <c r="JV20" s="333"/>
      <c r="JW20" s="333"/>
      <c r="JX20" s="333"/>
      <c r="JY20" s="333"/>
      <c r="JZ20" s="333"/>
      <c r="KA20" s="333"/>
      <c r="KB20" s="333"/>
      <c r="KC20" s="333"/>
      <c r="KD20" s="333"/>
      <c r="KE20" s="333"/>
      <c r="KF20" s="333"/>
      <c r="KG20" s="333"/>
      <c r="KH20" s="333"/>
      <c r="KI20" s="333"/>
      <c r="KJ20" s="333"/>
      <c r="KK20" s="333"/>
      <c r="KL20" s="333"/>
      <c r="KM20" s="333"/>
      <c r="KN20" s="333"/>
      <c r="KO20" s="333"/>
      <c r="KP20" s="333"/>
      <c r="KQ20" s="333"/>
      <c r="KR20" s="333"/>
      <c r="KS20" s="333"/>
      <c r="KT20" s="333"/>
      <c r="KU20" s="333"/>
      <c r="KV20" s="333"/>
      <c r="KW20" s="333"/>
      <c r="KX20" s="333"/>
      <c r="KY20" s="333"/>
      <c r="KZ20" s="333"/>
      <c r="LA20" s="333"/>
      <c r="LB20" s="333"/>
      <c r="LC20" s="333"/>
      <c r="LD20" s="333"/>
      <c r="LE20" s="333"/>
      <c r="LF20" s="333"/>
      <c r="LG20" s="333"/>
      <c r="LH20" s="333"/>
      <c r="LI20" s="333"/>
      <c r="LJ20" s="333"/>
      <c r="LK20" s="333"/>
      <c r="LL20" s="333"/>
      <c r="LM20" s="333"/>
    </row>
    <row r="21" spans="1:325">
      <c r="A21" s="310" t="str">
        <f>IF(OR(Data3!B10="Grand Total",Data3!B10=0),"",Data3!B10)</f>
        <v>E.1.5.</v>
      </c>
      <c r="B21" s="309" t="s">
        <v>537</v>
      </c>
      <c r="C21" s="347">
        <f ca="1">IFERROR(VLOOKUP(A21,Rezultatai!$B$44:$C$106,2,FALSE),"")</f>
        <v>0</v>
      </c>
      <c r="D21" s="339"/>
      <c r="E21" s="346"/>
      <c r="F21" s="336"/>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333"/>
      <c r="BX21" s="333"/>
      <c r="BY21" s="333"/>
      <c r="BZ21" s="333"/>
      <c r="CA21" s="333"/>
      <c r="CB21" s="333"/>
      <c r="CC21" s="333"/>
      <c r="CD21" s="333"/>
      <c r="CE21" s="333"/>
      <c r="CF21" s="333"/>
      <c r="CG21" s="333"/>
      <c r="CH21" s="333"/>
      <c r="CI21" s="333"/>
      <c r="CJ21" s="333"/>
      <c r="CK21" s="333"/>
      <c r="CL21" s="333"/>
      <c r="CM21" s="333"/>
      <c r="CN21" s="333"/>
      <c r="CO21" s="333"/>
      <c r="CP21" s="333"/>
      <c r="CQ21" s="333"/>
      <c r="CR21" s="333"/>
      <c r="CS21" s="333"/>
      <c r="CT21" s="333"/>
      <c r="CU21" s="333"/>
      <c r="CV21" s="333"/>
      <c r="CW21" s="333"/>
      <c r="CX21" s="333"/>
      <c r="CY21" s="333"/>
      <c r="CZ21" s="333"/>
      <c r="DA21" s="333"/>
      <c r="DB21" s="333"/>
      <c r="DC21" s="333"/>
      <c r="DD21" s="333"/>
      <c r="DE21" s="333"/>
      <c r="DF21" s="333"/>
      <c r="DG21" s="333"/>
      <c r="DH21" s="333"/>
      <c r="DI21" s="333"/>
      <c r="DJ21" s="333"/>
      <c r="DK21" s="333"/>
      <c r="DL21" s="333"/>
      <c r="DM21" s="333"/>
      <c r="DN21" s="333"/>
      <c r="DO21" s="333"/>
      <c r="DP21" s="333"/>
      <c r="DQ21" s="333"/>
      <c r="DR21" s="333"/>
      <c r="DS21" s="333"/>
      <c r="DT21" s="333"/>
      <c r="DU21" s="333"/>
      <c r="DV21" s="333"/>
      <c r="DW21" s="333"/>
      <c r="DX21" s="333"/>
      <c r="DY21" s="333"/>
      <c r="DZ21" s="333"/>
      <c r="EA21" s="333"/>
      <c r="EB21" s="333"/>
      <c r="EC21" s="333"/>
      <c r="ED21" s="333"/>
      <c r="EE21" s="333"/>
      <c r="EF21" s="333"/>
      <c r="EG21" s="333"/>
      <c r="EH21" s="333"/>
      <c r="EI21" s="333"/>
      <c r="EJ21" s="333"/>
      <c r="EK21" s="333"/>
      <c r="EL21" s="333"/>
      <c r="EM21" s="333"/>
      <c r="EN21" s="333"/>
      <c r="EO21" s="333"/>
      <c r="EP21" s="333"/>
      <c r="EQ21" s="333"/>
      <c r="ER21" s="333"/>
      <c r="ES21" s="333"/>
      <c r="ET21" s="333"/>
      <c r="EU21" s="333"/>
      <c r="EV21" s="333"/>
      <c r="EW21" s="333"/>
      <c r="EX21" s="333"/>
      <c r="EY21" s="333"/>
      <c r="EZ21" s="333"/>
      <c r="FA21" s="333"/>
      <c r="FB21" s="333"/>
      <c r="FC21" s="333"/>
      <c r="FD21" s="333"/>
      <c r="FE21" s="333"/>
      <c r="FF21" s="333"/>
      <c r="FG21" s="333"/>
      <c r="FH21" s="333"/>
      <c r="FI21" s="333"/>
      <c r="FJ21" s="333"/>
      <c r="FK21" s="333"/>
      <c r="FL21" s="333"/>
      <c r="FM21" s="333"/>
      <c r="FN21" s="333"/>
      <c r="FO21" s="333"/>
      <c r="FP21" s="333"/>
      <c r="FQ21" s="333"/>
      <c r="FR21" s="333"/>
      <c r="FS21" s="333"/>
      <c r="FT21" s="333"/>
      <c r="FU21" s="333"/>
      <c r="FV21" s="333"/>
      <c r="FW21" s="333"/>
      <c r="FX21" s="333"/>
      <c r="FY21" s="333"/>
      <c r="FZ21" s="333"/>
      <c r="GA21" s="333"/>
      <c r="GB21" s="333"/>
      <c r="GC21" s="333"/>
      <c r="GD21" s="333"/>
      <c r="GE21" s="333"/>
      <c r="GF21" s="333"/>
      <c r="GG21" s="333"/>
      <c r="GH21" s="333"/>
      <c r="GI21" s="333"/>
      <c r="GJ21" s="333"/>
      <c r="GK21" s="333"/>
      <c r="GL21" s="333"/>
      <c r="GM21" s="333"/>
      <c r="GN21" s="333"/>
      <c r="GO21" s="333"/>
      <c r="GP21" s="333"/>
      <c r="GQ21" s="333"/>
      <c r="GR21" s="333"/>
      <c r="GS21" s="333"/>
      <c r="GT21" s="333"/>
      <c r="GU21" s="333"/>
      <c r="GV21" s="333"/>
      <c r="GW21" s="333"/>
      <c r="GX21" s="333"/>
      <c r="GY21" s="333"/>
      <c r="GZ21" s="333"/>
      <c r="HA21" s="333"/>
      <c r="HB21" s="333"/>
      <c r="HC21" s="333"/>
      <c r="HD21" s="333"/>
      <c r="HE21" s="333"/>
      <c r="HF21" s="333"/>
      <c r="HG21" s="333"/>
      <c r="HH21" s="333"/>
      <c r="HI21" s="333"/>
      <c r="HJ21" s="333"/>
      <c r="HK21" s="333"/>
      <c r="HL21" s="333"/>
      <c r="HM21" s="333"/>
      <c r="HN21" s="333"/>
      <c r="HO21" s="333"/>
      <c r="HP21" s="333"/>
      <c r="HQ21" s="333"/>
      <c r="HR21" s="333"/>
      <c r="HS21" s="333"/>
      <c r="HT21" s="333"/>
      <c r="HU21" s="333"/>
      <c r="HV21" s="333"/>
      <c r="HW21" s="333"/>
      <c r="HX21" s="333"/>
      <c r="HY21" s="333"/>
      <c r="HZ21" s="333"/>
      <c r="IA21" s="333"/>
      <c r="IB21" s="333"/>
      <c r="IC21" s="333"/>
      <c r="ID21" s="333"/>
      <c r="IE21" s="333"/>
      <c r="IF21" s="333"/>
      <c r="IG21" s="333"/>
      <c r="IH21" s="333"/>
      <c r="II21" s="333"/>
      <c r="IJ21" s="333"/>
      <c r="IK21" s="333"/>
      <c r="IL21" s="333"/>
      <c r="IM21" s="333"/>
      <c r="IN21" s="333"/>
      <c r="IO21" s="333"/>
      <c r="IP21" s="333"/>
      <c r="IQ21" s="333"/>
      <c r="IR21" s="333"/>
      <c r="IS21" s="333"/>
      <c r="IT21" s="333"/>
      <c r="IU21" s="333"/>
      <c r="IV21" s="333"/>
      <c r="IW21" s="333"/>
      <c r="IX21" s="333"/>
      <c r="IY21" s="333"/>
      <c r="IZ21" s="333"/>
      <c r="JA21" s="333"/>
      <c r="JB21" s="333"/>
      <c r="JC21" s="333"/>
      <c r="JD21" s="333"/>
      <c r="JE21" s="333"/>
      <c r="JF21" s="333"/>
      <c r="JG21" s="333"/>
      <c r="JH21" s="333"/>
      <c r="JI21" s="333"/>
      <c r="JJ21" s="333"/>
      <c r="JK21" s="333"/>
      <c r="JL21" s="333"/>
      <c r="JM21" s="333"/>
      <c r="JN21" s="333"/>
      <c r="JO21" s="333"/>
      <c r="JP21" s="333"/>
      <c r="JQ21" s="333"/>
      <c r="JR21" s="333"/>
      <c r="JS21" s="333"/>
      <c r="JT21" s="333"/>
      <c r="JU21" s="333"/>
      <c r="JV21" s="333"/>
      <c r="JW21" s="333"/>
      <c r="JX21" s="333"/>
      <c r="JY21" s="333"/>
      <c r="JZ21" s="333"/>
      <c r="KA21" s="333"/>
      <c r="KB21" s="333"/>
      <c r="KC21" s="333"/>
      <c r="KD21" s="333"/>
      <c r="KE21" s="333"/>
      <c r="KF21" s="333"/>
      <c r="KG21" s="333"/>
      <c r="KH21" s="333"/>
      <c r="KI21" s="333"/>
      <c r="KJ21" s="333"/>
      <c r="KK21" s="333"/>
      <c r="KL21" s="333"/>
      <c r="KM21" s="333"/>
      <c r="KN21" s="333"/>
      <c r="KO21" s="333"/>
      <c r="KP21" s="333"/>
      <c r="KQ21" s="333"/>
      <c r="KR21" s="333"/>
      <c r="KS21" s="333"/>
      <c r="KT21" s="333"/>
      <c r="KU21" s="333"/>
      <c r="KV21" s="333"/>
      <c r="KW21" s="333"/>
      <c r="KX21" s="333"/>
      <c r="KY21" s="333"/>
      <c r="KZ21" s="333"/>
      <c r="LA21" s="333"/>
      <c r="LB21" s="333"/>
      <c r="LC21" s="333"/>
      <c r="LD21" s="333"/>
      <c r="LE21" s="333"/>
      <c r="LF21" s="333"/>
      <c r="LG21" s="333"/>
      <c r="LH21" s="333"/>
      <c r="LI21" s="333"/>
      <c r="LJ21" s="333"/>
      <c r="LK21" s="333"/>
      <c r="LL21" s="333"/>
      <c r="LM21" s="333"/>
    </row>
    <row r="22" spans="1:325">
      <c r="A22" s="310" t="str">
        <f>IF(OR(Data3!B11="Grand Total",Data3!B11=0),"",Data3!B11)</f>
        <v>E.1.6.</v>
      </c>
      <c r="B22" s="309" t="s">
        <v>538</v>
      </c>
      <c r="C22" s="347">
        <f ca="1">IFERROR(VLOOKUP(A22,Rezultatai!$B$44:$C$106,2,FALSE),"")</f>
        <v>0</v>
      </c>
      <c r="D22" s="339"/>
      <c r="E22" s="346"/>
      <c r="F22" s="336"/>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c r="BR22" s="333"/>
      <c r="BS22" s="333"/>
      <c r="BT22" s="333"/>
      <c r="BU22" s="333"/>
      <c r="BV22" s="333"/>
      <c r="BW22" s="333"/>
      <c r="BX22" s="333"/>
      <c r="BY22" s="333"/>
      <c r="BZ22" s="333"/>
      <c r="CA22" s="333"/>
      <c r="CB22" s="333"/>
      <c r="CC22" s="333"/>
      <c r="CD22" s="333"/>
      <c r="CE22" s="333"/>
      <c r="CF22" s="333"/>
      <c r="CG22" s="333"/>
      <c r="CH22" s="333"/>
      <c r="CI22" s="333"/>
      <c r="CJ22" s="333"/>
      <c r="CK22" s="333"/>
      <c r="CL22" s="333"/>
      <c r="CM22" s="333"/>
      <c r="CN22" s="333"/>
      <c r="CO22" s="333"/>
      <c r="CP22" s="333"/>
      <c r="CQ22" s="333"/>
      <c r="CR22" s="333"/>
      <c r="CS22" s="333"/>
      <c r="CT22" s="333"/>
      <c r="CU22" s="333"/>
      <c r="CV22" s="333"/>
      <c r="CW22" s="333"/>
      <c r="CX22" s="333"/>
      <c r="CY22" s="333"/>
      <c r="CZ22" s="333"/>
      <c r="DA22" s="333"/>
      <c r="DB22" s="333"/>
      <c r="DC22" s="333"/>
      <c r="DD22" s="333"/>
      <c r="DE22" s="333"/>
      <c r="DF22" s="333"/>
      <c r="DG22" s="333"/>
      <c r="DH22" s="333"/>
      <c r="DI22" s="333"/>
      <c r="DJ22" s="333"/>
      <c r="DK22" s="333"/>
      <c r="DL22" s="333"/>
      <c r="DM22" s="333"/>
      <c r="DN22" s="333"/>
      <c r="DO22" s="333"/>
      <c r="DP22" s="333"/>
      <c r="DQ22" s="333"/>
      <c r="DR22" s="333"/>
      <c r="DS22" s="333"/>
      <c r="DT22" s="333"/>
      <c r="DU22" s="333"/>
      <c r="DV22" s="333"/>
      <c r="DW22" s="333"/>
      <c r="DX22" s="333"/>
      <c r="DY22" s="333"/>
      <c r="DZ22" s="333"/>
      <c r="EA22" s="333"/>
      <c r="EB22" s="333"/>
      <c r="EC22" s="333"/>
      <c r="ED22" s="333"/>
      <c r="EE22" s="333"/>
      <c r="EF22" s="333"/>
      <c r="EG22" s="333"/>
      <c r="EH22" s="333"/>
      <c r="EI22" s="333"/>
      <c r="EJ22" s="333"/>
      <c r="EK22" s="333"/>
      <c r="EL22" s="333"/>
      <c r="EM22" s="333"/>
      <c r="EN22" s="333"/>
      <c r="EO22" s="333"/>
      <c r="EP22" s="333"/>
      <c r="EQ22" s="333"/>
      <c r="ER22" s="333"/>
      <c r="ES22" s="333"/>
      <c r="ET22" s="333"/>
      <c r="EU22" s="333"/>
      <c r="EV22" s="333"/>
      <c r="EW22" s="333"/>
      <c r="EX22" s="333"/>
      <c r="EY22" s="333"/>
      <c r="EZ22" s="333"/>
      <c r="FA22" s="333"/>
      <c r="FB22" s="333"/>
      <c r="FC22" s="333"/>
      <c r="FD22" s="333"/>
      <c r="FE22" s="333"/>
      <c r="FF22" s="333"/>
      <c r="FG22" s="333"/>
      <c r="FH22" s="333"/>
      <c r="FI22" s="333"/>
      <c r="FJ22" s="333"/>
      <c r="FK22" s="333"/>
      <c r="FL22" s="333"/>
      <c r="FM22" s="333"/>
      <c r="FN22" s="333"/>
      <c r="FO22" s="333"/>
      <c r="FP22" s="333"/>
      <c r="FQ22" s="333"/>
      <c r="FR22" s="333"/>
      <c r="FS22" s="333"/>
      <c r="FT22" s="333"/>
      <c r="FU22" s="333"/>
      <c r="FV22" s="333"/>
      <c r="FW22" s="333"/>
      <c r="FX22" s="333"/>
      <c r="FY22" s="333"/>
      <c r="FZ22" s="333"/>
      <c r="GA22" s="333"/>
      <c r="GB22" s="333"/>
      <c r="GC22" s="333"/>
      <c r="GD22" s="333"/>
      <c r="GE22" s="333"/>
      <c r="GF22" s="333"/>
      <c r="GG22" s="333"/>
      <c r="GH22" s="333"/>
      <c r="GI22" s="333"/>
      <c r="GJ22" s="333"/>
      <c r="GK22" s="333"/>
      <c r="GL22" s="333"/>
      <c r="GM22" s="333"/>
      <c r="GN22" s="333"/>
      <c r="GO22" s="333"/>
      <c r="GP22" s="333"/>
      <c r="GQ22" s="333"/>
      <c r="GR22" s="333"/>
      <c r="GS22" s="333"/>
      <c r="GT22" s="333"/>
      <c r="GU22" s="333"/>
      <c r="GV22" s="333"/>
      <c r="GW22" s="333"/>
      <c r="GX22" s="333"/>
      <c r="GY22" s="333"/>
      <c r="GZ22" s="333"/>
      <c r="HA22" s="333"/>
      <c r="HB22" s="333"/>
      <c r="HC22" s="333"/>
      <c r="HD22" s="333"/>
      <c r="HE22" s="333"/>
      <c r="HF22" s="333"/>
      <c r="HG22" s="333"/>
      <c r="HH22" s="333"/>
      <c r="HI22" s="333"/>
      <c r="HJ22" s="333"/>
      <c r="HK22" s="333"/>
      <c r="HL22" s="333"/>
      <c r="HM22" s="333"/>
      <c r="HN22" s="333"/>
      <c r="HO22" s="333"/>
      <c r="HP22" s="333"/>
      <c r="HQ22" s="333"/>
      <c r="HR22" s="333"/>
      <c r="HS22" s="333"/>
      <c r="HT22" s="333"/>
      <c r="HU22" s="333"/>
      <c r="HV22" s="333"/>
      <c r="HW22" s="333"/>
      <c r="HX22" s="333"/>
      <c r="HY22" s="333"/>
      <c r="HZ22" s="333"/>
      <c r="IA22" s="333"/>
      <c r="IB22" s="333"/>
      <c r="IC22" s="333"/>
      <c r="ID22" s="333"/>
      <c r="IE22" s="333"/>
      <c r="IF22" s="333"/>
      <c r="IG22" s="333"/>
      <c r="IH22" s="333"/>
      <c r="II22" s="333"/>
      <c r="IJ22" s="333"/>
      <c r="IK22" s="333"/>
      <c r="IL22" s="333"/>
      <c r="IM22" s="333"/>
      <c r="IN22" s="333"/>
      <c r="IO22" s="333"/>
      <c r="IP22" s="333"/>
      <c r="IQ22" s="333"/>
      <c r="IR22" s="333"/>
      <c r="IS22" s="333"/>
      <c r="IT22" s="333"/>
      <c r="IU22" s="333"/>
      <c r="IV22" s="333"/>
      <c r="IW22" s="333"/>
      <c r="IX22" s="333"/>
      <c r="IY22" s="333"/>
      <c r="IZ22" s="333"/>
      <c r="JA22" s="333"/>
      <c r="JB22" s="333"/>
      <c r="JC22" s="333"/>
      <c r="JD22" s="333"/>
      <c r="JE22" s="333"/>
      <c r="JF22" s="333"/>
      <c r="JG22" s="333"/>
      <c r="JH22" s="333"/>
      <c r="JI22" s="333"/>
      <c r="JJ22" s="333"/>
      <c r="JK22" s="333"/>
      <c r="JL22" s="333"/>
      <c r="JM22" s="333"/>
      <c r="JN22" s="333"/>
      <c r="JO22" s="333"/>
      <c r="JP22" s="333"/>
      <c r="JQ22" s="333"/>
      <c r="JR22" s="333"/>
      <c r="JS22" s="333"/>
      <c r="JT22" s="333"/>
      <c r="JU22" s="333"/>
      <c r="JV22" s="333"/>
      <c r="JW22" s="333"/>
      <c r="JX22" s="333"/>
      <c r="JY22" s="333"/>
      <c r="JZ22" s="333"/>
      <c r="KA22" s="333"/>
      <c r="KB22" s="333"/>
      <c r="KC22" s="333"/>
      <c r="KD22" s="333"/>
      <c r="KE22" s="333"/>
      <c r="KF22" s="333"/>
      <c r="KG22" s="333"/>
      <c r="KH22" s="333"/>
      <c r="KI22" s="333"/>
      <c r="KJ22" s="333"/>
      <c r="KK22" s="333"/>
      <c r="KL22" s="333"/>
      <c r="KM22" s="333"/>
      <c r="KN22" s="333"/>
      <c r="KO22" s="333"/>
      <c r="KP22" s="333"/>
      <c r="KQ22" s="333"/>
      <c r="KR22" s="333"/>
      <c r="KS22" s="333"/>
      <c r="KT22" s="333"/>
      <c r="KU22" s="333"/>
      <c r="KV22" s="333"/>
      <c r="KW22" s="333"/>
      <c r="KX22" s="333"/>
      <c r="KY22" s="333"/>
      <c r="KZ22" s="333"/>
      <c r="LA22" s="333"/>
      <c r="LB22" s="333"/>
      <c r="LC22" s="333"/>
      <c r="LD22" s="333"/>
      <c r="LE22" s="333"/>
      <c r="LF22" s="333"/>
      <c r="LG22" s="333"/>
      <c r="LH22" s="333"/>
      <c r="LI22" s="333"/>
      <c r="LJ22" s="333"/>
      <c r="LK22" s="333"/>
      <c r="LL22" s="333"/>
      <c r="LM22" s="333"/>
    </row>
    <row r="23" spans="1:325">
      <c r="A23" s="310" t="str">
        <f>IF(OR(Data3!B12="Grand Total",Data3!B12=0),"",Data3!B12)</f>
        <v>E.1.7.</v>
      </c>
      <c r="B23" s="309" t="s">
        <v>539</v>
      </c>
      <c r="C23" s="347">
        <f ca="1">IFERROR(VLOOKUP(A23,Rezultatai!$B$44:$C$106,2,FALSE),"")</f>
        <v>0</v>
      </c>
      <c r="D23" s="339"/>
      <c r="E23" s="346"/>
      <c r="F23" s="336"/>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3"/>
      <c r="BJ23" s="333"/>
      <c r="BK23" s="333"/>
      <c r="BL23" s="333"/>
      <c r="BM23" s="333"/>
      <c r="BN23" s="333"/>
      <c r="BO23" s="333"/>
      <c r="BP23" s="333"/>
      <c r="BQ23" s="333"/>
      <c r="BR23" s="333"/>
      <c r="BS23" s="333"/>
      <c r="BT23" s="333"/>
      <c r="BU23" s="333"/>
      <c r="BV23" s="333"/>
      <c r="BW23" s="333"/>
      <c r="BX23" s="333"/>
      <c r="BY23" s="333"/>
      <c r="BZ23" s="333"/>
      <c r="CA23" s="333"/>
      <c r="CB23" s="333"/>
      <c r="CC23" s="333"/>
      <c r="CD23" s="333"/>
      <c r="CE23" s="333"/>
      <c r="CF23" s="333"/>
      <c r="CG23" s="333"/>
      <c r="CH23" s="333"/>
      <c r="CI23" s="333"/>
      <c r="CJ23" s="333"/>
      <c r="CK23" s="333"/>
      <c r="CL23" s="333"/>
      <c r="CM23" s="333"/>
      <c r="CN23" s="333"/>
      <c r="CO23" s="333"/>
      <c r="CP23" s="333"/>
      <c r="CQ23" s="333"/>
      <c r="CR23" s="333"/>
      <c r="CS23" s="333"/>
      <c r="CT23" s="333"/>
      <c r="CU23" s="333"/>
      <c r="CV23" s="333"/>
      <c r="CW23" s="333"/>
      <c r="CX23" s="333"/>
      <c r="CY23" s="333"/>
      <c r="CZ23" s="333"/>
      <c r="DA23" s="333"/>
      <c r="DB23" s="333"/>
      <c r="DC23" s="333"/>
      <c r="DD23" s="333"/>
      <c r="DE23" s="333"/>
      <c r="DF23" s="333"/>
      <c r="DG23" s="333"/>
      <c r="DH23" s="333"/>
      <c r="DI23" s="333"/>
      <c r="DJ23" s="333"/>
      <c r="DK23" s="333"/>
      <c r="DL23" s="333"/>
      <c r="DM23" s="333"/>
      <c r="DN23" s="333"/>
      <c r="DO23" s="333"/>
      <c r="DP23" s="333"/>
      <c r="DQ23" s="333"/>
      <c r="DR23" s="333"/>
      <c r="DS23" s="333"/>
      <c r="DT23" s="333"/>
      <c r="DU23" s="333"/>
      <c r="DV23" s="333"/>
      <c r="DW23" s="333"/>
      <c r="DX23" s="333"/>
      <c r="DY23" s="333"/>
      <c r="DZ23" s="333"/>
      <c r="EA23" s="333"/>
      <c r="EB23" s="333"/>
      <c r="EC23" s="333"/>
      <c r="ED23" s="333"/>
      <c r="EE23" s="333"/>
      <c r="EF23" s="333"/>
      <c r="EG23" s="333"/>
      <c r="EH23" s="333"/>
      <c r="EI23" s="333"/>
      <c r="EJ23" s="333"/>
      <c r="EK23" s="333"/>
      <c r="EL23" s="333"/>
      <c r="EM23" s="333"/>
      <c r="EN23" s="333"/>
      <c r="EO23" s="333"/>
      <c r="EP23" s="333"/>
      <c r="EQ23" s="333"/>
      <c r="ER23" s="333"/>
      <c r="ES23" s="333"/>
      <c r="ET23" s="333"/>
      <c r="EU23" s="333"/>
      <c r="EV23" s="333"/>
      <c r="EW23" s="333"/>
      <c r="EX23" s="333"/>
      <c r="EY23" s="333"/>
      <c r="EZ23" s="333"/>
      <c r="FA23" s="333"/>
      <c r="FB23" s="333"/>
      <c r="FC23" s="333"/>
      <c r="FD23" s="333"/>
      <c r="FE23" s="333"/>
      <c r="FF23" s="333"/>
      <c r="FG23" s="333"/>
      <c r="FH23" s="333"/>
      <c r="FI23" s="333"/>
      <c r="FJ23" s="333"/>
      <c r="FK23" s="333"/>
      <c r="FL23" s="333"/>
      <c r="FM23" s="333"/>
      <c r="FN23" s="333"/>
      <c r="FO23" s="333"/>
      <c r="FP23" s="333"/>
      <c r="FQ23" s="333"/>
      <c r="FR23" s="333"/>
      <c r="FS23" s="333"/>
      <c r="FT23" s="333"/>
      <c r="FU23" s="333"/>
      <c r="FV23" s="333"/>
      <c r="FW23" s="333"/>
      <c r="FX23" s="333"/>
      <c r="FY23" s="333"/>
      <c r="FZ23" s="333"/>
      <c r="GA23" s="333"/>
      <c r="GB23" s="333"/>
      <c r="GC23" s="333"/>
      <c r="GD23" s="333"/>
      <c r="GE23" s="333"/>
      <c r="GF23" s="333"/>
      <c r="GG23" s="333"/>
      <c r="GH23" s="333"/>
      <c r="GI23" s="333"/>
      <c r="GJ23" s="333"/>
      <c r="GK23" s="333"/>
      <c r="GL23" s="333"/>
      <c r="GM23" s="333"/>
      <c r="GN23" s="333"/>
      <c r="GO23" s="333"/>
      <c r="GP23" s="333"/>
      <c r="GQ23" s="333"/>
      <c r="GR23" s="333"/>
      <c r="GS23" s="333"/>
      <c r="GT23" s="333"/>
      <c r="GU23" s="333"/>
      <c r="GV23" s="333"/>
      <c r="GW23" s="333"/>
      <c r="GX23" s="333"/>
      <c r="GY23" s="333"/>
      <c r="GZ23" s="333"/>
      <c r="HA23" s="333"/>
      <c r="HB23" s="333"/>
      <c r="HC23" s="333"/>
      <c r="HD23" s="333"/>
      <c r="HE23" s="333"/>
      <c r="HF23" s="333"/>
      <c r="HG23" s="333"/>
      <c r="HH23" s="333"/>
      <c r="HI23" s="333"/>
      <c r="HJ23" s="333"/>
      <c r="HK23" s="333"/>
      <c r="HL23" s="333"/>
      <c r="HM23" s="333"/>
      <c r="HN23" s="333"/>
      <c r="HO23" s="333"/>
      <c r="HP23" s="333"/>
      <c r="HQ23" s="333"/>
      <c r="HR23" s="333"/>
      <c r="HS23" s="333"/>
      <c r="HT23" s="333"/>
      <c r="HU23" s="333"/>
      <c r="HV23" s="333"/>
      <c r="HW23" s="333"/>
      <c r="HX23" s="333"/>
      <c r="HY23" s="333"/>
      <c r="HZ23" s="333"/>
      <c r="IA23" s="333"/>
      <c r="IB23" s="333"/>
      <c r="IC23" s="333"/>
      <c r="ID23" s="333"/>
      <c r="IE23" s="333"/>
      <c r="IF23" s="333"/>
      <c r="IG23" s="333"/>
      <c r="IH23" s="333"/>
      <c r="II23" s="333"/>
      <c r="IJ23" s="333"/>
      <c r="IK23" s="333"/>
      <c r="IL23" s="333"/>
      <c r="IM23" s="333"/>
      <c r="IN23" s="333"/>
      <c r="IO23" s="333"/>
      <c r="IP23" s="333"/>
      <c r="IQ23" s="333"/>
      <c r="IR23" s="333"/>
      <c r="IS23" s="333"/>
      <c r="IT23" s="333"/>
      <c r="IU23" s="333"/>
      <c r="IV23" s="333"/>
      <c r="IW23" s="333"/>
      <c r="IX23" s="333"/>
      <c r="IY23" s="333"/>
      <c r="IZ23" s="333"/>
      <c r="JA23" s="333"/>
      <c r="JB23" s="333"/>
      <c r="JC23" s="333"/>
      <c r="JD23" s="333"/>
      <c r="JE23" s="333"/>
      <c r="JF23" s="333"/>
      <c r="JG23" s="333"/>
      <c r="JH23" s="333"/>
      <c r="JI23" s="333"/>
      <c r="JJ23" s="333"/>
      <c r="JK23" s="333"/>
      <c r="JL23" s="333"/>
      <c r="JM23" s="333"/>
      <c r="JN23" s="333"/>
      <c r="JO23" s="333"/>
      <c r="JP23" s="333"/>
      <c r="JQ23" s="333"/>
      <c r="JR23" s="333"/>
      <c r="JS23" s="333"/>
      <c r="JT23" s="333"/>
      <c r="JU23" s="333"/>
      <c r="JV23" s="333"/>
      <c r="JW23" s="333"/>
      <c r="JX23" s="333"/>
      <c r="JY23" s="333"/>
      <c r="JZ23" s="333"/>
      <c r="KA23" s="333"/>
      <c r="KB23" s="333"/>
      <c r="KC23" s="333"/>
      <c r="KD23" s="333"/>
      <c r="KE23" s="333"/>
      <c r="KF23" s="333"/>
      <c r="KG23" s="333"/>
      <c r="KH23" s="333"/>
      <c r="KI23" s="333"/>
      <c r="KJ23" s="333"/>
      <c r="KK23" s="333"/>
      <c r="KL23" s="333"/>
      <c r="KM23" s="333"/>
      <c r="KN23" s="333"/>
      <c r="KO23" s="333"/>
      <c r="KP23" s="333"/>
      <c r="KQ23" s="333"/>
      <c r="KR23" s="333"/>
      <c r="KS23" s="333"/>
      <c r="KT23" s="333"/>
      <c r="KU23" s="333"/>
      <c r="KV23" s="333"/>
      <c r="KW23" s="333"/>
      <c r="KX23" s="333"/>
      <c r="KY23" s="333"/>
      <c r="KZ23" s="333"/>
      <c r="LA23" s="333"/>
      <c r="LB23" s="333"/>
      <c r="LC23" s="333"/>
      <c r="LD23" s="333"/>
      <c r="LE23" s="333"/>
      <c r="LF23" s="333"/>
      <c r="LG23" s="333"/>
      <c r="LH23" s="333"/>
      <c r="LI23" s="333"/>
      <c r="LJ23" s="333"/>
      <c r="LK23" s="333"/>
      <c r="LL23" s="333"/>
      <c r="LM23" s="333"/>
    </row>
    <row r="24" spans="1:325">
      <c r="A24" s="310" t="str">
        <f>IF(OR(Data3!B13="Grand Total",Data3!B13=0),"",Data3!B13)</f>
        <v>E.2.1.</v>
      </c>
      <c r="B24" s="309" t="s">
        <v>540</v>
      </c>
      <c r="C24" s="347" t="str">
        <f ca="1">IFERROR(VLOOKUP(A24,Rezultatai!$B$44:$C$106,2,FALSE),"")</f>
        <v>Indijos–Ramiojo vandenynų regiono politikos studijų programos/-ų parengimas Lietuvos universitetuose</v>
      </c>
      <c r="D24" s="339"/>
      <c r="E24" s="346"/>
      <c r="F24" s="336"/>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3"/>
      <c r="BJ24" s="333"/>
      <c r="BK24" s="333"/>
      <c r="BL24" s="333"/>
      <c r="BM24" s="333"/>
      <c r="BN24" s="333"/>
      <c r="BO24" s="333"/>
      <c r="BP24" s="333"/>
      <c r="BQ24" s="333"/>
      <c r="BR24" s="333"/>
      <c r="BS24" s="333"/>
      <c r="BT24" s="333"/>
      <c r="BU24" s="333"/>
      <c r="BV24" s="333"/>
      <c r="BW24" s="333"/>
      <c r="BX24" s="333"/>
      <c r="BY24" s="333"/>
      <c r="BZ24" s="333"/>
      <c r="CA24" s="333"/>
      <c r="CB24" s="333"/>
      <c r="CC24" s="333"/>
      <c r="CD24" s="333"/>
      <c r="CE24" s="333"/>
      <c r="CF24" s="333"/>
      <c r="CG24" s="333"/>
      <c r="CH24" s="333"/>
      <c r="CI24" s="333"/>
      <c r="CJ24" s="333"/>
      <c r="CK24" s="333"/>
      <c r="CL24" s="333"/>
      <c r="CM24" s="333"/>
      <c r="CN24" s="333"/>
      <c r="CO24" s="333"/>
      <c r="CP24" s="333"/>
      <c r="CQ24" s="333"/>
      <c r="CR24" s="333"/>
      <c r="CS24" s="333"/>
      <c r="CT24" s="333"/>
      <c r="CU24" s="333"/>
      <c r="CV24" s="333"/>
      <c r="CW24" s="333"/>
      <c r="CX24" s="333"/>
      <c r="CY24" s="333"/>
      <c r="CZ24" s="333"/>
      <c r="DA24" s="333"/>
      <c r="DB24" s="333"/>
      <c r="DC24" s="333"/>
      <c r="DD24" s="333"/>
      <c r="DE24" s="333"/>
      <c r="DF24" s="333"/>
      <c r="DG24" s="333"/>
      <c r="DH24" s="333"/>
      <c r="DI24" s="333"/>
      <c r="DJ24" s="333"/>
      <c r="DK24" s="333"/>
      <c r="DL24" s="333"/>
      <c r="DM24" s="333"/>
      <c r="DN24" s="333"/>
      <c r="DO24" s="333"/>
      <c r="DP24" s="333"/>
      <c r="DQ24" s="333"/>
      <c r="DR24" s="333"/>
      <c r="DS24" s="333"/>
      <c r="DT24" s="333"/>
      <c r="DU24" s="333"/>
      <c r="DV24" s="333"/>
      <c r="DW24" s="333"/>
      <c r="DX24" s="333"/>
      <c r="DY24" s="333"/>
      <c r="DZ24" s="333"/>
      <c r="EA24" s="333"/>
      <c r="EB24" s="333"/>
      <c r="EC24" s="333"/>
      <c r="ED24" s="333"/>
      <c r="EE24" s="333"/>
      <c r="EF24" s="333"/>
      <c r="EG24" s="333"/>
      <c r="EH24" s="333"/>
      <c r="EI24" s="333"/>
      <c r="EJ24" s="333"/>
      <c r="EK24" s="333"/>
      <c r="EL24" s="333"/>
      <c r="EM24" s="333"/>
      <c r="EN24" s="333"/>
      <c r="EO24" s="333"/>
      <c r="EP24" s="333"/>
      <c r="EQ24" s="333"/>
      <c r="ER24" s="333"/>
      <c r="ES24" s="333"/>
      <c r="ET24" s="333"/>
      <c r="EU24" s="333"/>
      <c r="EV24" s="333"/>
      <c r="EW24" s="333"/>
      <c r="EX24" s="333"/>
      <c r="EY24" s="333"/>
      <c r="EZ24" s="333"/>
      <c r="FA24" s="333"/>
      <c r="FB24" s="333"/>
      <c r="FC24" s="333"/>
      <c r="FD24" s="333"/>
      <c r="FE24" s="333"/>
      <c r="FF24" s="333"/>
      <c r="FG24" s="333"/>
      <c r="FH24" s="333"/>
      <c r="FI24" s="333"/>
      <c r="FJ24" s="333"/>
      <c r="FK24" s="333"/>
      <c r="FL24" s="333"/>
      <c r="FM24" s="333"/>
      <c r="FN24" s="333"/>
      <c r="FO24" s="333"/>
      <c r="FP24" s="333"/>
      <c r="FQ24" s="333"/>
      <c r="FR24" s="333"/>
      <c r="FS24" s="333"/>
      <c r="FT24" s="333"/>
      <c r="FU24" s="333"/>
      <c r="FV24" s="333"/>
      <c r="FW24" s="333"/>
      <c r="FX24" s="333"/>
      <c r="FY24" s="333"/>
      <c r="FZ24" s="333"/>
      <c r="GA24" s="333"/>
      <c r="GB24" s="333"/>
      <c r="GC24" s="333"/>
      <c r="GD24" s="333"/>
      <c r="GE24" s="333"/>
      <c r="GF24" s="333"/>
      <c r="GG24" s="333"/>
      <c r="GH24" s="333"/>
      <c r="GI24" s="333"/>
      <c r="GJ24" s="333"/>
      <c r="GK24" s="333"/>
      <c r="GL24" s="333"/>
      <c r="GM24" s="333"/>
      <c r="GN24" s="333"/>
      <c r="GO24" s="333"/>
      <c r="GP24" s="333"/>
      <c r="GQ24" s="333"/>
      <c r="GR24" s="333"/>
      <c r="GS24" s="333"/>
      <c r="GT24" s="333"/>
      <c r="GU24" s="333"/>
      <c r="GV24" s="333"/>
      <c r="GW24" s="333"/>
      <c r="GX24" s="333"/>
      <c r="GY24" s="333"/>
      <c r="GZ24" s="333"/>
      <c r="HA24" s="333"/>
      <c r="HB24" s="333"/>
      <c r="HC24" s="333"/>
      <c r="HD24" s="333"/>
      <c r="HE24" s="333"/>
      <c r="HF24" s="333"/>
      <c r="HG24" s="333"/>
      <c r="HH24" s="333"/>
      <c r="HI24" s="333"/>
      <c r="HJ24" s="333"/>
      <c r="HK24" s="333"/>
      <c r="HL24" s="333"/>
      <c r="HM24" s="333"/>
      <c r="HN24" s="333"/>
      <c r="HO24" s="333"/>
      <c r="HP24" s="333"/>
      <c r="HQ24" s="333"/>
      <c r="HR24" s="333"/>
      <c r="HS24" s="333"/>
      <c r="HT24" s="333"/>
      <c r="HU24" s="333"/>
      <c r="HV24" s="333"/>
      <c r="HW24" s="333"/>
      <c r="HX24" s="333"/>
      <c r="HY24" s="333"/>
      <c r="HZ24" s="333"/>
      <c r="IA24" s="333"/>
      <c r="IB24" s="333"/>
      <c r="IC24" s="333"/>
      <c r="ID24" s="333"/>
      <c r="IE24" s="333"/>
      <c r="IF24" s="333"/>
      <c r="IG24" s="333"/>
      <c r="IH24" s="333"/>
      <c r="II24" s="333"/>
      <c r="IJ24" s="333"/>
      <c r="IK24" s="333"/>
      <c r="IL24" s="333"/>
      <c r="IM24" s="333"/>
      <c r="IN24" s="333"/>
      <c r="IO24" s="333"/>
      <c r="IP24" s="333"/>
      <c r="IQ24" s="333"/>
      <c r="IR24" s="333"/>
      <c r="IS24" s="333"/>
      <c r="IT24" s="333"/>
      <c r="IU24" s="333"/>
      <c r="IV24" s="333"/>
      <c r="IW24" s="333"/>
      <c r="IX24" s="333"/>
      <c r="IY24" s="333"/>
      <c r="IZ24" s="333"/>
      <c r="JA24" s="333"/>
      <c r="JB24" s="333"/>
      <c r="JC24" s="333"/>
      <c r="JD24" s="333"/>
      <c r="JE24" s="333"/>
      <c r="JF24" s="333"/>
      <c r="JG24" s="333"/>
      <c r="JH24" s="333"/>
      <c r="JI24" s="333"/>
      <c r="JJ24" s="333"/>
      <c r="JK24" s="333"/>
      <c r="JL24" s="333"/>
      <c r="JM24" s="333"/>
      <c r="JN24" s="333"/>
      <c r="JO24" s="333"/>
      <c r="JP24" s="333"/>
      <c r="JQ24" s="333"/>
      <c r="JR24" s="333"/>
      <c r="JS24" s="333"/>
      <c r="JT24" s="333"/>
      <c r="JU24" s="333"/>
      <c r="JV24" s="333"/>
      <c r="JW24" s="333"/>
      <c r="JX24" s="333"/>
      <c r="JY24" s="333"/>
      <c r="JZ24" s="333"/>
      <c r="KA24" s="333"/>
      <c r="KB24" s="333"/>
      <c r="KC24" s="333"/>
      <c r="KD24" s="333"/>
      <c r="KE24" s="333"/>
      <c r="KF24" s="333"/>
      <c r="KG24" s="333"/>
      <c r="KH24" s="333"/>
      <c r="KI24" s="333"/>
      <c r="KJ24" s="333"/>
      <c r="KK24" s="333"/>
      <c r="KL24" s="333"/>
      <c r="KM24" s="333"/>
      <c r="KN24" s="333"/>
      <c r="KO24" s="333"/>
      <c r="KP24" s="333"/>
      <c r="KQ24" s="333"/>
      <c r="KR24" s="333"/>
      <c r="KS24" s="333"/>
      <c r="KT24" s="333"/>
      <c r="KU24" s="333"/>
      <c r="KV24" s="333"/>
      <c r="KW24" s="333"/>
      <c r="KX24" s="333"/>
      <c r="KY24" s="333"/>
      <c r="KZ24" s="333"/>
      <c r="LA24" s="333"/>
      <c r="LB24" s="333"/>
      <c r="LC24" s="333"/>
      <c r="LD24" s="333"/>
      <c r="LE24" s="333"/>
      <c r="LF24" s="333"/>
      <c r="LG24" s="333"/>
      <c r="LH24" s="333"/>
      <c r="LI24" s="333"/>
      <c r="LJ24" s="333"/>
      <c r="LK24" s="333"/>
      <c r="LL24" s="333"/>
      <c r="LM24" s="333"/>
    </row>
    <row r="25" spans="1:325">
      <c r="A25" s="310" t="str">
        <f>IF(OR(Data3!B14="Grand Total",Data3!B14=0),"",Data3!B14)</f>
        <v>E.3.1.</v>
      </c>
      <c r="B25" s="309" t="s">
        <v>541</v>
      </c>
      <c r="C25" s="347" t="str">
        <f ca="1">IFERROR(VLOOKUP(A25,Rezultatai!$B$44:$C$106,2,FALSE),"")</f>
        <v>Ekonominės diplomatijos funkcijų stiprinimas</v>
      </c>
      <c r="D25" s="339"/>
      <c r="E25" s="346"/>
      <c r="F25" s="336"/>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c r="HN25" s="333"/>
      <c r="HO25" s="333"/>
      <c r="HP25" s="333"/>
      <c r="HQ25" s="333"/>
      <c r="HR25" s="333"/>
      <c r="HS25" s="333"/>
      <c r="HT25" s="333"/>
      <c r="HU25" s="333"/>
      <c r="HV25" s="333"/>
      <c r="HW25" s="333"/>
      <c r="HX25" s="333"/>
      <c r="HY25" s="333"/>
      <c r="HZ25" s="333"/>
      <c r="IA25" s="333"/>
      <c r="IB25" s="333"/>
      <c r="IC25" s="333"/>
      <c r="ID25" s="333"/>
      <c r="IE25" s="333"/>
      <c r="IF25" s="333"/>
      <c r="IG25" s="333"/>
      <c r="IH25" s="333"/>
      <c r="II25" s="333"/>
      <c r="IJ25" s="333"/>
      <c r="IK25" s="333"/>
      <c r="IL25" s="333"/>
      <c r="IM25" s="333"/>
      <c r="IN25" s="333"/>
      <c r="IO25" s="333"/>
      <c r="IP25" s="333"/>
      <c r="IQ25" s="333"/>
      <c r="IR25" s="333"/>
      <c r="IS25" s="333"/>
      <c r="IT25" s="333"/>
      <c r="IU25" s="333"/>
      <c r="IV25" s="333"/>
      <c r="IW25" s="333"/>
      <c r="IX25" s="333"/>
      <c r="IY25" s="333"/>
      <c r="IZ25" s="333"/>
      <c r="JA25" s="333"/>
      <c r="JB25" s="333"/>
      <c r="JC25" s="333"/>
      <c r="JD25" s="333"/>
      <c r="JE25" s="333"/>
      <c r="JF25" s="333"/>
      <c r="JG25" s="333"/>
      <c r="JH25" s="333"/>
      <c r="JI25" s="333"/>
      <c r="JJ25" s="333"/>
      <c r="JK25" s="333"/>
      <c r="JL25" s="333"/>
      <c r="JM25" s="333"/>
      <c r="JN25" s="333"/>
      <c r="JO25" s="333"/>
      <c r="JP25" s="333"/>
      <c r="JQ25" s="333"/>
      <c r="JR25" s="333"/>
      <c r="JS25" s="333"/>
      <c r="JT25" s="333"/>
      <c r="JU25" s="333"/>
      <c r="JV25" s="333"/>
      <c r="JW25" s="333"/>
      <c r="JX25" s="333"/>
      <c r="JY25" s="333"/>
      <c r="JZ25" s="333"/>
      <c r="KA25" s="333"/>
      <c r="KB25" s="333"/>
      <c r="KC25" s="333"/>
      <c r="KD25" s="333"/>
      <c r="KE25" s="333"/>
      <c r="KF25" s="333"/>
      <c r="KG25" s="333"/>
      <c r="KH25" s="333"/>
      <c r="KI25" s="333"/>
      <c r="KJ25" s="333"/>
      <c r="KK25" s="333"/>
      <c r="KL25" s="333"/>
      <c r="KM25" s="333"/>
      <c r="KN25" s="333"/>
      <c r="KO25" s="333"/>
      <c r="KP25" s="333"/>
      <c r="KQ25" s="333"/>
      <c r="KR25" s="333"/>
      <c r="KS25" s="333"/>
      <c r="KT25" s="333"/>
      <c r="KU25" s="333"/>
      <c r="KV25" s="333"/>
      <c r="KW25" s="333"/>
      <c r="KX25" s="333"/>
      <c r="KY25" s="333"/>
      <c r="KZ25" s="333"/>
      <c r="LA25" s="333"/>
      <c r="LB25" s="333"/>
      <c r="LC25" s="333"/>
      <c r="LD25" s="333"/>
      <c r="LE25" s="333"/>
      <c r="LF25" s="333"/>
      <c r="LG25" s="333"/>
      <c r="LH25" s="333"/>
      <c r="LI25" s="333"/>
      <c r="LJ25" s="333"/>
      <c r="LK25" s="333"/>
      <c r="LL25" s="333"/>
      <c r="LM25" s="333"/>
    </row>
    <row r="26" spans="1:325">
      <c r="A26" s="310" t="str">
        <f>IF(OR(Data3!B15="Grand Total",Data3!B15=0),"",Data3!B15)</f>
        <v>E.3.2.</v>
      </c>
      <c r="B26" s="309" t="s">
        <v>542</v>
      </c>
      <c r="C26" s="347" t="str">
        <f ca="1">IFERROR(VLOOKUP(A26,Rezultatai!$B$44:$C$106,2,FALSE),"")</f>
        <v>Darbo su diaspora funkcijų stiprinimas</v>
      </c>
      <c r="D26" s="339"/>
      <c r="E26" s="346"/>
      <c r="F26" s="336"/>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c r="HN26" s="333"/>
      <c r="HO26" s="333"/>
      <c r="HP26" s="333"/>
      <c r="HQ26" s="333"/>
      <c r="HR26" s="333"/>
      <c r="HS26" s="333"/>
      <c r="HT26" s="333"/>
      <c r="HU26" s="333"/>
      <c r="HV26" s="333"/>
      <c r="HW26" s="333"/>
      <c r="HX26" s="333"/>
      <c r="HY26" s="333"/>
      <c r="HZ26" s="333"/>
      <c r="IA26" s="333"/>
      <c r="IB26" s="333"/>
      <c r="IC26" s="333"/>
      <c r="ID26" s="333"/>
      <c r="IE26" s="333"/>
      <c r="IF26" s="333"/>
      <c r="IG26" s="333"/>
      <c r="IH26" s="333"/>
      <c r="II26" s="333"/>
      <c r="IJ26" s="333"/>
      <c r="IK26" s="333"/>
      <c r="IL26" s="333"/>
      <c r="IM26" s="333"/>
      <c r="IN26" s="333"/>
      <c r="IO26" s="333"/>
      <c r="IP26" s="333"/>
      <c r="IQ26" s="333"/>
      <c r="IR26" s="333"/>
      <c r="IS26" s="333"/>
      <c r="IT26" s="333"/>
      <c r="IU26" s="333"/>
      <c r="IV26" s="333"/>
      <c r="IW26" s="333"/>
      <c r="IX26" s="333"/>
      <c r="IY26" s="333"/>
      <c r="IZ26" s="333"/>
      <c r="JA26" s="333"/>
      <c r="JB26" s="333"/>
      <c r="JC26" s="333"/>
      <c r="JD26" s="333"/>
      <c r="JE26" s="333"/>
      <c r="JF26" s="333"/>
      <c r="JG26" s="333"/>
      <c r="JH26" s="333"/>
      <c r="JI26" s="333"/>
      <c r="JJ26" s="333"/>
      <c r="JK26" s="333"/>
      <c r="JL26" s="333"/>
      <c r="JM26" s="333"/>
      <c r="JN26" s="333"/>
      <c r="JO26" s="333"/>
      <c r="JP26" s="333"/>
      <c r="JQ26" s="333"/>
      <c r="JR26" s="333"/>
      <c r="JS26" s="333"/>
      <c r="JT26" s="333"/>
      <c r="JU26" s="333"/>
      <c r="JV26" s="333"/>
      <c r="JW26" s="333"/>
      <c r="JX26" s="333"/>
      <c r="JY26" s="333"/>
      <c r="JZ26" s="333"/>
      <c r="KA26" s="333"/>
      <c r="KB26" s="333"/>
      <c r="KC26" s="333"/>
      <c r="KD26" s="333"/>
      <c r="KE26" s="333"/>
      <c r="KF26" s="333"/>
      <c r="KG26" s="333"/>
      <c r="KH26" s="333"/>
      <c r="KI26" s="333"/>
      <c r="KJ26" s="333"/>
      <c r="KK26" s="333"/>
      <c r="KL26" s="333"/>
      <c r="KM26" s="333"/>
      <c r="KN26" s="333"/>
      <c r="KO26" s="333"/>
      <c r="KP26" s="333"/>
      <c r="KQ26" s="333"/>
      <c r="KR26" s="333"/>
      <c r="KS26" s="333"/>
      <c r="KT26" s="333"/>
      <c r="KU26" s="333"/>
      <c r="KV26" s="333"/>
      <c r="KW26" s="333"/>
      <c r="KX26" s="333"/>
      <c r="KY26" s="333"/>
      <c r="KZ26" s="333"/>
      <c r="LA26" s="333"/>
      <c r="LB26" s="333"/>
      <c r="LC26" s="333"/>
      <c r="LD26" s="333"/>
      <c r="LE26" s="333"/>
      <c r="LF26" s="333"/>
      <c r="LG26" s="333"/>
      <c r="LH26" s="333"/>
      <c r="LI26" s="333"/>
      <c r="LJ26" s="333"/>
      <c r="LK26" s="333"/>
      <c r="LL26" s="333"/>
      <c r="LM26" s="333"/>
    </row>
    <row r="27" spans="1:325">
      <c r="A27" s="310" t="str">
        <f>IF(OR(Data3!B16="Grand Total",Data3!B16=0),"",Data3!B16)</f>
        <v>E.3.3.</v>
      </c>
      <c r="B27" s="309" t="s">
        <v>543</v>
      </c>
      <c r="C27" s="347" t="str">
        <f ca="1">IFERROR(VLOOKUP(A27,Rezultatai!$B$44:$C$106,2,FALSE),"")</f>
        <v xml:space="preserve">Kursai diplomatams, dirbantiems su fondas Indijos–Ramiojo vandenynų regionu </v>
      </c>
      <c r="D27" s="339"/>
      <c r="E27" s="346"/>
      <c r="F27" s="336"/>
      <c r="G27" s="333"/>
      <c r="H27" s="333"/>
      <c r="I27" s="333"/>
      <c r="J27" s="333"/>
      <c r="K27" s="333"/>
      <c r="L27" s="333"/>
      <c r="M27" s="333"/>
      <c r="N27" s="333"/>
      <c r="O27" s="333"/>
      <c r="P27" s="333"/>
      <c r="Q27" s="333"/>
      <c r="R27" s="333"/>
      <c r="S27" s="333"/>
      <c r="T27" s="333"/>
      <c r="U27" s="333"/>
      <c r="V27" s="333"/>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c r="HN27" s="333"/>
      <c r="HO27" s="333"/>
      <c r="HP27" s="333"/>
      <c r="HQ27" s="333"/>
      <c r="HR27" s="333"/>
      <c r="HS27" s="333"/>
      <c r="HT27" s="333"/>
      <c r="HU27" s="333"/>
      <c r="HV27" s="333"/>
      <c r="HW27" s="333"/>
      <c r="HX27" s="333"/>
      <c r="HY27" s="333"/>
      <c r="HZ27" s="333"/>
      <c r="IA27" s="333"/>
      <c r="IB27" s="333"/>
      <c r="IC27" s="333"/>
      <c r="ID27" s="333"/>
      <c r="IE27" s="333"/>
      <c r="IF27" s="333"/>
      <c r="IG27" s="333"/>
      <c r="IH27" s="333"/>
      <c r="II27" s="333"/>
      <c r="IJ27" s="333"/>
      <c r="IK27" s="333"/>
      <c r="IL27" s="333"/>
      <c r="IM27" s="333"/>
      <c r="IN27" s="333"/>
      <c r="IO27" s="333"/>
      <c r="IP27" s="333"/>
      <c r="IQ27" s="333"/>
      <c r="IR27" s="333"/>
      <c r="IS27" s="333"/>
      <c r="IT27" s="333"/>
      <c r="IU27" s="333"/>
      <c r="IV27" s="333"/>
      <c r="IW27" s="333"/>
      <c r="IX27" s="333"/>
      <c r="IY27" s="333"/>
      <c r="IZ27" s="333"/>
      <c r="JA27" s="333"/>
      <c r="JB27" s="333"/>
      <c r="JC27" s="333"/>
      <c r="JD27" s="333"/>
      <c r="JE27" s="333"/>
      <c r="JF27" s="333"/>
      <c r="JG27" s="333"/>
      <c r="JH27" s="333"/>
      <c r="JI27" s="333"/>
      <c r="JJ27" s="333"/>
      <c r="JK27" s="333"/>
      <c r="JL27" s="333"/>
      <c r="JM27" s="333"/>
      <c r="JN27" s="333"/>
      <c r="JO27" s="333"/>
      <c r="JP27" s="333"/>
      <c r="JQ27" s="333"/>
      <c r="JR27" s="333"/>
      <c r="JS27" s="333"/>
      <c r="JT27" s="333"/>
      <c r="JU27" s="333"/>
      <c r="JV27" s="333"/>
      <c r="JW27" s="333"/>
      <c r="JX27" s="333"/>
      <c r="JY27" s="333"/>
      <c r="JZ27" s="333"/>
      <c r="KA27" s="333"/>
      <c r="KB27" s="333"/>
      <c r="KC27" s="333"/>
      <c r="KD27" s="333"/>
      <c r="KE27" s="333"/>
      <c r="KF27" s="333"/>
      <c r="KG27" s="333"/>
      <c r="KH27" s="333"/>
      <c r="KI27" s="333"/>
      <c r="KJ27" s="333"/>
      <c r="KK27" s="333"/>
      <c r="KL27" s="333"/>
      <c r="KM27" s="333"/>
      <c r="KN27" s="333"/>
      <c r="KO27" s="333"/>
      <c r="KP27" s="333"/>
      <c r="KQ27" s="333"/>
      <c r="KR27" s="333"/>
      <c r="KS27" s="333"/>
      <c r="KT27" s="333"/>
      <c r="KU27" s="333"/>
      <c r="KV27" s="333"/>
      <c r="KW27" s="333"/>
      <c r="KX27" s="333"/>
      <c r="KY27" s="333"/>
      <c r="KZ27" s="333"/>
      <c r="LA27" s="333"/>
      <c r="LB27" s="333"/>
      <c r="LC27" s="333"/>
      <c r="LD27" s="333"/>
      <c r="LE27" s="333"/>
      <c r="LF27" s="333"/>
      <c r="LG27" s="333"/>
      <c r="LH27" s="333"/>
      <c r="LI27" s="333"/>
      <c r="LJ27" s="333"/>
      <c r="LK27" s="333"/>
      <c r="LL27" s="333"/>
      <c r="LM27" s="333"/>
    </row>
    <row r="28" spans="1:325">
      <c r="A28" s="310" t="str">
        <f>IF(OR(Data3!B17="Grand Total",Data3!B17=0),"",Data3!B17)</f>
        <v>E.3.4.</v>
      </c>
      <c r="B28" s="309" t="s">
        <v>544</v>
      </c>
      <c r="C28" s="347" t="str">
        <f ca="1">IFERROR(VLOOKUP(A28,Rezultatai!$B$44:$C$106,2,FALSE),"")</f>
        <v>Stipendijų fondas Indijos–Ramiojo vandenynų regiono studijų studentams</v>
      </c>
      <c r="D28" s="339"/>
      <c r="E28" s="346"/>
      <c r="F28" s="336"/>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c r="HN28" s="333"/>
      <c r="HO28" s="333"/>
      <c r="HP28" s="333"/>
      <c r="HQ28" s="333"/>
      <c r="HR28" s="333"/>
      <c r="HS28" s="333"/>
      <c r="HT28" s="333"/>
      <c r="HU28" s="333"/>
      <c r="HV28" s="333"/>
      <c r="HW28" s="333"/>
      <c r="HX28" s="333"/>
      <c r="HY28" s="333"/>
      <c r="HZ28" s="333"/>
      <c r="IA28" s="333"/>
      <c r="IB28" s="333"/>
      <c r="IC28" s="333"/>
      <c r="ID28" s="333"/>
      <c r="IE28" s="333"/>
      <c r="IF28" s="333"/>
      <c r="IG28" s="333"/>
      <c r="IH28" s="333"/>
      <c r="II28" s="333"/>
      <c r="IJ28" s="333"/>
      <c r="IK28" s="333"/>
      <c r="IL28" s="333"/>
      <c r="IM28" s="333"/>
      <c r="IN28" s="333"/>
      <c r="IO28" s="333"/>
      <c r="IP28" s="333"/>
      <c r="IQ28" s="333"/>
      <c r="IR28" s="333"/>
      <c r="IS28" s="333"/>
      <c r="IT28" s="333"/>
      <c r="IU28" s="333"/>
      <c r="IV28" s="333"/>
      <c r="IW28" s="333"/>
      <c r="IX28" s="333"/>
      <c r="IY28" s="333"/>
      <c r="IZ28" s="333"/>
      <c r="JA28" s="333"/>
      <c r="JB28" s="333"/>
      <c r="JC28" s="333"/>
      <c r="JD28" s="333"/>
      <c r="JE28" s="333"/>
      <c r="JF28" s="333"/>
      <c r="JG28" s="333"/>
      <c r="JH28" s="333"/>
      <c r="JI28" s="333"/>
      <c r="JJ28" s="333"/>
      <c r="JK28" s="333"/>
      <c r="JL28" s="333"/>
      <c r="JM28" s="333"/>
      <c r="JN28" s="333"/>
      <c r="JO28" s="333"/>
      <c r="JP28" s="333"/>
      <c r="JQ28" s="333"/>
      <c r="JR28" s="333"/>
      <c r="JS28" s="333"/>
      <c r="JT28" s="333"/>
      <c r="JU28" s="333"/>
      <c r="JV28" s="333"/>
      <c r="JW28" s="333"/>
      <c r="JX28" s="333"/>
      <c r="JY28" s="333"/>
      <c r="JZ28" s="333"/>
      <c r="KA28" s="333"/>
      <c r="KB28" s="333"/>
      <c r="KC28" s="333"/>
      <c r="KD28" s="333"/>
      <c r="KE28" s="333"/>
      <c r="KF28" s="333"/>
      <c r="KG28" s="333"/>
      <c r="KH28" s="333"/>
      <c r="KI28" s="333"/>
      <c r="KJ28" s="333"/>
      <c r="KK28" s="333"/>
      <c r="KL28" s="333"/>
      <c r="KM28" s="333"/>
      <c r="KN28" s="333"/>
      <c r="KO28" s="333"/>
      <c r="KP28" s="333"/>
      <c r="KQ28" s="333"/>
      <c r="KR28" s="333"/>
      <c r="KS28" s="333"/>
      <c r="KT28" s="333"/>
      <c r="KU28" s="333"/>
      <c r="KV28" s="333"/>
      <c r="KW28" s="333"/>
      <c r="KX28" s="333"/>
      <c r="KY28" s="333"/>
      <c r="KZ28" s="333"/>
      <c r="LA28" s="333"/>
      <c r="LB28" s="333"/>
      <c r="LC28" s="333"/>
      <c r="LD28" s="333"/>
      <c r="LE28" s="333"/>
      <c r="LF28" s="333"/>
      <c r="LG28" s="333"/>
      <c r="LH28" s="333"/>
      <c r="LI28" s="333"/>
      <c r="LJ28" s="333"/>
      <c r="LK28" s="333"/>
      <c r="LL28" s="333"/>
      <c r="LM28" s="333"/>
    </row>
    <row r="29" spans="1:325">
      <c r="A29" s="310" t="str">
        <f>IF(OR(Data3!B18="Grand Total",Data3!B18=0),"",Data3!B18)</f>
        <v>E.3.5.</v>
      </c>
      <c r="B29" s="309" t="s">
        <v>545</v>
      </c>
      <c r="C29" s="347">
        <f ca="1">IFERROR(VLOOKUP(A29,Rezultatai!$B$44:$C$106,2,FALSE),"")</f>
        <v>0</v>
      </c>
      <c r="D29" s="339"/>
      <c r="E29" s="346"/>
      <c r="F29" s="336"/>
      <c r="G29" s="333"/>
      <c r="H29" s="333"/>
      <c r="I29" s="333"/>
      <c r="J29" s="333"/>
      <c r="K29" s="333"/>
      <c r="L29" s="333"/>
      <c r="M29" s="333"/>
      <c r="N29" s="333"/>
      <c r="O29" s="333"/>
      <c r="P29" s="333"/>
      <c r="Q29" s="333"/>
      <c r="R29" s="333"/>
      <c r="S29" s="333"/>
      <c r="T29" s="333"/>
      <c r="U29" s="333"/>
      <c r="V29" s="333"/>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c r="HN29" s="333"/>
      <c r="HO29" s="333"/>
      <c r="HP29" s="333"/>
      <c r="HQ29" s="333"/>
      <c r="HR29" s="333"/>
      <c r="HS29" s="333"/>
      <c r="HT29" s="333"/>
      <c r="HU29" s="333"/>
      <c r="HV29" s="333"/>
      <c r="HW29" s="333"/>
      <c r="HX29" s="333"/>
      <c r="HY29" s="333"/>
      <c r="HZ29" s="333"/>
      <c r="IA29" s="333"/>
      <c r="IB29" s="333"/>
      <c r="IC29" s="333"/>
      <c r="ID29" s="333"/>
      <c r="IE29" s="333"/>
      <c r="IF29" s="333"/>
      <c r="IG29" s="333"/>
      <c r="IH29" s="333"/>
      <c r="II29" s="333"/>
      <c r="IJ29" s="333"/>
      <c r="IK29" s="333"/>
      <c r="IL29" s="333"/>
      <c r="IM29" s="333"/>
      <c r="IN29" s="333"/>
      <c r="IO29" s="333"/>
      <c r="IP29" s="333"/>
      <c r="IQ29" s="333"/>
      <c r="IR29" s="333"/>
      <c r="IS29" s="333"/>
      <c r="IT29" s="333"/>
      <c r="IU29" s="333"/>
      <c r="IV29" s="333"/>
      <c r="IW29" s="333"/>
      <c r="IX29" s="333"/>
      <c r="IY29" s="333"/>
      <c r="IZ29" s="333"/>
      <c r="JA29" s="333"/>
      <c r="JB29" s="333"/>
      <c r="JC29" s="333"/>
      <c r="JD29" s="333"/>
      <c r="JE29" s="333"/>
      <c r="JF29" s="333"/>
      <c r="JG29" s="333"/>
      <c r="JH29" s="333"/>
      <c r="JI29" s="333"/>
      <c r="JJ29" s="333"/>
      <c r="JK29" s="333"/>
      <c r="JL29" s="333"/>
      <c r="JM29" s="333"/>
      <c r="JN29" s="333"/>
      <c r="JO29" s="333"/>
      <c r="JP29" s="333"/>
      <c r="JQ29" s="333"/>
      <c r="JR29" s="333"/>
      <c r="JS29" s="333"/>
      <c r="JT29" s="333"/>
      <c r="JU29" s="333"/>
      <c r="JV29" s="333"/>
      <c r="JW29" s="333"/>
      <c r="JX29" s="333"/>
      <c r="JY29" s="333"/>
      <c r="JZ29" s="333"/>
      <c r="KA29" s="333"/>
      <c r="KB29" s="333"/>
      <c r="KC29" s="333"/>
      <c r="KD29" s="333"/>
      <c r="KE29" s="333"/>
      <c r="KF29" s="333"/>
      <c r="KG29" s="333"/>
      <c r="KH29" s="333"/>
      <c r="KI29" s="333"/>
      <c r="KJ29" s="333"/>
      <c r="KK29" s="333"/>
      <c r="KL29" s="333"/>
      <c r="KM29" s="333"/>
      <c r="KN29" s="333"/>
      <c r="KO29" s="333"/>
      <c r="KP29" s="333"/>
      <c r="KQ29" s="333"/>
      <c r="KR29" s="333"/>
      <c r="KS29" s="333"/>
      <c r="KT29" s="333"/>
      <c r="KU29" s="333"/>
      <c r="KV29" s="333"/>
      <c r="KW29" s="333"/>
      <c r="KX29" s="333"/>
      <c r="KY29" s="333"/>
      <c r="KZ29" s="333"/>
      <c r="LA29" s="333"/>
      <c r="LB29" s="333"/>
      <c r="LC29" s="333"/>
      <c r="LD29" s="333"/>
      <c r="LE29" s="333"/>
      <c r="LF29" s="333"/>
      <c r="LG29" s="333"/>
      <c r="LH29" s="333"/>
      <c r="LI29" s="333"/>
      <c r="LJ29" s="333"/>
      <c r="LK29" s="333"/>
      <c r="LL29" s="333"/>
      <c r="LM29" s="333"/>
    </row>
    <row r="30" spans="1:325">
      <c r="A30" s="310" t="str">
        <f>IF(OR(Data3!B19="Grand Total",Data3!B19=0),"",Data3!B19)</f>
        <v>E.3.6.</v>
      </c>
      <c r="B30" s="309" t="s">
        <v>546</v>
      </c>
      <c r="C30" s="347">
        <f ca="1">IFERROR(VLOOKUP(A30,Rezultatai!$B$44:$C$106,2,FALSE),"")</f>
        <v>0</v>
      </c>
      <c r="D30" s="339"/>
      <c r="E30" s="346"/>
      <c r="F30" s="336"/>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c r="HN30" s="333"/>
      <c r="HO30" s="333"/>
      <c r="HP30" s="333"/>
      <c r="HQ30" s="333"/>
      <c r="HR30" s="333"/>
      <c r="HS30" s="333"/>
      <c r="HT30" s="333"/>
      <c r="HU30" s="333"/>
      <c r="HV30" s="333"/>
      <c r="HW30" s="333"/>
      <c r="HX30" s="333"/>
      <c r="HY30" s="333"/>
      <c r="HZ30" s="333"/>
      <c r="IA30" s="333"/>
      <c r="IB30" s="333"/>
      <c r="IC30" s="333"/>
      <c r="ID30" s="333"/>
      <c r="IE30" s="333"/>
      <c r="IF30" s="333"/>
      <c r="IG30" s="333"/>
      <c r="IH30" s="333"/>
      <c r="II30" s="333"/>
      <c r="IJ30" s="333"/>
      <c r="IK30" s="333"/>
      <c r="IL30" s="333"/>
      <c r="IM30" s="333"/>
      <c r="IN30" s="333"/>
      <c r="IO30" s="333"/>
      <c r="IP30" s="333"/>
      <c r="IQ30" s="333"/>
      <c r="IR30" s="333"/>
      <c r="IS30" s="333"/>
      <c r="IT30" s="333"/>
      <c r="IU30" s="333"/>
      <c r="IV30" s="333"/>
      <c r="IW30" s="333"/>
      <c r="IX30" s="333"/>
      <c r="IY30" s="333"/>
      <c r="IZ30" s="333"/>
      <c r="JA30" s="333"/>
      <c r="JB30" s="333"/>
      <c r="JC30" s="333"/>
      <c r="JD30" s="333"/>
      <c r="JE30" s="333"/>
      <c r="JF30" s="333"/>
      <c r="JG30" s="333"/>
      <c r="JH30" s="333"/>
      <c r="JI30" s="333"/>
      <c r="JJ30" s="333"/>
      <c r="JK30" s="333"/>
      <c r="JL30" s="333"/>
      <c r="JM30" s="333"/>
      <c r="JN30" s="333"/>
      <c r="JO30" s="333"/>
      <c r="JP30" s="333"/>
      <c r="JQ30" s="333"/>
      <c r="JR30" s="333"/>
      <c r="JS30" s="333"/>
      <c r="JT30" s="333"/>
      <c r="JU30" s="333"/>
      <c r="JV30" s="333"/>
      <c r="JW30" s="333"/>
      <c r="JX30" s="333"/>
      <c r="JY30" s="333"/>
      <c r="JZ30" s="333"/>
      <c r="KA30" s="333"/>
      <c r="KB30" s="333"/>
      <c r="KC30" s="333"/>
      <c r="KD30" s="333"/>
      <c r="KE30" s="333"/>
      <c r="KF30" s="333"/>
      <c r="KG30" s="333"/>
      <c r="KH30" s="333"/>
      <c r="KI30" s="333"/>
      <c r="KJ30" s="333"/>
      <c r="KK30" s="333"/>
      <c r="KL30" s="333"/>
      <c r="KM30" s="333"/>
      <c r="KN30" s="333"/>
      <c r="KO30" s="333"/>
      <c r="KP30" s="333"/>
      <c r="KQ30" s="333"/>
      <c r="KR30" s="333"/>
      <c r="KS30" s="333"/>
      <c r="KT30" s="333"/>
      <c r="KU30" s="333"/>
      <c r="KV30" s="333"/>
      <c r="KW30" s="333"/>
      <c r="KX30" s="333"/>
      <c r="KY30" s="333"/>
      <c r="KZ30" s="333"/>
      <c r="LA30" s="333"/>
      <c r="LB30" s="333"/>
      <c r="LC30" s="333"/>
      <c r="LD30" s="333"/>
      <c r="LE30" s="333"/>
      <c r="LF30" s="333"/>
      <c r="LG30" s="333"/>
      <c r="LH30" s="333"/>
      <c r="LI30" s="333"/>
      <c r="LJ30" s="333"/>
      <c r="LK30" s="333"/>
      <c r="LL30" s="333"/>
      <c r="LM30" s="333"/>
    </row>
    <row r="31" spans="1:325">
      <c r="A31" s="310"/>
      <c r="B31" s="350" t="s">
        <v>455</v>
      </c>
      <c r="C31" s="353" t="s">
        <v>454</v>
      </c>
      <c r="D31" s="357">
        <f>SUM(D32:D61)</f>
        <v>0</v>
      </c>
      <c r="E31" s="340"/>
      <c r="F31" s="884"/>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882"/>
      <c r="CK31" s="882"/>
      <c r="CL31" s="882"/>
      <c r="CM31" s="882"/>
      <c r="CN31" s="882"/>
      <c r="CO31" s="882"/>
      <c r="CP31" s="882"/>
      <c r="CQ31" s="882"/>
      <c r="CR31" s="882"/>
      <c r="CS31" s="882"/>
      <c r="CT31" s="882"/>
      <c r="CU31" s="882"/>
      <c r="CV31" s="882"/>
      <c r="CW31" s="882"/>
      <c r="CX31" s="882"/>
      <c r="CY31" s="882"/>
      <c r="CZ31" s="882"/>
      <c r="DA31" s="882"/>
      <c r="DB31" s="882"/>
      <c r="DC31" s="882"/>
      <c r="DD31" s="882"/>
      <c r="DE31" s="882"/>
      <c r="DF31" s="882"/>
      <c r="DG31" s="882"/>
      <c r="DH31" s="882"/>
      <c r="DI31" s="882"/>
      <c r="DJ31" s="882"/>
      <c r="DK31" s="882"/>
      <c r="DL31" s="882"/>
      <c r="DM31" s="882"/>
      <c r="DN31" s="882"/>
      <c r="DO31" s="882"/>
      <c r="DP31" s="882"/>
      <c r="DQ31" s="882"/>
      <c r="DR31" s="882"/>
      <c r="DS31" s="882"/>
      <c r="DT31" s="882"/>
      <c r="DU31" s="882"/>
      <c r="DV31" s="882"/>
      <c r="DW31" s="882"/>
      <c r="DX31" s="882"/>
      <c r="DY31" s="882"/>
      <c r="DZ31" s="882"/>
      <c r="EA31" s="882"/>
      <c r="EB31" s="882"/>
      <c r="EC31" s="882"/>
      <c r="ED31" s="882"/>
      <c r="EE31" s="882"/>
      <c r="EF31" s="882"/>
      <c r="EG31" s="882"/>
      <c r="EH31" s="882"/>
      <c r="EI31" s="882"/>
      <c r="EJ31" s="882"/>
      <c r="EK31" s="882"/>
      <c r="EL31" s="882"/>
      <c r="EM31" s="882"/>
      <c r="EN31" s="882"/>
      <c r="EO31" s="882"/>
      <c r="EP31" s="882"/>
      <c r="EQ31" s="882"/>
      <c r="ER31" s="882"/>
      <c r="ES31" s="882"/>
      <c r="ET31" s="882"/>
      <c r="EU31" s="882"/>
      <c r="EV31" s="882"/>
      <c r="EW31" s="882"/>
      <c r="EX31" s="882"/>
      <c r="EY31" s="882"/>
      <c r="EZ31" s="882"/>
      <c r="FA31" s="882"/>
      <c r="FB31" s="882"/>
      <c r="FC31" s="882"/>
      <c r="FD31" s="882"/>
      <c r="FE31" s="882"/>
      <c r="FF31" s="882"/>
      <c r="FG31" s="882"/>
      <c r="FH31" s="882"/>
      <c r="FI31" s="882"/>
      <c r="FJ31" s="882"/>
      <c r="FK31" s="882"/>
      <c r="FL31" s="882"/>
      <c r="FM31" s="882"/>
      <c r="FN31" s="882"/>
      <c r="FO31" s="882"/>
      <c r="FP31" s="882"/>
      <c r="FQ31" s="882"/>
      <c r="FR31" s="882"/>
      <c r="FS31" s="882"/>
      <c r="FT31" s="882"/>
      <c r="FU31" s="882"/>
      <c r="FV31" s="882"/>
      <c r="FW31" s="882"/>
      <c r="FX31" s="882"/>
      <c r="FY31" s="882"/>
      <c r="FZ31" s="882"/>
      <c r="GA31" s="882"/>
      <c r="GB31" s="882"/>
      <c r="GC31" s="882"/>
      <c r="GD31" s="882"/>
      <c r="GE31" s="882"/>
      <c r="GF31" s="882"/>
      <c r="GG31" s="882"/>
      <c r="GH31" s="882"/>
      <c r="GI31" s="882"/>
      <c r="GJ31" s="882"/>
      <c r="GK31" s="882"/>
      <c r="GL31" s="882"/>
      <c r="GM31" s="882"/>
      <c r="GN31" s="882"/>
      <c r="GO31" s="882"/>
      <c r="GP31" s="882"/>
      <c r="GQ31" s="882"/>
      <c r="GR31" s="882"/>
      <c r="GS31" s="882"/>
      <c r="GT31" s="882"/>
      <c r="GU31" s="882"/>
      <c r="GV31" s="882"/>
      <c r="GW31" s="882"/>
      <c r="GX31" s="882"/>
      <c r="GY31" s="882"/>
      <c r="GZ31" s="882"/>
      <c r="HA31" s="882"/>
      <c r="HB31" s="882"/>
      <c r="HC31" s="882"/>
      <c r="HD31" s="882"/>
      <c r="HE31" s="882"/>
      <c r="HF31" s="882"/>
      <c r="HG31" s="882"/>
      <c r="HH31" s="882"/>
      <c r="HI31" s="882"/>
      <c r="HJ31" s="882"/>
      <c r="HK31" s="882"/>
      <c r="HL31" s="882"/>
      <c r="HM31" s="882"/>
      <c r="HN31" s="882"/>
      <c r="HO31" s="882"/>
      <c r="HP31" s="882"/>
      <c r="HQ31" s="882"/>
      <c r="HR31" s="882"/>
      <c r="HS31" s="882"/>
      <c r="HT31" s="882"/>
      <c r="HU31" s="882"/>
      <c r="HV31" s="882"/>
      <c r="HW31" s="882"/>
      <c r="HX31" s="882"/>
      <c r="HY31" s="882"/>
      <c r="HZ31" s="882"/>
      <c r="IA31" s="882"/>
      <c r="IB31" s="882"/>
      <c r="IC31" s="882"/>
      <c r="ID31" s="882"/>
      <c r="IE31" s="882"/>
      <c r="IF31" s="882"/>
      <c r="IG31" s="882"/>
      <c r="IH31" s="882"/>
      <c r="II31" s="882"/>
      <c r="IJ31" s="882"/>
      <c r="IK31" s="882"/>
      <c r="IL31" s="882"/>
      <c r="IM31" s="882"/>
      <c r="IN31" s="882"/>
      <c r="IO31" s="882"/>
      <c r="IP31" s="882"/>
      <c r="IQ31" s="882"/>
      <c r="IR31" s="882"/>
      <c r="IS31" s="882"/>
      <c r="IT31" s="882"/>
      <c r="IU31" s="882"/>
      <c r="IV31" s="882"/>
      <c r="IW31" s="882"/>
      <c r="IX31" s="882"/>
      <c r="IY31" s="882"/>
      <c r="IZ31" s="882"/>
      <c r="JA31" s="882"/>
      <c r="JB31" s="882"/>
      <c r="JC31" s="882"/>
      <c r="JD31" s="882"/>
      <c r="JE31" s="882"/>
      <c r="JF31" s="882"/>
      <c r="JG31" s="882"/>
      <c r="JH31" s="882"/>
      <c r="JI31" s="882"/>
      <c r="JJ31" s="882"/>
      <c r="JK31" s="882"/>
      <c r="JL31" s="882"/>
      <c r="JM31" s="882"/>
      <c r="JN31" s="882"/>
      <c r="JO31" s="882"/>
      <c r="JP31" s="882"/>
      <c r="JQ31" s="882"/>
      <c r="JR31" s="882"/>
      <c r="JS31" s="882"/>
      <c r="JT31" s="882"/>
      <c r="JU31" s="882"/>
      <c r="JV31" s="882"/>
      <c r="JW31" s="882"/>
      <c r="JX31" s="882"/>
      <c r="JY31" s="882"/>
      <c r="JZ31" s="882"/>
      <c r="KA31" s="882"/>
      <c r="KB31" s="882"/>
      <c r="KC31" s="882"/>
      <c r="KD31" s="882"/>
      <c r="KE31" s="882"/>
      <c r="KF31" s="882"/>
      <c r="KG31" s="882"/>
      <c r="KH31" s="882"/>
      <c r="KI31" s="882"/>
      <c r="KJ31" s="882"/>
      <c r="KK31" s="882"/>
      <c r="KL31" s="882"/>
      <c r="KM31" s="882"/>
      <c r="KN31" s="882"/>
      <c r="KO31" s="882"/>
      <c r="KP31" s="882"/>
      <c r="KQ31" s="882"/>
      <c r="KR31" s="882"/>
      <c r="KS31" s="882"/>
      <c r="KT31" s="882"/>
      <c r="KU31" s="882"/>
      <c r="KV31" s="882"/>
      <c r="KW31" s="882"/>
      <c r="KX31" s="882"/>
      <c r="KY31" s="882"/>
      <c r="KZ31" s="882"/>
      <c r="LA31" s="882"/>
      <c r="LB31" s="882"/>
      <c r="LC31" s="882"/>
      <c r="LD31" s="882"/>
      <c r="LE31" s="882"/>
      <c r="LF31" s="882"/>
      <c r="LG31" s="882"/>
      <c r="LH31" s="882"/>
      <c r="LI31" s="882"/>
      <c r="LJ31" s="882"/>
      <c r="LK31" s="882"/>
      <c r="LL31" s="882"/>
      <c r="LM31" s="883"/>
    </row>
    <row r="32" spans="1:325" ht="28.8">
      <c r="A32" s="310" t="str">
        <f>IF(OR(Data3!B5="Grand Total",Data3!B5=0),"",Data3!B5)</f>
        <v>D.1.1.</v>
      </c>
      <c r="B32" s="309" t="s">
        <v>478</v>
      </c>
      <c r="C32" s="347" t="str">
        <f ca="1">IFERROR(VLOOKUP(A32,Rezultatai!$B$44:$C$106,2,FALSE) &amp; " vertinimas ir finansavimo skyrimas","")</f>
        <v>Veikla (nurodykite pavadinimą; suplanuotas investicijas pagrįskite prielaidų lape)
Analitinė studija dėl diplomatinio atstovavimo tinklo plėtros  vertinimas ir finansavimo skyrimas</v>
      </c>
      <c r="D32" s="358"/>
      <c r="E32" s="326"/>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c r="HN32" s="333"/>
      <c r="HO32" s="333"/>
      <c r="HP32" s="333"/>
      <c r="HQ32" s="333"/>
      <c r="HR32" s="333"/>
      <c r="HS32" s="333"/>
      <c r="HT32" s="333"/>
      <c r="HU32" s="333"/>
      <c r="HV32" s="333"/>
      <c r="HW32" s="333"/>
      <c r="HX32" s="333"/>
      <c r="HY32" s="333"/>
      <c r="HZ32" s="333"/>
      <c r="IA32" s="333"/>
      <c r="IB32" s="333"/>
      <c r="IC32" s="333"/>
      <c r="ID32" s="333"/>
      <c r="IE32" s="333"/>
      <c r="IF32" s="333"/>
      <c r="IG32" s="333"/>
      <c r="IH32" s="333"/>
      <c r="II32" s="333"/>
      <c r="IJ32" s="333"/>
      <c r="IK32" s="333"/>
      <c r="IL32" s="333"/>
      <c r="IM32" s="333"/>
      <c r="IN32" s="333"/>
      <c r="IO32" s="333"/>
      <c r="IP32" s="333"/>
      <c r="IQ32" s="333"/>
      <c r="IR32" s="333"/>
      <c r="IS32" s="333"/>
      <c r="IT32" s="333"/>
      <c r="IU32" s="333"/>
      <c r="IV32" s="333"/>
      <c r="IW32" s="333"/>
      <c r="IX32" s="333"/>
      <c r="IY32" s="333"/>
      <c r="IZ32" s="333"/>
      <c r="JA32" s="333"/>
      <c r="JB32" s="333"/>
      <c r="JC32" s="333"/>
      <c r="JD32" s="333"/>
      <c r="JE32" s="333"/>
      <c r="JF32" s="333"/>
      <c r="JG32" s="333"/>
      <c r="JH32" s="333"/>
      <c r="JI32" s="333"/>
      <c r="JJ32" s="333"/>
      <c r="JK32" s="333"/>
      <c r="JL32" s="333"/>
      <c r="JM32" s="333"/>
      <c r="JN32" s="333"/>
      <c r="JO32" s="333"/>
      <c r="JP32" s="333"/>
      <c r="JQ32" s="333"/>
      <c r="JR32" s="333"/>
      <c r="JS32" s="333"/>
      <c r="JT32" s="333"/>
      <c r="JU32" s="333"/>
      <c r="JV32" s="333"/>
      <c r="JW32" s="333"/>
      <c r="JX32" s="333"/>
      <c r="JY32" s="333"/>
      <c r="JZ32" s="333"/>
      <c r="KA32" s="333"/>
      <c r="KB32" s="333"/>
      <c r="KC32" s="333"/>
      <c r="KD32" s="333"/>
      <c r="KE32" s="333"/>
      <c r="KF32" s="333"/>
      <c r="KG32" s="333"/>
      <c r="KH32" s="333"/>
      <c r="KI32" s="333"/>
      <c r="KJ32" s="333"/>
      <c r="KK32" s="333"/>
      <c r="KL32" s="333"/>
      <c r="KM32" s="333"/>
      <c r="KN32" s="333"/>
      <c r="KO32" s="333"/>
      <c r="KP32" s="333"/>
      <c r="KQ32" s="333"/>
      <c r="KR32" s="333"/>
      <c r="KS32" s="333"/>
      <c r="KT32" s="333"/>
      <c r="KU32" s="333"/>
      <c r="KV32" s="333"/>
      <c r="KW32" s="333"/>
      <c r="KX32" s="333"/>
      <c r="KY32" s="333"/>
      <c r="KZ32" s="333"/>
      <c r="LA32" s="333"/>
      <c r="LB32" s="333"/>
      <c r="LC32" s="333"/>
      <c r="LD32" s="333"/>
      <c r="LE32" s="333"/>
      <c r="LF32" s="333"/>
      <c r="LG32" s="333"/>
      <c r="LH32" s="333"/>
      <c r="LI32" s="333"/>
      <c r="LJ32" s="333"/>
      <c r="LK32" s="333"/>
      <c r="LL32" s="333"/>
      <c r="LM32" s="333"/>
    </row>
    <row r="33" spans="1:325" ht="28.8">
      <c r="A33" s="310" t="str">
        <f>IF(OR(Data3!B5="Grand Total",Data3!B5=0),"",Data3!B5)</f>
        <v>D.1.1.</v>
      </c>
      <c r="B33" s="309" t="s">
        <v>479</v>
      </c>
      <c r="C33" s="347" t="str">
        <f ca="1">IFERROR(VLOOKUP(A33,Rezultatai!$B$44:$C$106,2,FALSE) &amp; " finansavimo sutarčių rengimas ir sudarymas","")</f>
        <v>Veikla (nurodykite pavadinimą; suplanuotas investicijas pagrįskite prielaidų lape)
Analitinė studija dėl diplomatinio atstovavimo tinklo plėtros  finansavimo sutarčių rengimas ir sudarymas</v>
      </c>
      <c r="D33" s="358"/>
      <c r="E33" s="326"/>
      <c r="F33" s="333"/>
      <c r="G33" s="333"/>
      <c r="H33" s="333"/>
      <c r="I33" s="333"/>
      <c r="J33" s="333"/>
      <c r="K33" s="333"/>
      <c r="L33" s="333"/>
      <c r="M33" s="333"/>
      <c r="N33" s="333"/>
      <c r="O33" s="333"/>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c r="HN33" s="333"/>
      <c r="HO33" s="333"/>
      <c r="HP33" s="333"/>
      <c r="HQ33" s="333"/>
      <c r="HR33" s="333"/>
      <c r="HS33" s="333"/>
      <c r="HT33" s="333"/>
      <c r="HU33" s="333"/>
      <c r="HV33" s="333"/>
      <c r="HW33" s="333"/>
      <c r="HX33" s="333"/>
      <c r="HY33" s="333"/>
      <c r="HZ33" s="333"/>
      <c r="IA33" s="333"/>
      <c r="IB33" s="333"/>
      <c r="IC33" s="333"/>
      <c r="ID33" s="333"/>
      <c r="IE33" s="333"/>
      <c r="IF33" s="333"/>
      <c r="IG33" s="333"/>
      <c r="IH33" s="333"/>
      <c r="II33" s="333"/>
      <c r="IJ33" s="333"/>
      <c r="IK33" s="333"/>
      <c r="IL33" s="333"/>
      <c r="IM33" s="333"/>
      <c r="IN33" s="333"/>
      <c r="IO33" s="333"/>
      <c r="IP33" s="333"/>
      <c r="IQ33" s="333"/>
      <c r="IR33" s="333"/>
      <c r="IS33" s="333"/>
      <c r="IT33" s="333"/>
      <c r="IU33" s="333"/>
      <c r="IV33" s="333"/>
      <c r="IW33" s="333"/>
      <c r="IX33" s="333"/>
      <c r="IY33" s="333"/>
      <c r="IZ33" s="333"/>
      <c r="JA33" s="333"/>
      <c r="JB33" s="333"/>
      <c r="JC33" s="333"/>
      <c r="JD33" s="333"/>
      <c r="JE33" s="333"/>
      <c r="JF33" s="333"/>
      <c r="JG33" s="333"/>
      <c r="JH33" s="333"/>
      <c r="JI33" s="333"/>
      <c r="JJ33" s="333"/>
      <c r="JK33" s="333"/>
      <c r="JL33" s="333"/>
      <c r="JM33" s="333"/>
      <c r="JN33" s="333"/>
      <c r="JO33" s="333"/>
      <c r="JP33" s="333"/>
      <c r="JQ33" s="333"/>
      <c r="JR33" s="333"/>
      <c r="JS33" s="333"/>
      <c r="JT33" s="333"/>
      <c r="JU33" s="333"/>
      <c r="JV33" s="333"/>
      <c r="JW33" s="333"/>
      <c r="JX33" s="333"/>
      <c r="JY33" s="333"/>
      <c r="JZ33" s="333"/>
      <c r="KA33" s="333"/>
      <c r="KB33" s="333"/>
      <c r="KC33" s="333"/>
      <c r="KD33" s="333"/>
      <c r="KE33" s="333"/>
      <c r="KF33" s="333"/>
      <c r="KG33" s="333"/>
      <c r="KH33" s="333"/>
      <c r="KI33" s="333"/>
      <c r="KJ33" s="333"/>
      <c r="KK33" s="333"/>
      <c r="KL33" s="333"/>
      <c r="KM33" s="333"/>
      <c r="KN33" s="333"/>
      <c r="KO33" s="333"/>
      <c r="KP33" s="333"/>
      <c r="KQ33" s="333"/>
      <c r="KR33" s="333"/>
      <c r="KS33" s="333"/>
      <c r="KT33" s="333"/>
      <c r="KU33" s="333"/>
      <c r="KV33" s="333"/>
      <c r="KW33" s="333"/>
      <c r="KX33" s="333"/>
      <c r="KY33" s="333"/>
      <c r="KZ33" s="333"/>
      <c r="LA33" s="333"/>
      <c r="LB33" s="333"/>
      <c r="LC33" s="333"/>
      <c r="LD33" s="333"/>
      <c r="LE33" s="333"/>
      <c r="LF33" s="333"/>
      <c r="LG33" s="333"/>
      <c r="LH33" s="333"/>
      <c r="LI33" s="333"/>
      <c r="LJ33" s="333"/>
      <c r="LK33" s="333"/>
      <c r="LL33" s="333"/>
      <c r="LM33" s="333"/>
    </row>
    <row r="34" spans="1:325">
      <c r="A34" s="310" t="str">
        <f>IF(OR(Data3!B6="Grand Total",Data3!B6=0),"",Data3!B6)</f>
        <v>E.1.1.</v>
      </c>
      <c r="B34" s="309" t="s">
        <v>480</v>
      </c>
      <c r="C34" s="347" t="str">
        <f ca="1">IFERROR( VLOOKUP(A34,Rezultatai!$B$44:$C$106,2,FALSE) &amp; " vertinimas ir finansavimo skyrimas","")</f>
        <v>Ambasados Singapūre įsteigimas vertinimas ir finansavimo skyrimas</v>
      </c>
      <c r="D34" s="358"/>
      <c r="E34" s="326"/>
      <c r="F34" s="333"/>
      <c r="G34" s="333"/>
      <c r="H34" s="333"/>
      <c r="I34" s="333"/>
      <c r="J34" s="333"/>
      <c r="K34" s="333"/>
      <c r="L34" s="333"/>
      <c r="M34" s="333"/>
      <c r="N34" s="333"/>
      <c r="O34" s="333"/>
      <c r="P34" s="333"/>
      <c r="Q34" s="333"/>
      <c r="R34" s="333"/>
      <c r="S34" s="333"/>
      <c r="T34" s="333"/>
      <c r="U34" s="333"/>
      <c r="V34" s="333"/>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c r="HN34" s="333"/>
      <c r="HO34" s="333"/>
      <c r="HP34" s="333"/>
      <c r="HQ34" s="333"/>
      <c r="HR34" s="333"/>
      <c r="HS34" s="333"/>
      <c r="HT34" s="333"/>
      <c r="HU34" s="333"/>
      <c r="HV34" s="333"/>
      <c r="HW34" s="333"/>
      <c r="HX34" s="333"/>
      <c r="HY34" s="333"/>
      <c r="HZ34" s="333"/>
      <c r="IA34" s="333"/>
      <c r="IB34" s="333"/>
      <c r="IC34" s="333"/>
      <c r="ID34" s="333"/>
      <c r="IE34" s="333"/>
      <c r="IF34" s="333"/>
      <c r="IG34" s="333"/>
      <c r="IH34" s="333"/>
      <c r="II34" s="333"/>
      <c r="IJ34" s="333"/>
      <c r="IK34" s="333"/>
      <c r="IL34" s="333"/>
      <c r="IM34" s="333"/>
      <c r="IN34" s="333"/>
      <c r="IO34" s="333"/>
      <c r="IP34" s="333"/>
      <c r="IQ34" s="333"/>
      <c r="IR34" s="333"/>
      <c r="IS34" s="333"/>
      <c r="IT34" s="333"/>
      <c r="IU34" s="333"/>
      <c r="IV34" s="333"/>
      <c r="IW34" s="333"/>
      <c r="IX34" s="333"/>
      <c r="IY34" s="333"/>
      <c r="IZ34" s="333"/>
      <c r="JA34" s="333"/>
      <c r="JB34" s="333"/>
      <c r="JC34" s="333"/>
      <c r="JD34" s="333"/>
      <c r="JE34" s="333"/>
      <c r="JF34" s="333"/>
      <c r="JG34" s="333"/>
      <c r="JH34" s="333"/>
      <c r="JI34" s="333"/>
      <c r="JJ34" s="333"/>
      <c r="JK34" s="333"/>
      <c r="JL34" s="333"/>
      <c r="JM34" s="333"/>
      <c r="JN34" s="333"/>
      <c r="JO34" s="333"/>
      <c r="JP34" s="333"/>
      <c r="JQ34" s="333"/>
      <c r="JR34" s="333"/>
      <c r="JS34" s="333"/>
      <c r="JT34" s="333"/>
      <c r="JU34" s="333"/>
      <c r="JV34" s="333"/>
      <c r="JW34" s="333"/>
      <c r="JX34" s="333"/>
      <c r="JY34" s="333"/>
      <c r="JZ34" s="333"/>
      <c r="KA34" s="333"/>
      <c r="KB34" s="333"/>
      <c r="KC34" s="333"/>
      <c r="KD34" s="333"/>
      <c r="KE34" s="333"/>
      <c r="KF34" s="333"/>
      <c r="KG34" s="333"/>
      <c r="KH34" s="333"/>
      <c r="KI34" s="333"/>
      <c r="KJ34" s="333"/>
      <c r="KK34" s="333"/>
      <c r="KL34" s="333"/>
      <c r="KM34" s="333"/>
      <c r="KN34" s="333"/>
      <c r="KO34" s="333"/>
      <c r="KP34" s="333"/>
      <c r="KQ34" s="333"/>
      <c r="KR34" s="333"/>
      <c r="KS34" s="333"/>
      <c r="KT34" s="333"/>
      <c r="KU34" s="333"/>
      <c r="KV34" s="333"/>
      <c r="KW34" s="333"/>
      <c r="KX34" s="333"/>
      <c r="KY34" s="333"/>
      <c r="KZ34" s="333"/>
      <c r="LA34" s="333"/>
      <c r="LB34" s="333"/>
      <c r="LC34" s="333"/>
      <c r="LD34" s="333"/>
      <c r="LE34" s="333"/>
      <c r="LF34" s="333"/>
      <c r="LG34" s="333"/>
      <c r="LH34" s="333"/>
      <c r="LI34" s="333"/>
      <c r="LJ34" s="333"/>
      <c r="LK34" s="333"/>
      <c r="LL34" s="333"/>
      <c r="LM34" s="333"/>
    </row>
    <row r="35" spans="1:325">
      <c r="A35" s="310" t="str">
        <f>IF(OR(Data3!B6="Grand Total",Data3!B6=0),"",Data3!B6)</f>
        <v>E.1.1.</v>
      </c>
      <c r="B35" s="309" t="s">
        <v>481</v>
      </c>
      <c r="C35" s="347" t="str">
        <f ca="1">IFERROR(VLOOKUP(A35,Rezultatai!$B$44:$C$106,2,FALSE) &amp; " finansavimo sutarčių rengimas ir sudarymas","")</f>
        <v>Ambasados Singapūre įsteigimas finansavimo sutarčių rengimas ir sudarymas</v>
      </c>
      <c r="D35" s="358"/>
      <c r="E35" s="326"/>
      <c r="F35" s="333"/>
      <c r="G35" s="333"/>
      <c r="H35" s="333"/>
      <c r="I35" s="333"/>
      <c r="J35" s="333"/>
      <c r="K35" s="333"/>
      <c r="L35" s="333"/>
      <c r="M35" s="333"/>
      <c r="N35" s="333"/>
      <c r="O35" s="333"/>
      <c r="P35" s="333"/>
      <c r="Q35" s="333"/>
      <c r="R35" s="333"/>
      <c r="S35" s="333"/>
      <c r="T35" s="333"/>
      <c r="U35" s="333"/>
      <c r="V35" s="333"/>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c r="HN35" s="333"/>
      <c r="HO35" s="333"/>
      <c r="HP35" s="333"/>
      <c r="HQ35" s="333"/>
      <c r="HR35" s="333"/>
      <c r="HS35" s="333"/>
      <c r="HT35" s="333"/>
      <c r="HU35" s="333"/>
      <c r="HV35" s="333"/>
      <c r="HW35" s="333"/>
      <c r="HX35" s="333"/>
      <c r="HY35" s="333"/>
      <c r="HZ35" s="333"/>
      <c r="IA35" s="333"/>
      <c r="IB35" s="333"/>
      <c r="IC35" s="333"/>
      <c r="ID35" s="333"/>
      <c r="IE35" s="333"/>
      <c r="IF35" s="333"/>
      <c r="IG35" s="333"/>
      <c r="IH35" s="333"/>
      <c r="II35" s="333"/>
      <c r="IJ35" s="333"/>
      <c r="IK35" s="333"/>
      <c r="IL35" s="333"/>
      <c r="IM35" s="333"/>
      <c r="IN35" s="333"/>
      <c r="IO35" s="333"/>
      <c r="IP35" s="333"/>
      <c r="IQ35" s="333"/>
      <c r="IR35" s="333"/>
      <c r="IS35" s="333"/>
      <c r="IT35" s="333"/>
      <c r="IU35" s="333"/>
      <c r="IV35" s="333"/>
      <c r="IW35" s="333"/>
      <c r="IX35" s="333"/>
      <c r="IY35" s="333"/>
      <c r="IZ35" s="333"/>
      <c r="JA35" s="333"/>
      <c r="JB35" s="333"/>
      <c r="JC35" s="333"/>
      <c r="JD35" s="333"/>
      <c r="JE35" s="333"/>
      <c r="JF35" s="333"/>
      <c r="JG35" s="333"/>
      <c r="JH35" s="333"/>
      <c r="JI35" s="333"/>
      <c r="JJ35" s="333"/>
      <c r="JK35" s="333"/>
      <c r="JL35" s="333"/>
      <c r="JM35" s="333"/>
      <c r="JN35" s="333"/>
      <c r="JO35" s="333"/>
      <c r="JP35" s="333"/>
      <c r="JQ35" s="333"/>
      <c r="JR35" s="333"/>
      <c r="JS35" s="333"/>
      <c r="JT35" s="333"/>
      <c r="JU35" s="333"/>
      <c r="JV35" s="333"/>
      <c r="JW35" s="333"/>
      <c r="JX35" s="333"/>
      <c r="JY35" s="333"/>
      <c r="JZ35" s="333"/>
      <c r="KA35" s="333"/>
      <c r="KB35" s="333"/>
      <c r="KC35" s="333"/>
      <c r="KD35" s="333"/>
      <c r="KE35" s="333"/>
      <c r="KF35" s="333"/>
      <c r="KG35" s="333"/>
      <c r="KH35" s="333"/>
      <c r="KI35" s="333"/>
      <c r="KJ35" s="333"/>
      <c r="KK35" s="333"/>
      <c r="KL35" s="333"/>
      <c r="KM35" s="333"/>
      <c r="KN35" s="333"/>
      <c r="KO35" s="333"/>
      <c r="KP35" s="333"/>
      <c r="KQ35" s="333"/>
      <c r="KR35" s="333"/>
      <c r="KS35" s="333"/>
      <c r="KT35" s="333"/>
      <c r="KU35" s="333"/>
      <c r="KV35" s="333"/>
      <c r="KW35" s="333"/>
      <c r="KX35" s="333"/>
      <c r="KY35" s="333"/>
      <c r="KZ35" s="333"/>
      <c r="LA35" s="333"/>
      <c r="LB35" s="333"/>
      <c r="LC35" s="333"/>
      <c r="LD35" s="333"/>
      <c r="LE35" s="333"/>
      <c r="LF35" s="333"/>
      <c r="LG35" s="333"/>
      <c r="LH35" s="333"/>
      <c r="LI35" s="333"/>
      <c r="LJ35" s="333"/>
      <c r="LK35" s="333"/>
      <c r="LL35" s="333"/>
      <c r="LM35" s="333"/>
    </row>
    <row r="36" spans="1:325" ht="28.8">
      <c r="A36" s="310" t="str">
        <f>IF(OR(Data3!B7="Grand Total",Data3!B7=0),"",Data3!B7)</f>
        <v>E.1.2.</v>
      </c>
      <c r="B36" s="309" t="s">
        <v>482</v>
      </c>
      <c r="C36" s="347" t="str">
        <f ca="1">IFERROR(VLOOKUP(A36,Rezultatai!$B$44:$C$106,2,FALSE) &amp; " vertinimas ir finansavimo skyrimas","")</f>
        <v>Ambasadų kitose užsienio valstybėse įsteigimas (politinės/ekonominės svarbos scenarijus) vertinimas ir finansavimo skyrimas</v>
      </c>
      <c r="D36" s="358"/>
      <c r="E36" s="326"/>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c r="HN36" s="333"/>
      <c r="HO36" s="333"/>
      <c r="HP36" s="333"/>
      <c r="HQ36" s="333"/>
      <c r="HR36" s="333"/>
      <c r="HS36" s="333"/>
      <c r="HT36" s="333"/>
      <c r="HU36" s="333"/>
      <c r="HV36" s="333"/>
      <c r="HW36" s="333"/>
      <c r="HX36" s="333"/>
      <c r="HY36" s="333"/>
      <c r="HZ36" s="333"/>
      <c r="IA36" s="333"/>
      <c r="IB36" s="333"/>
      <c r="IC36" s="333"/>
      <c r="ID36" s="333"/>
      <c r="IE36" s="333"/>
      <c r="IF36" s="333"/>
      <c r="IG36" s="333"/>
      <c r="IH36" s="333"/>
      <c r="II36" s="333"/>
      <c r="IJ36" s="333"/>
      <c r="IK36" s="333"/>
      <c r="IL36" s="333"/>
      <c r="IM36" s="333"/>
      <c r="IN36" s="333"/>
      <c r="IO36" s="333"/>
      <c r="IP36" s="333"/>
      <c r="IQ36" s="333"/>
      <c r="IR36" s="333"/>
      <c r="IS36" s="333"/>
      <c r="IT36" s="333"/>
      <c r="IU36" s="333"/>
      <c r="IV36" s="333"/>
      <c r="IW36" s="333"/>
      <c r="IX36" s="333"/>
      <c r="IY36" s="333"/>
      <c r="IZ36" s="333"/>
      <c r="JA36" s="333"/>
      <c r="JB36" s="333"/>
      <c r="JC36" s="333"/>
      <c r="JD36" s="333"/>
      <c r="JE36" s="333"/>
      <c r="JF36" s="333"/>
      <c r="JG36" s="333"/>
      <c r="JH36" s="333"/>
      <c r="JI36" s="333"/>
      <c r="JJ36" s="333"/>
      <c r="JK36" s="333"/>
      <c r="JL36" s="333"/>
      <c r="JM36" s="333"/>
      <c r="JN36" s="333"/>
      <c r="JO36" s="333"/>
      <c r="JP36" s="333"/>
      <c r="JQ36" s="333"/>
      <c r="JR36" s="333"/>
      <c r="JS36" s="333"/>
      <c r="JT36" s="333"/>
      <c r="JU36" s="333"/>
      <c r="JV36" s="333"/>
      <c r="JW36" s="333"/>
      <c r="JX36" s="333"/>
      <c r="JY36" s="333"/>
      <c r="JZ36" s="333"/>
      <c r="KA36" s="333"/>
      <c r="KB36" s="333"/>
      <c r="KC36" s="333"/>
      <c r="KD36" s="333"/>
      <c r="KE36" s="333"/>
      <c r="KF36" s="333"/>
      <c r="KG36" s="333"/>
      <c r="KH36" s="333"/>
      <c r="KI36" s="333"/>
      <c r="KJ36" s="333"/>
      <c r="KK36" s="333"/>
      <c r="KL36" s="333"/>
      <c r="KM36" s="333"/>
      <c r="KN36" s="333"/>
      <c r="KO36" s="333"/>
      <c r="KP36" s="333"/>
      <c r="KQ36" s="333"/>
      <c r="KR36" s="333"/>
      <c r="KS36" s="333"/>
      <c r="KT36" s="333"/>
      <c r="KU36" s="333"/>
      <c r="KV36" s="333"/>
      <c r="KW36" s="333"/>
      <c r="KX36" s="333"/>
      <c r="KY36" s="333"/>
      <c r="KZ36" s="333"/>
      <c r="LA36" s="333"/>
      <c r="LB36" s="333"/>
      <c r="LC36" s="333"/>
      <c r="LD36" s="333"/>
      <c r="LE36" s="333"/>
      <c r="LF36" s="333"/>
      <c r="LG36" s="333"/>
      <c r="LH36" s="333"/>
      <c r="LI36" s="333"/>
      <c r="LJ36" s="333"/>
      <c r="LK36" s="333"/>
      <c r="LL36" s="333"/>
      <c r="LM36" s="333"/>
    </row>
    <row r="37" spans="1:325" ht="28.8">
      <c r="A37" s="310" t="str">
        <f>IF(OR(Data3!B7="Grand Total",Data3!B7=0),"",Data3!B7)</f>
        <v>E.1.2.</v>
      </c>
      <c r="B37" s="309" t="s">
        <v>483</v>
      </c>
      <c r="C37" s="347" t="str">
        <f ca="1">IFERROR(VLOOKUP(A37,Rezultatai!$B$44:$C$106,2,FALSE) &amp; " finansavimo sutarčių rengimas ir sudarymas","")</f>
        <v>Ambasadų kitose užsienio valstybėse įsteigimas (politinės/ekonominės svarbos scenarijus) finansavimo sutarčių rengimas ir sudarymas</v>
      </c>
      <c r="D37" s="358"/>
      <c r="E37" s="326"/>
      <c r="F37" s="333"/>
      <c r="G37" s="333"/>
      <c r="H37" s="333"/>
      <c r="I37" s="333"/>
      <c r="J37" s="333"/>
      <c r="K37" s="333"/>
      <c r="L37" s="333"/>
      <c r="M37" s="333"/>
      <c r="N37" s="333"/>
      <c r="O37" s="333"/>
      <c r="P37" s="333"/>
      <c r="Q37" s="333"/>
      <c r="R37" s="333"/>
      <c r="S37" s="333"/>
      <c r="T37" s="333"/>
      <c r="U37" s="333"/>
      <c r="V37" s="333"/>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c r="HN37" s="333"/>
      <c r="HO37" s="333"/>
      <c r="HP37" s="333"/>
      <c r="HQ37" s="333"/>
      <c r="HR37" s="333"/>
      <c r="HS37" s="333"/>
      <c r="HT37" s="333"/>
      <c r="HU37" s="333"/>
      <c r="HV37" s="333"/>
      <c r="HW37" s="333"/>
      <c r="HX37" s="333"/>
      <c r="HY37" s="333"/>
      <c r="HZ37" s="333"/>
      <c r="IA37" s="333"/>
      <c r="IB37" s="333"/>
      <c r="IC37" s="333"/>
      <c r="ID37" s="333"/>
      <c r="IE37" s="333"/>
      <c r="IF37" s="333"/>
      <c r="IG37" s="333"/>
      <c r="IH37" s="333"/>
      <c r="II37" s="333"/>
      <c r="IJ37" s="333"/>
      <c r="IK37" s="333"/>
      <c r="IL37" s="333"/>
      <c r="IM37" s="333"/>
      <c r="IN37" s="333"/>
      <c r="IO37" s="333"/>
      <c r="IP37" s="333"/>
      <c r="IQ37" s="333"/>
      <c r="IR37" s="333"/>
      <c r="IS37" s="333"/>
      <c r="IT37" s="333"/>
      <c r="IU37" s="333"/>
      <c r="IV37" s="333"/>
      <c r="IW37" s="333"/>
      <c r="IX37" s="333"/>
      <c r="IY37" s="333"/>
      <c r="IZ37" s="333"/>
      <c r="JA37" s="333"/>
      <c r="JB37" s="333"/>
      <c r="JC37" s="333"/>
      <c r="JD37" s="333"/>
      <c r="JE37" s="333"/>
      <c r="JF37" s="333"/>
      <c r="JG37" s="333"/>
      <c r="JH37" s="333"/>
      <c r="JI37" s="333"/>
      <c r="JJ37" s="333"/>
      <c r="JK37" s="333"/>
      <c r="JL37" s="333"/>
      <c r="JM37" s="333"/>
      <c r="JN37" s="333"/>
      <c r="JO37" s="333"/>
      <c r="JP37" s="333"/>
      <c r="JQ37" s="333"/>
      <c r="JR37" s="333"/>
      <c r="JS37" s="333"/>
      <c r="JT37" s="333"/>
      <c r="JU37" s="333"/>
      <c r="JV37" s="333"/>
      <c r="JW37" s="333"/>
      <c r="JX37" s="333"/>
      <c r="JY37" s="333"/>
      <c r="JZ37" s="333"/>
      <c r="KA37" s="333"/>
      <c r="KB37" s="333"/>
      <c r="KC37" s="333"/>
      <c r="KD37" s="333"/>
      <c r="KE37" s="333"/>
      <c r="KF37" s="333"/>
      <c r="KG37" s="333"/>
      <c r="KH37" s="333"/>
      <c r="KI37" s="333"/>
      <c r="KJ37" s="333"/>
      <c r="KK37" s="333"/>
      <c r="KL37" s="333"/>
      <c r="KM37" s="333"/>
      <c r="KN37" s="333"/>
      <c r="KO37" s="333"/>
      <c r="KP37" s="333"/>
      <c r="KQ37" s="333"/>
      <c r="KR37" s="333"/>
      <c r="KS37" s="333"/>
      <c r="KT37" s="333"/>
      <c r="KU37" s="333"/>
      <c r="KV37" s="333"/>
      <c r="KW37" s="333"/>
      <c r="KX37" s="333"/>
      <c r="KY37" s="333"/>
      <c r="KZ37" s="333"/>
      <c r="LA37" s="333"/>
      <c r="LB37" s="333"/>
      <c r="LC37" s="333"/>
      <c r="LD37" s="333"/>
      <c r="LE37" s="333"/>
      <c r="LF37" s="333"/>
      <c r="LG37" s="333"/>
      <c r="LH37" s="333"/>
      <c r="LI37" s="333"/>
      <c r="LJ37" s="333"/>
      <c r="LK37" s="333"/>
      <c r="LL37" s="333"/>
      <c r="LM37" s="333"/>
    </row>
    <row r="38" spans="1:325" ht="28.8">
      <c r="A38" s="310" t="str">
        <f>IF(OR(Data3!B8="Grand Total",Data3!B8=0),"",Data3!B8)</f>
        <v>E.1.3.</v>
      </c>
      <c r="B38" s="309" t="s">
        <v>484</v>
      </c>
      <c r="C38" s="347" t="str">
        <f ca="1">IFERROR(VLOOKUP(A38,Rezultatai!$B$44:$C$106,2,FALSE) &amp; " vertinimas ir finansavimo skyrimas","")</f>
        <v>Valstybės veiklos tarptautinėse organizacijose pozicijų derinimo, stebėsenos sistemos sukūrimas vertinimas ir finansavimo skyrimas</v>
      </c>
      <c r="D38" s="358"/>
      <c r="E38" s="326"/>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c r="HN38" s="333"/>
      <c r="HO38" s="333"/>
      <c r="HP38" s="333"/>
      <c r="HQ38" s="333"/>
      <c r="HR38" s="333"/>
      <c r="HS38" s="333"/>
      <c r="HT38" s="333"/>
      <c r="HU38" s="333"/>
      <c r="HV38" s="333"/>
      <c r="HW38" s="333"/>
      <c r="HX38" s="333"/>
      <c r="HY38" s="333"/>
      <c r="HZ38" s="333"/>
      <c r="IA38" s="333"/>
      <c r="IB38" s="333"/>
      <c r="IC38" s="333"/>
      <c r="ID38" s="333"/>
      <c r="IE38" s="333"/>
      <c r="IF38" s="333"/>
      <c r="IG38" s="333"/>
      <c r="IH38" s="333"/>
      <c r="II38" s="333"/>
      <c r="IJ38" s="333"/>
      <c r="IK38" s="333"/>
      <c r="IL38" s="333"/>
      <c r="IM38" s="333"/>
      <c r="IN38" s="333"/>
      <c r="IO38" s="333"/>
      <c r="IP38" s="333"/>
      <c r="IQ38" s="333"/>
      <c r="IR38" s="333"/>
      <c r="IS38" s="333"/>
      <c r="IT38" s="333"/>
      <c r="IU38" s="333"/>
      <c r="IV38" s="333"/>
      <c r="IW38" s="333"/>
      <c r="IX38" s="333"/>
      <c r="IY38" s="333"/>
      <c r="IZ38" s="333"/>
      <c r="JA38" s="333"/>
      <c r="JB38" s="333"/>
      <c r="JC38" s="333"/>
      <c r="JD38" s="333"/>
      <c r="JE38" s="333"/>
      <c r="JF38" s="333"/>
      <c r="JG38" s="333"/>
      <c r="JH38" s="333"/>
      <c r="JI38" s="333"/>
      <c r="JJ38" s="333"/>
      <c r="JK38" s="333"/>
      <c r="JL38" s="333"/>
      <c r="JM38" s="333"/>
      <c r="JN38" s="333"/>
      <c r="JO38" s="333"/>
      <c r="JP38" s="333"/>
      <c r="JQ38" s="333"/>
      <c r="JR38" s="333"/>
      <c r="JS38" s="333"/>
      <c r="JT38" s="333"/>
      <c r="JU38" s="333"/>
      <c r="JV38" s="333"/>
      <c r="JW38" s="333"/>
      <c r="JX38" s="333"/>
      <c r="JY38" s="333"/>
      <c r="JZ38" s="333"/>
      <c r="KA38" s="333"/>
      <c r="KB38" s="333"/>
      <c r="KC38" s="333"/>
      <c r="KD38" s="333"/>
      <c r="KE38" s="333"/>
      <c r="KF38" s="333"/>
      <c r="KG38" s="333"/>
      <c r="KH38" s="333"/>
      <c r="KI38" s="333"/>
      <c r="KJ38" s="333"/>
      <c r="KK38" s="333"/>
      <c r="KL38" s="333"/>
      <c r="KM38" s="333"/>
      <c r="KN38" s="333"/>
      <c r="KO38" s="333"/>
      <c r="KP38" s="333"/>
      <c r="KQ38" s="333"/>
      <c r="KR38" s="333"/>
      <c r="KS38" s="333"/>
      <c r="KT38" s="333"/>
      <c r="KU38" s="333"/>
      <c r="KV38" s="333"/>
      <c r="KW38" s="333"/>
      <c r="KX38" s="333"/>
      <c r="KY38" s="333"/>
      <c r="KZ38" s="333"/>
      <c r="LA38" s="333"/>
      <c r="LB38" s="333"/>
      <c r="LC38" s="333"/>
      <c r="LD38" s="333"/>
      <c r="LE38" s="333"/>
      <c r="LF38" s="333"/>
      <c r="LG38" s="333"/>
      <c r="LH38" s="333"/>
      <c r="LI38" s="333"/>
      <c r="LJ38" s="333"/>
      <c r="LK38" s="333"/>
      <c r="LL38" s="333"/>
      <c r="LM38" s="333"/>
    </row>
    <row r="39" spans="1:325" ht="28.8">
      <c r="A39" s="310" t="str">
        <f>IF(OR(Data3!B8="Grand Total",Data3!B8=0),"",Data3!B8)</f>
        <v>E.1.3.</v>
      </c>
      <c r="B39" s="309" t="s">
        <v>485</v>
      </c>
      <c r="C39" s="347" t="str">
        <f ca="1">IFERROR(VLOOKUP(A39,Rezultatai!$B$44:$C$106,2,FALSE) &amp; " finansavimo sutarčių rengimas ir sudarymas","")</f>
        <v>Valstybės veiklos tarptautinėse organizacijose pozicijų derinimo, stebėsenos sistemos sukūrimas finansavimo sutarčių rengimas ir sudarymas</v>
      </c>
      <c r="D39" s="358"/>
      <c r="E39" s="326"/>
      <c r="F39" s="333"/>
      <c r="G39" s="333"/>
      <c r="H39" s="333"/>
      <c r="I39" s="333"/>
      <c r="J39" s="333"/>
      <c r="K39" s="333"/>
      <c r="L39" s="333"/>
      <c r="M39" s="333"/>
      <c r="N39" s="333"/>
      <c r="O39" s="333"/>
      <c r="P39" s="333"/>
      <c r="Q39" s="333"/>
      <c r="R39" s="333"/>
      <c r="S39" s="333"/>
      <c r="T39" s="333"/>
      <c r="U39" s="333"/>
      <c r="V39" s="333"/>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c r="HN39" s="333"/>
      <c r="HO39" s="333"/>
      <c r="HP39" s="333"/>
      <c r="HQ39" s="333"/>
      <c r="HR39" s="333"/>
      <c r="HS39" s="333"/>
      <c r="HT39" s="333"/>
      <c r="HU39" s="333"/>
      <c r="HV39" s="333"/>
      <c r="HW39" s="333"/>
      <c r="HX39" s="333"/>
      <c r="HY39" s="333"/>
      <c r="HZ39" s="333"/>
      <c r="IA39" s="333"/>
      <c r="IB39" s="333"/>
      <c r="IC39" s="333"/>
      <c r="ID39" s="333"/>
      <c r="IE39" s="333"/>
      <c r="IF39" s="333"/>
      <c r="IG39" s="333"/>
      <c r="IH39" s="333"/>
      <c r="II39" s="333"/>
      <c r="IJ39" s="333"/>
      <c r="IK39" s="333"/>
      <c r="IL39" s="333"/>
      <c r="IM39" s="333"/>
      <c r="IN39" s="333"/>
      <c r="IO39" s="333"/>
      <c r="IP39" s="333"/>
      <c r="IQ39" s="333"/>
      <c r="IR39" s="333"/>
      <c r="IS39" s="333"/>
      <c r="IT39" s="333"/>
      <c r="IU39" s="333"/>
      <c r="IV39" s="333"/>
      <c r="IW39" s="333"/>
      <c r="IX39" s="333"/>
      <c r="IY39" s="333"/>
      <c r="IZ39" s="333"/>
      <c r="JA39" s="333"/>
      <c r="JB39" s="333"/>
      <c r="JC39" s="333"/>
      <c r="JD39" s="333"/>
      <c r="JE39" s="333"/>
      <c r="JF39" s="333"/>
      <c r="JG39" s="333"/>
      <c r="JH39" s="333"/>
      <c r="JI39" s="333"/>
      <c r="JJ39" s="333"/>
      <c r="JK39" s="333"/>
      <c r="JL39" s="333"/>
      <c r="JM39" s="333"/>
      <c r="JN39" s="333"/>
      <c r="JO39" s="333"/>
      <c r="JP39" s="333"/>
      <c r="JQ39" s="333"/>
      <c r="JR39" s="333"/>
      <c r="JS39" s="333"/>
      <c r="JT39" s="333"/>
      <c r="JU39" s="333"/>
      <c r="JV39" s="333"/>
      <c r="JW39" s="333"/>
      <c r="JX39" s="333"/>
      <c r="JY39" s="333"/>
      <c r="JZ39" s="333"/>
      <c r="KA39" s="333"/>
      <c r="KB39" s="333"/>
      <c r="KC39" s="333"/>
      <c r="KD39" s="333"/>
      <c r="KE39" s="333"/>
      <c r="KF39" s="333"/>
      <c r="KG39" s="333"/>
      <c r="KH39" s="333"/>
      <c r="KI39" s="333"/>
      <c r="KJ39" s="333"/>
      <c r="KK39" s="333"/>
      <c r="KL39" s="333"/>
      <c r="KM39" s="333"/>
      <c r="KN39" s="333"/>
      <c r="KO39" s="333"/>
      <c r="KP39" s="333"/>
      <c r="KQ39" s="333"/>
      <c r="KR39" s="333"/>
      <c r="KS39" s="333"/>
      <c r="KT39" s="333"/>
      <c r="KU39" s="333"/>
      <c r="KV39" s="333"/>
      <c r="KW39" s="333"/>
      <c r="KX39" s="333"/>
      <c r="KY39" s="333"/>
      <c r="KZ39" s="333"/>
      <c r="LA39" s="333"/>
      <c r="LB39" s="333"/>
      <c r="LC39" s="333"/>
      <c r="LD39" s="333"/>
      <c r="LE39" s="333"/>
      <c r="LF39" s="333"/>
      <c r="LG39" s="333"/>
      <c r="LH39" s="333"/>
      <c r="LI39" s="333"/>
      <c r="LJ39" s="333"/>
      <c r="LK39" s="333"/>
      <c r="LL39" s="333"/>
      <c r="LM39" s="333"/>
    </row>
    <row r="40" spans="1:325">
      <c r="A40" s="310" t="str">
        <f>IF(OR(Data3!B9="Grand Total",Data3!B9=0),"",Data3!B9)</f>
        <v>E.1.4.</v>
      </c>
      <c r="B40" s="309" t="s">
        <v>486</v>
      </c>
      <c r="C40" s="347" t="str">
        <f ca="1">IFERROR(VLOOKUP(A40,Rezultatai!$B$44:$C$106,2,FALSE) &amp; " vertinimas ir finansavimo skyrimas","")</f>
        <v>0 vertinimas ir finansavimo skyrimas</v>
      </c>
      <c r="D40" s="358"/>
      <c r="E40" s="326"/>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c r="HN40" s="333"/>
      <c r="HO40" s="333"/>
      <c r="HP40" s="333"/>
      <c r="HQ40" s="333"/>
      <c r="HR40" s="333"/>
      <c r="HS40" s="333"/>
      <c r="HT40" s="333"/>
      <c r="HU40" s="333"/>
      <c r="HV40" s="333"/>
      <c r="HW40" s="333"/>
      <c r="HX40" s="333"/>
      <c r="HY40" s="333"/>
      <c r="HZ40" s="333"/>
      <c r="IA40" s="333"/>
      <c r="IB40" s="333"/>
      <c r="IC40" s="333"/>
      <c r="ID40" s="333"/>
      <c r="IE40" s="333"/>
      <c r="IF40" s="333"/>
      <c r="IG40" s="333"/>
      <c r="IH40" s="333"/>
      <c r="II40" s="333"/>
      <c r="IJ40" s="333"/>
      <c r="IK40" s="333"/>
      <c r="IL40" s="333"/>
      <c r="IM40" s="333"/>
      <c r="IN40" s="333"/>
      <c r="IO40" s="333"/>
      <c r="IP40" s="333"/>
      <c r="IQ40" s="333"/>
      <c r="IR40" s="333"/>
      <c r="IS40" s="333"/>
      <c r="IT40" s="333"/>
      <c r="IU40" s="333"/>
      <c r="IV40" s="333"/>
      <c r="IW40" s="333"/>
      <c r="IX40" s="333"/>
      <c r="IY40" s="333"/>
      <c r="IZ40" s="333"/>
      <c r="JA40" s="333"/>
      <c r="JB40" s="333"/>
      <c r="JC40" s="333"/>
      <c r="JD40" s="333"/>
      <c r="JE40" s="333"/>
      <c r="JF40" s="333"/>
      <c r="JG40" s="333"/>
      <c r="JH40" s="333"/>
      <c r="JI40" s="333"/>
      <c r="JJ40" s="333"/>
      <c r="JK40" s="333"/>
      <c r="JL40" s="333"/>
      <c r="JM40" s="333"/>
      <c r="JN40" s="333"/>
      <c r="JO40" s="333"/>
      <c r="JP40" s="333"/>
      <c r="JQ40" s="333"/>
      <c r="JR40" s="333"/>
      <c r="JS40" s="333"/>
      <c r="JT40" s="333"/>
      <c r="JU40" s="333"/>
      <c r="JV40" s="333"/>
      <c r="JW40" s="333"/>
      <c r="JX40" s="333"/>
      <c r="JY40" s="333"/>
      <c r="JZ40" s="333"/>
      <c r="KA40" s="333"/>
      <c r="KB40" s="333"/>
      <c r="KC40" s="333"/>
      <c r="KD40" s="333"/>
      <c r="KE40" s="333"/>
      <c r="KF40" s="333"/>
      <c r="KG40" s="333"/>
      <c r="KH40" s="333"/>
      <c r="KI40" s="333"/>
      <c r="KJ40" s="333"/>
      <c r="KK40" s="333"/>
      <c r="KL40" s="333"/>
      <c r="KM40" s="333"/>
      <c r="KN40" s="333"/>
      <c r="KO40" s="333"/>
      <c r="KP40" s="333"/>
      <c r="KQ40" s="333"/>
      <c r="KR40" s="333"/>
      <c r="KS40" s="333"/>
      <c r="KT40" s="333"/>
      <c r="KU40" s="333"/>
      <c r="KV40" s="333"/>
      <c r="KW40" s="333"/>
      <c r="KX40" s="333"/>
      <c r="KY40" s="333"/>
      <c r="KZ40" s="333"/>
      <c r="LA40" s="333"/>
      <c r="LB40" s="333"/>
      <c r="LC40" s="333"/>
      <c r="LD40" s="333"/>
      <c r="LE40" s="333"/>
      <c r="LF40" s="333"/>
      <c r="LG40" s="333"/>
      <c r="LH40" s="333"/>
      <c r="LI40" s="333"/>
      <c r="LJ40" s="333"/>
      <c r="LK40" s="333"/>
      <c r="LL40" s="333"/>
      <c r="LM40" s="333"/>
    </row>
    <row r="41" spans="1:325">
      <c r="A41" s="310" t="str">
        <f>IF(OR(Data3!B9="Grand Total",Data3!B9=0),"",Data3!B9)</f>
        <v>E.1.4.</v>
      </c>
      <c r="B41" s="309" t="s">
        <v>487</v>
      </c>
      <c r="C41" s="347" t="str">
        <f ca="1">IFERROR(VLOOKUP(A41,Rezultatai!$B$44:$C$106,2,FALSE) &amp; " finansavimo sutarčių rengimas ir sudarymas","")</f>
        <v>0 finansavimo sutarčių rengimas ir sudarymas</v>
      </c>
      <c r="D41" s="358"/>
      <c r="E41" s="326"/>
      <c r="F41" s="333"/>
      <c r="G41" s="333"/>
      <c r="H41" s="333"/>
      <c r="I41" s="333"/>
      <c r="J41" s="333"/>
      <c r="K41" s="333"/>
      <c r="L41" s="333"/>
      <c r="M41" s="333"/>
      <c r="N41" s="333"/>
      <c r="O41" s="333"/>
      <c r="P41" s="333"/>
      <c r="Q41" s="333"/>
      <c r="R41" s="333"/>
      <c r="S41" s="333"/>
      <c r="T41" s="333"/>
      <c r="U41" s="333"/>
      <c r="V41" s="333"/>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c r="HN41" s="333"/>
      <c r="HO41" s="333"/>
      <c r="HP41" s="333"/>
      <c r="HQ41" s="333"/>
      <c r="HR41" s="333"/>
      <c r="HS41" s="333"/>
      <c r="HT41" s="333"/>
      <c r="HU41" s="333"/>
      <c r="HV41" s="333"/>
      <c r="HW41" s="333"/>
      <c r="HX41" s="333"/>
      <c r="HY41" s="333"/>
      <c r="HZ41" s="333"/>
      <c r="IA41" s="333"/>
      <c r="IB41" s="333"/>
      <c r="IC41" s="333"/>
      <c r="ID41" s="333"/>
      <c r="IE41" s="333"/>
      <c r="IF41" s="333"/>
      <c r="IG41" s="333"/>
      <c r="IH41" s="333"/>
      <c r="II41" s="333"/>
      <c r="IJ41" s="333"/>
      <c r="IK41" s="333"/>
      <c r="IL41" s="333"/>
      <c r="IM41" s="333"/>
      <c r="IN41" s="333"/>
      <c r="IO41" s="333"/>
      <c r="IP41" s="333"/>
      <c r="IQ41" s="333"/>
      <c r="IR41" s="333"/>
      <c r="IS41" s="333"/>
      <c r="IT41" s="333"/>
      <c r="IU41" s="333"/>
      <c r="IV41" s="333"/>
      <c r="IW41" s="333"/>
      <c r="IX41" s="333"/>
      <c r="IY41" s="333"/>
      <c r="IZ41" s="333"/>
      <c r="JA41" s="333"/>
      <c r="JB41" s="333"/>
      <c r="JC41" s="333"/>
      <c r="JD41" s="333"/>
      <c r="JE41" s="333"/>
      <c r="JF41" s="333"/>
      <c r="JG41" s="333"/>
      <c r="JH41" s="333"/>
      <c r="JI41" s="333"/>
      <c r="JJ41" s="333"/>
      <c r="JK41" s="333"/>
      <c r="JL41" s="333"/>
      <c r="JM41" s="333"/>
      <c r="JN41" s="333"/>
      <c r="JO41" s="333"/>
      <c r="JP41" s="333"/>
      <c r="JQ41" s="333"/>
      <c r="JR41" s="333"/>
      <c r="JS41" s="333"/>
      <c r="JT41" s="333"/>
      <c r="JU41" s="333"/>
      <c r="JV41" s="333"/>
      <c r="JW41" s="333"/>
      <c r="JX41" s="333"/>
      <c r="JY41" s="333"/>
      <c r="JZ41" s="333"/>
      <c r="KA41" s="333"/>
      <c r="KB41" s="333"/>
      <c r="KC41" s="333"/>
      <c r="KD41" s="333"/>
      <c r="KE41" s="333"/>
      <c r="KF41" s="333"/>
      <c r="KG41" s="333"/>
      <c r="KH41" s="333"/>
      <c r="KI41" s="333"/>
      <c r="KJ41" s="333"/>
      <c r="KK41" s="333"/>
      <c r="KL41" s="333"/>
      <c r="KM41" s="333"/>
      <c r="KN41" s="333"/>
      <c r="KO41" s="333"/>
      <c r="KP41" s="333"/>
      <c r="KQ41" s="333"/>
      <c r="KR41" s="333"/>
      <c r="KS41" s="333"/>
      <c r="KT41" s="333"/>
      <c r="KU41" s="333"/>
      <c r="KV41" s="333"/>
      <c r="KW41" s="333"/>
      <c r="KX41" s="333"/>
      <c r="KY41" s="333"/>
      <c r="KZ41" s="333"/>
      <c r="LA41" s="333"/>
      <c r="LB41" s="333"/>
      <c r="LC41" s="333"/>
      <c r="LD41" s="333"/>
      <c r="LE41" s="333"/>
      <c r="LF41" s="333"/>
      <c r="LG41" s="333"/>
      <c r="LH41" s="333"/>
      <c r="LI41" s="333"/>
      <c r="LJ41" s="333"/>
      <c r="LK41" s="333"/>
      <c r="LL41" s="333"/>
      <c r="LM41" s="333"/>
    </row>
    <row r="42" spans="1:325">
      <c r="A42" s="310" t="str">
        <f>IF(OR(Data3!B10="Grand Total",Data3!B10=0),"",Data3!B10)</f>
        <v>E.1.5.</v>
      </c>
      <c r="B42" s="309" t="s">
        <v>488</v>
      </c>
      <c r="C42" s="347" t="str">
        <f ca="1">IFERROR(VLOOKUP(A42,Rezultatai!$B$44:$C$106,2,FALSE) &amp; " finansavimo sutarčių rengimas ir sudarymas","")</f>
        <v>0 finansavimo sutarčių rengimas ir sudarymas</v>
      </c>
      <c r="D42" s="358"/>
      <c r="E42" s="326"/>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c r="HN42" s="333"/>
      <c r="HO42" s="333"/>
      <c r="HP42" s="333"/>
      <c r="HQ42" s="333"/>
      <c r="HR42" s="333"/>
      <c r="HS42" s="333"/>
      <c r="HT42" s="333"/>
      <c r="HU42" s="333"/>
      <c r="HV42" s="333"/>
      <c r="HW42" s="333"/>
      <c r="HX42" s="333"/>
      <c r="HY42" s="333"/>
      <c r="HZ42" s="333"/>
      <c r="IA42" s="333"/>
      <c r="IB42" s="333"/>
      <c r="IC42" s="333"/>
      <c r="ID42" s="333"/>
      <c r="IE42" s="333"/>
      <c r="IF42" s="333"/>
      <c r="IG42" s="333"/>
      <c r="IH42" s="333"/>
      <c r="II42" s="333"/>
      <c r="IJ42" s="333"/>
      <c r="IK42" s="333"/>
      <c r="IL42" s="333"/>
      <c r="IM42" s="333"/>
      <c r="IN42" s="333"/>
      <c r="IO42" s="333"/>
      <c r="IP42" s="333"/>
      <c r="IQ42" s="333"/>
      <c r="IR42" s="333"/>
      <c r="IS42" s="333"/>
      <c r="IT42" s="333"/>
      <c r="IU42" s="333"/>
      <c r="IV42" s="333"/>
      <c r="IW42" s="333"/>
      <c r="IX42" s="333"/>
      <c r="IY42" s="333"/>
      <c r="IZ42" s="333"/>
      <c r="JA42" s="333"/>
      <c r="JB42" s="333"/>
      <c r="JC42" s="333"/>
      <c r="JD42" s="333"/>
      <c r="JE42" s="333"/>
      <c r="JF42" s="333"/>
      <c r="JG42" s="333"/>
      <c r="JH42" s="333"/>
      <c r="JI42" s="333"/>
      <c r="JJ42" s="333"/>
      <c r="JK42" s="333"/>
      <c r="JL42" s="333"/>
      <c r="JM42" s="333"/>
      <c r="JN42" s="333"/>
      <c r="JO42" s="333"/>
      <c r="JP42" s="333"/>
      <c r="JQ42" s="333"/>
      <c r="JR42" s="333"/>
      <c r="JS42" s="333"/>
      <c r="JT42" s="333"/>
      <c r="JU42" s="333"/>
      <c r="JV42" s="333"/>
      <c r="JW42" s="333"/>
      <c r="JX42" s="333"/>
      <c r="JY42" s="333"/>
      <c r="JZ42" s="333"/>
      <c r="KA42" s="333"/>
      <c r="KB42" s="333"/>
      <c r="KC42" s="333"/>
      <c r="KD42" s="333"/>
      <c r="KE42" s="333"/>
      <c r="KF42" s="333"/>
      <c r="KG42" s="333"/>
      <c r="KH42" s="333"/>
      <c r="KI42" s="333"/>
      <c r="KJ42" s="333"/>
      <c r="KK42" s="333"/>
      <c r="KL42" s="333"/>
      <c r="KM42" s="333"/>
      <c r="KN42" s="333"/>
      <c r="KO42" s="333"/>
      <c r="KP42" s="333"/>
      <c r="KQ42" s="333"/>
      <c r="KR42" s="333"/>
      <c r="KS42" s="333"/>
      <c r="KT42" s="333"/>
      <c r="KU42" s="333"/>
      <c r="KV42" s="333"/>
      <c r="KW42" s="333"/>
      <c r="KX42" s="333"/>
      <c r="KY42" s="333"/>
      <c r="KZ42" s="333"/>
      <c r="LA42" s="333"/>
      <c r="LB42" s="333"/>
      <c r="LC42" s="333"/>
      <c r="LD42" s="333"/>
      <c r="LE42" s="333"/>
      <c r="LF42" s="333"/>
      <c r="LG42" s="333"/>
      <c r="LH42" s="333"/>
      <c r="LI42" s="333"/>
      <c r="LJ42" s="333"/>
      <c r="LK42" s="333"/>
      <c r="LL42" s="333"/>
      <c r="LM42" s="333"/>
    </row>
    <row r="43" spans="1:325">
      <c r="A43" s="310" t="str">
        <f>IF(OR(Data3!B10="Grand Total",Data3!B10=0),"",Data3!B10)</f>
        <v>E.1.5.</v>
      </c>
      <c r="B43" s="309" t="s">
        <v>489</v>
      </c>
      <c r="C43" s="347" t="str">
        <f ca="1">IFERROR(VLOOKUP(A43,Rezultatai!$B$44:$C$106,2,FALSE) &amp; " finansavimo sutarčių rengimas ir sudarymas","")</f>
        <v>0 finansavimo sutarčių rengimas ir sudarymas</v>
      </c>
      <c r="D43" s="358"/>
      <c r="E43" s="326"/>
      <c r="F43" s="333"/>
      <c r="G43" s="333"/>
      <c r="H43" s="333"/>
      <c r="I43" s="333"/>
      <c r="J43" s="333"/>
      <c r="K43" s="333"/>
      <c r="L43" s="333"/>
      <c r="M43" s="333"/>
      <c r="N43" s="333"/>
      <c r="O43" s="333"/>
      <c r="P43" s="333"/>
      <c r="Q43" s="333"/>
      <c r="R43" s="333"/>
      <c r="S43" s="333"/>
      <c r="T43" s="333"/>
      <c r="U43" s="333"/>
      <c r="V43" s="333"/>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c r="HN43" s="333"/>
      <c r="HO43" s="333"/>
      <c r="HP43" s="333"/>
      <c r="HQ43" s="333"/>
      <c r="HR43" s="333"/>
      <c r="HS43" s="333"/>
      <c r="HT43" s="333"/>
      <c r="HU43" s="333"/>
      <c r="HV43" s="333"/>
      <c r="HW43" s="333"/>
      <c r="HX43" s="333"/>
      <c r="HY43" s="333"/>
      <c r="HZ43" s="333"/>
      <c r="IA43" s="333"/>
      <c r="IB43" s="333"/>
      <c r="IC43" s="333"/>
      <c r="ID43" s="333"/>
      <c r="IE43" s="333"/>
      <c r="IF43" s="333"/>
      <c r="IG43" s="333"/>
      <c r="IH43" s="333"/>
      <c r="II43" s="333"/>
      <c r="IJ43" s="333"/>
      <c r="IK43" s="333"/>
      <c r="IL43" s="333"/>
      <c r="IM43" s="333"/>
      <c r="IN43" s="333"/>
      <c r="IO43" s="333"/>
      <c r="IP43" s="333"/>
      <c r="IQ43" s="333"/>
      <c r="IR43" s="333"/>
      <c r="IS43" s="333"/>
      <c r="IT43" s="333"/>
      <c r="IU43" s="333"/>
      <c r="IV43" s="333"/>
      <c r="IW43" s="333"/>
      <c r="IX43" s="333"/>
      <c r="IY43" s="333"/>
      <c r="IZ43" s="333"/>
      <c r="JA43" s="333"/>
      <c r="JB43" s="333"/>
      <c r="JC43" s="333"/>
      <c r="JD43" s="333"/>
      <c r="JE43" s="333"/>
      <c r="JF43" s="333"/>
      <c r="JG43" s="333"/>
      <c r="JH43" s="333"/>
      <c r="JI43" s="333"/>
      <c r="JJ43" s="333"/>
      <c r="JK43" s="333"/>
      <c r="JL43" s="333"/>
      <c r="JM43" s="333"/>
      <c r="JN43" s="333"/>
      <c r="JO43" s="333"/>
      <c r="JP43" s="333"/>
      <c r="JQ43" s="333"/>
      <c r="JR43" s="333"/>
      <c r="JS43" s="333"/>
      <c r="JT43" s="333"/>
      <c r="JU43" s="333"/>
      <c r="JV43" s="333"/>
      <c r="JW43" s="333"/>
      <c r="JX43" s="333"/>
      <c r="JY43" s="333"/>
      <c r="JZ43" s="333"/>
      <c r="KA43" s="333"/>
      <c r="KB43" s="333"/>
      <c r="KC43" s="333"/>
      <c r="KD43" s="333"/>
      <c r="KE43" s="333"/>
      <c r="KF43" s="333"/>
      <c r="KG43" s="333"/>
      <c r="KH43" s="333"/>
      <c r="KI43" s="333"/>
      <c r="KJ43" s="333"/>
      <c r="KK43" s="333"/>
      <c r="KL43" s="333"/>
      <c r="KM43" s="333"/>
      <c r="KN43" s="333"/>
      <c r="KO43" s="333"/>
      <c r="KP43" s="333"/>
      <c r="KQ43" s="333"/>
      <c r="KR43" s="333"/>
      <c r="KS43" s="333"/>
      <c r="KT43" s="333"/>
      <c r="KU43" s="333"/>
      <c r="KV43" s="333"/>
      <c r="KW43" s="333"/>
      <c r="KX43" s="333"/>
      <c r="KY43" s="333"/>
      <c r="KZ43" s="333"/>
      <c r="LA43" s="333"/>
      <c r="LB43" s="333"/>
      <c r="LC43" s="333"/>
      <c r="LD43" s="333"/>
      <c r="LE43" s="333"/>
      <c r="LF43" s="333"/>
      <c r="LG43" s="333"/>
      <c r="LH43" s="333"/>
      <c r="LI43" s="333"/>
      <c r="LJ43" s="333"/>
      <c r="LK43" s="333"/>
      <c r="LL43" s="333"/>
      <c r="LM43" s="333"/>
    </row>
    <row r="44" spans="1:325">
      <c r="A44" s="310" t="str">
        <f>IF(OR(Data3!B11="Grand Total",Data3!B11=0),"",Data3!B11)</f>
        <v>E.1.6.</v>
      </c>
      <c r="B44" s="309" t="s">
        <v>490</v>
      </c>
      <c r="C44" s="347" t="str">
        <f ca="1">IFERROR(VLOOKUP(A44,Rezultatai!$B$44:$C$106,2,FALSE) &amp; " finansavimo sutarčių rengimas ir sudarymas","")</f>
        <v>0 finansavimo sutarčių rengimas ir sudarymas</v>
      </c>
      <c r="D44" s="358"/>
      <c r="E44" s="326"/>
      <c r="F44" s="333"/>
      <c r="G44" s="333"/>
      <c r="H44" s="333"/>
      <c r="I44" s="333"/>
      <c r="J44" s="333"/>
      <c r="K44" s="333"/>
      <c r="L44" s="333"/>
      <c r="M44" s="333"/>
      <c r="N44" s="333"/>
      <c r="O44" s="333"/>
      <c r="P44" s="333"/>
      <c r="Q44" s="333"/>
      <c r="R44" s="333"/>
      <c r="S44" s="333"/>
      <c r="T44" s="333"/>
      <c r="U44" s="333"/>
      <c r="V44" s="333"/>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c r="HN44" s="333"/>
      <c r="HO44" s="333"/>
      <c r="HP44" s="333"/>
      <c r="HQ44" s="333"/>
      <c r="HR44" s="333"/>
      <c r="HS44" s="333"/>
      <c r="HT44" s="333"/>
      <c r="HU44" s="333"/>
      <c r="HV44" s="333"/>
      <c r="HW44" s="333"/>
      <c r="HX44" s="333"/>
      <c r="HY44" s="333"/>
      <c r="HZ44" s="333"/>
      <c r="IA44" s="333"/>
      <c r="IB44" s="333"/>
      <c r="IC44" s="333"/>
      <c r="ID44" s="333"/>
      <c r="IE44" s="333"/>
      <c r="IF44" s="333"/>
      <c r="IG44" s="333"/>
      <c r="IH44" s="333"/>
      <c r="II44" s="333"/>
      <c r="IJ44" s="333"/>
      <c r="IK44" s="333"/>
      <c r="IL44" s="333"/>
      <c r="IM44" s="333"/>
      <c r="IN44" s="333"/>
      <c r="IO44" s="333"/>
      <c r="IP44" s="333"/>
      <c r="IQ44" s="333"/>
      <c r="IR44" s="333"/>
      <c r="IS44" s="333"/>
      <c r="IT44" s="333"/>
      <c r="IU44" s="333"/>
      <c r="IV44" s="333"/>
      <c r="IW44" s="333"/>
      <c r="IX44" s="333"/>
      <c r="IY44" s="333"/>
      <c r="IZ44" s="333"/>
      <c r="JA44" s="333"/>
      <c r="JB44" s="333"/>
      <c r="JC44" s="333"/>
      <c r="JD44" s="333"/>
      <c r="JE44" s="333"/>
      <c r="JF44" s="333"/>
      <c r="JG44" s="333"/>
      <c r="JH44" s="333"/>
      <c r="JI44" s="333"/>
      <c r="JJ44" s="333"/>
      <c r="JK44" s="333"/>
      <c r="JL44" s="333"/>
      <c r="JM44" s="333"/>
      <c r="JN44" s="333"/>
      <c r="JO44" s="333"/>
      <c r="JP44" s="333"/>
      <c r="JQ44" s="333"/>
      <c r="JR44" s="333"/>
      <c r="JS44" s="333"/>
      <c r="JT44" s="333"/>
      <c r="JU44" s="333"/>
      <c r="JV44" s="333"/>
      <c r="JW44" s="333"/>
      <c r="JX44" s="333"/>
      <c r="JY44" s="333"/>
      <c r="JZ44" s="333"/>
      <c r="KA44" s="333"/>
      <c r="KB44" s="333"/>
      <c r="KC44" s="333"/>
      <c r="KD44" s="333"/>
      <c r="KE44" s="333"/>
      <c r="KF44" s="333"/>
      <c r="KG44" s="333"/>
      <c r="KH44" s="333"/>
      <c r="KI44" s="333"/>
      <c r="KJ44" s="333"/>
      <c r="KK44" s="333"/>
      <c r="KL44" s="333"/>
      <c r="KM44" s="333"/>
      <c r="KN44" s="333"/>
      <c r="KO44" s="333"/>
      <c r="KP44" s="333"/>
      <c r="KQ44" s="333"/>
      <c r="KR44" s="333"/>
      <c r="KS44" s="333"/>
      <c r="KT44" s="333"/>
      <c r="KU44" s="333"/>
      <c r="KV44" s="333"/>
      <c r="KW44" s="333"/>
      <c r="KX44" s="333"/>
      <c r="KY44" s="333"/>
      <c r="KZ44" s="333"/>
      <c r="LA44" s="333"/>
      <c r="LB44" s="333"/>
      <c r="LC44" s="333"/>
      <c r="LD44" s="333"/>
      <c r="LE44" s="333"/>
      <c r="LF44" s="333"/>
      <c r="LG44" s="333"/>
      <c r="LH44" s="333"/>
      <c r="LI44" s="333"/>
      <c r="LJ44" s="333"/>
      <c r="LK44" s="333"/>
      <c r="LL44" s="333"/>
      <c r="LM44" s="333"/>
    </row>
    <row r="45" spans="1:325">
      <c r="A45" s="310" t="str">
        <f>IF(OR(Data3!B11="Grand Total",Data3!B11=0),"",Data3!B11)</f>
        <v>E.1.6.</v>
      </c>
      <c r="B45" s="309" t="s">
        <v>491</v>
      </c>
      <c r="C45" s="347" t="str">
        <f ca="1">IFERROR(VLOOKUP(A45,Rezultatai!$B$44:$C$106,2,FALSE) &amp; " finansavimo sutarčių rengimas ir sudarymas","")</f>
        <v>0 finansavimo sutarčių rengimas ir sudarymas</v>
      </c>
      <c r="D45" s="358"/>
      <c r="E45" s="326"/>
      <c r="F45" s="333"/>
      <c r="G45" s="333"/>
      <c r="H45" s="333"/>
      <c r="I45" s="333"/>
      <c r="J45" s="333"/>
      <c r="K45" s="333"/>
      <c r="L45" s="333"/>
      <c r="M45" s="333"/>
      <c r="N45" s="333"/>
      <c r="O45" s="333"/>
      <c r="P45" s="333"/>
      <c r="Q45" s="333"/>
      <c r="R45" s="333"/>
      <c r="S45" s="333"/>
      <c r="T45" s="333"/>
      <c r="U45" s="333"/>
      <c r="V45" s="333"/>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c r="HN45" s="333"/>
      <c r="HO45" s="333"/>
      <c r="HP45" s="333"/>
      <c r="HQ45" s="333"/>
      <c r="HR45" s="333"/>
      <c r="HS45" s="333"/>
      <c r="HT45" s="333"/>
      <c r="HU45" s="333"/>
      <c r="HV45" s="333"/>
      <c r="HW45" s="333"/>
      <c r="HX45" s="333"/>
      <c r="HY45" s="333"/>
      <c r="HZ45" s="333"/>
      <c r="IA45" s="333"/>
      <c r="IB45" s="333"/>
      <c r="IC45" s="333"/>
      <c r="ID45" s="333"/>
      <c r="IE45" s="333"/>
      <c r="IF45" s="333"/>
      <c r="IG45" s="333"/>
      <c r="IH45" s="333"/>
      <c r="II45" s="333"/>
      <c r="IJ45" s="333"/>
      <c r="IK45" s="333"/>
      <c r="IL45" s="333"/>
      <c r="IM45" s="333"/>
      <c r="IN45" s="333"/>
      <c r="IO45" s="333"/>
      <c r="IP45" s="333"/>
      <c r="IQ45" s="333"/>
      <c r="IR45" s="333"/>
      <c r="IS45" s="333"/>
      <c r="IT45" s="333"/>
      <c r="IU45" s="333"/>
      <c r="IV45" s="333"/>
      <c r="IW45" s="333"/>
      <c r="IX45" s="333"/>
      <c r="IY45" s="333"/>
      <c r="IZ45" s="333"/>
      <c r="JA45" s="333"/>
      <c r="JB45" s="333"/>
      <c r="JC45" s="333"/>
      <c r="JD45" s="333"/>
      <c r="JE45" s="333"/>
      <c r="JF45" s="333"/>
      <c r="JG45" s="333"/>
      <c r="JH45" s="333"/>
      <c r="JI45" s="333"/>
      <c r="JJ45" s="333"/>
      <c r="JK45" s="333"/>
      <c r="JL45" s="333"/>
      <c r="JM45" s="333"/>
      <c r="JN45" s="333"/>
      <c r="JO45" s="333"/>
      <c r="JP45" s="333"/>
      <c r="JQ45" s="333"/>
      <c r="JR45" s="333"/>
      <c r="JS45" s="333"/>
      <c r="JT45" s="333"/>
      <c r="JU45" s="333"/>
      <c r="JV45" s="333"/>
      <c r="JW45" s="333"/>
      <c r="JX45" s="333"/>
      <c r="JY45" s="333"/>
      <c r="JZ45" s="333"/>
      <c r="KA45" s="333"/>
      <c r="KB45" s="333"/>
      <c r="KC45" s="333"/>
      <c r="KD45" s="333"/>
      <c r="KE45" s="333"/>
      <c r="KF45" s="333"/>
      <c r="KG45" s="333"/>
      <c r="KH45" s="333"/>
      <c r="KI45" s="333"/>
      <c r="KJ45" s="333"/>
      <c r="KK45" s="333"/>
      <c r="KL45" s="333"/>
      <c r="KM45" s="333"/>
      <c r="KN45" s="333"/>
      <c r="KO45" s="333"/>
      <c r="KP45" s="333"/>
      <c r="KQ45" s="333"/>
      <c r="KR45" s="333"/>
      <c r="KS45" s="333"/>
      <c r="KT45" s="333"/>
      <c r="KU45" s="333"/>
      <c r="KV45" s="333"/>
      <c r="KW45" s="333"/>
      <c r="KX45" s="333"/>
      <c r="KY45" s="333"/>
      <c r="KZ45" s="333"/>
      <c r="LA45" s="333"/>
      <c r="LB45" s="333"/>
      <c r="LC45" s="333"/>
      <c r="LD45" s="333"/>
      <c r="LE45" s="333"/>
      <c r="LF45" s="333"/>
      <c r="LG45" s="333"/>
      <c r="LH45" s="333"/>
      <c r="LI45" s="333"/>
      <c r="LJ45" s="333"/>
      <c r="LK45" s="333"/>
      <c r="LL45" s="333"/>
      <c r="LM45" s="333"/>
    </row>
    <row r="46" spans="1:325">
      <c r="A46" s="310" t="str">
        <f>IF(OR(Data3!B12="Grand Total",Data3!B12=0),"",Data3!B12)</f>
        <v>E.1.7.</v>
      </c>
      <c r="B46" s="309" t="s">
        <v>492</v>
      </c>
      <c r="C46" s="347" t="str">
        <f ca="1">IFERROR(VLOOKUP(A46,Rezultatai!$B$44:$C$106,2,FALSE) &amp; " finansavimo sutarčių rengimas ir sudarymas","")</f>
        <v>0 finansavimo sutarčių rengimas ir sudarymas</v>
      </c>
      <c r="D46" s="358"/>
      <c r="E46" s="326"/>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c r="HN46" s="333"/>
      <c r="HO46" s="333"/>
      <c r="HP46" s="333"/>
      <c r="HQ46" s="333"/>
      <c r="HR46" s="333"/>
      <c r="HS46" s="333"/>
      <c r="HT46" s="333"/>
      <c r="HU46" s="333"/>
      <c r="HV46" s="333"/>
      <c r="HW46" s="333"/>
      <c r="HX46" s="333"/>
      <c r="HY46" s="333"/>
      <c r="HZ46" s="333"/>
      <c r="IA46" s="333"/>
      <c r="IB46" s="333"/>
      <c r="IC46" s="333"/>
      <c r="ID46" s="333"/>
      <c r="IE46" s="333"/>
      <c r="IF46" s="333"/>
      <c r="IG46" s="333"/>
      <c r="IH46" s="333"/>
      <c r="II46" s="333"/>
      <c r="IJ46" s="333"/>
      <c r="IK46" s="333"/>
      <c r="IL46" s="333"/>
      <c r="IM46" s="333"/>
      <c r="IN46" s="333"/>
      <c r="IO46" s="333"/>
      <c r="IP46" s="333"/>
      <c r="IQ46" s="333"/>
      <c r="IR46" s="333"/>
      <c r="IS46" s="333"/>
      <c r="IT46" s="333"/>
      <c r="IU46" s="333"/>
      <c r="IV46" s="333"/>
      <c r="IW46" s="333"/>
      <c r="IX46" s="333"/>
      <c r="IY46" s="333"/>
      <c r="IZ46" s="333"/>
      <c r="JA46" s="333"/>
      <c r="JB46" s="333"/>
      <c r="JC46" s="333"/>
      <c r="JD46" s="333"/>
      <c r="JE46" s="333"/>
      <c r="JF46" s="333"/>
      <c r="JG46" s="333"/>
      <c r="JH46" s="333"/>
      <c r="JI46" s="333"/>
      <c r="JJ46" s="333"/>
      <c r="JK46" s="333"/>
      <c r="JL46" s="333"/>
      <c r="JM46" s="333"/>
      <c r="JN46" s="333"/>
      <c r="JO46" s="333"/>
      <c r="JP46" s="333"/>
      <c r="JQ46" s="333"/>
      <c r="JR46" s="333"/>
      <c r="JS46" s="333"/>
      <c r="JT46" s="333"/>
      <c r="JU46" s="333"/>
      <c r="JV46" s="333"/>
      <c r="JW46" s="333"/>
      <c r="JX46" s="333"/>
      <c r="JY46" s="333"/>
      <c r="JZ46" s="333"/>
      <c r="KA46" s="333"/>
      <c r="KB46" s="333"/>
      <c r="KC46" s="333"/>
      <c r="KD46" s="333"/>
      <c r="KE46" s="333"/>
      <c r="KF46" s="333"/>
      <c r="KG46" s="333"/>
      <c r="KH46" s="333"/>
      <c r="KI46" s="333"/>
      <c r="KJ46" s="333"/>
      <c r="KK46" s="333"/>
      <c r="KL46" s="333"/>
      <c r="KM46" s="333"/>
      <c r="KN46" s="333"/>
      <c r="KO46" s="333"/>
      <c r="KP46" s="333"/>
      <c r="KQ46" s="333"/>
      <c r="KR46" s="333"/>
      <c r="KS46" s="333"/>
      <c r="KT46" s="333"/>
      <c r="KU46" s="333"/>
      <c r="KV46" s="333"/>
      <c r="KW46" s="333"/>
      <c r="KX46" s="333"/>
      <c r="KY46" s="333"/>
      <c r="KZ46" s="333"/>
      <c r="LA46" s="333"/>
      <c r="LB46" s="333"/>
      <c r="LC46" s="333"/>
      <c r="LD46" s="333"/>
      <c r="LE46" s="333"/>
      <c r="LF46" s="333"/>
      <c r="LG46" s="333"/>
      <c r="LH46" s="333"/>
      <c r="LI46" s="333"/>
      <c r="LJ46" s="333"/>
      <c r="LK46" s="333"/>
      <c r="LL46" s="333"/>
      <c r="LM46" s="333"/>
    </row>
    <row r="47" spans="1:325">
      <c r="A47" s="310" t="str">
        <f>IF(OR(Data3!B12="Grand Total",Data3!B12=0),"",Data3!B12)</f>
        <v>E.1.7.</v>
      </c>
      <c r="B47" s="309" t="s">
        <v>493</v>
      </c>
      <c r="C47" s="347" t="str">
        <f ca="1">IFERROR(VLOOKUP(A47,Rezultatai!$B$44:$C$106,2,FALSE) &amp; " finansavimo sutarčių rengimas ir sudarymas","")</f>
        <v>0 finansavimo sutarčių rengimas ir sudarymas</v>
      </c>
      <c r="D47" s="358"/>
      <c r="E47" s="326"/>
      <c r="F47" s="333"/>
      <c r="G47" s="333"/>
      <c r="H47" s="333"/>
      <c r="I47" s="333"/>
      <c r="J47" s="333"/>
      <c r="K47" s="333"/>
      <c r="L47" s="333"/>
      <c r="M47" s="333"/>
      <c r="N47" s="333"/>
      <c r="O47" s="333"/>
      <c r="P47" s="333"/>
      <c r="Q47" s="333"/>
      <c r="R47" s="333"/>
      <c r="S47" s="333"/>
      <c r="T47" s="333"/>
      <c r="U47" s="333"/>
      <c r="V47" s="333"/>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c r="HN47" s="333"/>
      <c r="HO47" s="333"/>
      <c r="HP47" s="333"/>
      <c r="HQ47" s="333"/>
      <c r="HR47" s="333"/>
      <c r="HS47" s="333"/>
      <c r="HT47" s="333"/>
      <c r="HU47" s="333"/>
      <c r="HV47" s="333"/>
      <c r="HW47" s="333"/>
      <c r="HX47" s="333"/>
      <c r="HY47" s="333"/>
      <c r="HZ47" s="333"/>
      <c r="IA47" s="333"/>
      <c r="IB47" s="333"/>
      <c r="IC47" s="333"/>
      <c r="ID47" s="333"/>
      <c r="IE47" s="333"/>
      <c r="IF47" s="333"/>
      <c r="IG47" s="333"/>
      <c r="IH47" s="333"/>
      <c r="II47" s="333"/>
      <c r="IJ47" s="333"/>
      <c r="IK47" s="333"/>
      <c r="IL47" s="333"/>
      <c r="IM47" s="333"/>
      <c r="IN47" s="333"/>
      <c r="IO47" s="333"/>
      <c r="IP47" s="333"/>
      <c r="IQ47" s="333"/>
      <c r="IR47" s="333"/>
      <c r="IS47" s="333"/>
      <c r="IT47" s="333"/>
      <c r="IU47" s="333"/>
      <c r="IV47" s="333"/>
      <c r="IW47" s="333"/>
      <c r="IX47" s="333"/>
      <c r="IY47" s="333"/>
      <c r="IZ47" s="333"/>
      <c r="JA47" s="333"/>
      <c r="JB47" s="333"/>
      <c r="JC47" s="333"/>
      <c r="JD47" s="333"/>
      <c r="JE47" s="333"/>
      <c r="JF47" s="333"/>
      <c r="JG47" s="333"/>
      <c r="JH47" s="333"/>
      <c r="JI47" s="333"/>
      <c r="JJ47" s="333"/>
      <c r="JK47" s="333"/>
      <c r="JL47" s="333"/>
      <c r="JM47" s="333"/>
      <c r="JN47" s="333"/>
      <c r="JO47" s="333"/>
      <c r="JP47" s="333"/>
      <c r="JQ47" s="333"/>
      <c r="JR47" s="333"/>
      <c r="JS47" s="333"/>
      <c r="JT47" s="333"/>
      <c r="JU47" s="333"/>
      <c r="JV47" s="333"/>
      <c r="JW47" s="333"/>
      <c r="JX47" s="333"/>
      <c r="JY47" s="333"/>
      <c r="JZ47" s="333"/>
      <c r="KA47" s="333"/>
      <c r="KB47" s="333"/>
      <c r="KC47" s="333"/>
      <c r="KD47" s="333"/>
      <c r="KE47" s="333"/>
      <c r="KF47" s="333"/>
      <c r="KG47" s="333"/>
      <c r="KH47" s="333"/>
      <c r="KI47" s="333"/>
      <c r="KJ47" s="333"/>
      <c r="KK47" s="333"/>
      <c r="KL47" s="333"/>
      <c r="KM47" s="333"/>
      <c r="KN47" s="333"/>
      <c r="KO47" s="333"/>
      <c r="KP47" s="333"/>
      <c r="KQ47" s="333"/>
      <c r="KR47" s="333"/>
      <c r="KS47" s="333"/>
      <c r="KT47" s="333"/>
      <c r="KU47" s="333"/>
      <c r="KV47" s="333"/>
      <c r="KW47" s="333"/>
      <c r="KX47" s="333"/>
      <c r="KY47" s="333"/>
      <c r="KZ47" s="333"/>
      <c r="LA47" s="333"/>
      <c r="LB47" s="333"/>
      <c r="LC47" s="333"/>
      <c r="LD47" s="333"/>
      <c r="LE47" s="333"/>
      <c r="LF47" s="333"/>
      <c r="LG47" s="333"/>
      <c r="LH47" s="333"/>
      <c r="LI47" s="333"/>
      <c r="LJ47" s="333"/>
      <c r="LK47" s="333"/>
      <c r="LL47" s="333"/>
      <c r="LM47" s="333"/>
    </row>
    <row r="48" spans="1:325" ht="28.8">
      <c r="A48" s="310" t="str">
        <f>IF(OR(Data3!B13="Grand Total",Data3!B13=0),"",Data3!B13)</f>
        <v>E.2.1.</v>
      </c>
      <c r="B48" s="309" t="s">
        <v>494</v>
      </c>
      <c r="C48" s="347" t="str">
        <f ca="1">IFERROR(VLOOKUP(A48,Rezultatai!$B$44:$C$106,2,FALSE) &amp; " finansavimo sutarčių rengimas ir sudarymas","")</f>
        <v>Indijos–Ramiojo vandenynų regiono politikos studijų programos/-ų parengimas Lietuvos universitetuose finansavimo sutarčių rengimas ir sudarymas</v>
      </c>
      <c r="D48" s="358"/>
      <c r="E48" s="326"/>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c r="HN48" s="333"/>
      <c r="HO48" s="333"/>
      <c r="HP48" s="333"/>
      <c r="HQ48" s="333"/>
      <c r="HR48" s="333"/>
      <c r="HS48" s="333"/>
      <c r="HT48" s="333"/>
      <c r="HU48" s="333"/>
      <c r="HV48" s="333"/>
      <c r="HW48" s="333"/>
      <c r="HX48" s="333"/>
      <c r="HY48" s="333"/>
      <c r="HZ48" s="333"/>
      <c r="IA48" s="333"/>
      <c r="IB48" s="333"/>
      <c r="IC48" s="333"/>
      <c r="ID48" s="333"/>
      <c r="IE48" s="333"/>
      <c r="IF48" s="333"/>
      <c r="IG48" s="333"/>
      <c r="IH48" s="333"/>
      <c r="II48" s="333"/>
      <c r="IJ48" s="333"/>
      <c r="IK48" s="333"/>
      <c r="IL48" s="333"/>
      <c r="IM48" s="333"/>
      <c r="IN48" s="333"/>
      <c r="IO48" s="333"/>
      <c r="IP48" s="333"/>
      <c r="IQ48" s="333"/>
      <c r="IR48" s="333"/>
      <c r="IS48" s="333"/>
      <c r="IT48" s="333"/>
      <c r="IU48" s="333"/>
      <c r="IV48" s="333"/>
      <c r="IW48" s="333"/>
      <c r="IX48" s="333"/>
      <c r="IY48" s="333"/>
      <c r="IZ48" s="333"/>
      <c r="JA48" s="333"/>
      <c r="JB48" s="333"/>
      <c r="JC48" s="333"/>
      <c r="JD48" s="333"/>
      <c r="JE48" s="333"/>
      <c r="JF48" s="333"/>
      <c r="JG48" s="333"/>
      <c r="JH48" s="333"/>
      <c r="JI48" s="333"/>
      <c r="JJ48" s="333"/>
      <c r="JK48" s="333"/>
      <c r="JL48" s="333"/>
      <c r="JM48" s="333"/>
      <c r="JN48" s="333"/>
      <c r="JO48" s="333"/>
      <c r="JP48" s="333"/>
      <c r="JQ48" s="333"/>
      <c r="JR48" s="333"/>
      <c r="JS48" s="333"/>
      <c r="JT48" s="333"/>
      <c r="JU48" s="333"/>
      <c r="JV48" s="333"/>
      <c r="JW48" s="333"/>
      <c r="JX48" s="333"/>
      <c r="JY48" s="333"/>
      <c r="JZ48" s="333"/>
      <c r="KA48" s="333"/>
      <c r="KB48" s="333"/>
      <c r="KC48" s="333"/>
      <c r="KD48" s="333"/>
      <c r="KE48" s="333"/>
      <c r="KF48" s="333"/>
      <c r="KG48" s="333"/>
      <c r="KH48" s="333"/>
      <c r="KI48" s="333"/>
      <c r="KJ48" s="333"/>
      <c r="KK48" s="333"/>
      <c r="KL48" s="333"/>
      <c r="KM48" s="333"/>
      <c r="KN48" s="333"/>
      <c r="KO48" s="333"/>
      <c r="KP48" s="333"/>
      <c r="KQ48" s="333"/>
      <c r="KR48" s="333"/>
      <c r="KS48" s="333"/>
      <c r="KT48" s="333"/>
      <c r="KU48" s="333"/>
      <c r="KV48" s="333"/>
      <c r="KW48" s="333"/>
      <c r="KX48" s="333"/>
      <c r="KY48" s="333"/>
      <c r="KZ48" s="333"/>
      <c r="LA48" s="333"/>
      <c r="LB48" s="333"/>
      <c r="LC48" s="333"/>
      <c r="LD48" s="333"/>
      <c r="LE48" s="333"/>
      <c r="LF48" s="333"/>
      <c r="LG48" s="333"/>
      <c r="LH48" s="333"/>
      <c r="LI48" s="333"/>
      <c r="LJ48" s="333"/>
      <c r="LK48" s="333"/>
      <c r="LL48" s="333"/>
      <c r="LM48" s="333"/>
    </row>
    <row r="49" spans="1:325" ht="28.8">
      <c r="A49" s="310" t="str">
        <f>IF(OR(Data3!B13="Grand Total",Data3!B13=0),"",Data3!B13)</f>
        <v>E.2.1.</v>
      </c>
      <c r="B49" s="309" t="s">
        <v>495</v>
      </c>
      <c r="C49" s="347" t="str">
        <f ca="1">IFERROR(VLOOKUP(A49,Rezultatai!$B$44:$C$106,2,FALSE) &amp; " finansavimo sutarčių rengimas ir sudarymas","")</f>
        <v>Indijos–Ramiojo vandenynų regiono politikos studijų programos/-ų parengimas Lietuvos universitetuose finansavimo sutarčių rengimas ir sudarymas</v>
      </c>
      <c r="D49" s="358"/>
      <c r="E49" s="326"/>
      <c r="F49" s="333"/>
      <c r="G49" s="333"/>
      <c r="H49" s="333"/>
      <c r="I49" s="333"/>
      <c r="J49" s="333"/>
      <c r="K49" s="333"/>
      <c r="L49" s="333"/>
      <c r="M49" s="333"/>
      <c r="N49" s="333"/>
      <c r="O49" s="333"/>
      <c r="P49" s="333"/>
      <c r="Q49" s="333"/>
      <c r="R49" s="333"/>
      <c r="S49" s="333"/>
      <c r="T49" s="333"/>
      <c r="U49" s="333"/>
      <c r="V49" s="333"/>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c r="HN49" s="333"/>
      <c r="HO49" s="333"/>
      <c r="HP49" s="333"/>
      <c r="HQ49" s="333"/>
      <c r="HR49" s="333"/>
      <c r="HS49" s="333"/>
      <c r="HT49" s="333"/>
      <c r="HU49" s="333"/>
      <c r="HV49" s="333"/>
      <c r="HW49" s="333"/>
      <c r="HX49" s="333"/>
      <c r="HY49" s="333"/>
      <c r="HZ49" s="333"/>
      <c r="IA49" s="333"/>
      <c r="IB49" s="333"/>
      <c r="IC49" s="333"/>
      <c r="ID49" s="333"/>
      <c r="IE49" s="333"/>
      <c r="IF49" s="333"/>
      <c r="IG49" s="333"/>
      <c r="IH49" s="333"/>
      <c r="II49" s="333"/>
      <c r="IJ49" s="333"/>
      <c r="IK49" s="333"/>
      <c r="IL49" s="333"/>
      <c r="IM49" s="333"/>
      <c r="IN49" s="333"/>
      <c r="IO49" s="333"/>
      <c r="IP49" s="333"/>
      <c r="IQ49" s="333"/>
      <c r="IR49" s="333"/>
      <c r="IS49" s="333"/>
      <c r="IT49" s="333"/>
      <c r="IU49" s="333"/>
      <c r="IV49" s="333"/>
      <c r="IW49" s="333"/>
      <c r="IX49" s="333"/>
      <c r="IY49" s="333"/>
      <c r="IZ49" s="333"/>
      <c r="JA49" s="333"/>
      <c r="JB49" s="333"/>
      <c r="JC49" s="333"/>
      <c r="JD49" s="333"/>
      <c r="JE49" s="333"/>
      <c r="JF49" s="333"/>
      <c r="JG49" s="333"/>
      <c r="JH49" s="333"/>
      <c r="JI49" s="333"/>
      <c r="JJ49" s="333"/>
      <c r="JK49" s="333"/>
      <c r="JL49" s="333"/>
      <c r="JM49" s="333"/>
      <c r="JN49" s="333"/>
      <c r="JO49" s="333"/>
      <c r="JP49" s="333"/>
      <c r="JQ49" s="333"/>
      <c r="JR49" s="333"/>
      <c r="JS49" s="333"/>
      <c r="JT49" s="333"/>
      <c r="JU49" s="333"/>
      <c r="JV49" s="333"/>
      <c r="JW49" s="333"/>
      <c r="JX49" s="333"/>
      <c r="JY49" s="333"/>
      <c r="JZ49" s="333"/>
      <c r="KA49" s="333"/>
      <c r="KB49" s="333"/>
      <c r="KC49" s="333"/>
      <c r="KD49" s="333"/>
      <c r="KE49" s="333"/>
      <c r="KF49" s="333"/>
      <c r="KG49" s="333"/>
      <c r="KH49" s="333"/>
      <c r="KI49" s="333"/>
      <c r="KJ49" s="333"/>
      <c r="KK49" s="333"/>
      <c r="KL49" s="333"/>
      <c r="KM49" s="333"/>
      <c r="KN49" s="333"/>
      <c r="KO49" s="333"/>
      <c r="KP49" s="333"/>
      <c r="KQ49" s="333"/>
      <c r="KR49" s="333"/>
      <c r="KS49" s="333"/>
      <c r="KT49" s="333"/>
      <c r="KU49" s="333"/>
      <c r="KV49" s="333"/>
      <c r="KW49" s="333"/>
      <c r="KX49" s="333"/>
      <c r="KY49" s="333"/>
      <c r="KZ49" s="333"/>
      <c r="LA49" s="333"/>
      <c r="LB49" s="333"/>
      <c r="LC49" s="333"/>
      <c r="LD49" s="333"/>
      <c r="LE49" s="333"/>
      <c r="LF49" s="333"/>
      <c r="LG49" s="333"/>
      <c r="LH49" s="333"/>
      <c r="LI49" s="333"/>
      <c r="LJ49" s="333"/>
      <c r="LK49" s="333"/>
      <c r="LL49" s="333"/>
      <c r="LM49" s="333"/>
    </row>
    <row r="50" spans="1:325">
      <c r="A50" s="310" t="str">
        <f>IF(OR(Data3!B14="Grand Total",Data3!B14=0),"",Data3!B14)</f>
        <v>E.3.1.</v>
      </c>
      <c r="B50" s="309" t="s">
        <v>496</v>
      </c>
      <c r="C50" s="347" t="str">
        <f ca="1">IFERROR(VLOOKUP(A50,Rezultatai!$B$44:$C$106,2,FALSE) &amp; " finansavimo sutarčių rengimas ir sudarymas","")</f>
        <v>Ekonominės diplomatijos funkcijų stiprinimas finansavimo sutarčių rengimas ir sudarymas</v>
      </c>
      <c r="D50" s="358"/>
      <c r="E50" s="326"/>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c r="HN50" s="333"/>
      <c r="HO50" s="333"/>
      <c r="HP50" s="333"/>
      <c r="HQ50" s="333"/>
      <c r="HR50" s="333"/>
      <c r="HS50" s="333"/>
      <c r="HT50" s="333"/>
      <c r="HU50" s="333"/>
      <c r="HV50" s="333"/>
      <c r="HW50" s="333"/>
      <c r="HX50" s="333"/>
      <c r="HY50" s="333"/>
      <c r="HZ50" s="333"/>
      <c r="IA50" s="333"/>
      <c r="IB50" s="333"/>
      <c r="IC50" s="333"/>
      <c r="ID50" s="333"/>
      <c r="IE50" s="333"/>
      <c r="IF50" s="333"/>
      <c r="IG50" s="333"/>
      <c r="IH50" s="333"/>
      <c r="II50" s="333"/>
      <c r="IJ50" s="333"/>
      <c r="IK50" s="333"/>
      <c r="IL50" s="333"/>
      <c r="IM50" s="333"/>
      <c r="IN50" s="333"/>
      <c r="IO50" s="333"/>
      <c r="IP50" s="333"/>
      <c r="IQ50" s="333"/>
      <c r="IR50" s="333"/>
      <c r="IS50" s="333"/>
      <c r="IT50" s="333"/>
      <c r="IU50" s="333"/>
      <c r="IV50" s="333"/>
      <c r="IW50" s="333"/>
      <c r="IX50" s="333"/>
      <c r="IY50" s="333"/>
      <c r="IZ50" s="333"/>
      <c r="JA50" s="333"/>
      <c r="JB50" s="333"/>
      <c r="JC50" s="333"/>
      <c r="JD50" s="333"/>
      <c r="JE50" s="333"/>
      <c r="JF50" s="333"/>
      <c r="JG50" s="333"/>
      <c r="JH50" s="333"/>
      <c r="JI50" s="333"/>
      <c r="JJ50" s="333"/>
      <c r="JK50" s="333"/>
      <c r="JL50" s="333"/>
      <c r="JM50" s="333"/>
      <c r="JN50" s="333"/>
      <c r="JO50" s="333"/>
      <c r="JP50" s="333"/>
      <c r="JQ50" s="333"/>
      <c r="JR50" s="333"/>
      <c r="JS50" s="333"/>
      <c r="JT50" s="333"/>
      <c r="JU50" s="333"/>
      <c r="JV50" s="333"/>
      <c r="JW50" s="333"/>
      <c r="JX50" s="333"/>
      <c r="JY50" s="333"/>
      <c r="JZ50" s="333"/>
      <c r="KA50" s="333"/>
      <c r="KB50" s="333"/>
      <c r="KC50" s="333"/>
      <c r="KD50" s="333"/>
      <c r="KE50" s="333"/>
      <c r="KF50" s="333"/>
      <c r="KG50" s="333"/>
      <c r="KH50" s="333"/>
      <c r="KI50" s="333"/>
      <c r="KJ50" s="333"/>
      <c r="KK50" s="333"/>
      <c r="KL50" s="333"/>
      <c r="KM50" s="333"/>
      <c r="KN50" s="333"/>
      <c r="KO50" s="333"/>
      <c r="KP50" s="333"/>
      <c r="KQ50" s="333"/>
      <c r="KR50" s="333"/>
      <c r="KS50" s="333"/>
      <c r="KT50" s="333"/>
      <c r="KU50" s="333"/>
      <c r="KV50" s="333"/>
      <c r="KW50" s="333"/>
      <c r="KX50" s="333"/>
      <c r="KY50" s="333"/>
      <c r="KZ50" s="333"/>
      <c r="LA50" s="333"/>
      <c r="LB50" s="333"/>
      <c r="LC50" s="333"/>
      <c r="LD50" s="333"/>
      <c r="LE50" s="333"/>
      <c r="LF50" s="333"/>
      <c r="LG50" s="333"/>
      <c r="LH50" s="333"/>
      <c r="LI50" s="333"/>
      <c r="LJ50" s="333"/>
      <c r="LK50" s="333"/>
      <c r="LL50" s="333"/>
      <c r="LM50" s="333"/>
    </row>
    <row r="51" spans="1:325">
      <c r="A51" s="310" t="str">
        <f>IF(OR(Data3!B14="Grand Total",Data3!B14=0),"",Data3!B14)</f>
        <v>E.3.1.</v>
      </c>
      <c r="B51" s="309" t="s">
        <v>497</v>
      </c>
      <c r="C51" s="347" t="str">
        <f ca="1">IFERROR(VLOOKUP(A51,Rezultatai!$B$44:$C$106,2,FALSE) &amp; " finansavimo sutarčių rengimas ir sudarymas","")</f>
        <v>Ekonominės diplomatijos funkcijų stiprinimas finansavimo sutarčių rengimas ir sudarymas</v>
      </c>
      <c r="D51" s="358"/>
      <c r="E51" s="326"/>
      <c r="F51" s="333"/>
      <c r="G51" s="333"/>
      <c r="H51" s="333"/>
      <c r="I51" s="333"/>
      <c r="J51" s="333"/>
      <c r="K51" s="333"/>
      <c r="L51" s="333"/>
      <c r="M51" s="333"/>
      <c r="N51" s="333"/>
      <c r="O51" s="333"/>
      <c r="P51" s="333"/>
      <c r="Q51" s="333"/>
      <c r="R51" s="333"/>
      <c r="S51" s="333"/>
      <c r="T51" s="333"/>
      <c r="U51" s="333"/>
      <c r="V51" s="333"/>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c r="HN51" s="333"/>
      <c r="HO51" s="333"/>
      <c r="HP51" s="333"/>
      <c r="HQ51" s="333"/>
      <c r="HR51" s="333"/>
      <c r="HS51" s="333"/>
      <c r="HT51" s="333"/>
      <c r="HU51" s="333"/>
      <c r="HV51" s="333"/>
      <c r="HW51" s="333"/>
      <c r="HX51" s="333"/>
      <c r="HY51" s="333"/>
      <c r="HZ51" s="333"/>
      <c r="IA51" s="333"/>
      <c r="IB51" s="333"/>
      <c r="IC51" s="333"/>
      <c r="ID51" s="333"/>
      <c r="IE51" s="333"/>
      <c r="IF51" s="333"/>
      <c r="IG51" s="333"/>
      <c r="IH51" s="333"/>
      <c r="II51" s="333"/>
      <c r="IJ51" s="333"/>
      <c r="IK51" s="333"/>
      <c r="IL51" s="333"/>
      <c r="IM51" s="333"/>
      <c r="IN51" s="333"/>
      <c r="IO51" s="333"/>
      <c r="IP51" s="333"/>
      <c r="IQ51" s="333"/>
      <c r="IR51" s="333"/>
      <c r="IS51" s="333"/>
      <c r="IT51" s="333"/>
      <c r="IU51" s="333"/>
      <c r="IV51" s="333"/>
      <c r="IW51" s="333"/>
      <c r="IX51" s="333"/>
      <c r="IY51" s="333"/>
      <c r="IZ51" s="333"/>
      <c r="JA51" s="333"/>
      <c r="JB51" s="333"/>
      <c r="JC51" s="333"/>
      <c r="JD51" s="333"/>
      <c r="JE51" s="333"/>
      <c r="JF51" s="333"/>
      <c r="JG51" s="333"/>
      <c r="JH51" s="333"/>
      <c r="JI51" s="333"/>
      <c r="JJ51" s="333"/>
      <c r="JK51" s="333"/>
      <c r="JL51" s="333"/>
      <c r="JM51" s="333"/>
      <c r="JN51" s="333"/>
      <c r="JO51" s="333"/>
      <c r="JP51" s="333"/>
      <c r="JQ51" s="333"/>
      <c r="JR51" s="333"/>
      <c r="JS51" s="333"/>
      <c r="JT51" s="333"/>
      <c r="JU51" s="333"/>
      <c r="JV51" s="333"/>
      <c r="JW51" s="333"/>
      <c r="JX51" s="333"/>
      <c r="JY51" s="333"/>
      <c r="JZ51" s="333"/>
      <c r="KA51" s="333"/>
      <c r="KB51" s="333"/>
      <c r="KC51" s="333"/>
      <c r="KD51" s="333"/>
      <c r="KE51" s="333"/>
      <c r="KF51" s="333"/>
      <c r="KG51" s="333"/>
      <c r="KH51" s="333"/>
      <c r="KI51" s="333"/>
      <c r="KJ51" s="333"/>
      <c r="KK51" s="333"/>
      <c r="KL51" s="333"/>
      <c r="KM51" s="333"/>
      <c r="KN51" s="333"/>
      <c r="KO51" s="333"/>
      <c r="KP51" s="333"/>
      <c r="KQ51" s="333"/>
      <c r="KR51" s="333"/>
      <c r="KS51" s="333"/>
      <c r="KT51" s="333"/>
      <c r="KU51" s="333"/>
      <c r="KV51" s="333"/>
      <c r="KW51" s="333"/>
      <c r="KX51" s="333"/>
      <c r="KY51" s="333"/>
      <c r="KZ51" s="333"/>
      <c r="LA51" s="333"/>
      <c r="LB51" s="333"/>
      <c r="LC51" s="333"/>
      <c r="LD51" s="333"/>
      <c r="LE51" s="333"/>
      <c r="LF51" s="333"/>
      <c r="LG51" s="333"/>
      <c r="LH51" s="333"/>
      <c r="LI51" s="333"/>
      <c r="LJ51" s="333"/>
      <c r="LK51" s="333"/>
      <c r="LL51" s="333"/>
      <c r="LM51" s="333"/>
    </row>
    <row r="52" spans="1:325">
      <c r="A52" s="310" t="str">
        <f>IF(OR(Data3!B15="Grand Total",Data3!B15=0),"",Data3!B15)</f>
        <v>E.3.2.</v>
      </c>
      <c r="B52" s="309" t="s">
        <v>498</v>
      </c>
      <c r="C52" s="347" t="str">
        <f ca="1">IFERROR(VLOOKUP(A52,Rezultatai!$B$44:$C$106,2,FALSE) &amp; " finansavimo sutarčių rengimas ir sudarymas","")</f>
        <v>Darbo su diaspora funkcijų stiprinimas finansavimo sutarčių rengimas ir sudarymas</v>
      </c>
      <c r="D52" s="358"/>
      <c r="E52" s="326"/>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c r="HN52" s="333"/>
      <c r="HO52" s="333"/>
      <c r="HP52" s="333"/>
      <c r="HQ52" s="333"/>
      <c r="HR52" s="333"/>
      <c r="HS52" s="333"/>
      <c r="HT52" s="333"/>
      <c r="HU52" s="333"/>
      <c r="HV52" s="333"/>
      <c r="HW52" s="333"/>
      <c r="HX52" s="333"/>
      <c r="HY52" s="333"/>
      <c r="HZ52" s="333"/>
      <c r="IA52" s="333"/>
      <c r="IB52" s="333"/>
      <c r="IC52" s="333"/>
      <c r="ID52" s="333"/>
      <c r="IE52" s="333"/>
      <c r="IF52" s="333"/>
      <c r="IG52" s="333"/>
      <c r="IH52" s="333"/>
      <c r="II52" s="333"/>
      <c r="IJ52" s="333"/>
      <c r="IK52" s="333"/>
      <c r="IL52" s="333"/>
      <c r="IM52" s="333"/>
      <c r="IN52" s="333"/>
      <c r="IO52" s="333"/>
      <c r="IP52" s="333"/>
      <c r="IQ52" s="333"/>
      <c r="IR52" s="333"/>
      <c r="IS52" s="333"/>
      <c r="IT52" s="333"/>
      <c r="IU52" s="333"/>
      <c r="IV52" s="333"/>
      <c r="IW52" s="333"/>
      <c r="IX52" s="333"/>
      <c r="IY52" s="333"/>
      <c r="IZ52" s="333"/>
      <c r="JA52" s="333"/>
      <c r="JB52" s="333"/>
      <c r="JC52" s="333"/>
      <c r="JD52" s="333"/>
      <c r="JE52" s="333"/>
      <c r="JF52" s="333"/>
      <c r="JG52" s="333"/>
      <c r="JH52" s="333"/>
      <c r="JI52" s="333"/>
      <c r="JJ52" s="333"/>
      <c r="JK52" s="333"/>
      <c r="JL52" s="333"/>
      <c r="JM52" s="333"/>
      <c r="JN52" s="333"/>
      <c r="JO52" s="333"/>
      <c r="JP52" s="333"/>
      <c r="JQ52" s="333"/>
      <c r="JR52" s="333"/>
      <c r="JS52" s="333"/>
      <c r="JT52" s="333"/>
      <c r="JU52" s="333"/>
      <c r="JV52" s="333"/>
      <c r="JW52" s="333"/>
      <c r="JX52" s="333"/>
      <c r="JY52" s="333"/>
      <c r="JZ52" s="333"/>
      <c r="KA52" s="333"/>
      <c r="KB52" s="333"/>
      <c r="KC52" s="333"/>
      <c r="KD52" s="333"/>
      <c r="KE52" s="333"/>
      <c r="KF52" s="333"/>
      <c r="KG52" s="333"/>
      <c r="KH52" s="333"/>
      <c r="KI52" s="333"/>
      <c r="KJ52" s="333"/>
      <c r="KK52" s="333"/>
      <c r="KL52" s="333"/>
      <c r="KM52" s="333"/>
      <c r="KN52" s="333"/>
      <c r="KO52" s="333"/>
      <c r="KP52" s="333"/>
      <c r="KQ52" s="333"/>
      <c r="KR52" s="333"/>
      <c r="KS52" s="333"/>
      <c r="KT52" s="333"/>
      <c r="KU52" s="333"/>
      <c r="KV52" s="333"/>
      <c r="KW52" s="333"/>
      <c r="KX52" s="333"/>
      <c r="KY52" s="333"/>
      <c r="KZ52" s="333"/>
      <c r="LA52" s="333"/>
      <c r="LB52" s="333"/>
      <c r="LC52" s="333"/>
      <c r="LD52" s="333"/>
      <c r="LE52" s="333"/>
      <c r="LF52" s="333"/>
      <c r="LG52" s="333"/>
      <c r="LH52" s="333"/>
      <c r="LI52" s="333"/>
      <c r="LJ52" s="333"/>
      <c r="LK52" s="333"/>
      <c r="LL52" s="333"/>
      <c r="LM52" s="333"/>
    </row>
    <row r="53" spans="1:325">
      <c r="A53" s="310" t="str">
        <f>IF(OR(Data3!B15="Grand Total",Data3!B15=0),"",Data3!B15)</f>
        <v>E.3.2.</v>
      </c>
      <c r="B53" s="309" t="s">
        <v>499</v>
      </c>
      <c r="C53" s="347" t="str">
        <f ca="1">IFERROR(VLOOKUP(A53,Rezultatai!$B$44:$C$106,2,FALSE) &amp; " finansavimo sutarčių rengimas ir sudarymas","")</f>
        <v>Darbo su diaspora funkcijų stiprinimas finansavimo sutarčių rengimas ir sudarymas</v>
      </c>
      <c r="D53" s="358"/>
      <c r="E53" s="326"/>
      <c r="F53" s="333"/>
      <c r="G53" s="333"/>
      <c r="H53" s="333"/>
      <c r="I53" s="333"/>
      <c r="J53" s="333"/>
      <c r="K53" s="333"/>
      <c r="L53" s="333"/>
      <c r="M53" s="333"/>
      <c r="N53" s="333"/>
      <c r="O53" s="333"/>
      <c r="P53" s="333"/>
      <c r="Q53" s="333"/>
      <c r="R53" s="333"/>
      <c r="S53" s="333"/>
      <c r="T53" s="333"/>
      <c r="U53" s="333"/>
      <c r="V53" s="333"/>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c r="HN53" s="333"/>
      <c r="HO53" s="333"/>
      <c r="HP53" s="333"/>
      <c r="HQ53" s="333"/>
      <c r="HR53" s="333"/>
      <c r="HS53" s="333"/>
      <c r="HT53" s="333"/>
      <c r="HU53" s="333"/>
      <c r="HV53" s="333"/>
      <c r="HW53" s="333"/>
      <c r="HX53" s="333"/>
      <c r="HY53" s="333"/>
      <c r="HZ53" s="333"/>
      <c r="IA53" s="333"/>
      <c r="IB53" s="333"/>
      <c r="IC53" s="333"/>
      <c r="ID53" s="333"/>
      <c r="IE53" s="333"/>
      <c r="IF53" s="333"/>
      <c r="IG53" s="333"/>
      <c r="IH53" s="333"/>
      <c r="II53" s="333"/>
      <c r="IJ53" s="333"/>
      <c r="IK53" s="333"/>
      <c r="IL53" s="333"/>
      <c r="IM53" s="333"/>
      <c r="IN53" s="333"/>
      <c r="IO53" s="333"/>
      <c r="IP53" s="333"/>
      <c r="IQ53" s="333"/>
      <c r="IR53" s="333"/>
      <c r="IS53" s="333"/>
      <c r="IT53" s="333"/>
      <c r="IU53" s="333"/>
      <c r="IV53" s="333"/>
      <c r="IW53" s="333"/>
      <c r="IX53" s="333"/>
      <c r="IY53" s="333"/>
      <c r="IZ53" s="333"/>
      <c r="JA53" s="333"/>
      <c r="JB53" s="333"/>
      <c r="JC53" s="333"/>
      <c r="JD53" s="333"/>
      <c r="JE53" s="333"/>
      <c r="JF53" s="333"/>
      <c r="JG53" s="333"/>
      <c r="JH53" s="333"/>
      <c r="JI53" s="333"/>
      <c r="JJ53" s="333"/>
      <c r="JK53" s="333"/>
      <c r="JL53" s="333"/>
      <c r="JM53" s="333"/>
      <c r="JN53" s="333"/>
      <c r="JO53" s="333"/>
      <c r="JP53" s="333"/>
      <c r="JQ53" s="333"/>
      <c r="JR53" s="333"/>
      <c r="JS53" s="333"/>
      <c r="JT53" s="333"/>
      <c r="JU53" s="333"/>
      <c r="JV53" s="333"/>
      <c r="JW53" s="333"/>
      <c r="JX53" s="333"/>
      <c r="JY53" s="333"/>
      <c r="JZ53" s="333"/>
      <c r="KA53" s="333"/>
      <c r="KB53" s="333"/>
      <c r="KC53" s="333"/>
      <c r="KD53" s="333"/>
      <c r="KE53" s="333"/>
      <c r="KF53" s="333"/>
      <c r="KG53" s="333"/>
      <c r="KH53" s="333"/>
      <c r="KI53" s="333"/>
      <c r="KJ53" s="333"/>
      <c r="KK53" s="333"/>
      <c r="KL53" s="333"/>
      <c r="KM53" s="333"/>
      <c r="KN53" s="333"/>
      <c r="KO53" s="333"/>
      <c r="KP53" s="333"/>
      <c r="KQ53" s="333"/>
      <c r="KR53" s="333"/>
      <c r="KS53" s="333"/>
      <c r="KT53" s="333"/>
      <c r="KU53" s="333"/>
      <c r="KV53" s="333"/>
      <c r="KW53" s="333"/>
      <c r="KX53" s="333"/>
      <c r="KY53" s="333"/>
      <c r="KZ53" s="333"/>
      <c r="LA53" s="333"/>
      <c r="LB53" s="333"/>
      <c r="LC53" s="333"/>
      <c r="LD53" s="333"/>
      <c r="LE53" s="333"/>
      <c r="LF53" s="333"/>
      <c r="LG53" s="333"/>
      <c r="LH53" s="333"/>
      <c r="LI53" s="333"/>
      <c r="LJ53" s="333"/>
      <c r="LK53" s="333"/>
      <c r="LL53" s="333"/>
      <c r="LM53" s="333"/>
    </row>
    <row r="54" spans="1:325" ht="28.8">
      <c r="A54" s="310" t="str">
        <f>IF(OR(Data3!B16="Grand Total",Data3!B16=0),"",Data3!B16)</f>
        <v>E.3.3.</v>
      </c>
      <c r="B54" s="309" t="s">
        <v>500</v>
      </c>
      <c r="C54" s="347" t="str">
        <f ca="1">IFERROR(VLOOKUP(A54,Rezultatai!$B$44:$C$106,2,FALSE) &amp; " finansavimo sutarčių rengimas ir sudarymas","")</f>
        <v>Kursai diplomatams, dirbantiems su fondas Indijos–Ramiojo vandenynų regionu  finansavimo sutarčių rengimas ir sudarymas</v>
      </c>
      <c r="D54" s="358"/>
      <c r="E54" s="326"/>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c r="HN54" s="333"/>
      <c r="HO54" s="333"/>
      <c r="HP54" s="333"/>
      <c r="HQ54" s="333"/>
      <c r="HR54" s="333"/>
      <c r="HS54" s="333"/>
      <c r="HT54" s="333"/>
      <c r="HU54" s="333"/>
      <c r="HV54" s="333"/>
      <c r="HW54" s="333"/>
      <c r="HX54" s="333"/>
      <c r="HY54" s="333"/>
      <c r="HZ54" s="333"/>
      <c r="IA54" s="333"/>
      <c r="IB54" s="333"/>
      <c r="IC54" s="333"/>
      <c r="ID54" s="333"/>
      <c r="IE54" s="333"/>
      <c r="IF54" s="333"/>
      <c r="IG54" s="333"/>
      <c r="IH54" s="333"/>
      <c r="II54" s="333"/>
      <c r="IJ54" s="333"/>
      <c r="IK54" s="333"/>
      <c r="IL54" s="333"/>
      <c r="IM54" s="333"/>
      <c r="IN54" s="333"/>
      <c r="IO54" s="333"/>
      <c r="IP54" s="333"/>
      <c r="IQ54" s="333"/>
      <c r="IR54" s="333"/>
      <c r="IS54" s="333"/>
      <c r="IT54" s="333"/>
      <c r="IU54" s="333"/>
      <c r="IV54" s="333"/>
      <c r="IW54" s="333"/>
      <c r="IX54" s="333"/>
      <c r="IY54" s="333"/>
      <c r="IZ54" s="333"/>
      <c r="JA54" s="333"/>
      <c r="JB54" s="333"/>
      <c r="JC54" s="333"/>
      <c r="JD54" s="333"/>
      <c r="JE54" s="333"/>
      <c r="JF54" s="333"/>
      <c r="JG54" s="333"/>
      <c r="JH54" s="333"/>
      <c r="JI54" s="333"/>
      <c r="JJ54" s="333"/>
      <c r="JK54" s="333"/>
      <c r="JL54" s="333"/>
      <c r="JM54" s="333"/>
      <c r="JN54" s="333"/>
      <c r="JO54" s="333"/>
      <c r="JP54" s="333"/>
      <c r="JQ54" s="333"/>
      <c r="JR54" s="333"/>
      <c r="JS54" s="333"/>
      <c r="JT54" s="333"/>
      <c r="JU54" s="333"/>
      <c r="JV54" s="333"/>
      <c r="JW54" s="333"/>
      <c r="JX54" s="333"/>
      <c r="JY54" s="333"/>
      <c r="JZ54" s="333"/>
      <c r="KA54" s="333"/>
      <c r="KB54" s="333"/>
      <c r="KC54" s="333"/>
      <c r="KD54" s="333"/>
      <c r="KE54" s="333"/>
      <c r="KF54" s="333"/>
      <c r="KG54" s="333"/>
      <c r="KH54" s="333"/>
      <c r="KI54" s="333"/>
      <c r="KJ54" s="333"/>
      <c r="KK54" s="333"/>
      <c r="KL54" s="333"/>
      <c r="KM54" s="333"/>
      <c r="KN54" s="333"/>
      <c r="KO54" s="333"/>
      <c r="KP54" s="333"/>
      <c r="KQ54" s="333"/>
      <c r="KR54" s="333"/>
      <c r="KS54" s="333"/>
      <c r="KT54" s="333"/>
      <c r="KU54" s="333"/>
      <c r="KV54" s="333"/>
      <c r="KW54" s="333"/>
      <c r="KX54" s="333"/>
      <c r="KY54" s="333"/>
      <c r="KZ54" s="333"/>
      <c r="LA54" s="333"/>
      <c r="LB54" s="333"/>
      <c r="LC54" s="333"/>
      <c r="LD54" s="333"/>
      <c r="LE54" s="333"/>
      <c r="LF54" s="333"/>
      <c r="LG54" s="333"/>
      <c r="LH54" s="333"/>
      <c r="LI54" s="333"/>
      <c r="LJ54" s="333"/>
      <c r="LK54" s="333"/>
      <c r="LL54" s="333"/>
      <c r="LM54" s="333"/>
    </row>
    <row r="55" spans="1:325" ht="28.8">
      <c r="A55" s="310" t="str">
        <f>IF(OR(Data3!B16="Grand Total",Data3!B16=0),"",Data3!B16)</f>
        <v>E.3.3.</v>
      </c>
      <c r="B55" s="309" t="s">
        <v>501</v>
      </c>
      <c r="C55" s="347" t="str">
        <f ca="1">IFERROR(VLOOKUP(A55,Rezultatai!$B$44:$C$106,2,FALSE) &amp; " finansavimo sutarčių rengimas ir sudarymas","")</f>
        <v>Kursai diplomatams, dirbantiems su fondas Indijos–Ramiojo vandenynų regionu  finansavimo sutarčių rengimas ir sudarymas</v>
      </c>
      <c r="D55" s="358"/>
      <c r="E55" s="326"/>
      <c r="F55" s="333"/>
      <c r="G55" s="333"/>
      <c r="H55" s="333"/>
      <c r="I55" s="333"/>
      <c r="J55" s="333"/>
      <c r="K55" s="333"/>
      <c r="L55" s="333"/>
      <c r="M55" s="333"/>
      <c r="N55" s="333"/>
      <c r="O55" s="333"/>
      <c r="P55" s="333"/>
      <c r="Q55" s="333"/>
      <c r="R55" s="333"/>
      <c r="S55" s="333"/>
      <c r="T55" s="333"/>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c r="HN55" s="333"/>
      <c r="HO55" s="333"/>
      <c r="HP55" s="333"/>
      <c r="HQ55" s="333"/>
      <c r="HR55" s="333"/>
      <c r="HS55" s="333"/>
      <c r="HT55" s="333"/>
      <c r="HU55" s="333"/>
      <c r="HV55" s="333"/>
      <c r="HW55" s="333"/>
      <c r="HX55" s="333"/>
      <c r="HY55" s="333"/>
      <c r="HZ55" s="333"/>
      <c r="IA55" s="333"/>
      <c r="IB55" s="333"/>
      <c r="IC55" s="333"/>
      <c r="ID55" s="333"/>
      <c r="IE55" s="333"/>
      <c r="IF55" s="333"/>
      <c r="IG55" s="333"/>
      <c r="IH55" s="333"/>
      <c r="II55" s="333"/>
      <c r="IJ55" s="333"/>
      <c r="IK55" s="333"/>
      <c r="IL55" s="333"/>
      <c r="IM55" s="333"/>
      <c r="IN55" s="333"/>
      <c r="IO55" s="333"/>
      <c r="IP55" s="333"/>
      <c r="IQ55" s="333"/>
      <c r="IR55" s="333"/>
      <c r="IS55" s="333"/>
      <c r="IT55" s="333"/>
      <c r="IU55" s="333"/>
      <c r="IV55" s="333"/>
      <c r="IW55" s="333"/>
      <c r="IX55" s="333"/>
      <c r="IY55" s="333"/>
      <c r="IZ55" s="333"/>
      <c r="JA55" s="333"/>
      <c r="JB55" s="333"/>
      <c r="JC55" s="333"/>
      <c r="JD55" s="333"/>
      <c r="JE55" s="333"/>
      <c r="JF55" s="333"/>
      <c r="JG55" s="333"/>
      <c r="JH55" s="333"/>
      <c r="JI55" s="333"/>
      <c r="JJ55" s="333"/>
      <c r="JK55" s="333"/>
      <c r="JL55" s="333"/>
      <c r="JM55" s="333"/>
      <c r="JN55" s="333"/>
      <c r="JO55" s="333"/>
      <c r="JP55" s="333"/>
      <c r="JQ55" s="333"/>
      <c r="JR55" s="333"/>
      <c r="JS55" s="333"/>
      <c r="JT55" s="333"/>
      <c r="JU55" s="333"/>
      <c r="JV55" s="333"/>
      <c r="JW55" s="333"/>
      <c r="JX55" s="333"/>
      <c r="JY55" s="333"/>
      <c r="JZ55" s="333"/>
      <c r="KA55" s="333"/>
      <c r="KB55" s="333"/>
      <c r="KC55" s="333"/>
      <c r="KD55" s="333"/>
      <c r="KE55" s="333"/>
      <c r="KF55" s="333"/>
      <c r="KG55" s="333"/>
      <c r="KH55" s="333"/>
      <c r="KI55" s="333"/>
      <c r="KJ55" s="333"/>
      <c r="KK55" s="333"/>
      <c r="KL55" s="333"/>
      <c r="KM55" s="333"/>
      <c r="KN55" s="333"/>
      <c r="KO55" s="333"/>
      <c r="KP55" s="333"/>
      <c r="KQ55" s="333"/>
      <c r="KR55" s="333"/>
      <c r="KS55" s="333"/>
      <c r="KT55" s="333"/>
      <c r="KU55" s="333"/>
      <c r="KV55" s="333"/>
      <c r="KW55" s="333"/>
      <c r="KX55" s="333"/>
      <c r="KY55" s="333"/>
      <c r="KZ55" s="333"/>
      <c r="LA55" s="333"/>
      <c r="LB55" s="333"/>
      <c r="LC55" s="333"/>
      <c r="LD55" s="333"/>
      <c r="LE55" s="333"/>
      <c r="LF55" s="333"/>
      <c r="LG55" s="333"/>
      <c r="LH55" s="333"/>
      <c r="LI55" s="333"/>
      <c r="LJ55" s="333"/>
      <c r="LK55" s="333"/>
      <c r="LL55" s="333"/>
      <c r="LM55" s="333"/>
    </row>
    <row r="56" spans="1:325" ht="28.8">
      <c r="A56" s="310" t="str">
        <f>IF(OR(Data3!B17="Grand Total",Data3!B17=0),"",Data3!B17)</f>
        <v>E.3.4.</v>
      </c>
      <c r="B56" s="309" t="s">
        <v>502</v>
      </c>
      <c r="C56" s="347" t="str">
        <f ca="1">IFERROR(VLOOKUP(A56,Rezultatai!$B$44:$C$106,2,FALSE) &amp; " finansavimo sutarčių rengimas ir sudarymas","")</f>
        <v>Stipendijų fondas Indijos–Ramiojo vandenynų regiono studijų studentams finansavimo sutarčių rengimas ir sudarymas</v>
      </c>
      <c r="D56" s="358"/>
      <c r="E56" s="326"/>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c r="HN56" s="333"/>
      <c r="HO56" s="333"/>
      <c r="HP56" s="333"/>
      <c r="HQ56" s="333"/>
      <c r="HR56" s="333"/>
      <c r="HS56" s="333"/>
      <c r="HT56" s="333"/>
      <c r="HU56" s="333"/>
      <c r="HV56" s="333"/>
      <c r="HW56" s="333"/>
      <c r="HX56" s="333"/>
      <c r="HY56" s="333"/>
      <c r="HZ56" s="333"/>
      <c r="IA56" s="333"/>
      <c r="IB56" s="333"/>
      <c r="IC56" s="333"/>
      <c r="ID56" s="333"/>
      <c r="IE56" s="333"/>
      <c r="IF56" s="333"/>
      <c r="IG56" s="333"/>
      <c r="IH56" s="333"/>
      <c r="II56" s="333"/>
      <c r="IJ56" s="333"/>
      <c r="IK56" s="333"/>
      <c r="IL56" s="333"/>
      <c r="IM56" s="333"/>
      <c r="IN56" s="333"/>
      <c r="IO56" s="333"/>
      <c r="IP56" s="333"/>
      <c r="IQ56" s="333"/>
      <c r="IR56" s="333"/>
      <c r="IS56" s="333"/>
      <c r="IT56" s="333"/>
      <c r="IU56" s="333"/>
      <c r="IV56" s="333"/>
      <c r="IW56" s="333"/>
      <c r="IX56" s="333"/>
      <c r="IY56" s="333"/>
      <c r="IZ56" s="333"/>
      <c r="JA56" s="333"/>
      <c r="JB56" s="333"/>
      <c r="JC56" s="333"/>
      <c r="JD56" s="333"/>
      <c r="JE56" s="333"/>
      <c r="JF56" s="333"/>
      <c r="JG56" s="333"/>
      <c r="JH56" s="333"/>
      <c r="JI56" s="333"/>
      <c r="JJ56" s="333"/>
      <c r="JK56" s="333"/>
      <c r="JL56" s="333"/>
      <c r="JM56" s="333"/>
      <c r="JN56" s="333"/>
      <c r="JO56" s="333"/>
      <c r="JP56" s="333"/>
      <c r="JQ56" s="333"/>
      <c r="JR56" s="333"/>
      <c r="JS56" s="333"/>
      <c r="JT56" s="333"/>
      <c r="JU56" s="333"/>
      <c r="JV56" s="333"/>
      <c r="JW56" s="333"/>
      <c r="JX56" s="333"/>
      <c r="JY56" s="333"/>
      <c r="JZ56" s="333"/>
      <c r="KA56" s="333"/>
      <c r="KB56" s="333"/>
      <c r="KC56" s="333"/>
      <c r="KD56" s="333"/>
      <c r="KE56" s="333"/>
      <c r="KF56" s="333"/>
      <c r="KG56" s="333"/>
      <c r="KH56" s="333"/>
      <c r="KI56" s="333"/>
      <c r="KJ56" s="333"/>
      <c r="KK56" s="333"/>
      <c r="KL56" s="333"/>
      <c r="KM56" s="333"/>
      <c r="KN56" s="333"/>
      <c r="KO56" s="333"/>
      <c r="KP56" s="333"/>
      <c r="KQ56" s="333"/>
      <c r="KR56" s="333"/>
      <c r="KS56" s="333"/>
      <c r="KT56" s="333"/>
      <c r="KU56" s="333"/>
      <c r="KV56" s="333"/>
      <c r="KW56" s="333"/>
      <c r="KX56" s="333"/>
      <c r="KY56" s="333"/>
      <c r="KZ56" s="333"/>
      <c r="LA56" s="333"/>
      <c r="LB56" s="333"/>
      <c r="LC56" s="333"/>
      <c r="LD56" s="333"/>
      <c r="LE56" s="333"/>
      <c r="LF56" s="333"/>
      <c r="LG56" s="333"/>
      <c r="LH56" s="333"/>
      <c r="LI56" s="333"/>
      <c r="LJ56" s="333"/>
      <c r="LK56" s="333"/>
      <c r="LL56" s="333"/>
      <c r="LM56" s="333"/>
    </row>
    <row r="57" spans="1:325" ht="28.8">
      <c r="A57" s="310" t="str">
        <f>IF(OR(Data3!B17="Grand Total",Data3!B17=0),"",Data3!B17)</f>
        <v>E.3.4.</v>
      </c>
      <c r="B57" s="309" t="s">
        <v>503</v>
      </c>
      <c r="C57" s="347" t="str">
        <f ca="1">IFERROR(VLOOKUP(A57,Rezultatai!$B$44:$C$106,2,FALSE) &amp; " finansavimo sutarčių rengimas ir sudarymas","")</f>
        <v>Stipendijų fondas Indijos–Ramiojo vandenynų regiono studijų studentams finansavimo sutarčių rengimas ir sudarymas</v>
      </c>
      <c r="D57" s="358"/>
      <c r="E57" s="326"/>
      <c r="F57" s="333"/>
      <c r="G57" s="333"/>
      <c r="H57" s="333"/>
      <c r="I57" s="333"/>
      <c r="J57" s="333"/>
      <c r="K57" s="333"/>
      <c r="L57" s="333"/>
      <c r="M57" s="333"/>
      <c r="N57" s="333"/>
      <c r="O57" s="333"/>
      <c r="P57" s="333"/>
      <c r="Q57" s="333"/>
      <c r="R57" s="333"/>
      <c r="S57" s="333"/>
      <c r="T57" s="333"/>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c r="HN57" s="333"/>
      <c r="HO57" s="333"/>
      <c r="HP57" s="333"/>
      <c r="HQ57" s="333"/>
      <c r="HR57" s="333"/>
      <c r="HS57" s="333"/>
      <c r="HT57" s="333"/>
      <c r="HU57" s="333"/>
      <c r="HV57" s="333"/>
      <c r="HW57" s="333"/>
      <c r="HX57" s="333"/>
      <c r="HY57" s="333"/>
      <c r="HZ57" s="333"/>
      <c r="IA57" s="333"/>
      <c r="IB57" s="333"/>
      <c r="IC57" s="333"/>
      <c r="ID57" s="333"/>
      <c r="IE57" s="333"/>
      <c r="IF57" s="333"/>
      <c r="IG57" s="333"/>
      <c r="IH57" s="333"/>
      <c r="II57" s="333"/>
      <c r="IJ57" s="333"/>
      <c r="IK57" s="333"/>
      <c r="IL57" s="333"/>
      <c r="IM57" s="333"/>
      <c r="IN57" s="333"/>
      <c r="IO57" s="333"/>
      <c r="IP57" s="333"/>
      <c r="IQ57" s="333"/>
      <c r="IR57" s="333"/>
      <c r="IS57" s="333"/>
      <c r="IT57" s="333"/>
      <c r="IU57" s="333"/>
      <c r="IV57" s="333"/>
      <c r="IW57" s="333"/>
      <c r="IX57" s="333"/>
      <c r="IY57" s="333"/>
      <c r="IZ57" s="333"/>
      <c r="JA57" s="333"/>
      <c r="JB57" s="333"/>
      <c r="JC57" s="333"/>
      <c r="JD57" s="333"/>
      <c r="JE57" s="333"/>
      <c r="JF57" s="333"/>
      <c r="JG57" s="333"/>
      <c r="JH57" s="333"/>
      <c r="JI57" s="333"/>
      <c r="JJ57" s="333"/>
      <c r="JK57" s="333"/>
      <c r="JL57" s="333"/>
      <c r="JM57" s="333"/>
      <c r="JN57" s="333"/>
      <c r="JO57" s="333"/>
      <c r="JP57" s="333"/>
      <c r="JQ57" s="333"/>
      <c r="JR57" s="333"/>
      <c r="JS57" s="333"/>
      <c r="JT57" s="333"/>
      <c r="JU57" s="333"/>
      <c r="JV57" s="333"/>
      <c r="JW57" s="333"/>
      <c r="JX57" s="333"/>
      <c r="JY57" s="333"/>
      <c r="JZ57" s="333"/>
      <c r="KA57" s="333"/>
      <c r="KB57" s="333"/>
      <c r="KC57" s="333"/>
      <c r="KD57" s="333"/>
      <c r="KE57" s="333"/>
      <c r="KF57" s="333"/>
      <c r="KG57" s="333"/>
      <c r="KH57" s="333"/>
      <c r="KI57" s="333"/>
      <c r="KJ57" s="333"/>
      <c r="KK57" s="333"/>
      <c r="KL57" s="333"/>
      <c r="KM57" s="333"/>
      <c r="KN57" s="333"/>
      <c r="KO57" s="333"/>
      <c r="KP57" s="333"/>
      <c r="KQ57" s="333"/>
      <c r="KR57" s="333"/>
      <c r="KS57" s="333"/>
      <c r="KT57" s="333"/>
      <c r="KU57" s="333"/>
      <c r="KV57" s="333"/>
      <c r="KW57" s="333"/>
      <c r="KX57" s="333"/>
      <c r="KY57" s="333"/>
      <c r="KZ57" s="333"/>
      <c r="LA57" s="333"/>
      <c r="LB57" s="333"/>
      <c r="LC57" s="333"/>
      <c r="LD57" s="333"/>
      <c r="LE57" s="333"/>
      <c r="LF57" s="333"/>
      <c r="LG57" s="333"/>
      <c r="LH57" s="333"/>
      <c r="LI57" s="333"/>
      <c r="LJ57" s="333"/>
      <c r="LK57" s="333"/>
      <c r="LL57" s="333"/>
      <c r="LM57" s="333"/>
    </row>
    <row r="58" spans="1:325">
      <c r="A58" s="310" t="str">
        <f>IF(OR(Data3!B18="Grand Total",Data3!B18=0),"",Data3!B18)</f>
        <v>E.3.5.</v>
      </c>
      <c r="B58" s="309" t="s">
        <v>504</v>
      </c>
      <c r="C58" s="347" t="str">
        <f ca="1">IFERROR(VLOOKUP(A58,Rezultatai!$B$44:$C$106,2,FALSE) &amp; " finansavimo sutarčių rengimas ir sudarymas","")</f>
        <v>0 finansavimo sutarčių rengimas ir sudarymas</v>
      </c>
      <c r="D58" s="358"/>
      <c r="E58" s="326"/>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c r="HN58" s="333"/>
      <c r="HO58" s="333"/>
      <c r="HP58" s="333"/>
      <c r="HQ58" s="333"/>
      <c r="HR58" s="333"/>
      <c r="HS58" s="333"/>
      <c r="HT58" s="333"/>
      <c r="HU58" s="333"/>
      <c r="HV58" s="333"/>
      <c r="HW58" s="333"/>
      <c r="HX58" s="333"/>
      <c r="HY58" s="333"/>
      <c r="HZ58" s="333"/>
      <c r="IA58" s="333"/>
      <c r="IB58" s="333"/>
      <c r="IC58" s="333"/>
      <c r="ID58" s="333"/>
      <c r="IE58" s="333"/>
      <c r="IF58" s="333"/>
      <c r="IG58" s="333"/>
      <c r="IH58" s="333"/>
      <c r="II58" s="333"/>
      <c r="IJ58" s="333"/>
      <c r="IK58" s="333"/>
      <c r="IL58" s="333"/>
      <c r="IM58" s="333"/>
      <c r="IN58" s="333"/>
      <c r="IO58" s="333"/>
      <c r="IP58" s="333"/>
      <c r="IQ58" s="333"/>
      <c r="IR58" s="333"/>
      <c r="IS58" s="333"/>
      <c r="IT58" s="333"/>
      <c r="IU58" s="333"/>
      <c r="IV58" s="333"/>
      <c r="IW58" s="333"/>
      <c r="IX58" s="333"/>
      <c r="IY58" s="333"/>
      <c r="IZ58" s="333"/>
      <c r="JA58" s="333"/>
      <c r="JB58" s="333"/>
      <c r="JC58" s="333"/>
      <c r="JD58" s="333"/>
      <c r="JE58" s="333"/>
      <c r="JF58" s="333"/>
      <c r="JG58" s="333"/>
      <c r="JH58" s="333"/>
      <c r="JI58" s="333"/>
      <c r="JJ58" s="333"/>
      <c r="JK58" s="333"/>
      <c r="JL58" s="333"/>
      <c r="JM58" s="333"/>
      <c r="JN58" s="333"/>
      <c r="JO58" s="333"/>
      <c r="JP58" s="333"/>
      <c r="JQ58" s="333"/>
      <c r="JR58" s="333"/>
      <c r="JS58" s="333"/>
      <c r="JT58" s="333"/>
      <c r="JU58" s="333"/>
      <c r="JV58" s="333"/>
      <c r="JW58" s="333"/>
      <c r="JX58" s="333"/>
      <c r="JY58" s="333"/>
      <c r="JZ58" s="333"/>
      <c r="KA58" s="333"/>
      <c r="KB58" s="333"/>
      <c r="KC58" s="333"/>
      <c r="KD58" s="333"/>
      <c r="KE58" s="333"/>
      <c r="KF58" s="333"/>
      <c r="KG58" s="333"/>
      <c r="KH58" s="333"/>
      <c r="KI58" s="333"/>
      <c r="KJ58" s="333"/>
      <c r="KK58" s="333"/>
      <c r="KL58" s="333"/>
      <c r="KM58" s="333"/>
      <c r="KN58" s="333"/>
      <c r="KO58" s="333"/>
      <c r="KP58" s="333"/>
      <c r="KQ58" s="333"/>
      <c r="KR58" s="333"/>
      <c r="KS58" s="333"/>
      <c r="KT58" s="333"/>
      <c r="KU58" s="333"/>
      <c r="KV58" s="333"/>
      <c r="KW58" s="333"/>
      <c r="KX58" s="333"/>
      <c r="KY58" s="333"/>
      <c r="KZ58" s="333"/>
      <c r="LA58" s="333"/>
      <c r="LB58" s="333"/>
      <c r="LC58" s="333"/>
      <c r="LD58" s="333"/>
      <c r="LE58" s="333"/>
      <c r="LF58" s="333"/>
      <c r="LG58" s="333"/>
      <c r="LH58" s="333"/>
      <c r="LI58" s="333"/>
      <c r="LJ58" s="333"/>
      <c r="LK58" s="333"/>
      <c r="LL58" s="333"/>
      <c r="LM58" s="333"/>
    </row>
    <row r="59" spans="1:325">
      <c r="A59" s="310" t="str">
        <f>IF(OR(Data3!B18="Grand Total",Data3!B18=0),"",Data3!B18)</f>
        <v>E.3.5.</v>
      </c>
      <c r="B59" s="309" t="s">
        <v>505</v>
      </c>
      <c r="C59" s="347" t="str">
        <f ca="1">IFERROR(VLOOKUP(A59,Rezultatai!$B$44:$C$106,2,FALSE) &amp; " finansavimo sutarčių rengimas ir sudarymas","")</f>
        <v>0 finansavimo sutarčių rengimas ir sudarymas</v>
      </c>
      <c r="D59" s="358"/>
      <c r="E59" s="326"/>
      <c r="F59" s="333"/>
      <c r="G59" s="333"/>
      <c r="H59" s="333"/>
      <c r="I59" s="333"/>
      <c r="J59" s="333"/>
      <c r="K59" s="333"/>
      <c r="L59" s="333"/>
      <c r="M59" s="333"/>
      <c r="N59" s="333"/>
      <c r="O59" s="333"/>
      <c r="P59" s="333"/>
      <c r="Q59" s="333"/>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c r="HN59" s="333"/>
      <c r="HO59" s="333"/>
      <c r="HP59" s="333"/>
      <c r="HQ59" s="333"/>
      <c r="HR59" s="333"/>
      <c r="HS59" s="333"/>
      <c r="HT59" s="333"/>
      <c r="HU59" s="333"/>
      <c r="HV59" s="333"/>
      <c r="HW59" s="333"/>
      <c r="HX59" s="333"/>
      <c r="HY59" s="333"/>
      <c r="HZ59" s="333"/>
      <c r="IA59" s="333"/>
      <c r="IB59" s="333"/>
      <c r="IC59" s="333"/>
      <c r="ID59" s="333"/>
      <c r="IE59" s="333"/>
      <c r="IF59" s="333"/>
      <c r="IG59" s="333"/>
      <c r="IH59" s="333"/>
      <c r="II59" s="333"/>
      <c r="IJ59" s="333"/>
      <c r="IK59" s="333"/>
      <c r="IL59" s="333"/>
      <c r="IM59" s="333"/>
      <c r="IN59" s="333"/>
      <c r="IO59" s="333"/>
      <c r="IP59" s="333"/>
      <c r="IQ59" s="333"/>
      <c r="IR59" s="333"/>
      <c r="IS59" s="333"/>
      <c r="IT59" s="333"/>
      <c r="IU59" s="333"/>
      <c r="IV59" s="333"/>
      <c r="IW59" s="333"/>
      <c r="IX59" s="333"/>
      <c r="IY59" s="333"/>
      <c r="IZ59" s="333"/>
      <c r="JA59" s="333"/>
      <c r="JB59" s="333"/>
      <c r="JC59" s="333"/>
      <c r="JD59" s="333"/>
      <c r="JE59" s="333"/>
      <c r="JF59" s="333"/>
      <c r="JG59" s="333"/>
      <c r="JH59" s="333"/>
      <c r="JI59" s="333"/>
      <c r="JJ59" s="333"/>
      <c r="JK59" s="333"/>
      <c r="JL59" s="333"/>
      <c r="JM59" s="333"/>
      <c r="JN59" s="333"/>
      <c r="JO59" s="333"/>
      <c r="JP59" s="333"/>
      <c r="JQ59" s="333"/>
      <c r="JR59" s="333"/>
      <c r="JS59" s="333"/>
      <c r="JT59" s="333"/>
      <c r="JU59" s="333"/>
      <c r="JV59" s="333"/>
      <c r="JW59" s="333"/>
      <c r="JX59" s="333"/>
      <c r="JY59" s="333"/>
      <c r="JZ59" s="333"/>
      <c r="KA59" s="333"/>
      <c r="KB59" s="333"/>
      <c r="KC59" s="333"/>
      <c r="KD59" s="333"/>
      <c r="KE59" s="333"/>
      <c r="KF59" s="333"/>
      <c r="KG59" s="333"/>
      <c r="KH59" s="333"/>
      <c r="KI59" s="333"/>
      <c r="KJ59" s="333"/>
      <c r="KK59" s="333"/>
      <c r="KL59" s="333"/>
      <c r="KM59" s="333"/>
      <c r="KN59" s="333"/>
      <c r="KO59" s="333"/>
      <c r="KP59" s="333"/>
      <c r="KQ59" s="333"/>
      <c r="KR59" s="333"/>
      <c r="KS59" s="333"/>
      <c r="KT59" s="333"/>
      <c r="KU59" s="333"/>
      <c r="KV59" s="333"/>
      <c r="KW59" s="333"/>
      <c r="KX59" s="333"/>
      <c r="KY59" s="333"/>
      <c r="KZ59" s="333"/>
      <c r="LA59" s="333"/>
      <c r="LB59" s="333"/>
      <c r="LC59" s="333"/>
      <c r="LD59" s="333"/>
      <c r="LE59" s="333"/>
      <c r="LF59" s="333"/>
      <c r="LG59" s="333"/>
      <c r="LH59" s="333"/>
      <c r="LI59" s="333"/>
      <c r="LJ59" s="333"/>
      <c r="LK59" s="333"/>
      <c r="LL59" s="333"/>
      <c r="LM59" s="333"/>
    </row>
    <row r="60" spans="1:325">
      <c r="A60" s="310" t="str">
        <f>IF(OR(Data3!B19="Grand Total",Data3!B19=0),"",Data3!B19)</f>
        <v>E.3.6.</v>
      </c>
      <c r="B60" s="309" t="s">
        <v>506</v>
      </c>
      <c r="C60" s="347" t="str">
        <f ca="1">IFERROR(VLOOKUP(A60,Rezultatai!$B$44:$C$106,2,FALSE) &amp; " finansavimo sutarčių rengimas ir sudarymas","")</f>
        <v>0 finansavimo sutarčių rengimas ir sudarymas</v>
      </c>
      <c r="D60" s="358"/>
      <c r="E60" s="326"/>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c r="HN60" s="333"/>
      <c r="HO60" s="333"/>
      <c r="HP60" s="333"/>
      <c r="HQ60" s="333"/>
      <c r="HR60" s="333"/>
      <c r="HS60" s="333"/>
      <c r="HT60" s="333"/>
      <c r="HU60" s="333"/>
      <c r="HV60" s="333"/>
      <c r="HW60" s="333"/>
      <c r="HX60" s="333"/>
      <c r="HY60" s="333"/>
      <c r="HZ60" s="333"/>
      <c r="IA60" s="333"/>
      <c r="IB60" s="333"/>
      <c r="IC60" s="333"/>
      <c r="ID60" s="333"/>
      <c r="IE60" s="333"/>
      <c r="IF60" s="333"/>
      <c r="IG60" s="333"/>
      <c r="IH60" s="333"/>
      <c r="II60" s="333"/>
      <c r="IJ60" s="333"/>
      <c r="IK60" s="333"/>
      <c r="IL60" s="333"/>
      <c r="IM60" s="333"/>
      <c r="IN60" s="333"/>
      <c r="IO60" s="333"/>
      <c r="IP60" s="333"/>
      <c r="IQ60" s="333"/>
      <c r="IR60" s="333"/>
      <c r="IS60" s="333"/>
      <c r="IT60" s="333"/>
      <c r="IU60" s="333"/>
      <c r="IV60" s="333"/>
      <c r="IW60" s="333"/>
      <c r="IX60" s="333"/>
      <c r="IY60" s="333"/>
      <c r="IZ60" s="333"/>
      <c r="JA60" s="333"/>
      <c r="JB60" s="333"/>
      <c r="JC60" s="333"/>
      <c r="JD60" s="333"/>
      <c r="JE60" s="333"/>
      <c r="JF60" s="333"/>
      <c r="JG60" s="333"/>
      <c r="JH60" s="333"/>
      <c r="JI60" s="333"/>
      <c r="JJ60" s="333"/>
      <c r="JK60" s="333"/>
      <c r="JL60" s="333"/>
      <c r="JM60" s="333"/>
      <c r="JN60" s="333"/>
      <c r="JO60" s="333"/>
      <c r="JP60" s="333"/>
      <c r="JQ60" s="333"/>
      <c r="JR60" s="333"/>
      <c r="JS60" s="333"/>
      <c r="JT60" s="333"/>
      <c r="JU60" s="333"/>
      <c r="JV60" s="333"/>
      <c r="JW60" s="333"/>
      <c r="JX60" s="333"/>
      <c r="JY60" s="333"/>
      <c r="JZ60" s="333"/>
      <c r="KA60" s="333"/>
      <c r="KB60" s="333"/>
      <c r="KC60" s="333"/>
      <c r="KD60" s="333"/>
      <c r="KE60" s="333"/>
      <c r="KF60" s="333"/>
      <c r="KG60" s="333"/>
      <c r="KH60" s="333"/>
      <c r="KI60" s="333"/>
      <c r="KJ60" s="333"/>
      <c r="KK60" s="333"/>
      <c r="KL60" s="333"/>
      <c r="KM60" s="333"/>
      <c r="KN60" s="333"/>
      <c r="KO60" s="333"/>
      <c r="KP60" s="333"/>
      <c r="KQ60" s="333"/>
      <c r="KR60" s="333"/>
      <c r="KS60" s="333"/>
      <c r="KT60" s="333"/>
      <c r="KU60" s="333"/>
      <c r="KV60" s="333"/>
      <c r="KW60" s="333"/>
      <c r="KX60" s="333"/>
      <c r="KY60" s="333"/>
      <c r="KZ60" s="333"/>
      <c r="LA60" s="333"/>
      <c r="LB60" s="333"/>
      <c r="LC60" s="333"/>
      <c r="LD60" s="333"/>
      <c r="LE60" s="333"/>
      <c r="LF60" s="333"/>
      <c r="LG60" s="333"/>
      <c r="LH60" s="333"/>
      <c r="LI60" s="333"/>
      <c r="LJ60" s="333"/>
      <c r="LK60" s="333"/>
      <c r="LL60" s="333"/>
      <c r="LM60" s="333"/>
    </row>
    <row r="61" spans="1:325">
      <c r="A61" s="310" t="str">
        <f>IF(OR(Data3!B19="Grand Total",Data3!B19=0),"",Data3!B19)</f>
        <v>E.3.6.</v>
      </c>
      <c r="B61" s="309" t="s">
        <v>507</v>
      </c>
      <c r="C61" s="347" t="str">
        <f ca="1">IFERROR(VLOOKUP(A61,Rezultatai!$B$44:$C$106,2,FALSE) &amp; " finansavimo sutarčių rengimas ir sudarymas","")</f>
        <v>0 finansavimo sutarčių rengimas ir sudarymas</v>
      </c>
      <c r="D61" s="358"/>
      <c r="E61" s="326"/>
      <c r="F61" s="333"/>
      <c r="G61" s="333"/>
      <c r="H61" s="333"/>
      <c r="I61" s="333"/>
      <c r="J61" s="333"/>
      <c r="K61" s="333"/>
      <c r="L61" s="333"/>
      <c r="M61" s="333"/>
      <c r="N61" s="333"/>
      <c r="O61" s="333"/>
      <c r="P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c r="HN61" s="333"/>
      <c r="HO61" s="333"/>
      <c r="HP61" s="333"/>
      <c r="HQ61" s="333"/>
      <c r="HR61" s="333"/>
      <c r="HS61" s="333"/>
      <c r="HT61" s="333"/>
      <c r="HU61" s="333"/>
      <c r="HV61" s="333"/>
      <c r="HW61" s="333"/>
      <c r="HX61" s="333"/>
      <c r="HY61" s="333"/>
      <c r="HZ61" s="333"/>
      <c r="IA61" s="333"/>
      <c r="IB61" s="333"/>
      <c r="IC61" s="333"/>
      <c r="ID61" s="333"/>
      <c r="IE61" s="333"/>
      <c r="IF61" s="333"/>
      <c r="IG61" s="333"/>
      <c r="IH61" s="333"/>
      <c r="II61" s="333"/>
      <c r="IJ61" s="333"/>
      <c r="IK61" s="333"/>
      <c r="IL61" s="333"/>
      <c r="IM61" s="333"/>
      <c r="IN61" s="333"/>
      <c r="IO61" s="333"/>
      <c r="IP61" s="333"/>
      <c r="IQ61" s="333"/>
      <c r="IR61" s="333"/>
      <c r="IS61" s="333"/>
      <c r="IT61" s="333"/>
      <c r="IU61" s="333"/>
      <c r="IV61" s="333"/>
      <c r="IW61" s="333"/>
      <c r="IX61" s="333"/>
      <c r="IY61" s="333"/>
      <c r="IZ61" s="333"/>
      <c r="JA61" s="333"/>
      <c r="JB61" s="333"/>
      <c r="JC61" s="333"/>
      <c r="JD61" s="333"/>
      <c r="JE61" s="333"/>
      <c r="JF61" s="333"/>
      <c r="JG61" s="333"/>
      <c r="JH61" s="333"/>
      <c r="JI61" s="333"/>
      <c r="JJ61" s="333"/>
      <c r="JK61" s="333"/>
      <c r="JL61" s="333"/>
      <c r="JM61" s="333"/>
      <c r="JN61" s="333"/>
      <c r="JO61" s="333"/>
      <c r="JP61" s="333"/>
      <c r="JQ61" s="333"/>
      <c r="JR61" s="333"/>
      <c r="JS61" s="333"/>
      <c r="JT61" s="333"/>
      <c r="JU61" s="333"/>
      <c r="JV61" s="333"/>
      <c r="JW61" s="333"/>
      <c r="JX61" s="333"/>
      <c r="JY61" s="333"/>
      <c r="JZ61" s="333"/>
      <c r="KA61" s="333"/>
      <c r="KB61" s="333"/>
      <c r="KC61" s="333"/>
      <c r="KD61" s="333"/>
      <c r="KE61" s="333"/>
      <c r="KF61" s="333"/>
      <c r="KG61" s="333"/>
      <c r="KH61" s="333"/>
      <c r="KI61" s="333"/>
      <c r="KJ61" s="333"/>
      <c r="KK61" s="333"/>
      <c r="KL61" s="333"/>
      <c r="KM61" s="333"/>
      <c r="KN61" s="333"/>
      <c r="KO61" s="333"/>
      <c r="KP61" s="333"/>
      <c r="KQ61" s="333"/>
      <c r="KR61" s="333"/>
      <c r="KS61" s="333"/>
      <c r="KT61" s="333"/>
      <c r="KU61" s="333"/>
      <c r="KV61" s="333"/>
      <c r="KW61" s="333"/>
      <c r="KX61" s="333"/>
      <c r="KY61" s="333"/>
      <c r="KZ61" s="333"/>
      <c r="LA61" s="333"/>
      <c r="LB61" s="333"/>
      <c r="LC61" s="333"/>
      <c r="LD61" s="333"/>
      <c r="LE61" s="333"/>
      <c r="LF61" s="333"/>
      <c r="LG61" s="333"/>
      <c r="LH61" s="333"/>
      <c r="LI61" s="333"/>
      <c r="LJ61" s="333"/>
      <c r="LK61" s="333"/>
      <c r="LL61" s="333"/>
      <c r="LM61" s="333"/>
    </row>
    <row r="62" spans="1:325">
      <c r="A62" s="310"/>
      <c r="B62" s="354" t="s">
        <v>453</v>
      </c>
      <c r="C62" s="355" t="s">
        <v>532</v>
      </c>
      <c r="D62" s="359">
        <f>SUM(D63:D77)</f>
        <v>0</v>
      </c>
      <c r="E62" s="334"/>
      <c r="F62" s="879"/>
      <c r="G62" s="880"/>
      <c r="H62" s="880"/>
      <c r="I62" s="880"/>
      <c r="J62" s="880"/>
      <c r="K62" s="880"/>
      <c r="L62" s="880"/>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c r="AN62" s="880"/>
      <c r="AO62" s="880"/>
      <c r="AP62" s="880"/>
      <c r="AQ62" s="880"/>
      <c r="AR62" s="880"/>
      <c r="AS62" s="880"/>
      <c r="AT62" s="880"/>
      <c r="AU62" s="880"/>
      <c r="AV62" s="880"/>
      <c r="AW62" s="880"/>
      <c r="AX62" s="880"/>
      <c r="AY62" s="880"/>
      <c r="AZ62" s="880"/>
      <c r="BA62" s="880"/>
      <c r="BB62" s="880"/>
      <c r="BC62" s="880"/>
      <c r="BD62" s="880"/>
      <c r="BE62" s="880"/>
      <c r="BF62" s="880"/>
      <c r="BG62" s="880"/>
      <c r="BH62" s="880"/>
      <c r="BI62" s="880"/>
      <c r="BJ62" s="880"/>
      <c r="BK62" s="880"/>
      <c r="BL62" s="880"/>
      <c r="BM62" s="880"/>
      <c r="BN62" s="880"/>
      <c r="BO62" s="880"/>
      <c r="BP62" s="880"/>
      <c r="BQ62" s="880"/>
      <c r="BR62" s="880"/>
      <c r="BS62" s="880"/>
      <c r="BT62" s="880"/>
      <c r="BU62" s="880"/>
      <c r="BV62" s="880"/>
      <c r="BW62" s="880"/>
      <c r="BX62" s="880"/>
      <c r="BY62" s="880"/>
      <c r="BZ62" s="880"/>
      <c r="CA62" s="880"/>
      <c r="CB62" s="880"/>
      <c r="CC62" s="880"/>
      <c r="CD62" s="880"/>
      <c r="CE62" s="880"/>
      <c r="CF62" s="880"/>
      <c r="CG62" s="880"/>
      <c r="CH62" s="880"/>
      <c r="CI62" s="880"/>
      <c r="CJ62" s="880"/>
      <c r="CK62" s="880"/>
      <c r="CL62" s="880"/>
      <c r="CM62" s="880"/>
      <c r="CN62" s="880"/>
      <c r="CO62" s="880"/>
      <c r="CP62" s="880"/>
      <c r="CQ62" s="880"/>
      <c r="CR62" s="880"/>
      <c r="CS62" s="880"/>
      <c r="CT62" s="880"/>
      <c r="CU62" s="880"/>
      <c r="CV62" s="880"/>
      <c r="CW62" s="880"/>
      <c r="CX62" s="880"/>
      <c r="CY62" s="880"/>
      <c r="CZ62" s="880"/>
      <c r="DA62" s="880"/>
      <c r="DB62" s="880"/>
      <c r="DC62" s="880"/>
      <c r="DD62" s="880"/>
      <c r="DE62" s="880"/>
      <c r="DF62" s="880"/>
      <c r="DG62" s="880"/>
      <c r="DH62" s="880"/>
      <c r="DI62" s="880"/>
      <c r="DJ62" s="880"/>
      <c r="DK62" s="880"/>
      <c r="DL62" s="880"/>
      <c r="DM62" s="880"/>
      <c r="DN62" s="880"/>
      <c r="DO62" s="880"/>
      <c r="DP62" s="880"/>
      <c r="DQ62" s="880"/>
      <c r="DR62" s="880"/>
      <c r="DS62" s="880"/>
      <c r="DT62" s="880"/>
      <c r="DU62" s="880"/>
      <c r="DV62" s="880"/>
      <c r="DW62" s="880"/>
      <c r="DX62" s="880"/>
      <c r="DY62" s="880"/>
      <c r="DZ62" s="880"/>
      <c r="EA62" s="880"/>
      <c r="EB62" s="880"/>
      <c r="EC62" s="880"/>
      <c r="ED62" s="880"/>
      <c r="EE62" s="880"/>
      <c r="EF62" s="880"/>
      <c r="EG62" s="880"/>
      <c r="EH62" s="880"/>
      <c r="EI62" s="880"/>
      <c r="EJ62" s="880"/>
      <c r="EK62" s="880"/>
      <c r="EL62" s="880"/>
      <c r="EM62" s="880"/>
      <c r="EN62" s="880"/>
      <c r="EO62" s="880"/>
      <c r="EP62" s="880"/>
      <c r="EQ62" s="880"/>
      <c r="ER62" s="880"/>
      <c r="ES62" s="880"/>
      <c r="ET62" s="880"/>
      <c r="EU62" s="880"/>
      <c r="EV62" s="880"/>
      <c r="EW62" s="880"/>
      <c r="EX62" s="880"/>
      <c r="EY62" s="880"/>
      <c r="EZ62" s="880"/>
      <c r="FA62" s="880"/>
      <c r="FB62" s="880"/>
      <c r="FC62" s="880"/>
      <c r="FD62" s="880"/>
      <c r="FE62" s="880"/>
      <c r="FF62" s="880"/>
      <c r="FG62" s="880"/>
      <c r="FH62" s="880"/>
      <c r="FI62" s="880"/>
      <c r="FJ62" s="880"/>
      <c r="FK62" s="880"/>
      <c r="FL62" s="880"/>
      <c r="FM62" s="880"/>
      <c r="FN62" s="880"/>
      <c r="FO62" s="880"/>
      <c r="FP62" s="880"/>
      <c r="FQ62" s="880"/>
      <c r="FR62" s="880"/>
      <c r="FS62" s="880"/>
      <c r="FT62" s="880"/>
      <c r="FU62" s="880"/>
      <c r="FV62" s="880"/>
      <c r="FW62" s="880"/>
      <c r="FX62" s="880"/>
      <c r="FY62" s="880"/>
      <c r="FZ62" s="880"/>
      <c r="GA62" s="880"/>
      <c r="GB62" s="880"/>
      <c r="GC62" s="880"/>
      <c r="GD62" s="880"/>
      <c r="GE62" s="880"/>
      <c r="GF62" s="880"/>
      <c r="GG62" s="880"/>
      <c r="GH62" s="880"/>
      <c r="GI62" s="880"/>
      <c r="GJ62" s="880"/>
      <c r="GK62" s="880"/>
      <c r="GL62" s="880"/>
      <c r="GM62" s="880"/>
      <c r="GN62" s="880"/>
      <c r="GO62" s="880"/>
      <c r="GP62" s="880"/>
      <c r="GQ62" s="880"/>
      <c r="GR62" s="880"/>
      <c r="GS62" s="880"/>
      <c r="GT62" s="880"/>
      <c r="GU62" s="880"/>
      <c r="GV62" s="880"/>
      <c r="GW62" s="880"/>
      <c r="GX62" s="880"/>
      <c r="GY62" s="880"/>
      <c r="GZ62" s="880"/>
      <c r="HA62" s="880"/>
      <c r="HB62" s="880"/>
      <c r="HC62" s="880"/>
      <c r="HD62" s="880"/>
      <c r="HE62" s="880"/>
      <c r="HF62" s="880"/>
      <c r="HG62" s="880"/>
      <c r="HH62" s="880"/>
      <c r="HI62" s="880"/>
      <c r="HJ62" s="880"/>
      <c r="HK62" s="880"/>
      <c r="HL62" s="880"/>
      <c r="HM62" s="880"/>
      <c r="HN62" s="880"/>
      <c r="HO62" s="880"/>
      <c r="HP62" s="880"/>
      <c r="HQ62" s="880"/>
      <c r="HR62" s="880"/>
      <c r="HS62" s="880"/>
      <c r="HT62" s="880"/>
      <c r="HU62" s="880"/>
      <c r="HV62" s="880"/>
      <c r="HW62" s="880"/>
      <c r="HX62" s="880"/>
      <c r="HY62" s="880"/>
      <c r="HZ62" s="880"/>
      <c r="IA62" s="880"/>
      <c r="IB62" s="880"/>
      <c r="IC62" s="880"/>
      <c r="ID62" s="880"/>
      <c r="IE62" s="880"/>
      <c r="IF62" s="880"/>
      <c r="IG62" s="880"/>
      <c r="IH62" s="880"/>
      <c r="II62" s="880"/>
      <c r="IJ62" s="880"/>
      <c r="IK62" s="880"/>
      <c r="IL62" s="880"/>
      <c r="IM62" s="880"/>
      <c r="IN62" s="880"/>
      <c r="IO62" s="880"/>
      <c r="IP62" s="880"/>
      <c r="IQ62" s="880"/>
      <c r="IR62" s="880"/>
      <c r="IS62" s="880"/>
      <c r="IT62" s="880"/>
      <c r="IU62" s="880"/>
      <c r="IV62" s="880"/>
      <c r="IW62" s="880"/>
      <c r="IX62" s="880"/>
      <c r="IY62" s="880"/>
      <c r="IZ62" s="880"/>
      <c r="JA62" s="880"/>
      <c r="JB62" s="880"/>
      <c r="JC62" s="880"/>
      <c r="JD62" s="880"/>
      <c r="JE62" s="880"/>
      <c r="JF62" s="880"/>
      <c r="JG62" s="880"/>
      <c r="JH62" s="880"/>
      <c r="JI62" s="880"/>
      <c r="JJ62" s="880"/>
      <c r="JK62" s="880"/>
      <c r="JL62" s="880"/>
      <c r="JM62" s="880"/>
      <c r="JN62" s="880"/>
      <c r="JO62" s="880"/>
      <c r="JP62" s="880"/>
      <c r="JQ62" s="880"/>
      <c r="JR62" s="880"/>
      <c r="JS62" s="880"/>
      <c r="JT62" s="880"/>
      <c r="JU62" s="880"/>
      <c r="JV62" s="880"/>
      <c r="JW62" s="880"/>
      <c r="JX62" s="880"/>
      <c r="JY62" s="880"/>
      <c r="JZ62" s="880"/>
      <c r="KA62" s="880"/>
      <c r="KB62" s="880"/>
      <c r="KC62" s="880"/>
      <c r="KD62" s="880"/>
      <c r="KE62" s="880"/>
      <c r="KF62" s="880"/>
      <c r="KG62" s="880"/>
      <c r="KH62" s="880"/>
      <c r="KI62" s="880"/>
      <c r="KJ62" s="880"/>
      <c r="KK62" s="880"/>
      <c r="KL62" s="880"/>
      <c r="KM62" s="880"/>
      <c r="KN62" s="880"/>
      <c r="KO62" s="880"/>
      <c r="KP62" s="880"/>
      <c r="KQ62" s="880"/>
      <c r="KR62" s="880"/>
      <c r="KS62" s="880"/>
      <c r="KT62" s="880"/>
      <c r="KU62" s="880"/>
      <c r="KV62" s="880"/>
      <c r="KW62" s="880"/>
      <c r="KX62" s="880"/>
      <c r="KY62" s="880"/>
      <c r="KZ62" s="880"/>
      <c r="LA62" s="880"/>
      <c r="LB62" s="880"/>
      <c r="LC62" s="880"/>
      <c r="LD62" s="880"/>
      <c r="LE62" s="880"/>
      <c r="LF62" s="880"/>
      <c r="LG62" s="880"/>
      <c r="LH62" s="880"/>
      <c r="LI62" s="880"/>
      <c r="LJ62" s="880"/>
      <c r="LK62" s="880"/>
      <c r="LL62" s="880"/>
      <c r="LM62" s="881"/>
    </row>
    <row r="63" spans="1:325" ht="28.8">
      <c r="A63" s="310" t="str">
        <f>IF(OR(Data3!B5="Grand Total",Data3!B5=0),"",Data3!B5)</f>
        <v>D.1.1.</v>
      </c>
      <c r="B63" s="309" t="s">
        <v>452</v>
      </c>
      <c r="C63" s="347" t="str">
        <f ca="1">IFERROR(VLOOKUP(A63,Rezultatai!$B$44:$C$106,2,FALSE),"")</f>
        <v xml:space="preserve">Veikla (nurodykite pavadinimą; suplanuotas investicijas pagrįskite prielaidų lape)
Analitinė studija dėl diplomatinio atstovavimo tinklo plėtros </v>
      </c>
      <c r="D63" s="358"/>
      <c r="E63" s="326"/>
      <c r="F63" s="333"/>
      <c r="G63" s="333"/>
      <c r="H63" s="333"/>
      <c r="I63" s="333"/>
      <c r="J63" s="333"/>
      <c r="K63" s="333"/>
      <c r="L63" s="333"/>
      <c r="M63" s="333"/>
      <c r="N63" s="333"/>
      <c r="O63" s="333"/>
      <c r="P63" s="333"/>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c r="IC63" s="333"/>
      <c r="ID63" s="333"/>
      <c r="IE63" s="333"/>
      <c r="IF63" s="333"/>
      <c r="IG63" s="333"/>
      <c r="IH63" s="333"/>
      <c r="II63" s="333"/>
      <c r="IJ63" s="333"/>
      <c r="IK63" s="333"/>
      <c r="IL63" s="333"/>
      <c r="IM63" s="333"/>
      <c r="IN63" s="333"/>
      <c r="IO63" s="333"/>
      <c r="IP63" s="333"/>
      <c r="IQ63" s="333"/>
      <c r="IR63" s="333"/>
      <c r="IS63" s="333"/>
      <c r="IT63" s="333"/>
      <c r="IU63" s="333"/>
      <c r="IV63" s="333"/>
      <c r="IW63" s="333"/>
      <c r="IX63" s="333"/>
      <c r="IY63" s="333"/>
      <c r="IZ63" s="333"/>
      <c r="JA63" s="333"/>
      <c r="JB63" s="333"/>
      <c r="JC63" s="333"/>
      <c r="JD63" s="333"/>
      <c r="JE63" s="333"/>
      <c r="JF63" s="333"/>
      <c r="JG63" s="333"/>
      <c r="JH63" s="333"/>
      <c r="JI63" s="333"/>
      <c r="JJ63" s="333"/>
      <c r="JK63" s="333"/>
      <c r="JL63" s="333"/>
      <c r="JM63" s="333"/>
      <c r="JN63" s="333"/>
      <c r="JO63" s="333"/>
      <c r="JP63" s="333"/>
      <c r="JQ63" s="333"/>
      <c r="JR63" s="333"/>
      <c r="JS63" s="333"/>
      <c r="JT63" s="333"/>
      <c r="JU63" s="333"/>
      <c r="JV63" s="333"/>
      <c r="JW63" s="333"/>
      <c r="JX63" s="333"/>
      <c r="JY63" s="333"/>
      <c r="JZ63" s="333"/>
      <c r="KA63" s="333"/>
      <c r="KB63" s="333"/>
      <c r="KC63" s="333"/>
      <c r="KD63" s="333"/>
      <c r="KE63" s="333"/>
      <c r="KF63" s="333"/>
      <c r="KG63" s="333"/>
      <c r="KH63" s="333"/>
      <c r="KI63" s="333"/>
      <c r="KJ63" s="333"/>
      <c r="KK63" s="333"/>
      <c r="KL63" s="333"/>
      <c r="KM63" s="333"/>
      <c r="KN63" s="333"/>
      <c r="KO63" s="333"/>
      <c r="KP63" s="333"/>
      <c r="KQ63" s="333"/>
      <c r="KR63" s="333"/>
      <c r="KS63" s="333"/>
      <c r="KT63" s="333"/>
      <c r="KU63" s="333"/>
      <c r="KV63" s="333"/>
      <c r="KW63" s="333"/>
      <c r="KX63" s="333"/>
      <c r="KY63" s="333"/>
      <c r="KZ63" s="333"/>
      <c r="LA63" s="333"/>
      <c r="LB63" s="333"/>
      <c r="LC63" s="333"/>
      <c r="LD63" s="333"/>
      <c r="LE63" s="333"/>
      <c r="LF63" s="333"/>
      <c r="LG63" s="333"/>
      <c r="LH63" s="333"/>
      <c r="LI63" s="333"/>
      <c r="LJ63" s="333"/>
      <c r="LK63" s="333"/>
      <c r="LL63" s="333"/>
      <c r="LM63" s="333"/>
    </row>
    <row r="64" spans="1:325">
      <c r="A64" s="310" t="str">
        <f>IF(OR(Data3!B6="Grand Total",Data3!B6=0),"",Data3!B6)</f>
        <v>E.1.1.</v>
      </c>
      <c r="B64" s="309" t="s">
        <v>451</v>
      </c>
      <c r="C64" s="347" t="str">
        <f ca="1">IFERROR(VLOOKUP(A64,Rezultatai!$B$44:$C$106,2,FALSE),"")</f>
        <v>Ambasados Singapūre įsteigimas</v>
      </c>
      <c r="D64" s="358"/>
      <c r="E64" s="326"/>
      <c r="F64" s="333"/>
      <c r="G64" s="333" t="s">
        <v>813</v>
      </c>
      <c r="H64" s="333" t="s">
        <v>813</v>
      </c>
      <c r="I64" s="333" t="s">
        <v>813</v>
      </c>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c r="BR64" s="333"/>
      <c r="BS64" s="333"/>
      <c r="BT64" s="333"/>
      <c r="BU64" s="333"/>
      <c r="BV64" s="333"/>
      <c r="BW64" s="333"/>
      <c r="BX64" s="333"/>
      <c r="BY64" s="333"/>
      <c r="BZ64" s="333"/>
      <c r="CA64" s="333"/>
      <c r="CB64" s="333"/>
      <c r="CC64" s="333"/>
      <c r="CD64" s="333"/>
      <c r="CE64" s="333"/>
      <c r="CF64" s="333"/>
      <c r="CG64" s="333"/>
      <c r="CH64" s="333"/>
      <c r="CI64" s="333"/>
      <c r="CJ64" s="333"/>
      <c r="CK64" s="333"/>
      <c r="CL64" s="333"/>
      <c r="CM64" s="333"/>
      <c r="CN64" s="333"/>
      <c r="CO64" s="333"/>
      <c r="CP64" s="333"/>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333"/>
      <c r="DZ64" s="333"/>
      <c r="EA64" s="333"/>
      <c r="EB64" s="333"/>
      <c r="EC64" s="333"/>
      <c r="ED64" s="333"/>
      <c r="EE64" s="333"/>
      <c r="EF64" s="333"/>
      <c r="EG64" s="333"/>
      <c r="EH64" s="333"/>
      <c r="EI64" s="333"/>
      <c r="EJ64" s="333"/>
      <c r="EK64" s="333"/>
      <c r="EL64" s="333"/>
      <c r="EM64" s="333"/>
      <c r="EN64" s="333"/>
      <c r="EO64" s="333"/>
      <c r="EP64" s="333"/>
      <c r="EQ64" s="333"/>
      <c r="ER64" s="333"/>
      <c r="ES64" s="333"/>
      <c r="ET64" s="333"/>
      <c r="EU64" s="333"/>
      <c r="EV64" s="333"/>
      <c r="EW64" s="333"/>
      <c r="EX64" s="333"/>
      <c r="EY64" s="333"/>
      <c r="EZ64" s="333"/>
      <c r="FA64" s="333"/>
      <c r="FB64" s="333"/>
      <c r="FC64" s="333"/>
      <c r="FD64" s="333"/>
      <c r="FE64" s="333"/>
      <c r="FF64" s="333"/>
      <c r="FG64" s="333"/>
      <c r="FH64" s="333"/>
      <c r="FI64" s="333"/>
      <c r="FJ64" s="333"/>
      <c r="FK64" s="333"/>
      <c r="FL64" s="333"/>
      <c r="FM64" s="333"/>
      <c r="FN64" s="333"/>
      <c r="FO64" s="333"/>
      <c r="FP64" s="333"/>
      <c r="FQ64" s="333"/>
      <c r="FR64" s="333"/>
      <c r="FS64" s="333"/>
      <c r="FT64" s="333"/>
      <c r="FU64" s="333"/>
      <c r="FV64" s="333"/>
      <c r="FW64" s="333"/>
      <c r="FX64" s="333"/>
      <c r="FY64" s="333"/>
      <c r="FZ64" s="333"/>
      <c r="GA64" s="333"/>
      <c r="GB64" s="333"/>
      <c r="GC64" s="333"/>
      <c r="GD64" s="333"/>
      <c r="GE64" s="333"/>
      <c r="GF64" s="333"/>
      <c r="GG64" s="333"/>
      <c r="GH64" s="333"/>
      <c r="GI64" s="333"/>
      <c r="GJ64" s="333"/>
      <c r="GK64" s="333"/>
      <c r="GL64" s="333"/>
      <c r="GM64" s="333"/>
      <c r="GN64" s="333"/>
      <c r="GO64" s="333"/>
      <c r="GP64" s="333"/>
      <c r="GQ64" s="333"/>
      <c r="GR64" s="333"/>
      <c r="GS64" s="333"/>
      <c r="GT64" s="333"/>
      <c r="GU64" s="333"/>
      <c r="GV64" s="333"/>
      <c r="GW64" s="333"/>
      <c r="GX64" s="333"/>
      <c r="GY64" s="333"/>
      <c r="GZ64" s="333"/>
      <c r="HA64" s="333"/>
      <c r="HB64" s="333"/>
      <c r="HC64" s="333"/>
      <c r="HD64" s="333"/>
      <c r="HE64" s="333"/>
      <c r="HF64" s="333"/>
      <c r="HG64" s="333"/>
      <c r="HH64" s="333"/>
      <c r="HI64" s="333"/>
      <c r="HJ64" s="333"/>
      <c r="HK64" s="333"/>
      <c r="HL64" s="333"/>
      <c r="HM64" s="333"/>
      <c r="HN64" s="333"/>
      <c r="HO64" s="333"/>
      <c r="HP64" s="333"/>
      <c r="HQ64" s="333"/>
      <c r="HR64" s="333"/>
      <c r="HS64" s="333"/>
      <c r="HT64" s="333"/>
      <c r="HU64" s="333"/>
      <c r="HV64" s="333"/>
      <c r="HW64" s="333"/>
      <c r="HX64" s="333"/>
      <c r="HY64" s="333"/>
      <c r="HZ64" s="333"/>
      <c r="IA64" s="333"/>
      <c r="IB64" s="333"/>
      <c r="IC64" s="333"/>
      <c r="ID64" s="333"/>
      <c r="IE64" s="333"/>
      <c r="IF64" s="333"/>
      <c r="IG64" s="333"/>
      <c r="IH64" s="333"/>
      <c r="II64" s="333"/>
      <c r="IJ64" s="333"/>
      <c r="IK64" s="333"/>
      <c r="IL64" s="333"/>
      <c r="IM64" s="333"/>
      <c r="IN64" s="333"/>
      <c r="IO64" s="333"/>
      <c r="IP64" s="333"/>
      <c r="IQ64" s="333"/>
      <c r="IR64" s="333"/>
      <c r="IS64" s="333"/>
      <c r="IT64" s="333"/>
      <c r="IU64" s="333"/>
      <c r="IV64" s="333"/>
      <c r="IW64" s="333"/>
      <c r="IX64" s="333"/>
      <c r="IY64" s="333"/>
      <c r="IZ64" s="333"/>
      <c r="JA64" s="333"/>
      <c r="JB64" s="333"/>
      <c r="JC64" s="333"/>
      <c r="JD64" s="333"/>
      <c r="JE64" s="333"/>
      <c r="JF64" s="333"/>
      <c r="JG64" s="333"/>
      <c r="JH64" s="333"/>
      <c r="JI64" s="333"/>
      <c r="JJ64" s="333"/>
      <c r="JK64" s="333"/>
      <c r="JL64" s="333"/>
      <c r="JM64" s="333"/>
      <c r="JN64" s="333"/>
      <c r="JO64" s="333"/>
      <c r="JP64" s="333"/>
      <c r="JQ64" s="333"/>
      <c r="JR64" s="333"/>
      <c r="JS64" s="333"/>
      <c r="JT64" s="333"/>
      <c r="JU64" s="333"/>
      <c r="JV64" s="333"/>
      <c r="JW64" s="333"/>
      <c r="JX64" s="333"/>
      <c r="JY64" s="333"/>
      <c r="JZ64" s="333"/>
      <c r="KA64" s="333"/>
      <c r="KB64" s="333"/>
      <c r="KC64" s="333"/>
      <c r="KD64" s="333"/>
      <c r="KE64" s="333"/>
      <c r="KF64" s="333"/>
      <c r="KG64" s="333"/>
      <c r="KH64" s="333"/>
      <c r="KI64" s="333"/>
      <c r="KJ64" s="333"/>
      <c r="KK64" s="333"/>
      <c r="KL64" s="333"/>
      <c r="KM64" s="333"/>
      <c r="KN64" s="333"/>
      <c r="KO64" s="333"/>
      <c r="KP64" s="333"/>
      <c r="KQ64" s="333"/>
      <c r="KR64" s="333"/>
      <c r="KS64" s="333"/>
      <c r="KT64" s="333"/>
      <c r="KU64" s="333"/>
      <c r="KV64" s="333"/>
      <c r="KW64" s="333"/>
      <c r="KX64" s="333"/>
      <c r="KY64" s="333"/>
      <c r="KZ64" s="333"/>
      <c r="LA64" s="333"/>
      <c r="LB64" s="333"/>
      <c r="LC64" s="333"/>
      <c r="LD64" s="333"/>
      <c r="LE64" s="333"/>
      <c r="LF64" s="333"/>
      <c r="LG64" s="333"/>
      <c r="LH64" s="333"/>
      <c r="LI64" s="333"/>
      <c r="LJ64" s="333"/>
      <c r="LK64" s="333"/>
      <c r="LL64" s="333"/>
      <c r="LM64" s="333"/>
    </row>
    <row r="65" spans="1:325">
      <c r="A65" s="310" t="str">
        <f>IF(OR(Data3!B7="Grand Total",Data3!B7=0),"",Data3!B7)</f>
        <v>E.1.2.</v>
      </c>
      <c r="B65" s="309" t="s">
        <v>450</v>
      </c>
      <c r="C65" s="347" t="str">
        <f ca="1">IFERROR(VLOOKUP(A65,Rezultatai!$B$44:$C$106,2,FALSE),"")</f>
        <v>Ambasadų kitose užsienio valstybėse įsteigimas (politinės/ekonominės svarbos scenarijus)</v>
      </c>
      <c r="D65" s="358"/>
      <c r="E65" s="326"/>
      <c r="F65" s="333"/>
      <c r="G65" s="333"/>
      <c r="H65" s="333"/>
      <c r="I65" s="333"/>
      <c r="J65" s="333"/>
      <c r="K65" s="333" t="s">
        <v>813</v>
      </c>
      <c r="L65" s="333" t="s">
        <v>813</v>
      </c>
      <c r="M65" s="333" t="s">
        <v>813</v>
      </c>
      <c r="N65" s="333"/>
      <c r="O65" s="333" t="s">
        <v>813</v>
      </c>
      <c r="P65" s="333" t="s">
        <v>813</v>
      </c>
      <c r="Q65" s="333" t="s">
        <v>813</v>
      </c>
      <c r="R65" s="333"/>
      <c r="S65" s="333" t="s">
        <v>813</v>
      </c>
      <c r="T65" s="333" t="s">
        <v>813</v>
      </c>
      <c r="U65" s="333" t="s">
        <v>813</v>
      </c>
      <c r="V65" s="333"/>
      <c r="W65" s="333"/>
      <c r="X65" s="333"/>
      <c r="Y65" s="333"/>
      <c r="Z65" s="333"/>
      <c r="AA65" s="333"/>
      <c r="AB65" s="333"/>
      <c r="AC65" s="333"/>
      <c r="AD65" s="333"/>
      <c r="AE65" s="333"/>
      <c r="AF65" s="333"/>
      <c r="AG65" s="333"/>
      <c r="AH65" s="333"/>
      <c r="AI65" s="333"/>
      <c r="AJ65" s="333"/>
      <c r="AK65" s="333"/>
      <c r="AL65" s="333"/>
      <c r="AM65" s="333"/>
      <c r="AN65" s="333"/>
      <c r="AO65" s="333"/>
      <c r="AP65" s="333"/>
      <c r="AQ65" s="333"/>
      <c r="AR65" s="333"/>
      <c r="AS65" s="333"/>
      <c r="AT65" s="333"/>
      <c r="AU65" s="333"/>
      <c r="AV65" s="333"/>
      <c r="AW65" s="333"/>
      <c r="AX65" s="333"/>
      <c r="AY65" s="333"/>
      <c r="AZ65" s="333"/>
      <c r="BA65" s="333"/>
      <c r="BB65" s="333"/>
      <c r="BC65" s="333"/>
      <c r="BD65" s="333"/>
      <c r="BE65" s="333"/>
      <c r="BF65" s="333"/>
      <c r="BG65" s="333"/>
      <c r="BH65" s="333"/>
      <c r="BI65" s="333"/>
      <c r="BJ65" s="333"/>
      <c r="BK65" s="333"/>
      <c r="BL65" s="333"/>
      <c r="BM65" s="333"/>
      <c r="BN65" s="333"/>
      <c r="BO65" s="333"/>
      <c r="BP65" s="333"/>
      <c r="BQ65" s="333"/>
      <c r="BR65" s="333"/>
      <c r="BS65" s="333"/>
      <c r="BT65" s="333"/>
      <c r="BU65" s="333"/>
      <c r="BV65" s="333"/>
      <c r="BW65" s="333"/>
      <c r="BX65" s="333"/>
      <c r="BY65" s="333"/>
      <c r="BZ65" s="333"/>
      <c r="CA65" s="333"/>
      <c r="CB65" s="333"/>
      <c r="CC65" s="333"/>
      <c r="CD65" s="333"/>
      <c r="CE65" s="333"/>
      <c r="CF65" s="333"/>
      <c r="CG65" s="333"/>
      <c r="CH65" s="333"/>
      <c r="CI65" s="333"/>
      <c r="CJ65" s="333"/>
      <c r="CK65" s="333"/>
      <c r="CL65" s="333"/>
      <c r="CM65" s="333"/>
      <c r="CN65" s="333"/>
      <c r="CO65" s="333"/>
      <c r="CP65" s="333"/>
      <c r="CQ65" s="333"/>
      <c r="CR65" s="333"/>
      <c r="CS65" s="333"/>
      <c r="CT65" s="333"/>
      <c r="CU65" s="333"/>
      <c r="CV65" s="333"/>
      <c r="CW65" s="333"/>
      <c r="CX65" s="333"/>
      <c r="CY65" s="333"/>
      <c r="CZ65" s="333"/>
      <c r="DA65" s="333"/>
      <c r="DB65" s="333"/>
      <c r="DC65" s="333"/>
      <c r="DD65" s="333"/>
      <c r="DE65" s="333"/>
      <c r="DF65" s="333"/>
      <c r="DG65" s="333"/>
      <c r="DH65" s="333"/>
      <c r="DI65" s="333"/>
      <c r="DJ65" s="333"/>
      <c r="DK65" s="333"/>
      <c r="DL65" s="333"/>
      <c r="DM65" s="333"/>
      <c r="DN65" s="333"/>
      <c r="DO65" s="333"/>
      <c r="DP65" s="333"/>
      <c r="DQ65" s="333"/>
      <c r="DR65" s="333"/>
      <c r="DS65" s="333"/>
      <c r="DT65" s="333"/>
      <c r="DU65" s="333"/>
      <c r="DV65" s="333"/>
      <c r="DW65" s="333"/>
      <c r="DX65" s="333"/>
      <c r="DY65" s="333"/>
      <c r="DZ65" s="333"/>
      <c r="EA65" s="333"/>
      <c r="EB65" s="333"/>
      <c r="EC65" s="333"/>
      <c r="ED65" s="333"/>
      <c r="EE65" s="333"/>
      <c r="EF65" s="333"/>
      <c r="EG65" s="333"/>
      <c r="EH65" s="333"/>
      <c r="EI65" s="333"/>
      <c r="EJ65" s="333"/>
      <c r="EK65" s="333"/>
      <c r="EL65" s="333"/>
      <c r="EM65" s="333"/>
      <c r="EN65" s="333"/>
      <c r="EO65" s="333"/>
      <c r="EP65" s="333"/>
      <c r="EQ65" s="333"/>
      <c r="ER65" s="333"/>
      <c r="ES65" s="333"/>
      <c r="ET65" s="333"/>
      <c r="EU65" s="333"/>
      <c r="EV65" s="333"/>
      <c r="EW65" s="333"/>
      <c r="EX65" s="333"/>
      <c r="EY65" s="333"/>
      <c r="EZ65" s="333"/>
      <c r="FA65" s="333"/>
      <c r="FB65" s="333"/>
      <c r="FC65" s="333"/>
      <c r="FD65" s="333"/>
      <c r="FE65" s="333"/>
      <c r="FF65" s="333"/>
      <c r="FG65" s="333"/>
      <c r="FH65" s="333"/>
      <c r="FI65" s="333"/>
      <c r="FJ65" s="333"/>
      <c r="FK65" s="333"/>
      <c r="FL65" s="333"/>
      <c r="FM65" s="333"/>
      <c r="FN65" s="333"/>
      <c r="FO65" s="333"/>
      <c r="FP65" s="333"/>
      <c r="FQ65" s="333"/>
      <c r="FR65" s="333"/>
      <c r="FS65" s="333"/>
      <c r="FT65" s="333"/>
      <c r="FU65" s="333"/>
      <c r="FV65" s="333"/>
      <c r="FW65" s="333"/>
      <c r="FX65" s="333"/>
      <c r="FY65" s="333"/>
      <c r="FZ65" s="333"/>
      <c r="GA65" s="333"/>
      <c r="GB65" s="333"/>
      <c r="GC65" s="333"/>
      <c r="GD65" s="333"/>
      <c r="GE65" s="333"/>
      <c r="GF65" s="333"/>
      <c r="GG65" s="333"/>
      <c r="GH65" s="333"/>
      <c r="GI65" s="333"/>
      <c r="GJ65" s="333"/>
      <c r="GK65" s="333"/>
      <c r="GL65" s="333"/>
      <c r="GM65" s="333"/>
      <c r="GN65" s="333"/>
      <c r="GO65" s="333"/>
      <c r="GP65" s="333"/>
      <c r="GQ65" s="333"/>
      <c r="GR65" s="333"/>
      <c r="GS65" s="333"/>
      <c r="GT65" s="333"/>
      <c r="GU65" s="333"/>
      <c r="GV65" s="333"/>
      <c r="GW65" s="333"/>
      <c r="GX65" s="333"/>
      <c r="GY65" s="333"/>
      <c r="GZ65" s="333"/>
      <c r="HA65" s="333"/>
      <c r="HB65" s="333"/>
      <c r="HC65" s="333"/>
      <c r="HD65" s="333"/>
      <c r="HE65" s="333"/>
      <c r="HF65" s="333"/>
      <c r="HG65" s="333"/>
      <c r="HH65" s="333"/>
      <c r="HI65" s="333"/>
      <c r="HJ65" s="333"/>
      <c r="HK65" s="333"/>
      <c r="HL65" s="333"/>
      <c r="HM65" s="333"/>
      <c r="HN65" s="333"/>
      <c r="HO65" s="333"/>
      <c r="HP65" s="333"/>
      <c r="HQ65" s="333"/>
      <c r="HR65" s="333"/>
      <c r="HS65" s="333"/>
      <c r="HT65" s="333"/>
      <c r="HU65" s="333"/>
      <c r="HV65" s="333"/>
      <c r="HW65" s="333"/>
      <c r="HX65" s="333"/>
      <c r="HY65" s="333"/>
      <c r="HZ65" s="333"/>
      <c r="IA65" s="333"/>
      <c r="IB65" s="333"/>
      <c r="IC65" s="333"/>
      <c r="ID65" s="333"/>
      <c r="IE65" s="333"/>
      <c r="IF65" s="333"/>
      <c r="IG65" s="333"/>
      <c r="IH65" s="333"/>
      <c r="II65" s="333"/>
      <c r="IJ65" s="333"/>
      <c r="IK65" s="333"/>
      <c r="IL65" s="333"/>
      <c r="IM65" s="333"/>
      <c r="IN65" s="333"/>
      <c r="IO65" s="333"/>
      <c r="IP65" s="333"/>
      <c r="IQ65" s="333"/>
      <c r="IR65" s="333"/>
      <c r="IS65" s="333"/>
      <c r="IT65" s="333"/>
      <c r="IU65" s="333"/>
      <c r="IV65" s="333"/>
      <c r="IW65" s="333"/>
      <c r="IX65" s="333"/>
      <c r="IY65" s="333"/>
      <c r="IZ65" s="333"/>
      <c r="JA65" s="333"/>
      <c r="JB65" s="333"/>
      <c r="JC65" s="333"/>
      <c r="JD65" s="333"/>
      <c r="JE65" s="333"/>
      <c r="JF65" s="333"/>
      <c r="JG65" s="333"/>
      <c r="JH65" s="333"/>
      <c r="JI65" s="333"/>
      <c r="JJ65" s="333"/>
      <c r="JK65" s="333"/>
      <c r="JL65" s="333"/>
      <c r="JM65" s="333"/>
      <c r="JN65" s="333"/>
      <c r="JO65" s="333"/>
      <c r="JP65" s="333"/>
      <c r="JQ65" s="333"/>
      <c r="JR65" s="333"/>
      <c r="JS65" s="333"/>
      <c r="JT65" s="333"/>
      <c r="JU65" s="333"/>
      <c r="JV65" s="333"/>
      <c r="JW65" s="333"/>
      <c r="JX65" s="333"/>
      <c r="JY65" s="333"/>
      <c r="JZ65" s="333"/>
      <c r="KA65" s="333"/>
      <c r="KB65" s="333"/>
      <c r="KC65" s="333"/>
      <c r="KD65" s="333"/>
      <c r="KE65" s="333"/>
      <c r="KF65" s="333"/>
      <c r="KG65" s="333"/>
      <c r="KH65" s="333"/>
      <c r="KI65" s="333"/>
      <c r="KJ65" s="333"/>
      <c r="KK65" s="333"/>
      <c r="KL65" s="333"/>
      <c r="KM65" s="333"/>
      <c r="KN65" s="333"/>
      <c r="KO65" s="333"/>
      <c r="KP65" s="333"/>
      <c r="KQ65" s="333"/>
      <c r="KR65" s="333"/>
      <c r="KS65" s="333"/>
      <c r="KT65" s="333"/>
      <c r="KU65" s="333"/>
      <c r="KV65" s="333"/>
      <c r="KW65" s="333"/>
      <c r="KX65" s="333"/>
      <c r="KY65" s="333"/>
      <c r="KZ65" s="333"/>
      <c r="LA65" s="333"/>
      <c r="LB65" s="333"/>
      <c r="LC65" s="333"/>
      <c r="LD65" s="333"/>
      <c r="LE65" s="333"/>
      <c r="LF65" s="333"/>
      <c r="LG65" s="333"/>
      <c r="LH65" s="333"/>
      <c r="LI65" s="333"/>
      <c r="LJ65" s="333"/>
      <c r="LK65" s="333"/>
      <c r="LL65" s="333"/>
      <c r="LM65" s="333"/>
    </row>
    <row r="66" spans="1:325">
      <c r="A66" s="310" t="str">
        <f>IF(OR(Data3!B8="Grand Total",Data3!B8=0),"",Data3!B8)</f>
        <v>E.1.3.</v>
      </c>
      <c r="B66" s="309" t="s">
        <v>508</v>
      </c>
      <c r="C66" s="347" t="str">
        <f ca="1">IFERROR(VLOOKUP(A66,Rezultatai!$B$44:$C$106,2,FALSE),"")</f>
        <v>Valstybės veiklos tarptautinėse organizacijose pozicijų derinimo, stebėsenos sistemos sukūrimas</v>
      </c>
      <c r="D66" s="358"/>
      <c r="E66" s="326"/>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c r="BR66" s="333"/>
      <c r="BS66" s="333"/>
      <c r="BT66" s="333"/>
      <c r="BU66" s="333"/>
      <c r="BV66" s="333"/>
      <c r="BW66" s="333"/>
      <c r="BX66" s="333"/>
      <c r="BY66" s="333"/>
      <c r="BZ66" s="333"/>
      <c r="CA66" s="333"/>
      <c r="CB66" s="333"/>
      <c r="CC66" s="333"/>
      <c r="CD66" s="333"/>
      <c r="CE66" s="333"/>
      <c r="CF66" s="333"/>
      <c r="CG66" s="333"/>
      <c r="CH66" s="333"/>
      <c r="CI66" s="333"/>
      <c r="CJ66" s="333"/>
      <c r="CK66" s="333"/>
      <c r="CL66" s="333"/>
      <c r="CM66" s="333"/>
      <c r="CN66" s="333"/>
      <c r="CO66" s="333"/>
      <c r="CP66" s="333"/>
      <c r="CQ66" s="333"/>
      <c r="CR66" s="333"/>
      <c r="CS66" s="333"/>
      <c r="CT66" s="333"/>
      <c r="CU66" s="333"/>
      <c r="CV66" s="333"/>
      <c r="CW66" s="333"/>
      <c r="CX66" s="333"/>
      <c r="CY66" s="333"/>
      <c r="CZ66" s="333"/>
      <c r="DA66" s="333"/>
      <c r="DB66" s="333"/>
      <c r="DC66" s="333"/>
      <c r="DD66" s="333"/>
      <c r="DE66" s="333"/>
      <c r="DF66" s="333"/>
      <c r="DG66" s="333"/>
      <c r="DH66" s="333"/>
      <c r="DI66" s="333"/>
      <c r="DJ66" s="333"/>
      <c r="DK66" s="333"/>
      <c r="DL66" s="333"/>
      <c r="DM66" s="333"/>
      <c r="DN66" s="333"/>
      <c r="DO66" s="333"/>
      <c r="DP66" s="333"/>
      <c r="DQ66" s="333"/>
      <c r="DR66" s="333"/>
      <c r="DS66" s="333"/>
      <c r="DT66" s="333"/>
      <c r="DU66" s="333"/>
      <c r="DV66" s="333"/>
      <c r="DW66" s="333"/>
      <c r="DX66" s="333"/>
      <c r="DY66" s="333"/>
      <c r="DZ66" s="333"/>
      <c r="EA66" s="333"/>
      <c r="EB66" s="333"/>
      <c r="EC66" s="333"/>
      <c r="ED66" s="333"/>
      <c r="EE66" s="333"/>
      <c r="EF66" s="333"/>
      <c r="EG66" s="333"/>
      <c r="EH66" s="333"/>
      <c r="EI66" s="333"/>
      <c r="EJ66" s="333"/>
      <c r="EK66" s="333"/>
      <c r="EL66" s="333"/>
      <c r="EM66" s="333"/>
      <c r="EN66" s="333"/>
      <c r="EO66" s="333"/>
      <c r="EP66" s="333"/>
      <c r="EQ66" s="333"/>
      <c r="ER66" s="333"/>
      <c r="ES66" s="333"/>
      <c r="ET66" s="333"/>
      <c r="EU66" s="333"/>
      <c r="EV66" s="333"/>
      <c r="EW66" s="333"/>
      <c r="EX66" s="333"/>
      <c r="EY66" s="333"/>
      <c r="EZ66" s="333"/>
      <c r="FA66" s="333"/>
      <c r="FB66" s="333"/>
      <c r="FC66" s="333"/>
      <c r="FD66" s="333"/>
      <c r="FE66" s="333"/>
      <c r="FF66" s="333"/>
      <c r="FG66" s="333"/>
      <c r="FH66" s="333"/>
      <c r="FI66" s="333"/>
      <c r="FJ66" s="333"/>
      <c r="FK66" s="333"/>
      <c r="FL66" s="333"/>
      <c r="FM66" s="333"/>
      <c r="FN66" s="333"/>
      <c r="FO66" s="333"/>
      <c r="FP66" s="333"/>
      <c r="FQ66" s="333"/>
      <c r="FR66" s="333"/>
      <c r="FS66" s="333"/>
      <c r="FT66" s="333"/>
      <c r="FU66" s="333"/>
      <c r="FV66" s="333"/>
      <c r="FW66" s="333"/>
      <c r="FX66" s="333"/>
      <c r="FY66" s="333"/>
      <c r="FZ66" s="333"/>
      <c r="GA66" s="333"/>
      <c r="GB66" s="333"/>
      <c r="GC66" s="333"/>
      <c r="GD66" s="333"/>
      <c r="GE66" s="333"/>
      <c r="GF66" s="333"/>
      <c r="GG66" s="333"/>
      <c r="GH66" s="333"/>
      <c r="GI66" s="333"/>
      <c r="GJ66" s="333"/>
      <c r="GK66" s="333"/>
      <c r="GL66" s="333"/>
      <c r="GM66" s="333"/>
      <c r="GN66" s="333"/>
      <c r="GO66" s="333"/>
      <c r="GP66" s="333"/>
      <c r="GQ66" s="333"/>
      <c r="GR66" s="333"/>
      <c r="GS66" s="333"/>
      <c r="GT66" s="333"/>
      <c r="GU66" s="333"/>
      <c r="GV66" s="333"/>
      <c r="GW66" s="333"/>
      <c r="GX66" s="333"/>
      <c r="GY66" s="333"/>
      <c r="GZ66" s="333"/>
      <c r="HA66" s="333"/>
      <c r="HB66" s="333"/>
      <c r="HC66" s="333"/>
      <c r="HD66" s="333"/>
      <c r="HE66" s="333"/>
      <c r="HF66" s="333"/>
      <c r="HG66" s="333"/>
      <c r="HH66" s="333"/>
      <c r="HI66" s="333"/>
      <c r="HJ66" s="333"/>
      <c r="HK66" s="333"/>
      <c r="HL66" s="333"/>
      <c r="HM66" s="333"/>
      <c r="HN66" s="333"/>
      <c r="HO66" s="333"/>
      <c r="HP66" s="333"/>
      <c r="HQ66" s="333"/>
      <c r="HR66" s="333"/>
      <c r="HS66" s="333"/>
      <c r="HT66" s="333"/>
      <c r="HU66" s="333"/>
      <c r="HV66" s="333"/>
      <c r="HW66" s="333"/>
      <c r="HX66" s="333"/>
      <c r="HY66" s="333"/>
      <c r="HZ66" s="333"/>
      <c r="IA66" s="333"/>
      <c r="IB66" s="333"/>
      <c r="IC66" s="333"/>
      <c r="ID66" s="333"/>
      <c r="IE66" s="333"/>
      <c r="IF66" s="333"/>
      <c r="IG66" s="333"/>
      <c r="IH66" s="333"/>
      <c r="II66" s="333"/>
      <c r="IJ66" s="333"/>
      <c r="IK66" s="333"/>
      <c r="IL66" s="333"/>
      <c r="IM66" s="333"/>
      <c r="IN66" s="333"/>
      <c r="IO66" s="333"/>
      <c r="IP66" s="333"/>
      <c r="IQ66" s="333"/>
      <c r="IR66" s="333"/>
      <c r="IS66" s="333"/>
      <c r="IT66" s="333"/>
      <c r="IU66" s="333"/>
      <c r="IV66" s="333"/>
      <c r="IW66" s="333"/>
      <c r="IX66" s="333"/>
      <c r="IY66" s="333"/>
      <c r="IZ66" s="333"/>
      <c r="JA66" s="333"/>
      <c r="JB66" s="333"/>
      <c r="JC66" s="333"/>
      <c r="JD66" s="333"/>
      <c r="JE66" s="333"/>
      <c r="JF66" s="333"/>
      <c r="JG66" s="333"/>
      <c r="JH66" s="333"/>
      <c r="JI66" s="333"/>
      <c r="JJ66" s="333"/>
      <c r="JK66" s="333"/>
      <c r="JL66" s="333"/>
      <c r="JM66" s="333"/>
      <c r="JN66" s="333"/>
      <c r="JO66" s="333"/>
      <c r="JP66" s="333"/>
      <c r="JQ66" s="333"/>
      <c r="JR66" s="333"/>
      <c r="JS66" s="333"/>
      <c r="JT66" s="333"/>
      <c r="JU66" s="333"/>
      <c r="JV66" s="333"/>
      <c r="JW66" s="333"/>
      <c r="JX66" s="333"/>
      <c r="JY66" s="333"/>
      <c r="JZ66" s="333"/>
      <c r="KA66" s="333"/>
      <c r="KB66" s="333"/>
      <c r="KC66" s="333"/>
      <c r="KD66" s="333"/>
      <c r="KE66" s="333"/>
      <c r="KF66" s="333"/>
      <c r="KG66" s="333"/>
      <c r="KH66" s="333"/>
      <c r="KI66" s="333"/>
      <c r="KJ66" s="333"/>
      <c r="KK66" s="333"/>
      <c r="KL66" s="333"/>
      <c r="KM66" s="333"/>
      <c r="KN66" s="333"/>
      <c r="KO66" s="333"/>
      <c r="KP66" s="333"/>
      <c r="KQ66" s="333"/>
      <c r="KR66" s="333"/>
      <c r="KS66" s="333"/>
      <c r="KT66" s="333"/>
      <c r="KU66" s="333"/>
      <c r="KV66" s="333"/>
      <c r="KW66" s="333"/>
      <c r="KX66" s="333"/>
      <c r="KY66" s="333"/>
      <c r="KZ66" s="333"/>
      <c r="LA66" s="333"/>
      <c r="LB66" s="333"/>
      <c r="LC66" s="333"/>
      <c r="LD66" s="333"/>
      <c r="LE66" s="333"/>
      <c r="LF66" s="333"/>
      <c r="LG66" s="333"/>
      <c r="LH66" s="333"/>
      <c r="LI66" s="333"/>
      <c r="LJ66" s="333"/>
      <c r="LK66" s="333"/>
      <c r="LL66" s="333"/>
      <c r="LM66" s="333"/>
    </row>
    <row r="67" spans="1:325">
      <c r="A67" s="310" t="str">
        <f>IF(OR(Data3!B9="Grand Total",Data3!B9=0),"",Data3!B9)</f>
        <v>E.1.4.</v>
      </c>
      <c r="B67" s="309" t="s">
        <v>509</v>
      </c>
      <c r="C67" s="347">
        <f ca="1">IFERROR(VLOOKUP(A67,Rezultatai!$B$44:$C$106,2,FALSE),"")</f>
        <v>0</v>
      </c>
      <c r="D67" s="358"/>
      <c r="E67" s="326"/>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s="333"/>
      <c r="AE67" s="333"/>
      <c r="AF67" s="333"/>
      <c r="AG67" s="333"/>
      <c r="AH67" s="333"/>
      <c r="AI67" s="333"/>
      <c r="AJ67" s="333"/>
      <c r="AK67" s="333"/>
      <c r="AL67" s="333"/>
      <c r="AM67" s="333"/>
      <c r="AN67" s="333"/>
      <c r="AO67" s="333"/>
      <c r="AP67" s="333"/>
      <c r="AQ67" s="333"/>
      <c r="AR67" s="333"/>
      <c r="AS67" s="333"/>
      <c r="AT67" s="333"/>
      <c r="AU67" s="333"/>
      <c r="AV67" s="333"/>
      <c r="AW67" s="333"/>
      <c r="AX67" s="333"/>
      <c r="AY67" s="333"/>
      <c r="AZ67" s="333"/>
      <c r="BA67" s="333"/>
      <c r="BB67" s="333"/>
      <c r="BC67" s="333"/>
      <c r="BD67" s="333"/>
      <c r="BE67" s="333"/>
      <c r="BF67" s="333"/>
      <c r="BG67" s="333"/>
      <c r="BH67" s="333"/>
      <c r="BI67" s="333"/>
      <c r="BJ67" s="333"/>
      <c r="BK67" s="333"/>
      <c r="BL67" s="333"/>
      <c r="BM67" s="333"/>
      <c r="BN67" s="333"/>
      <c r="BO67" s="333"/>
      <c r="BP67" s="333"/>
      <c r="BQ67" s="333"/>
      <c r="BR67" s="333"/>
      <c r="BS67" s="333"/>
      <c r="BT67" s="333"/>
      <c r="BU67" s="333"/>
      <c r="BV67" s="333"/>
      <c r="BW67" s="333"/>
      <c r="BX67" s="333"/>
      <c r="BY67" s="333"/>
      <c r="BZ67" s="333"/>
      <c r="CA67" s="333"/>
      <c r="CB67" s="333"/>
      <c r="CC67" s="333"/>
      <c r="CD67" s="333"/>
      <c r="CE67" s="333"/>
      <c r="CF67" s="333"/>
      <c r="CG67" s="333"/>
      <c r="CH67" s="333"/>
      <c r="CI67" s="333"/>
      <c r="CJ67" s="333"/>
      <c r="CK67" s="333"/>
      <c r="CL67" s="333"/>
      <c r="CM67" s="333"/>
      <c r="CN67" s="333"/>
      <c r="CO67" s="333"/>
      <c r="CP67" s="333"/>
      <c r="CQ67" s="333"/>
      <c r="CR67" s="333"/>
      <c r="CS67" s="333"/>
      <c r="CT67" s="333"/>
      <c r="CU67" s="333"/>
      <c r="CV67" s="333"/>
      <c r="CW67" s="333"/>
      <c r="CX67" s="333"/>
      <c r="CY67" s="333"/>
      <c r="CZ67" s="333"/>
      <c r="DA67" s="333"/>
      <c r="DB67" s="333"/>
      <c r="DC67" s="333"/>
      <c r="DD67" s="333"/>
      <c r="DE67" s="333"/>
      <c r="DF67" s="333"/>
      <c r="DG67" s="333"/>
      <c r="DH67" s="333"/>
      <c r="DI67" s="333"/>
      <c r="DJ67" s="333"/>
      <c r="DK67" s="333"/>
      <c r="DL67" s="333"/>
      <c r="DM67" s="333"/>
      <c r="DN67" s="333"/>
      <c r="DO67" s="333"/>
      <c r="DP67" s="333"/>
      <c r="DQ67" s="333"/>
      <c r="DR67" s="333"/>
      <c r="DS67" s="333"/>
      <c r="DT67" s="333"/>
      <c r="DU67" s="333"/>
      <c r="DV67" s="333"/>
      <c r="DW67" s="333"/>
      <c r="DX67" s="333"/>
      <c r="DY67" s="333"/>
      <c r="DZ67" s="333"/>
      <c r="EA67" s="333"/>
      <c r="EB67" s="333"/>
      <c r="EC67" s="333"/>
      <c r="ED67" s="333"/>
      <c r="EE67" s="333"/>
      <c r="EF67" s="333"/>
      <c r="EG67" s="333"/>
      <c r="EH67" s="333"/>
      <c r="EI67" s="333"/>
      <c r="EJ67" s="333"/>
      <c r="EK67" s="333"/>
      <c r="EL67" s="333"/>
      <c r="EM67" s="333"/>
      <c r="EN67" s="333"/>
      <c r="EO67" s="333"/>
      <c r="EP67" s="333"/>
      <c r="EQ67" s="333"/>
      <c r="ER67" s="333"/>
      <c r="ES67" s="333"/>
      <c r="ET67" s="333"/>
      <c r="EU67" s="333"/>
      <c r="EV67" s="333"/>
      <c r="EW67" s="333"/>
      <c r="EX67" s="333"/>
      <c r="EY67" s="333"/>
      <c r="EZ67" s="333"/>
      <c r="FA67" s="333"/>
      <c r="FB67" s="333"/>
      <c r="FC67" s="333"/>
      <c r="FD67" s="333"/>
      <c r="FE67" s="333"/>
      <c r="FF67" s="333"/>
      <c r="FG67" s="333"/>
      <c r="FH67" s="333"/>
      <c r="FI67" s="333"/>
      <c r="FJ67" s="333"/>
      <c r="FK67" s="333"/>
      <c r="FL67" s="333"/>
      <c r="FM67" s="333"/>
      <c r="FN67" s="333"/>
      <c r="FO67" s="333"/>
      <c r="FP67" s="333"/>
      <c r="FQ67" s="333"/>
      <c r="FR67" s="333"/>
      <c r="FS67" s="333"/>
      <c r="FT67" s="333"/>
      <c r="FU67" s="333"/>
      <c r="FV67" s="333"/>
      <c r="FW67" s="333"/>
      <c r="FX67" s="333"/>
      <c r="FY67" s="333"/>
      <c r="FZ67" s="333"/>
      <c r="GA67" s="333"/>
      <c r="GB67" s="333"/>
      <c r="GC67" s="333"/>
      <c r="GD67" s="333"/>
      <c r="GE67" s="333"/>
      <c r="GF67" s="333"/>
      <c r="GG67" s="333"/>
      <c r="GH67" s="333"/>
      <c r="GI67" s="333"/>
      <c r="GJ67" s="333"/>
      <c r="GK67" s="333"/>
      <c r="GL67" s="333"/>
      <c r="GM67" s="333"/>
      <c r="GN67" s="333"/>
      <c r="GO67" s="333"/>
      <c r="GP67" s="333"/>
      <c r="GQ67" s="333"/>
      <c r="GR67" s="333"/>
      <c r="GS67" s="333"/>
      <c r="GT67" s="333"/>
      <c r="GU67" s="333"/>
      <c r="GV67" s="333"/>
      <c r="GW67" s="333"/>
      <c r="GX67" s="333"/>
      <c r="GY67" s="333"/>
      <c r="GZ67" s="333"/>
      <c r="HA67" s="333"/>
      <c r="HB67" s="333"/>
      <c r="HC67" s="333"/>
      <c r="HD67" s="333"/>
      <c r="HE67" s="333"/>
      <c r="HF67" s="333"/>
      <c r="HG67" s="333"/>
      <c r="HH67" s="333"/>
      <c r="HI67" s="333"/>
      <c r="HJ67" s="333"/>
      <c r="HK67" s="333"/>
      <c r="HL67" s="333"/>
      <c r="HM67" s="333"/>
      <c r="HN67" s="333"/>
      <c r="HO67" s="333"/>
      <c r="HP67" s="333"/>
      <c r="HQ67" s="333"/>
      <c r="HR67" s="333"/>
      <c r="HS67" s="333"/>
      <c r="HT67" s="333"/>
      <c r="HU67" s="333"/>
      <c r="HV67" s="333"/>
      <c r="HW67" s="333"/>
      <c r="HX67" s="333"/>
      <c r="HY67" s="333"/>
      <c r="HZ67" s="333"/>
      <c r="IA67" s="333"/>
      <c r="IB67" s="333"/>
      <c r="IC67" s="333"/>
      <c r="ID67" s="333"/>
      <c r="IE67" s="333"/>
      <c r="IF67" s="333"/>
      <c r="IG67" s="333"/>
      <c r="IH67" s="333"/>
      <c r="II67" s="333"/>
      <c r="IJ67" s="333"/>
      <c r="IK67" s="333"/>
      <c r="IL67" s="333"/>
      <c r="IM67" s="333"/>
      <c r="IN67" s="333"/>
      <c r="IO67" s="333"/>
      <c r="IP67" s="333"/>
      <c r="IQ67" s="333"/>
      <c r="IR67" s="333"/>
      <c r="IS67" s="333"/>
      <c r="IT67" s="333"/>
      <c r="IU67" s="333"/>
      <c r="IV67" s="333"/>
      <c r="IW67" s="333"/>
      <c r="IX67" s="333"/>
      <c r="IY67" s="333"/>
      <c r="IZ67" s="333"/>
      <c r="JA67" s="333"/>
      <c r="JB67" s="333"/>
      <c r="JC67" s="333"/>
      <c r="JD67" s="333"/>
      <c r="JE67" s="333"/>
      <c r="JF67" s="333"/>
      <c r="JG67" s="333"/>
      <c r="JH67" s="333"/>
      <c r="JI67" s="333"/>
      <c r="JJ67" s="333"/>
      <c r="JK67" s="333"/>
      <c r="JL67" s="333"/>
      <c r="JM67" s="333"/>
      <c r="JN67" s="333"/>
      <c r="JO67" s="333"/>
      <c r="JP67" s="333"/>
      <c r="JQ67" s="333"/>
      <c r="JR67" s="333"/>
      <c r="JS67" s="333"/>
      <c r="JT67" s="333"/>
      <c r="JU67" s="333"/>
      <c r="JV67" s="333"/>
      <c r="JW67" s="333"/>
      <c r="JX67" s="333"/>
      <c r="JY67" s="333"/>
      <c r="JZ67" s="333"/>
      <c r="KA67" s="333"/>
      <c r="KB67" s="333"/>
      <c r="KC67" s="333"/>
      <c r="KD67" s="333"/>
      <c r="KE67" s="333"/>
      <c r="KF67" s="333"/>
      <c r="KG67" s="333"/>
      <c r="KH67" s="333"/>
      <c r="KI67" s="333"/>
      <c r="KJ67" s="333"/>
      <c r="KK67" s="333"/>
      <c r="KL67" s="333"/>
      <c r="KM67" s="333"/>
      <c r="KN67" s="333"/>
      <c r="KO67" s="333"/>
      <c r="KP67" s="333"/>
      <c r="KQ67" s="333"/>
      <c r="KR67" s="333"/>
      <c r="KS67" s="333"/>
      <c r="KT67" s="333"/>
      <c r="KU67" s="333"/>
      <c r="KV67" s="333"/>
      <c r="KW67" s="333"/>
      <c r="KX67" s="333"/>
      <c r="KY67" s="333"/>
      <c r="KZ67" s="333"/>
      <c r="LA67" s="333"/>
      <c r="LB67" s="333"/>
      <c r="LC67" s="333"/>
      <c r="LD67" s="333"/>
      <c r="LE67" s="333"/>
      <c r="LF67" s="333"/>
      <c r="LG67" s="333"/>
      <c r="LH67" s="333"/>
      <c r="LI67" s="333"/>
      <c r="LJ67" s="333"/>
      <c r="LK67" s="333"/>
      <c r="LL67" s="333"/>
      <c r="LM67" s="333"/>
    </row>
    <row r="68" spans="1:325">
      <c r="A68" s="310" t="str">
        <f>IF(OR(Data3!B10="Grand Total",Data3!B10=0),"",Data3!B10)</f>
        <v>E.1.5.</v>
      </c>
      <c r="B68" s="309" t="s">
        <v>510</v>
      </c>
      <c r="C68" s="347">
        <f ca="1">IFERROR(VLOOKUP(A68,Rezultatai!$B$44:$C$106,2,FALSE),"")</f>
        <v>0</v>
      </c>
      <c r="D68" s="358"/>
      <c r="E68" s="326"/>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c r="BR68" s="333"/>
      <c r="BS68" s="333"/>
      <c r="BT68" s="333"/>
      <c r="BU68" s="333"/>
      <c r="BV68" s="333"/>
      <c r="BW68" s="333"/>
      <c r="BX68" s="333"/>
      <c r="BY68" s="333"/>
      <c r="BZ68" s="333"/>
      <c r="CA68" s="333"/>
      <c r="CB68" s="333"/>
      <c r="CC68" s="333"/>
      <c r="CD68" s="333"/>
      <c r="CE68" s="333"/>
      <c r="CF68" s="333"/>
      <c r="CG68" s="333"/>
      <c r="CH68" s="333"/>
      <c r="CI68" s="333"/>
      <c r="CJ68" s="333"/>
      <c r="CK68" s="333"/>
      <c r="CL68" s="333"/>
      <c r="CM68" s="333"/>
      <c r="CN68" s="333"/>
      <c r="CO68" s="333"/>
      <c r="CP68" s="333"/>
      <c r="CQ68" s="333"/>
      <c r="CR68" s="333"/>
      <c r="CS68" s="333"/>
      <c r="CT68" s="333"/>
      <c r="CU68" s="333"/>
      <c r="CV68" s="333"/>
      <c r="CW68" s="333"/>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333"/>
      <c r="DZ68" s="333"/>
      <c r="EA68" s="333"/>
      <c r="EB68" s="333"/>
      <c r="EC68" s="333"/>
      <c r="ED68" s="333"/>
      <c r="EE68" s="333"/>
      <c r="EF68" s="333"/>
      <c r="EG68" s="333"/>
      <c r="EH68" s="333"/>
      <c r="EI68" s="333"/>
      <c r="EJ68" s="333"/>
      <c r="EK68" s="333"/>
      <c r="EL68" s="333"/>
      <c r="EM68" s="333"/>
      <c r="EN68" s="333"/>
      <c r="EO68" s="333"/>
      <c r="EP68" s="333"/>
      <c r="EQ68" s="333"/>
      <c r="ER68" s="333"/>
      <c r="ES68" s="333"/>
      <c r="ET68" s="333"/>
      <c r="EU68" s="333"/>
      <c r="EV68" s="333"/>
      <c r="EW68" s="333"/>
      <c r="EX68" s="333"/>
      <c r="EY68" s="333"/>
      <c r="EZ68" s="333"/>
      <c r="FA68" s="333"/>
      <c r="FB68" s="333"/>
      <c r="FC68" s="333"/>
      <c r="FD68" s="333"/>
      <c r="FE68" s="333"/>
      <c r="FF68" s="333"/>
      <c r="FG68" s="333"/>
      <c r="FH68" s="333"/>
      <c r="FI68" s="333"/>
      <c r="FJ68" s="333"/>
      <c r="FK68" s="333"/>
      <c r="FL68" s="333"/>
      <c r="FM68" s="333"/>
      <c r="FN68" s="333"/>
      <c r="FO68" s="333"/>
      <c r="FP68" s="333"/>
      <c r="FQ68" s="333"/>
      <c r="FR68" s="333"/>
      <c r="FS68" s="333"/>
      <c r="FT68" s="333"/>
      <c r="FU68" s="333"/>
      <c r="FV68" s="333"/>
      <c r="FW68" s="333"/>
      <c r="FX68" s="333"/>
      <c r="FY68" s="333"/>
      <c r="FZ68" s="333"/>
      <c r="GA68" s="333"/>
      <c r="GB68" s="333"/>
      <c r="GC68" s="333"/>
      <c r="GD68" s="333"/>
      <c r="GE68" s="333"/>
      <c r="GF68" s="333"/>
      <c r="GG68" s="333"/>
      <c r="GH68" s="333"/>
      <c r="GI68" s="333"/>
      <c r="GJ68" s="333"/>
      <c r="GK68" s="333"/>
      <c r="GL68" s="333"/>
      <c r="GM68" s="333"/>
      <c r="GN68" s="333"/>
      <c r="GO68" s="333"/>
      <c r="GP68" s="333"/>
      <c r="GQ68" s="333"/>
      <c r="GR68" s="333"/>
      <c r="GS68" s="333"/>
      <c r="GT68" s="333"/>
      <c r="GU68" s="333"/>
      <c r="GV68" s="333"/>
      <c r="GW68" s="333"/>
      <c r="GX68" s="333"/>
      <c r="GY68" s="333"/>
      <c r="GZ68" s="333"/>
      <c r="HA68" s="333"/>
      <c r="HB68" s="333"/>
      <c r="HC68" s="333"/>
      <c r="HD68" s="333"/>
      <c r="HE68" s="333"/>
      <c r="HF68" s="333"/>
      <c r="HG68" s="333"/>
      <c r="HH68" s="333"/>
      <c r="HI68" s="333"/>
      <c r="HJ68" s="333"/>
      <c r="HK68" s="333"/>
      <c r="HL68" s="333"/>
      <c r="HM68" s="333"/>
      <c r="HN68" s="333"/>
      <c r="HO68" s="333"/>
      <c r="HP68" s="333"/>
      <c r="HQ68" s="333"/>
      <c r="HR68" s="333"/>
      <c r="HS68" s="333"/>
      <c r="HT68" s="333"/>
      <c r="HU68" s="333"/>
      <c r="HV68" s="333"/>
      <c r="HW68" s="333"/>
      <c r="HX68" s="333"/>
      <c r="HY68" s="333"/>
      <c r="HZ68" s="333"/>
      <c r="IA68" s="333"/>
      <c r="IB68" s="333"/>
      <c r="IC68" s="333"/>
      <c r="ID68" s="333"/>
      <c r="IE68" s="333"/>
      <c r="IF68" s="333"/>
      <c r="IG68" s="333"/>
      <c r="IH68" s="333"/>
      <c r="II68" s="333"/>
      <c r="IJ68" s="333"/>
      <c r="IK68" s="333"/>
      <c r="IL68" s="333"/>
      <c r="IM68" s="333"/>
      <c r="IN68" s="333"/>
      <c r="IO68" s="333"/>
      <c r="IP68" s="333"/>
      <c r="IQ68" s="333"/>
      <c r="IR68" s="333"/>
      <c r="IS68" s="333"/>
      <c r="IT68" s="333"/>
      <c r="IU68" s="333"/>
      <c r="IV68" s="333"/>
      <c r="IW68" s="333"/>
      <c r="IX68" s="333"/>
      <c r="IY68" s="333"/>
      <c r="IZ68" s="333"/>
      <c r="JA68" s="333"/>
      <c r="JB68" s="333"/>
      <c r="JC68" s="333"/>
      <c r="JD68" s="333"/>
      <c r="JE68" s="333"/>
      <c r="JF68" s="333"/>
      <c r="JG68" s="333"/>
      <c r="JH68" s="333"/>
      <c r="JI68" s="333"/>
      <c r="JJ68" s="333"/>
      <c r="JK68" s="333"/>
      <c r="JL68" s="333"/>
      <c r="JM68" s="333"/>
      <c r="JN68" s="333"/>
      <c r="JO68" s="333"/>
      <c r="JP68" s="333"/>
      <c r="JQ68" s="333"/>
      <c r="JR68" s="333"/>
      <c r="JS68" s="333"/>
      <c r="JT68" s="333"/>
      <c r="JU68" s="333"/>
      <c r="JV68" s="333"/>
      <c r="JW68" s="333"/>
      <c r="JX68" s="333"/>
      <c r="JY68" s="333"/>
      <c r="JZ68" s="333"/>
      <c r="KA68" s="333"/>
      <c r="KB68" s="333"/>
      <c r="KC68" s="333"/>
      <c r="KD68" s="333"/>
      <c r="KE68" s="333"/>
      <c r="KF68" s="333"/>
      <c r="KG68" s="333"/>
      <c r="KH68" s="333"/>
      <c r="KI68" s="333"/>
      <c r="KJ68" s="333"/>
      <c r="KK68" s="333"/>
      <c r="KL68" s="333"/>
      <c r="KM68" s="333"/>
      <c r="KN68" s="333"/>
      <c r="KO68" s="333"/>
      <c r="KP68" s="333"/>
      <c r="KQ68" s="333"/>
      <c r="KR68" s="333"/>
      <c r="KS68" s="333"/>
      <c r="KT68" s="333"/>
      <c r="KU68" s="333"/>
      <c r="KV68" s="333"/>
      <c r="KW68" s="333"/>
      <c r="KX68" s="333"/>
      <c r="KY68" s="333"/>
      <c r="KZ68" s="333"/>
      <c r="LA68" s="333"/>
      <c r="LB68" s="333"/>
      <c r="LC68" s="333"/>
      <c r="LD68" s="333"/>
      <c r="LE68" s="333"/>
      <c r="LF68" s="333"/>
      <c r="LG68" s="333"/>
      <c r="LH68" s="333"/>
      <c r="LI68" s="333"/>
      <c r="LJ68" s="333"/>
      <c r="LK68" s="333"/>
      <c r="LL68" s="333"/>
      <c r="LM68" s="333"/>
    </row>
    <row r="69" spans="1:325">
      <c r="A69" s="310" t="str">
        <f>IF(OR(Data3!B11="Grand Total",Data3!B11=0),"",Data3!B11)</f>
        <v>E.1.6.</v>
      </c>
      <c r="B69" s="309" t="s">
        <v>511</v>
      </c>
      <c r="C69" s="347">
        <f ca="1">IFERROR(VLOOKUP(A69,Rezultatai!$B$44:$C$106,2,FALSE),"")</f>
        <v>0</v>
      </c>
      <c r="D69" s="358"/>
      <c r="E69" s="326"/>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c r="AQ69" s="333"/>
      <c r="AR69" s="333"/>
      <c r="AS69" s="333"/>
      <c r="AT69" s="333"/>
      <c r="AU69" s="333"/>
      <c r="AV69" s="333"/>
      <c r="AW69" s="333"/>
      <c r="AX69" s="333"/>
      <c r="AY69" s="333"/>
      <c r="AZ69" s="333"/>
      <c r="BA69" s="333"/>
      <c r="BB69" s="333"/>
      <c r="BC69" s="333"/>
      <c r="BD69" s="333"/>
      <c r="BE69" s="333"/>
      <c r="BF69" s="333"/>
      <c r="BG69" s="333"/>
      <c r="BH69" s="333"/>
      <c r="BI69" s="333"/>
      <c r="BJ69" s="333"/>
      <c r="BK69" s="333"/>
      <c r="BL69" s="333"/>
      <c r="BM69" s="333"/>
      <c r="BN69" s="333"/>
      <c r="BO69" s="333"/>
      <c r="BP69" s="333"/>
      <c r="BQ69" s="333"/>
      <c r="BR69" s="333"/>
      <c r="BS69" s="333"/>
      <c r="BT69" s="333"/>
      <c r="BU69" s="333"/>
      <c r="BV69" s="333"/>
      <c r="BW69" s="333"/>
      <c r="BX69" s="333"/>
      <c r="BY69" s="333"/>
      <c r="BZ69" s="333"/>
      <c r="CA69" s="333"/>
      <c r="CB69" s="333"/>
      <c r="CC69" s="333"/>
      <c r="CD69" s="333"/>
      <c r="CE69" s="333"/>
      <c r="CF69" s="333"/>
      <c r="CG69" s="333"/>
      <c r="CH69" s="333"/>
      <c r="CI69" s="333"/>
      <c r="CJ69" s="333"/>
      <c r="CK69" s="333"/>
      <c r="CL69" s="333"/>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333"/>
      <c r="DZ69" s="333"/>
      <c r="EA69" s="333"/>
      <c r="EB69" s="333"/>
      <c r="EC69" s="333"/>
      <c r="ED69" s="333"/>
      <c r="EE69" s="333"/>
      <c r="EF69" s="333"/>
      <c r="EG69" s="333"/>
      <c r="EH69" s="333"/>
      <c r="EI69" s="333"/>
      <c r="EJ69" s="333"/>
      <c r="EK69" s="333"/>
      <c r="EL69" s="333"/>
      <c r="EM69" s="333"/>
      <c r="EN69" s="333"/>
      <c r="EO69" s="333"/>
      <c r="EP69" s="333"/>
      <c r="EQ69" s="333"/>
      <c r="ER69" s="333"/>
      <c r="ES69" s="333"/>
      <c r="ET69" s="333"/>
      <c r="EU69" s="333"/>
      <c r="EV69" s="333"/>
      <c r="EW69" s="333"/>
      <c r="EX69" s="333"/>
      <c r="EY69" s="333"/>
      <c r="EZ69" s="333"/>
      <c r="FA69" s="333"/>
      <c r="FB69" s="333"/>
      <c r="FC69" s="333"/>
      <c r="FD69" s="333"/>
      <c r="FE69" s="333"/>
      <c r="FF69" s="333"/>
      <c r="FG69" s="333"/>
      <c r="FH69" s="333"/>
      <c r="FI69" s="333"/>
      <c r="FJ69" s="333"/>
      <c r="FK69" s="333"/>
      <c r="FL69" s="333"/>
      <c r="FM69" s="333"/>
      <c r="FN69" s="333"/>
      <c r="FO69" s="333"/>
      <c r="FP69" s="333"/>
      <c r="FQ69" s="333"/>
      <c r="FR69" s="333"/>
      <c r="FS69" s="333"/>
      <c r="FT69" s="333"/>
      <c r="FU69" s="333"/>
      <c r="FV69" s="333"/>
      <c r="FW69" s="333"/>
      <c r="FX69" s="333"/>
      <c r="FY69" s="333"/>
      <c r="FZ69" s="333"/>
      <c r="GA69" s="333"/>
      <c r="GB69" s="333"/>
      <c r="GC69" s="333"/>
      <c r="GD69" s="333"/>
      <c r="GE69" s="333"/>
      <c r="GF69" s="333"/>
      <c r="GG69" s="333"/>
      <c r="GH69" s="333"/>
      <c r="GI69" s="333"/>
      <c r="GJ69" s="333"/>
      <c r="GK69" s="333"/>
      <c r="GL69" s="333"/>
      <c r="GM69" s="333"/>
      <c r="GN69" s="333"/>
      <c r="GO69" s="333"/>
      <c r="GP69" s="333"/>
      <c r="GQ69" s="333"/>
      <c r="GR69" s="333"/>
      <c r="GS69" s="333"/>
      <c r="GT69" s="333"/>
      <c r="GU69" s="333"/>
      <c r="GV69" s="333"/>
      <c r="GW69" s="333"/>
      <c r="GX69" s="333"/>
      <c r="GY69" s="333"/>
      <c r="GZ69" s="333"/>
      <c r="HA69" s="333"/>
      <c r="HB69" s="333"/>
      <c r="HC69" s="333"/>
      <c r="HD69" s="333"/>
      <c r="HE69" s="333"/>
      <c r="HF69" s="333"/>
      <c r="HG69" s="333"/>
      <c r="HH69" s="333"/>
      <c r="HI69" s="333"/>
      <c r="HJ69" s="333"/>
      <c r="HK69" s="333"/>
      <c r="HL69" s="333"/>
      <c r="HM69" s="333"/>
      <c r="HN69" s="333"/>
      <c r="HO69" s="333"/>
      <c r="HP69" s="333"/>
      <c r="HQ69" s="333"/>
      <c r="HR69" s="333"/>
      <c r="HS69" s="333"/>
      <c r="HT69" s="333"/>
      <c r="HU69" s="333"/>
      <c r="HV69" s="333"/>
      <c r="HW69" s="333"/>
      <c r="HX69" s="333"/>
      <c r="HY69" s="333"/>
      <c r="HZ69" s="333"/>
      <c r="IA69" s="333"/>
      <c r="IB69" s="333"/>
      <c r="IC69" s="333"/>
      <c r="ID69" s="333"/>
      <c r="IE69" s="333"/>
      <c r="IF69" s="333"/>
      <c r="IG69" s="333"/>
      <c r="IH69" s="333"/>
      <c r="II69" s="333"/>
      <c r="IJ69" s="333"/>
      <c r="IK69" s="333"/>
      <c r="IL69" s="333"/>
      <c r="IM69" s="333"/>
      <c r="IN69" s="333"/>
      <c r="IO69" s="333"/>
      <c r="IP69" s="333"/>
      <c r="IQ69" s="333"/>
      <c r="IR69" s="333"/>
      <c r="IS69" s="333"/>
      <c r="IT69" s="333"/>
      <c r="IU69" s="333"/>
      <c r="IV69" s="333"/>
      <c r="IW69" s="333"/>
      <c r="IX69" s="333"/>
      <c r="IY69" s="333"/>
      <c r="IZ69" s="333"/>
      <c r="JA69" s="333"/>
      <c r="JB69" s="333"/>
      <c r="JC69" s="333"/>
      <c r="JD69" s="333"/>
      <c r="JE69" s="333"/>
      <c r="JF69" s="333"/>
      <c r="JG69" s="333"/>
      <c r="JH69" s="333"/>
      <c r="JI69" s="333"/>
      <c r="JJ69" s="333"/>
      <c r="JK69" s="333"/>
      <c r="JL69" s="333"/>
      <c r="JM69" s="333"/>
      <c r="JN69" s="333"/>
      <c r="JO69" s="333"/>
      <c r="JP69" s="333"/>
      <c r="JQ69" s="333"/>
      <c r="JR69" s="333"/>
      <c r="JS69" s="333"/>
      <c r="JT69" s="333"/>
      <c r="JU69" s="333"/>
      <c r="JV69" s="333"/>
      <c r="JW69" s="333"/>
      <c r="JX69" s="333"/>
      <c r="JY69" s="333"/>
      <c r="JZ69" s="333"/>
      <c r="KA69" s="333"/>
      <c r="KB69" s="333"/>
      <c r="KC69" s="333"/>
      <c r="KD69" s="333"/>
      <c r="KE69" s="333"/>
      <c r="KF69" s="333"/>
      <c r="KG69" s="333"/>
      <c r="KH69" s="333"/>
      <c r="KI69" s="333"/>
      <c r="KJ69" s="333"/>
      <c r="KK69" s="333"/>
      <c r="KL69" s="333"/>
      <c r="KM69" s="333"/>
      <c r="KN69" s="333"/>
      <c r="KO69" s="333"/>
      <c r="KP69" s="333"/>
      <c r="KQ69" s="333"/>
      <c r="KR69" s="333"/>
      <c r="KS69" s="333"/>
      <c r="KT69" s="333"/>
      <c r="KU69" s="333"/>
      <c r="KV69" s="333"/>
      <c r="KW69" s="333"/>
      <c r="KX69" s="333"/>
      <c r="KY69" s="333"/>
      <c r="KZ69" s="333"/>
      <c r="LA69" s="333"/>
      <c r="LB69" s="333"/>
      <c r="LC69" s="333"/>
      <c r="LD69" s="333"/>
      <c r="LE69" s="333"/>
      <c r="LF69" s="333"/>
      <c r="LG69" s="333"/>
      <c r="LH69" s="333"/>
      <c r="LI69" s="333"/>
      <c r="LJ69" s="333"/>
      <c r="LK69" s="333"/>
      <c r="LL69" s="333"/>
      <c r="LM69" s="333"/>
    </row>
    <row r="70" spans="1:325">
      <c r="A70" s="310" t="str">
        <f>IF(OR(Data3!B12="Grand Total",Data3!B12=0),"",Data3!B12)</f>
        <v>E.1.7.</v>
      </c>
      <c r="B70" s="309" t="s">
        <v>512</v>
      </c>
      <c r="C70" s="347">
        <f ca="1">IFERROR(VLOOKUP(A70,Rezultatai!$B$44:$C$106,2,FALSE),"")</f>
        <v>0</v>
      </c>
      <c r="D70" s="358"/>
      <c r="E70" s="326"/>
      <c r="F70" s="333"/>
      <c r="G70" s="333"/>
      <c r="H70" s="333"/>
      <c r="I70" s="333"/>
      <c r="J70" s="333"/>
      <c r="K70" s="333"/>
      <c r="L70" s="333"/>
      <c r="M70" s="333"/>
      <c r="N70" s="333"/>
      <c r="O70" s="333"/>
      <c r="P70" s="333"/>
      <c r="Q70" s="333"/>
      <c r="R70" s="333"/>
      <c r="S70" s="333"/>
      <c r="T70" s="333"/>
      <c r="U70" s="333"/>
      <c r="V70" s="333"/>
      <c r="W70" s="333"/>
      <c r="X70" s="333"/>
      <c r="Y70" s="333"/>
      <c r="Z70" s="333"/>
      <c r="AA70" s="333"/>
      <c r="AB70" s="333"/>
      <c r="AC70" s="333"/>
      <c r="AD70" s="333"/>
      <c r="AE70" s="333"/>
      <c r="AF70" s="333"/>
      <c r="AG70" s="333"/>
      <c r="AH70" s="333"/>
      <c r="AI70" s="333"/>
      <c r="AJ70" s="333"/>
      <c r="AK70" s="333"/>
      <c r="AL70" s="333"/>
      <c r="AM70" s="333"/>
      <c r="AN70" s="333"/>
      <c r="AO70" s="333"/>
      <c r="AP70" s="333"/>
      <c r="AQ70" s="333"/>
      <c r="AR70" s="333"/>
      <c r="AS70" s="333"/>
      <c r="AT70" s="333"/>
      <c r="AU70" s="333"/>
      <c r="AV70" s="333"/>
      <c r="AW70" s="333"/>
      <c r="AX70" s="333"/>
      <c r="AY70" s="333"/>
      <c r="AZ70" s="333"/>
      <c r="BA70" s="333"/>
      <c r="BB70" s="333"/>
      <c r="BC70" s="333"/>
      <c r="BD70" s="333"/>
      <c r="BE70" s="333"/>
      <c r="BF70" s="333"/>
      <c r="BG70" s="333"/>
      <c r="BH70" s="333"/>
      <c r="BI70" s="333"/>
      <c r="BJ70" s="333"/>
      <c r="BK70" s="333"/>
      <c r="BL70" s="333"/>
      <c r="BM70" s="333"/>
      <c r="BN70" s="333"/>
      <c r="BO70" s="333"/>
      <c r="BP70" s="333"/>
      <c r="BQ70" s="333"/>
      <c r="BR70" s="333"/>
      <c r="BS70" s="333"/>
      <c r="BT70" s="333"/>
      <c r="BU70" s="333"/>
      <c r="BV70" s="333"/>
      <c r="BW70" s="333"/>
      <c r="BX70" s="333"/>
      <c r="BY70" s="333"/>
      <c r="BZ70" s="333"/>
      <c r="CA70" s="333"/>
      <c r="CB70" s="333"/>
      <c r="CC70" s="333"/>
      <c r="CD70" s="333"/>
      <c r="CE70" s="333"/>
      <c r="CF70" s="333"/>
      <c r="CG70" s="333"/>
      <c r="CH70" s="333"/>
      <c r="CI70" s="333"/>
      <c r="CJ70" s="333"/>
      <c r="CK70" s="333"/>
      <c r="CL70" s="333"/>
      <c r="CM70" s="333"/>
      <c r="CN70" s="333"/>
      <c r="CO70" s="333"/>
      <c r="CP70" s="333"/>
      <c r="CQ70" s="333"/>
      <c r="CR70" s="333"/>
      <c r="CS70" s="333"/>
      <c r="CT70" s="333"/>
      <c r="CU70" s="333"/>
      <c r="CV70" s="333"/>
      <c r="CW70" s="333"/>
      <c r="CX70" s="333"/>
      <c r="CY70" s="333"/>
      <c r="CZ70" s="333"/>
      <c r="DA70" s="333"/>
      <c r="DB70" s="333"/>
      <c r="DC70" s="333"/>
      <c r="DD70" s="333"/>
      <c r="DE70" s="333"/>
      <c r="DF70" s="333"/>
      <c r="DG70" s="333"/>
      <c r="DH70" s="333"/>
      <c r="DI70" s="333"/>
      <c r="DJ70" s="333"/>
      <c r="DK70" s="333"/>
      <c r="DL70" s="333"/>
      <c r="DM70" s="333"/>
      <c r="DN70" s="333"/>
      <c r="DO70" s="333"/>
      <c r="DP70" s="333"/>
      <c r="DQ70" s="333"/>
      <c r="DR70" s="333"/>
      <c r="DS70" s="333"/>
      <c r="DT70" s="333"/>
      <c r="DU70" s="333"/>
      <c r="DV70" s="333"/>
      <c r="DW70" s="333"/>
      <c r="DX70" s="333"/>
      <c r="DY70" s="333"/>
      <c r="DZ70" s="333"/>
      <c r="EA70" s="333"/>
      <c r="EB70" s="333"/>
      <c r="EC70" s="333"/>
      <c r="ED70" s="333"/>
      <c r="EE70" s="333"/>
      <c r="EF70" s="333"/>
      <c r="EG70" s="333"/>
      <c r="EH70" s="333"/>
      <c r="EI70" s="333"/>
      <c r="EJ70" s="333"/>
      <c r="EK70" s="333"/>
      <c r="EL70" s="333"/>
      <c r="EM70" s="333"/>
      <c r="EN70" s="333"/>
      <c r="EO70" s="333"/>
      <c r="EP70" s="333"/>
      <c r="EQ70" s="333"/>
      <c r="ER70" s="333"/>
      <c r="ES70" s="333"/>
      <c r="ET70" s="333"/>
      <c r="EU70" s="333"/>
      <c r="EV70" s="333"/>
      <c r="EW70" s="333"/>
      <c r="EX70" s="333"/>
      <c r="EY70" s="333"/>
      <c r="EZ70" s="333"/>
      <c r="FA70" s="333"/>
      <c r="FB70" s="333"/>
      <c r="FC70" s="333"/>
      <c r="FD70" s="333"/>
      <c r="FE70" s="333"/>
      <c r="FF70" s="333"/>
      <c r="FG70" s="333"/>
      <c r="FH70" s="333"/>
      <c r="FI70" s="333"/>
      <c r="FJ70" s="333"/>
      <c r="FK70" s="333"/>
      <c r="FL70" s="333"/>
      <c r="FM70" s="333"/>
      <c r="FN70" s="333"/>
      <c r="FO70" s="333"/>
      <c r="FP70" s="333"/>
      <c r="FQ70" s="333"/>
      <c r="FR70" s="333"/>
      <c r="FS70" s="333"/>
      <c r="FT70" s="333"/>
      <c r="FU70" s="333"/>
      <c r="FV70" s="333"/>
      <c r="FW70" s="333"/>
      <c r="FX70" s="333"/>
      <c r="FY70" s="333"/>
      <c r="FZ70" s="333"/>
      <c r="GA70" s="333"/>
      <c r="GB70" s="333"/>
      <c r="GC70" s="333"/>
      <c r="GD70" s="333"/>
      <c r="GE70" s="333"/>
      <c r="GF70" s="333"/>
      <c r="GG70" s="333"/>
      <c r="GH70" s="333"/>
      <c r="GI70" s="333"/>
      <c r="GJ70" s="333"/>
      <c r="GK70" s="333"/>
      <c r="GL70" s="333"/>
      <c r="GM70" s="333"/>
      <c r="GN70" s="333"/>
      <c r="GO70" s="333"/>
      <c r="GP70" s="333"/>
      <c r="GQ70" s="333"/>
      <c r="GR70" s="333"/>
      <c r="GS70" s="333"/>
      <c r="GT70" s="333"/>
      <c r="GU70" s="333"/>
      <c r="GV70" s="333"/>
      <c r="GW70" s="333"/>
      <c r="GX70" s="333"/>
      <c r="GY70" s="333"/>
      <c r="GZ70" s="333"/>
      <c r="HA70" s="333"/>
      <c r="HB70" s="333"/>
      <c r="HC70" s="333"/>
      <c r="HD70" s="333"/>
      <c r="HE70" s="333"/>
      <c r="HF70" s="333"/>
      <c r="HG70" s="333"/>
      <c r="HH70" s="333"/>
      <c r="HI70" s="333"/>
      <c r="HJ70" s="333"/>
      <c r="HK70" s="333"/>
      <c r="HL70" s="333"/>
      <c r="HM70" s="333"/>
      <c r="HN70" s="333"/>
      <c r="HO70" s="333"/>
      <c r="HP70" s="333"/>
      <c r="HQ70" s="333"/>
      <c r="HR70" s="333"/>
      <c r="HS70" s="333"/>
      <c r="HT70" s="333"/>
      <c r="HU70" s="333"/>
      <c r="HV70" s="333"/>
      <c r="HW70" s="333"/>
      <c r="HX70" s="333"/>
      <c r="HY70" s="333"/>
      <c r="HZ70" s="333"/>
      <c r="IA70" s="333"/>
      <c r="IB70" s="333"/>
      <c r="IC70" s="333"/>
      <c r="ID70" s="333"/>
      <c r="IE70" s="333"/>
      <c r="IF70" s="333"/>
      <c r="IG70" s="333"/>
      <c r="IH70" s="333"/>
      <c r="II70" s="333"/>
      <c r="IJ70" s="333"/>
      <c r="IK70" s="333"/>
      <c r="IL70" s="333"/>
      <c r="IM70" s="333"/>
      <c r="IN70" s="333"/>
      <c r="IO70" s="333"/>
      <c r="IP70" s="333"/>
      <c r="IQ70" s="333"/>
      <c r="IR70" s="333"/>
      <c r="IS70" s="333"/>
      <c r="IT70" s="333"/>
      <c r="IU70" s="333"/>
      <c r="IV70" s="333"/>
      <c r="IW70" s="333"/>
      <c r="IX70" s="333"/>
      <c r="IY70" s="333"/>
      <c r="IZ70" s="333"/>
      <c r="JA70" s="333"/>
      <c r="JB70" s="333"/>
      <c r="JC70" s="333"/>
      <c r="JD70" s="333"/>
      <c r="JE70" s="333"/>
      <c r="JF70" s="333"/>
      <c r="JG70" s="333"/>
      <c r="JH70" s="333"/>
      <c r="JI70" s="333"/>
      <c r="JJ70" s="333"/>
      <c r="JK70" s="333"/>
      <c r="JL70" s="333"/>
      <c r="JM70" s="333"/>
      <c r="JN70" s="333"/>
      <c r="JO70" s="333"/>
      <c r="JP70" s="333"/>
      <c r="JQ70" s="333"/>
      <c r="JR70" s="333"/>
      <c r="JS70" s="333"/>
      <c r="JT70" s="333"/>
      <c r="JU70" s="333"/>
      <c r="JV70" s="333"/>
      <c r="JW70" s="333"/>
      <c r="JX70" s="333"/>
      <c r="JY70" s="333"/>
      <c r="JZ70" s="333"/>
      <c r="KA70" s="333"/>
      <c r="KB70" s="333"/>
      <c r="KC70" s="333"/>
      <c r="KD70" s="333"/>
      <c r="KE70" s="333"/>
      <c r="KF70" s="333"/>
      <c r="KG70" s="333"/>
      <c r="KH70" s="333"/>
      <c r="KI70" s="333"/>
      <c r="KJ70" s="333"/>
      <c r="KK70" s="333"/>
      <c r="KL70" s="333"/>
      <c r="KM70" s="333"/>
      <c r="KN70" s="333"/>
      <c r="KO70" s="333"/>
      <c r="KP70" s="333"/>
      <c r="KQ70" s="333"/>
      <c r="KR70" s="333"/>
      <c r="KS70" s="333"/>
      <c r="KT70" s="333"/>
      <c r="KU70" s="333"/>
      <c r="KV70" s="333"/>
      <c r="KW70" s="333"/>
      <c r="KX70" s="333"/>
      <c r="KY70" s="333"/>
      <c r="KZ70" s="333"/>
      <c r="LA70" s="333"/>
      <c r="LB70" s="333"/>
      <c r="LC70" s="333"/>
      <c r="LD70" s="333"/>
      <c r="LE70" s="333"/>
      <c r="LF70" s="333"/>
      <c r="LG70" s="333"/>
      <c r="LH70" s="333"/>
      <c r="LI70" s="333"/>
      <c r="LJ70" s="333"/>
      <c r="LK70" s="333"/>
      <c r="LL70" s="333"/>
      <c r="LM70" s="333"/>
    </row>
    <row r="71" spans="1:325">
      <c r="A71" s="310" t="str">
        <f>IF(OR(Data3!B13="Grand Total",Data3!B13=0),"",Data3!B13)</f>
        <v>E.2.1.</v>
      </c>
      <c r="B71" s="309" t="s">
        <v>513</v>
      </c>
      <c r="C71" s="347" t="str">
        <f ca="1">IFERROR(VLOOKUP(A71,Rezultatai!$B$44:$C$106,2,FALSE),"")</f>
        <v>Indijos–Ramiojo vandenynų regiono politikos studijų programos/-ų parengimas Lietuvos universitetuose</v>
      </c>
      <c r="D71" s="358"/>
      <c r="E71" s="326"/>
      <c r="F71" s="333"/>
      <c r="G71" s="333"/>
      <c r="H71" s="333"/>
      <c r="I71" s="333"/>
      <c r="J71" s="333"/>
      <c r="K71" s="333"/>
      <c r="L71" s="333"/>
      <c r="M71" s="333"/>
      <c r="N71" s="333"/>
      <c r="O71" s="333"/>
      <c r="P71" s="333"/>
      <c r="Q71" s="333"/>
      <c r="R71" s="333"/>
      <c r="S71" s="333"/>
      <c r="T71" s="333"/>
      <c r="U71" s="333"/>
      <c r="V71" s="333"/>
      <c r="W71" s="333"/>
      <c r="X71" s="333"/>
      <c r="Y71" s="333"/>
      <c r="Z71" s="333"/>
      <c r="AA71" s="333"/>
      <c r="AB71" s="333"/>
      <c r="AC71" s="333"/>
      <c r="AD71" s="333"/>
      <c r="AE71" s="333"/>
      <c r="AF71" s="333"/>
      <c r="AG71" s="333"/>
      <c r="AH71" s="333"/>
      <c r="AI71" s="333"/>
      <c r="AJ71" s="333"/>
      <c r="AK71" s="333"/>
      <c r="AL71" s="333"/>
      <c r="AM71" s="333"/>
      <c r="AN71" s="333"/>
      <c r="AO71" s="333"/>
      <c r="AP71" s="333"/>
      <c r="AQ71" s="333"/>
      <c r="AR71" s="333"/>
      <c r="AS71" s="333"/>
      <c r="AT71" s="333"/>
      <c r="AU71" s="333"/>
      <c r="AV71" s="333"/>
      <c r="AW71" s="333"/>
      <c r="AX71" s="333"/>
      <c r="AY71" s="333"/>
      <c r="AZ71" s="333"/>
      <c r="BA71" s="333"/>
      <c r="BB71" s="333"/>
      <c r="BC71" s="333"/>
      <c r="BD71" s="333"/>
      <c r="BE71" s="333"/>
      <c r="BF71" s="333"/>
      <c r="BG71" s="333"/>
      <c r="BH71" s="333"/>
      <c r="BI71" s="333"/>
      <c r="BJ71" s="333"/>
      <c r="BK71" s="333"/>
      <c r="BL71" s="333"/>
      <c r="BM71" s="333"/>
      <c r="BN71" s="333"/>
      <c r="BO71" s="333"/>
      <c r="BP71" s="333"/>
      <c r="BQ71" s="333"/>
      <c r="BR71" s="333"/>
      <c r="BS71" s="333"/>
      <c r="BT71" s="333"/>
      <c r="BU71" s="333"/>
      <c r="BV71" s="333"/>
      <c r="BW71" s="333"/>
      <c r="BX71" s="333"/>
      <c r="BY71" s="333"/>
      <c r="BZ71" s="333"/>
      <c r="CA71" s="333"/>
      <c r="CB71" s="333"/>
      <c r="CC71" s="333"/>
      <c r="CD71" s="333"/>
      <c r="CE71" s="333"/>
      <c r="CF71" s="333"/>
      <c r="CG71" s="333"/>
      <c r="CH71" s="333"/>
      <c r="CI71" s="333"/>
      <c r="CJ71" s="333"/>
      <c r="CK71" s="333"/>
      <c r="CL71" s="333"/>
      <c r="CM71" s="333"/>
      <c r="CN71" s="333"/>
      <c r="CO71" s="333"/>
      <c r="CP71" s="333"/>
      <c r="CQ71" s="333"/>
      <c r="CR71" s="333"/>
      <c r="CS71" s="333"/>
      <c r="CT71" s="333"/>
      <c r="CU71" s="333"/>
      <c r="CV71" s="333"/>
      <c r="CW71" s="333"/>
      <c r="CX71" s="333"/>
      <c r="CY71" s="333"/>
      <c r="CZ71" s="333"/>
      <c r="DA71" s="333"/>
      <c r="DB71" s="333"/>
      <c r="DC71" s="333"/>
      <c r="DD71" s="333"/>
      <c r="DE71" s="333"/>
      <c r="DF71" s="333"/>
      <c r="DG71" s="333"/>
      <c r="DH71" s="333"/>
      <c r="DI71" s="333"/>
      <c r="DJ71" s="333"/>
      <c r="DK71" s="333"/>
      <c r="DL71" s="333"/>
      <c r="DM71" s="333"/>
      <c r="DN71" s="333"/>
      <c r="DO71" s="333"/>
      <c r="DP71" s="333"/>
      <c r="DQ71" s="333"/>
      <c r="DR71" s="333"/>
      <c r="DS71" s="333"/>
      <c r="DT71" s="333"/>
      <c r="DU71" s="333"/>
      <c r="DV71" s="333"/>
      <c r="DW71" s="333"/>
      <c r="DX71" s="333"/>
      <c r="DY71" s="333"/>
      <c r="DZ71" s="333"/>
      <c r="EA71" s="333"/>
      <c r="EB71" s="333"/>
      <c r="EC71" s="333"/>
      <c r="ED71" s="333"/>
      <c r="EE71" s="333"/>
      <c r="EF71" s="333"/>
      <c r="EG71" s="333"/>
      <c r="EH71" s="333"/>
      <c r="EI71" s="333"/>
      <c r="EJ71" s="333"/>
      <c r="EK71" s="333"/>
      <c r="EL71" s="333"/>
      <c r="EM71" s="333"/>
      <c r="EN71" s="333"/>
      <c r="EO71" s="333"/>
      <c r="EP71" s="333"/>
      <c r="EQ71" s="333"/>
      <c r="ER71" s="333"/>
      <c r="ES71" s="333"/>
      <c r="ET71" s="333"/>
      <c r="EU71" s="333"/>
      <c r="EV71" s="333"/>
      <c r="EW71" s="333"/>
      <c r="EX71" s="333"/>
      <c r="EY71" s="333"/>
      <c r="EZ71" s="333"/>
      <c r="FA71" s="333"/>
      <c r="FB71" s="333"/>
      <c r="FC71" s="333"/>
      <c r="FD71" s="333"/>
      <c r="FE71" s="333"/>
      <c r="FF71" s="333"/>
      <c r="FG71" s="333"/>
      <c r="FH71" s="333"/>
      <c r="FI71" s="333"/>
      <c r="FJ71" s="333"/>
      <c r="FK71" s="333"/>
      <c r="FL71" s="333"/>
      <c r="FM71" s="333"/>
      <c r="FN71" s="333"/>
      <c r="FO71" s="333"/>
      <c r="FP71" s="333"/>
      <c r="FQ71" s="333"/>
      <c r="FR71" s="333"/>
      <c r="FS71" s="333"/>
      <c r="FT71" s="333"/>
      <c r="FU71" s="333"/>
      <c r="FV71" s="333"/>
      <c r="FW71" s="333"/>
      <c r="FX71" s="333"/>
      <c r="FY71" s="333"/>
      <c r="FZ71" s="333"/>
      <c r="GA71" s="333"/>
      <c r="GB71" s="333"/>
      <c r="GC71" s="333"/>
      <c r="GD71" s="333"/>
      <c r="GE71" s="333"/>
      <c r="GF71" s="333"/>
      <c r="GG71" s="333"/>
      <c r="GH71" s="333"/>
      <c r="GI71" s="333"/>
      <c r="GJ71" s="333"/>
      <c r="GK71" s="333"/>
      <c r="GL71" s="333"/>
      <c r="GM71" s="333"/>
      <c r="GN71" s="333"/>
      <c r="GO71" s="333"/>
      <c r="GP71" s="333"/>
      <c r="GQ71" s="333"/>
      <c r="GR71" s="333"/>
      <c r="GS71" s="333"/>
      <c r="GT71" s="333"/>
      <c r="GU71" s="333"/>
      <c r="GV71" s="333"/>
      <c r="GW71" s="333"/>
      <c r="GX71" s="333"/>
      <c r="GY71" s="333"/>
      <c r="GZ71" s="333"/>
      <c r="HA71" s="333"/>
      <c r="HB71" s="333"/>
      <c r="HC71" s="333"/>
      <c r="HD71" s="333"/>
      <c r="HE71" s="333"/>
      <c r="HF71" s="333"/>
      <c r="HG71" s="333"/>
      <c r="HH71" s="333"/>
      <c r="HI71" s="333"/>
      <c r="HJ71" s="333"/>
      <c r="HK71" s="333"/>
      <c r="HL71" s="333"/>
      <c r="HM71" s="333"/>
      <c r="HN71" s="333"/>
      <c r="HO71" s="333"/>
      <c r="HP71" s="333"/>
      <c r="HQ71" s="333"/>
      <c r="HR71" s="333"/>
      <c r="HS71" s="333"/>
      <c r="HT71" s="333"/>
      <c r="HU71" s="333"/>
      <c r="HV71" s="333"/>
      <c r="HW71" s="333"/>
      <c r="HX71" s="333"/>
      <c r="HY71" s="333"/>
      <c r="HZ71" s="333"/>
      <c r="IA71" s="333"/>
      <c r="IB71" s="333"/>
      <c r="IC71" s="333"/>
      <c r="ID71" s="333"/>
      <c r="IE71" s="333"/>
      <c r="IF71" s="333"/>
      <c r="IG71" s="333"/>
      <c r="IH71" s="333"/>
      <c r="II71" s="333"/>
      <c r="IJ71" s="333"/>
      <c r="IK71" s="333"/>
      <c r="IL71" s="333"/>
      <c r="IM71" s="333"/>
      <c r="IN71" s="333"/>
      <c r="IO71" s="333"/>
      <c r="IP71" s="333"/>
      <c r="IQ71" s="333"/>
      <c r="IR71" s="333"/>
      <c r="IS71" s="333"/>
      <c r="IT71" s="333"/>
      <c r="IU71" s="333"/>
      <c r="IV71" s="333"/>
      <c r="IW71" s="333"/>
      <c r="IX71" s="333"/>
      <c r="IY71" s="333"/>
      <c r="IZ71" s="333"/>
      <c r="JA71" s="333"/>
      <c r="JB71" s="333"/>
      <c r="JC71" s="333"/>
      <c r="JD71" s="333"/>
      <c r="JE71" s="333"/>
      <c r="JF71" s="333"/>
      <c r="JG71" s="333"/>
      <c r="JH71" s="333"/>
      <c r="JI71" s="333"/>
      <c r="JJ71" s="333"/>
      <c r="JK71" s="333"/>
      <c r="JL71" s="333"/>
      <c r="JM71" s="333"/>
      <c r="JN71" s="333"/>
      <c r="JO71" s="333"/>
      <c r="JP71" s="333"/>
      <c r="JQ71" s="333"/>
      <c r="JR71" s="333"/>
      <c r="JS71" s="333"/>
      <c r="JT71" s="333"/>
      <c r="JU71" s="333"/>
      <c r="JV71" s="333"/>
      <c r="JW71" s="333"/>
      <c r="JX71" s="333"/>
      <c r="JY71" s="333"/>
      <c r="JZ71" s="333"/>
      <c r="KA71" s="333"/>
      <c r="KB71" s="333"/>
      <c r="KC71" s="333"/>
      <c r="KD71" s="333"/>
      <c r="KE71" s="333"/>
      <c r="KF71" s="333"/>
      <c r="KG71" s="333"/>
      <c r="KH71" s="333"/>
      <c r="KI71" s="333"/>
      <c r="KJ71" s="333"/>
      <c r="KK71" s="333"/>
      <c r="KL71" s="333"/>
      <c r="KM71" s="333"/>
      <c r="KN71" s="333"/>
      <c r="KO71" s="333"/>
      <c r="KP71" s="333"/>
      <c r="KQ71" s="333"/>
      <c r="KR71" s="333"/>
      <c r="KS71" s="333"/>
      <c r="KT71" s="333"/>
      <c r="KU71" s="333"/>
      <c r="KV71" s="333"/>
      <c r="KW71" s="333"/>
      <c r="KX71" s="333"/>
      <c r="KY71" s="333"/>
      <c r="KZ71" s="333"/>
      <c r="LA71" s="333"/>
      <c r="LB71" s="333"/>
      <c r="LC71" s="333"/>
      <c r="LD71" s="333"/>
      <c r="LE71" s="333"/>
      <c r="LF71" s="333"/>
      <c r="LG71" s="333"/>
      <c r="LH71" s="333"/>
      <c r="LI71" s="333"/>
      <c r="LJ71" s="333"/>
      <c r="LK71" s="333"/>
      <c r="LL71" s="333"/>
      <c r="LM71" s="333"/>
    </row>
    <row r="72" spans="1:325">
      <c r="A72" s="310" t="str">
        <f>IF(OR(Data3!B14="Grand Total",Data3!B14=0),"",Data3!B14)</f>
        <v>E.3.1.</v>
      </c>
      <c r="B72" s="309" t="s">
        <v>514</v>
      </c>
      <c r="C72" s="347" t="str">
        <f ca="1">IFERROR(VLOOKUP(A72,Rezultatai!$B$44:$C$106,2,FALSE),"")</f>
        <v>Ekonominės diplomatijos funkcijų stiprinimas</v>
      </c>
      <c r="D72" s="358"/>
      <c r="E72" s="326"/>
      <c r="F72" s="333"/>
      <c r="G72" s="333"/>
      <c r="H72" s="333"/>
      <c r="I72" s="333"/>
      <c r="J72" s="333"/>
      <c r="K72" s="333" t="s">
        <v>813</v>
      </c>
      <c r="L72" s="333" t="s">
        <v>813</v>
      </c>
      <c r="M72" s="333" t="s">
        <v>813</v>
      </c>
      <c r="N72" s="333"/>
      <c r="O72" s="333" t="s">
        <v>813</v>
      </c>
      <c r="P72" s="333" t="s">
        <v>813</v>
      </c>
      <c r="Q72" s="333" t="s">
        <v>813</v>
      </c>
      <c r="R72" s="333"/>
      <c r="S72" s="333" t="s">
        <v>813</v>
      </c>
      <c r="T72" s="333" t="s">
        <v>813</v>
      </c>
      <c r="U72" s="333" t="s">
        <v>813</v>
      </c>
      <c r="V72" s="333"/>
      <c r="W72" s="333"/>
      <c r="X72" s="333"/>
      <c r="Y72" s="333"/>
      <c r="Z72" s="333"/>
      <c r="AA72" s="333"/>
      <c r="AB72" s="333"/>
      <c r="AC72" s="333"/>
      <c r="AD72" s="333"/>
      <c r="AE72" s="333"/>
      <c r="AF72" s="333"/>
      <c r="AG72" s="333"/>
      <c r="AH72" s="333"/>
      <c r="AI72" s="333"/>
      <c r="AJ72" s="333"/>
      <c r="AK72" s="333"/>
      <c r="AL72" s="333"/>
      <c r="AM72" s="333"/>
      <c r="AN72" s="333"/>
      <c r="AO72" s="333"/>
      <c r="AP72" s="333"/>
      <c r="AQ72" s="333"/>
      <c r="AR72" s="333"/>
      <c r="AS72" s="333"/>
      <c r="AT72" s="333"/>
      <c r="AU72" s="333"/>
      <c r="AV72" s="333"/>
      <c r="AW72" s="333"/>
      <c r="AX72" s="333"/>
      <c r="AY72" s="333"/>
      <c r="AZ72" s="333"/>
      <c r="BA72" s="333"/>
      <c r="BB72" s="333"/>
      <c r="BC72" s="333"/>
      <c r="BD72" s="333"/>
      <c r="BE72" s="333"/>
      <c r="BF72" s="333"/>
      <c r="BG72" s="333"/>
      <c r="BH72" s="333"/>
      <c r="BI72" s="333"/>
      <c r="BJ72" s="333"/>
      <c r="BK72" s="333"/>
      <c r="BL72" s="333"/>
      <c r="BM72" s="333"/>
      <c r="BN72" s="333"/>
      <c r="BO72" s="333"/>
      <c r="BP72" s="333"/>
      <c r="BQ72" s="333"/>
      <c r="BR72" s="333"/>
      <c r="BS72" s="333"/>
      <c r="BT72" s="333"/>
      <c r="BU72" s="333"/>
      <c r="BV72" s="333"/>
      <c r="BW72" s="333"/>
      <c r="BX72" s="333"/>
      <c r="BY72" s="333"/>
      <c r="BZ72" s="333"/>
      <c r="CA72" s="333"/>
      <c r="CB72" s="333"/>
      <c r="CC72" s="333"/>
      <c r="CD72" s="333"/>
      <c r="CE72" s="333"/>
      <c r="CF72" s="333"/>
      <c r="CG72" s="333"/>
      <c r="CH72" s="333"/>
      <c r="CI72" s="333"/>
      <c r="CJ72" s="333"/>
      <c r="CK72" s="333"/>
      <c r="CL72" s="333"/>
      <c r="CM72" s="333"/>
      <c r="CN72" s="333"/>
      <c r="CO72" s="333"/>
      <c r="CP72" s="333"/>
      <c r="CQ72" s="333"/>
      <c r="CR72" s="333"/>
      <c r="CS72" s="333"/>
      <c r="CT72" s="333"/>
      <c r="CU72" s="333"/>
      <c r="CV72" s="333"/>
      <c r="CW72" s="333"/>
      <c r="CX72" s="333"/>
      <c r="CY72" s="333"/>
      <c r="CZ72" s="333"/>
      <c r="DA72" s="333"/>
      <c r="DB72" s="333"/>
      <c r="DC72" s="333"/>
      <c r="DD72" s="333"/>
      <c r="DE72" s="333"/>
      <c r="DF72" s="333"/>
      <c r="DG72" s="333"/>
      <c r="DH72" s="333"/>
      <c r="DI72" s="333"/>
      <c r="DJ72" s="333"/>
      <c r="DK72" s="333"/>
      <c r="DL72" s="333"/>
      <c r="DM72" s="333"/>
      <c r="DN72" s="333"/>
      <c r="DO72" s="333"/>
      <c r="DP72" s="333"/>
      <c r="DQ72" s="333"/>
      <c r="DR72" s="333"/>
      <c r="DS72" s="333"/>
      <c r="DT72" s="333"/>
      <c r="DU72" s="333"/>
      <c r="DV72" s="333"/>
      <c r="DW72" s="333"/>
      <c r="DX72" s="333"/>
      <c r="DY72" s="333"/>
      <c r="DZ72" s="333"/>
      <c r="EA72" s="333"/>
      <c r="EB72" s="333"/>
      <c r="EC72" s="333"/>
      <c r="ED72" s="333"/>
      <c r="EE72" s="333"/>
      <c r="EF72" s="333"/>
      <c r="EG72" s="333"/>
      <c r="EH72" s="333"/>
      <c r="EI72" s="333"/>
      <c r="EJ72" s="333"/>
      <c r="EK72" s="333"/>
      <c r="EL72" s="333"/>
      <c r="EM72" s="333"/>
      <c r="EN72" s="333"/>
      <c r="EO72" s="333"/>
      <c r="EP72" s="333"/>
      <c r="EQ72" s="333"/>
      <c r="ER72" s="333"/>
      <c r="ES72" s="333"/>
      <c r="ET72" s="333"/>
      <c r="EU72" s="333"/>
      <c r="EV72" s="333"/>
      <c r="EW72" s="333"/>
      <c r="EX72" s="333"/>
      <c r="EY72" s="333"/>
      <c r="EZ72" s="333"/>
      <c r="FA72" s="333"/>
      <c r="FB72" s="333"/>
      <c r="FC72" s="333"/>
      <c r="FD72" s="333"/>
      <c r="FE72" s="333"/>
      <c r="FF72" s="333"/>
      <c r="FG72" s="333"/>
      <c r="FH72" s="333"/>
      <c r="FI72" s="333"/>
      <c r="FJ72" s="333"/>
      <c r="FK72" s="333"/>
      <c r="FL72" s="333"/>
      <c r="FM72" s="333"/>
      <c r="FN72" s="333"/>
      <c r="FO72" s="333"/>
      <c r="FP72" s="333"/>
      <c r="FQ72" s="333"/>
      <c r="FR72" s="333"/>
      <c r="FS72" s="333"/>
      <c r="FT72" s="333"/>
      <c r="FU72" s="333"/>
      <c r="FV72" s="333"/>
      <c r="FW72" s="333"/>
      <c r="FX72" s="333"/>
      <c r="FY72" s="333"/>
      <c r="FZ72" s="333"/>
      <c r="GA72" s="333"/>
      <c r="GB72" s="333"/>
      <c r="GC72" s="333"/>
      <c r="GD72" s="333"/>
      <c r="GE72" s="333"/>
      <c r="GF72" s="333"/>
      <c r="GG72" s="333"/>
      <c r="GH72" s="333"/>
      <c r="GI72" s="333"/>
      <c r="GJ72" s="333"/>
      <c r="GK72" s="333"/>
      <c r="GL72" s="333"/>
      <c r="GM72" s="333"/>
      <c r="GN72" s="333"/>
      <c r="GO72" s="333"/>
      <c r="GP72" s="333"/>
      <c r="GQ72" s="333"/>
      <c r="GR72" s="333"/>
      <c r="GS72" s="333"/>
      <c r="GT72" s="333"/>
      <c r="GU72" s="333"/>
      <c r="GV72" s="333"/>
      <c r="GW72" s="333"/>
      <c r="GX72" s="333"/>
      <c r="GY72" s="333"/>
      <c r="GZ72" s="333"/>
      <c r="HA72" s="333"/>
      <c r="HB72" s="333"/>
      <c r="HC72" s="333"/>
      <c r="HD72" s="333"/>
      <c r="HE72" s="333"/>
      <c r="HF72" s="333"/>
      <c r="HG72" s="333"/>
      <c r="HH72" s="333"/>
      <c r="HI72" s="333"/>
      <c r="HJ72" s="333"/>
      <c r="HK72" s="333"/>
      <c r="HL72" s="333"/>
      <c r="HM72" s="333"/>
      <c r="HN72" s="333"/>
      <c r="HO72" s="333"/>
      <c r="HP72" s="333"/>
      <c r="HQ72" s="333"/>
      <c r="HR72" s="333"/>
      <c r="HS72" s="333"/>
      <c r="HT72" s="333"/>
      <c r="HU72" s="333"/>
      <c r="HV72" s="333"/>
      <c r="HW72" s="333"/>
      <c r="HX72" s="333"/>
      <c r="HY72" s="333"/>
      <c r="HZ72" s="333"/>
      <c r="IA72" s="333"/>
      <c r="IB72" s="333"/>
      <c r="IC72" s="333"/>
      <c r="ID72" s="333"/>
      <c r="IE72" s="333"/>
      <c r="IF72" s="333"/>
      <c r="IG72" s="333"/>
      <c r="IH72" s="333"/>
      <c r="II72" s="333"/>
      <c r="IJ72" s="333"/>
      <c r="IK72" s="333"/>
      <c r="IL72" s="333"/>
      <c r="IM72" s="333"/>
      <c r="IN72" s="333"/>
      <c r="IO72" s="333"/>
      <c r="IP72" s="333"/>
      <c r="IQ72" s="333"/>
      <c r="IR72" s="333"/>
      <c r="IS72" s="333"/>
      <c r="IT72" s="333"/>
      <c r="IU72" s="333"/>
      <c r="IV72" s="333"/>
      <c r="IW72" s="333"/>
      <c r="IX72" s="333"/>
      <c r="IY72" s="333"/>
      <c r="IZ72" s="333"/>
      <c r="JA72" s="333"/>
      <c r="JB72" s="333"/>
      <c r="JC72" s="333"/>
      <c r="JD72" s="333"/>
      <c r="JE72" s="333"/>
      <c r="JF72" s="333"/>
      <c r="JG72" s="333"/>
      <c r="JH72" s="333"/>
      <c r="JI72" s="333"/>
      <c r="JJ72" s="333"/>
      <c r="JK72" s="333"/>
      <c r="JL72" s="333"/>
      <c r="JM72" s="333"/>
      <c r="JN72" s="333"/>
      <c r="JO72" s="333"/>
      <c r="JP72" s="333"/>
      <c r="JQ72" s="333"/>
      <c r="JR72" s="333"/>
      <c r="JS72" s="333"/>
      <c r="JT72" s="333"/>
      <c r="JU72" s="333"/>
      <c r="JV72" s="333"/>
      <c r="JW72" s="333"/>
      <c r="JX72" s="333"/>
      <c r="JY72" s="333"/>
      <c r="JZ72" s="333"/>
      <c r="KA72" s="333"/>
      <c r="KB72" s="333"/>
      <c r="KC72" s="333"/>
      <c r="KD72" s="333"/>
      <c r="KE72" s="333"/>
      <c r="KF72" s="333"/>
      <c r="KG72" s="333"/>
      <c r="KH72" s="333"/>
      <c r="KI72" s="333"/>
      <c r="KJ72" s="333"/>
      <c r="KK72" s="333"/>
      <c r="KL72" s="333"/>
      <c r="KM72" s="333"/>
      <c r="KN72" s="333"/>
      <c r="KO72" s="333"/>
      <c r="KP72" s="333"/>
      <c r="KQ72" s="333"/>
      <c r="KR72" s="333"/>
      <c r="KS72" s="333"/>
      <c r="KT72" s="333"/>
      <c r="KU72" s="333"/>
      <c r="KV72" s="333"/>
      <c r="KW72" s="333"/>
      <c r="KX72" s="333"/>
      <c r="KY72" s="333"/>
      <c r="KZ72" s="333"/>
      <c r="LA72" s="333"/>
      <c r="LB72" s="333"/>
      <c r="LC72" s="333"/>
      <c r="LD72" s="333"/>
      <c r="LE72" s="333"/>
      <c r="LF72" s="333"/>
      <c r="LG72" s="333"/>
      <c r="LH72" s="333"/>
      <c r="LI72" s="333"/>
      <c r="LJ72" s="333"/>
      <c r="LK72" s="333"/>
      <c r="LL72" s="333"/>
      <c r="LM72" s="333"/>
    </row>
    <row r="73" spans="1:325">
      <c r="A73" s="310" t="str">
        <f>IF(OR(Data3!B15="Grand Total",Data3!B15=0),"",Data3!B15)</f>
        <v>E.3.2.</v>
      </c>
      <c r="B73" s="309" t="s">
        <v>515</v>
      </c>
      <c r="C73" s="347" t="str">
        <f ca="1">IFERROR(VLOOKUP(A73,Rezultatai!$B$44:$C$106,2,FALSE),"")</f>
        <v>Darbo su diaspora funkcijų stiprinimas</v>
      </c>
      <c r="D73" s="358"/>
      <c r="E73" s="326"/>
      <c r="F73" s="333"/>
      <c r="G73" s="333"/>
      <c r="H73" s="333"/>
      <c r="I73" s="333"/>
      <c r="J73" s="333"/>
      <c r="K73" s="333" t="s">
        <v>813</v>
      </c>
      <c r="L73" s="333" t="s">
        <v>813</v>
      </c>
      <c r="M73" s="333" t="s">
        <v>813</v>
      </c>
      <c r="N73" s="333"/>
      <c r="O73" s="333" t="s">
        <v>813</v>
      </c>
      <c r="P73" s="333" t="s">
        <v>813</v>
      </c>
      <c r="Q73" s="333" t="s">
        <v>813</v>
      </c>
      <c r="R73" s="333"/>
      <c r="S73" s="333" t="s">
        <v>813</v>
      </c>
      <c r="T73" s="333" t="s">
        <v>813</v>
      </c>
      <c r="U73" s="333" t="s">
        <v>813</v>
      </c>
      <c r="V73" s="333"/>
      <c r="W73" s="333"/>
      <c r="X73" s="333"/>
      <c r="Y73" s="333"/>
      <c r="Z73" s="333"/>
      <c r="AA73" s="333"/>
      <c r="AB73" s="333"/>
      <c r="AC73" s="333"/>
      <c r="AD73" s="333"/>
      <c r="AE73" s="333"/>
      <c r="AF73" s="333"/>
      <c r="AG73" s="333"/>
      <c r="AH73" s="333"/>
      <c r="AI73" s="333"/>
      <c r="AJ73" s="333"/>
      <c r="AK73" s="333"/>
      <c r="AL73" s="333"/>
      <c r="AM73" s="333"/>
      <c r="AN73" s="333"/>
      <c r="AO73" s="333"/>
      <c r="AP73" s="333"/>
      <c r="AQ73" s="333"/>
      <c r="AR73" s="333"/>
      <c r="AS73" s="333"/>
      <c r="AT73" s="333"/>
      <c r="AU73" s="333"/>
      <c r="AV73" s="333"/>
      <c r="AW73" s="333"/>
      <c r="AX73" s="333"/>
      <c r="AY73" s="333"/>
      <c r="AZ73" s="333"/>
      <c r="BA73" s="333"/>
      <c r="BB73" s="333"/>
      <c r="BC73" s="333"/>
      <c r="BD73" s="333"/>
      <c r="BE73" s="333"/>
      <c r="BF73" s="333"/>
      <c r="BG73" s="333"/>
      <c r="BH73" s="333"/>
      <c r="BI73" s="333"/>
      <c r="BJ73" s="333"/>
      <c r="BK73" s="333"/>
      <c r="BL73" s="333"/>
      <c r="BM73" s="333"/>
      <c r="BN73" s="333"/>
      <c r="BO73" s="333"/>
      <c r="BP73" s="333"/>
      <c r="BQ73" s="333"/>
      <c r="BR73" s="333"/>
      <c r="BS73" s="333"/>
      <c r="BT73" s="333"/>
      <c r="BU73" s="333"/>
      <c r="BV73" s="333"/>
      <c r="BW73" s="333"/>
      <c r="BX73" s="333"/>
      <c r="BY73" s="333"/>
      <c r="BZ73" s="333"/>
      <c r="CA73" s="333"/>
      <c r="CB73" s="333"/>
      <c r="CC73" s="333"/>
      <c r="CD73" s="333"/>
      <c r="CE73" s="333"/>
      <c r="CF73" s="333"/>
      <c r="CG73" s="333"/>
      <c r="CH73" s="333"/>
      <c r="CI73" s="333"/>
      <c r="CJ73" s="333"/>
      <c r="CK73" s="333"/>
      <c r="CL73" s="333"/>
      <c r="CM73" s="333"/>
      <c r="CN73" s="333"/>
      <c r="CO73" s="333"/>
      <c r="CP73" s="333"/>
      <c r="CQ73" s="333"/>
      <c r="CR73" s="333"/>
      <c r="CS73" s="333"/>
      <c r="CT73" s="333"/>
      <c r="CU73" s="333"/>
      <c r="CV73" s="333"/>
      <c r="CW73" s="333"/>
      <c r="CX73" s="333"/>
      <c r="CY73" s="333"/>
      <c r="CZ73" s="333"/>
      <c r="DA73" s="333"/>
      <c r="DB73" s="333"/>
      <c r="DC73" s="333"/>
      <c r="DD73" s="333"/>
      <c r="DE73" s="333"/>
      <c r="DF73" s="333"/>
      <c r="DG73" s="333"/>
      <c r="DH73" s="333"/>
      <c r="DI73" s="333"/>
      <c r="DJ73" s="333"/>
      <c r="DK73" s="333"/>
      <c r="DL73" s="333"/>
      <c r="DM73" s="333"/>
      <c r="DN73" s="333"/>
      <c r="DO73" s="333"/>
      <c r="DP73" s="333"/>
      <c r="DQ73" s="333"/>
      <c r="DR73" s="333"/>
      <c r="DS73" s="333"/>
      <c r="DT73" s="333"/>
      <c r="DU73" s="333"/>
      <c r="DV73" s="333"/>
      <c r="DW73" s="333"/>
      <c r="DX73" s="333"/>
      <c r="DY73" s="333"/>
      <c r="DZ73" s="333"/>
      <c r="EA73" s="333"/>
      <c r="EB73" s="333"/>
      <c r="EC73" s="333"/>
      <c r="ED73" s="333"/>
      <c r="EE73" s="333"/>
      <c r="EF73" s="333"/>
      <c r="EG73" s="333"/>
      <c r="EH73" s="333"/>
      <c r="EI73" s="333"/>
      <c r="EJ73" s="333"/>
      <c r="EK73" s="333"/>
      <c r="EL73" s="333"/>
      <c r="EM73" s="333"/>
      <c r="EN73" s="333"/>
      <c r="EO73" s="333"/>
      <c r="EP73" s="333"/>
      <c r="EQ73" s="333"/>
      <c r="ER73" s="333"/>
      <c r="ES73" s="333"/>
      <c r="ET73" s="333"/>
      <c r="EU73" s="333"/>
      <c r="EV73" s="333"/>
      <c r="EW73" s="333"/>
      <c r="EX73" s="333"/>
      <c r="EY73" s="333"/>
      <c r="EZ73" s="333"/>
      <c r="FA73" s="333"/>
      <c r="FB73" s="333"/>
      <c r="FC73" s="333"/>
      <c r="FD73" s="333"/>
      <c r="FE73" s="333"/>
      <c r="FF73" s="333"/>
      <c r="FG73" s="333"/>
      <c r="FH73" s="333"/>
      <c r="FI73" s="333"/>
      <c r="FJ73" s="333"/>
      <c r="FK73" s="333"/>
      <c r="FL73" s="333"/>
      <c r="FM73" s="333"/>
      <c r="FN73" s="333"/>
      <c r="FO73" s="333"/>
      <c r="FP73" s="333"/>
      <c r="FQ73" s="333"/>
      <c r="FR73" s="333"/>
      <c r="FS73" s="333"/>
      <c r="FT73" s="333"/>
      <c r="FU73" s="333"/>
      <c r="FV73" s="333"/>
      <c r="FW73" s="333"/>
      <c r="FX73" s="333"/>
      <c r="FY73" s="333"/>
      <c r="FZ73" s="333"/>
      <c r="GA73" s="333"/>
      <c r="GB73" s="333"/>
      <c r="GC73" s="333"/>
      <c r="GD73" s="333"/>
      <c r="GE73" s="333"/>
      <c r="GF73" s="333"/>
      <c r="GG73" s="333"/>
      <c r="GH73" s="333"/>
      <c r="GI73" s="333"/>
      <c r="GJ73" s="333"/>
      <c r="GK73" s="333"/>
      <c r="GL73" s="333"/>
      <c r="GM73" s="333"/>
      <c r="GN73" s="333"/>
      <c r="GO73" s="333"/>
      <c r="GP73" s="333"/>
      <c r="GQ73" s="333"/>
      <c r="GR73" s="333"/>
      <c r="GS73" s="333"/>
      <c r="GT73" s="333"/>
      <c r="GU73" s="333"/>
      <c r="GV73" s="333"/>
      <c r="GW73" s="333"/>
      <c r="GX73" s="333"/>
      <c r="GY73" s="333"/>
      <c r="GZ73" s="333"/>
      <c r="HA73" s="333"/>
      <c r="HB73" s="333"/>
      <c r="HC73" s="333"/>
      <c r="HD73" s="333"/>
      <c r="HE73" s="333"/>
      <c r="HF73" s="333"/>
      <c r="HG73" s="333"/>
      <c r="HH73" s="333"/>
      <c r="HI73" s="333"/>
      <c r="HJ73" s="333"/>
      <c r="HK73" s="333"/>
      <c r="HL73" s="333"/>
      <c r="HM73" s="333"/>
      <c r="HN73" s="333"/>
      <c r="HO73" s="333"/>
      <c r="HP73" s="333"/>
      <c r="HQ73" s="333"/>
      <c r="HR73" s="333"/>
      <c r="HS73" s="333"/>
      <c r="HT73" s="333"/>
      <c r="HU73" s="333"/>
      <c r="HV73" s="333"/>
      <c r="HW73" s="333"/>
      <c r="HX73" s="333"/>
      <c r="HY73" s="333"/>
      <c r="HZ73" s="333"/>
      <c r="IA73" s="333"/>
      <c r="IB73" s="333"/>
      <c r="IC73" s="333"/>
      <c r="ID73" s="333"/>
      <c r="IE73" s="333"/>
      <c r="IF73" s="333"/>
      <c r="IG73" s="333"/>
      <c r="IH73" s="333"/>
      <c r="II73" s="333"/>
      <c r="IJ73" s="333"/>
      <c r="IK73" s="333"/>
      <c r="IL73" s="333"/>
      <c r="IM73" s="333"/>
      <c r="IN73" s="333"/>
      <c r="IO73" s="333"/>
      <c r="IP73" s="333"/>
      <c r="IQ73" s="333"/>
      <c r="IR73" s="333"/>
      <c r="IS73" s="333"/>
      <c r="IT73" s="333"/>
      <c r="IU73" s="333"/>
      <c r="IV73" s="333"/>
      <c r="IW73" s="333"/>
      <c r="IX73" s="333"/>
      <c r="IY73" s="333"/>
      <c r="IZ73" s="333"/>
      <c r="JA73" s="333"/>
      <c r="JB73" s="333"/>
      <c r="JC73" s="333"/>
      <c r="JD73" s="333"/>
      <c r="JE73" s="333"/>
      <c r="JF73" s="333"/>
      <c r="JG73" s="333"/>
      <c r="JH73" s="333"/>
      <c r="JI73" s="333"/>
      <c r="JJ73" s="333"/>
      <c r="JK73" s="333"/>
      <c r="JL73" s="333"/>
      <c r="JM73" s="333"/>
      <c r="JN73" s="333"/>
      <c r="JO73" s="333"/>
      <c r="JP73" s="333"/>
      <c r="JQ73" s="333"/>
      <c r="JR73" s="333"/>
      <c r="JS73" s="333"/>
      <c r="JT73" s="333"/>
      <c r="JU73" s="333"/>
      <c r="JV73" s="333"/>
      <c r="JW73" s="333"/>
      <c r="JX73" s="333"/>
      <c r="JY73" s="333"/>
      <c r="JZ73" s="333"/>
      <c r="KA73" s="333"/>
      <c r="KB73" s="333"/>
      <c r="KC73" s="333"/>
      <c r="KD73" s="333"/>
      <c r="KE73" s="333"/>
      <c r="KF73" s="333"/>
      <c r="KG73" s="333"/>
      <c r="KH73" s="333"/>
      <c r="KI73" s="333"/>
      <c r="KJ73" s="333"/>
      <c r="KK73" s="333"/>
      <c r="KL73" s="333"/>
      <c r="KM73" s="333"/>
      <c r="KN73" s="333"/>
      <c r="KO73" s="333"/>
      <c r="KP73" s="333"/>
      <c r="KQ73" s="333"/>
      <c r="KR73" s="333"/>
      <c r="KS73" s="333"/>
      <c r="KT73" s="333"/>
      <c r="KU73" s="333"/>
      <c r="KV73" s="333"/>
      <c r="KW73" s="333"/>
      <c r="KX73" s="333"/>
      <c r="KY73" s="333"/>
      <c r="KZ73" s="333"/>
      <c r="LA73" s="333"/>
      <c r="LB73" s="333"/>
      <c r="LC73" s="333"/>
      <c r="LD73" s="333"/>
      <c r="LE73" s="333"/>
      <c r="LF73" s="333"/>
      <c r="LG73" s="333"/>
      <c r="LH73" s="333"/>
      <c r="LI73" s="333"/>
      <c r="LJ73" s="333"/>
      <c r="LK73" s="333"/>
      <c r="LL73" s="333"/>
      <c r="LM73" s="333"/>
    </row>
    <row r="74" spans="1:325">
      <c r="A74" s="310" t="str">
        <f>IF(OR(Data3!B16="Grand Total",Data3!B16=0),"",Data3!B16)</f>
        <v>E.3.3.</v>
      </c>
      <c r="B74" s="309" t="s">
        <v>516</v>
      </c>
      <c r="C74" s="347" t="str">
        <f ca="1">IFERROR(VLOOKUP(A74,Rezultatai!$B$44:$C$106,2,FALSE),"")</f>
        <v xml:space="preserve">Kursai diplomatams, dirbantiems su fondas Indijos–Ramiojo vandenynų regionu </v>
      </c>
      <c r="D74" s="358"/>
      <c r="E74" s="326"/>
      <c r="F74" s="333"/>
      <c r="G74" s="333"/>
      <c r="H74" s="333"/>
      <c r="I74" s="333"/>
      <c r="J74" s="333"/>
      <c r="K74" s="333"/>
      <c r="L74" s="333"/>
      <c r="M74" s="333"/>
      <c r="N74" s="333" t="s">
        <v>813</v>
      </c>
      <c r="O74" s="333" t="s">
        <v>813</v>
      </c>
      <c r="P74" s="333"/>
      <c r="Q74" s="333"/>
      <c r="R74" s="333"/>
      <c r="S74" s="333"/>
      <c r="T74" s="333"/>
      <c r="U74" s="333"/>
      <c r="V74" s="333"/>
      <c r="W74" s="333"/>
      <c r="X74" s="333"/>
      <c r="Y74" s="333"/>
      <c r="Z74" s="333"/>
      <c r="AA74" s="333"/>
      <c r="AB74" s="333"/>
      <c r="AC74" s="333"/>
      <c r="AD74" s="333"/>
      <c r="AE74" s="333"/>
      <c r="AF74" s="333"/>
      <c r="AG74" s="333"/>
      <c r="AH74" s="333"/>
      <c r="AI74" s="333"/>
      <c r="AJ74" s="333"/>
      <c r="AK74" s="333"/>
      <c r="AL74" s="333"/>
      <c r="AM74" s="333"/>
      <c r="AN74" s="333"/>
      <c r="AO74" s="333"/>
      <c r="AP74" s="333"/>
      <c r="AQ74" s="333"/>
      <c r="AR74" s="333"/>
      <c r="AS74" s="333"/>
      <c r="AT74" s="333"/>
      <c r="AU74" s="333"/>
      <c r="AV74" s="333"/>
      <c r="AW74" s="333"/>
      <c r="AX74" s="333"/>
      <c r="AY74" s="333"/>
      <c r="AZ74" s="333"/>
      <c r="BA74" s="333"/>
      <c r="BB74" s="333"/>
      <c r="BC74" s="333"/>
      <c r="BD74" s="333"/>
      <c r="BE74" s="333"/>
      <c r="BF74" s="333"/>
      <c r="BG74" s="333"/>
      <c r="BH74" s="333"/>
      <c r="BI74" s="333"/>
      <c r="BJ74" s="333"/>
      <c r="BK74" s="333"/>
      <c r="BL74" s="333"/>
      <c r="BM74" s="333"/>
      <c r="BN74" s="333"/>
      <c r="BO74" s="333"/>
      <c r="BP74" s="333"/>
      <c r="BQ74" s="333"/>
      <c r="BR74" s="333"/>
      <c r="BS74" s="333"/>
      <c r="BT74" s="333"/>
      <c r="BU74" s="333"/>
      <c r="BV74" s="333"/>
      <c r="BW74" s="333"/>
      <c r="BX74" s="333"/>
      <c r="BY74" s="333"/>
      <c r="BZ74" s="333"/>
      <c r="CA74" s="333"/>
      <c r="CB74" s="333"/>
      <c r="CC74" s="333"/>
      <c r="CD74" s="333"/>
      <c r="CE74" s="333"/>
      <c r="CF74" s="333"/>
      <c r="CG74" s="333"/>
      <c r="CH74" s="333"/>
      <c r="CI74" s="333"/>
      <c r="CJ74" s="333"/>
      <c r="CK74" s="333"/>
      <c r="CL74" s="333"/>
      <c r="CM74" s="333"/>
      <c r="CN74" s="333"/>
      <c r="CO74" s="333"/>
      <c r="CP74" s="333"/>
      <c r="CQ74" s="333"/>
      <c r="CR74" s="333"/>
      <c r="CS74" s="333"/>
      <c r="CT74" s="333"/>
      <c r="CU74" s="333"/>
      <c r="CV74" s="333"/>
      <c r="CW74" s="333"/>
      <c r="CX74" s="333"/>
      <c r="CY74" s="333"/>
      <c r="CZ74" s="333"/>
      <c r="DA74" s="333"/>
      <c r="DB74" s="333"/>
      <c r="DC74" s="333"/>
      <c r="DD74" s="333"/>
      <c r="DE74" s="333"/>
      <c r="DF74" s="333"/>
      <c r="DG74" s="333"/>
      <c r="DH74" s="333"/>
      <c r="DI74" s="333"/>
      <c r="DJ74" s="333"/>
      <c r="DK74" s="333"/>
      <c r="DL74" s="333"/>
      <c r="DM74" s="333"/>
      <c r="DN74" s="333"/>
      <c r="DO74" s="333"/>
      <c r="DP74" s="333"/>
      <c r="DQ74" s="333"/>
      <c r="DR74" s="333"/>
      <c r="DS74" s="333"/>
      <c r="DT74" s="333"/>
      <c r="DU74" s="333"/>
      <c r="DV74" s="333"/>
      <c r="DW74" s="333"/>
      <c r="DX74" s="333"/>
      <c r="DY74" s="333"/>
      <c r="DZ74" s="333"/>
      <c r="EA74" s="333"/>
      <c r="EB74" s="333"/>
      <c r="EC74" s="333"/>
      <c r="ED74" s="333"/>
      <c r="EE74" s="333"/>
      <c r="EF74" s="333"/>
      <c r="EG74" s="333"/>
      <c r="EH74" s="333"/>
      <c r="EI74" s="333"/>
      <c r="EJ74" s="333"/>
      <c r="EK74" s="333"/>
      <c r="EL74" s="333"/>
      <c r="EM74" s="333"/>
      <c r="EN74" s="333"/>
      <c r="EO74" s="333"/>
      <c r="EP74" s="333"/>
      <c r="EQ74" s="333"/>
      <c r="ER74" s="333"/>
      <c r="ES74" s="333"/>
      <c r="ET74" s="333"/>
      <c r="EU74" s="333"/>
      <c r="EV74" s="333"/>
      <c r="EW74" s="333"/>
      <c r="EX74" s="333"/>
      <c r="EY74" s="333"/>
      <c r="EZ74" s="333"/>
      <c r="FA74" s="333"/>
      <c r="FB74" s="333"/>
      <c r="FC74" s="333"/>
      <c r="FD74" s="333"/>
      <c r="FE74" s="333"/>
      <c r="FF74" s="333"/>
      <c r="FG74" s="333"/>
      <c r="FH74" s="333"/>
      <c r="FI74" s="333"/>
      <c r="FJ74" s="333"/>
      <c r="FK74" s="333"/>
      <c r="FL74" s="333"/>
      <c r="FM74" s="333"/>
      <c r="FN74" s="333"/>
      <c r="FO74" s="333"/>
      <c r="FP74" s="333"/>
      <c r="FQ74" s="333"/>
      <c r="FR74" s="333"/>
      <c r="FS74" s="333"/>
      <c r="FT74" s="333"/>
      <c r="FU74" s="333"/>
      <c r="FV74" s="333"/>
      <c r="FW74" s="333"/>
      <c r="FX74" s="333"/>
      <c r="FY74" s="333"/>
      <c r="FZ74" s="333"/>
      <c r="GA74" s="333"/>
      <c r="GB74" s="333"/>
      <c r="GC74" s="333"/>
      <c r="GD74" s="333"/>
      <c r="GE74" s="333"/>
      <c r="GF74" s="333"/>
      <c r="GG74" s="333"/>
      <c r="GH74" s="333"/>
      <c r="GI74" s="333"/>
      <c r="GJ74" s="333"/>
      <c r="GK74" s="333"/>
      <c r="GL74" s="333"/>
      <c r="GM74" s="333"/>
      <c r="GN74" s="333"/>
      <c r="GO74" s="333"/>
      <c r="GP74" s="333"/>
      <c r="GQ74" s="333"/>
      <c r="GR74" s="333"/>
      <c r="GS74" s="333"/>
      <c r="GT74" s="333"/>
      <c r="GU74" s="333"/>
      <c r="GV74" s="333"/>
      <c r="GW74" s="333"/>
      <c r="GX74" s="333"/>
      <c r="GY74" s="333"/>
      <c r="GZ74" s="333"/>
      <c r="HA74" s="333"/>
      <c r="HB74" s="333"/>
      <c r="HC74" s="333"/>
      <c r="HD74" s="333"/>
      <c r="HE74" s="333"/>
      <c r="HF74" s="333"/>
      <c r="HG74" s="333"/>
      <c r="HH74" s="333"/>
      <c r="HI74" s="333"/>
      <c r="HJ74" s="333"/>
      <c r="HK74" s="333"/>
      <c r="HL74" s="333"/>
      <c r="HM74" s="333"/>
      <c r="HN74" s="333"/>
      <c r="HO74" s="333"/>
      <c r="HP74" s="333"/>
      <c r="HQ74" s="333"/>
      <c r="HR74" s="333"/>
      <c r="HS74" s="333"/>
      <c r="HT74" s="333"/>
      <c r="HU74" s="333"/>
      <c r="HV74" s="333"/>
      <c r="HW74" s="333"/>
      <c r="HX74" s="333"/>
      <c r="HY74" s="333"/>
      <c r="HZ74" s="333"/>
      <c r="IA74" s="333"/>
      <c r="IB74" s="333"/>
      <c r="IC74" s="333"/>
      <c r="ID74" s="333"/>
      <c r="IE74" s="333"/>
      <c r="IF74" s="333"/>
      <c r="IG74" s="333"/>
      <c r="IH74" s="333"/>
      <c r="II74" s="333"/>
      <c r="IJ74" s="333"/>
      <c r="IK74" s="333"/>
      <c r="IL74" s="333"/>
      <c r="IM74" s="333"/>
      <c r="IN74" s="333"/>
      <c r="IO74" s="333"/>
      <c r="IP74" s="333"/>
      <c r="IQ74" s="333"/>
      <c r="IR74" s="333"/>
      <c r="IS74" s="333"/>
      <c r="IT74" s="333"/>
      <c r="IU74" s="333"/>
      <c r="IV74" s="333"/>
      <c r="IW74" s="333"/>
      <c r="IX74" s="333"/>
      <c r="IY74" s="333"/>
      <c r="IZ74" s="333"/>
      <c r="JA74" s="333"/>
      <c r="JB74" s="333"/>
      <c r="JC74" s="333"/>
      <c r="JD74" s="333"/>
      <c r="JE74" s="333"/>
      <c r="JF74" s="333"/>
      <c r="JG74" s="333"/>
      <c r="JH74" s="333"/>
      <c r="JI74" s="333"/>
      <c r="JJ74" s="333"/>
      <c r="JK74" s="333"/>
      <c r="JL74" s="333"/>
      <c r="JM74" s="333"/>
      <c r="JN74" s="333"/>
      <c r="JO74" s="333"/>
      <c r="JP74" s="333"/>
      <c r="JQ74" s="333"/>
      <c r="JR74" s="333"/>
      <c r="JS74" s="333"/>
      <c r="JT74" s="333"/>
      <c r="JU74" s="333"/>
      <c r="JV74" s="333"/>
      <c r="JW74" s="333"/>
      <c r="JX74" s="333"/>
      <c r="JY74" s="333"/>
      <c r="JZ74" s="333"/>
      <c r="KA74" s="333"/>
      <c r="KB74" s="333"/>
      <c r="KC74" s="333"/>
      <c r="KD74" s="333"/>
      <c r="KE74" s="333"/>
      <c r="KF74" s="333"/>
      <c r="KG74" s="333"/>
      <c r="KH74" s="333"/>
      <c r="KI74" s="333"/>
      <c r="KJ74" s="333"/>
      <c r="KK74" s="333"/>
      <c r="KL74" s="333"/>
      <c r="KM74" s="333"/>
      <c r="KN74" s="333"/>
      <c r="KO74" s="333"/>
      <c r="KP74" s="333"/>
      <c r="KQ74" s="333"/>
      <c r="KR74" s="333"/>
      <c r="KS74" s="333"/>
      <c r="KT74" s="333"/>
      <c r="KU74" s="333"/>
      <c r="KV74" s="333"/>
      <c r="KW74" s="333"/>
      <c r="KX74" s="333"/>
      <c r="KY74" s="333"/>
      <c r="KZ74" s="333"/>
      <c r="LA74" s="333"/>
      <c r="LB74" s="333"/>
      <c r="LC74" s="333"/>
      <c r="LD74" s="333"/>
      <c r="LE74" s="333"/>
      <c r="LF74" s="333"/>
      <c r="LG74" s="333"/>
      <c r="LH74" s="333"/>
      <c r="LI74" s="333"/>
      <c r="LJ74" s="333"/>
      <c r="LK74" s="333"/>
      <c r="LL74" s="333"/>
      <c r="LM74" s="333"/>
    </row>
    <row r="75" spans="1:325">
      <c r="A75" s="310" t="str">
        <f>IF(OR(Data3!B17="Grand Total",Data3!B17=0),"",Data3!B17)</f>
        <v>E.3.4.</v>
      </c>
      <c r="B75" s="309" t="s">
        <v>517</v>
      </c>
      <c r="C75" s="347" t="str">
        <f ca="1">IFERROR(VLOOKUP(A75,Rezultatai!$B$44:$C$106,2,FALSE),"")</f>
        <v>Stipendijų fondas Indijos–Ramiojo vandenynų regiono studijų studentams</v>
      </c>
      <c r="D75" s="358"/>
      <c r="E75" s="326"/>
      <c r="F75" s="333"/>
      <c r="G75" s="333"/>
      <c r="H75" s="333"/>
      <c r="I75" s="333"/>
      <c r="J75" s="333"/>
      <c r="K75" s="333"/>
      <c r="L75" s="333"/>
      <c r="M75" s="333"/>
      <c r="N75" s="333"/>
      <c r="O75" s="333"/>
      <c r="P75" s="333"/>
      <c r="Q75" s="333"/>
      <c r="R75" s="333"/>
      <c r="S75" s="333"/>
      <c r="T75" s="333" t="s">
        <v>813</v>
      </c>
      <c r="U75" s="333"/>
      <c r="V75" s="333"/>
      <c r="W75" s="333"/>
      <c r="X75" s="333"/>
      <c r="Y75" s="333"/>
      <c r="Z75" s="333"/>
      <c r="AA75" s="333"/>
      <c r="AB75" s="333"/>
      <c r="AC75" s="333"/>
      <c r="AD75" s="333"/>
      <c r="AE75" s="333"/>
      <c r="AF75" s="333" t="s">
        <v>813</v>
      </c>
      <c r="AG75" s="333"/>
      <c r="AH75" s="333"/>
      <c r="AI75" s="333"/>
      <c r="AJ75" s="333"/>
      <c r="AK75" s="333"/>
      <c r="AL75" s="333"/>
      <c r="AM75" s="333"/>
      <c r="AN75" s="333"/>
      <c r="AO75" s="333"/>
      <c r="AP75" s="333"/>
      <c r="AQ75" s="333"/>
      <c r="AR75" s="333"/>
      <c r="AS75" s="333"/>
      <c r="AT75" s="333"/>
      <c r="AU75" s="333"/>
      <c r="AV75" s="333"/>
      <c r="AW75" s="333"/>
      <c r="AX75" s="333"/>
      <c r="AY75" s="333"/>
      <c r="AZ75" s="333"/>
      <c r="BA75" s="333"/>
      <c r="BB75" s="333"/>
      <c r="BC75" s="333"/>
      <c r="BD75" s="333"/>
      <c r="BE75" s="333"/>
      <c r="BF75" s="333"/>
      <c r="BG75" s="333"/>
      <c r="BH75" s="333"/>
      <c r="BI75" s="333"/>
      <c r="BJ75" s="333"/>
      <c r="BK75" s="333"/>
      <c r="BL75" s="333"/>
      <c r="BM75" s="333"/>
      <c r="BN75" s="333"/>
      <c r="BO75" s="333"/>
      <c r="BP75" s="333"/>
      <c r="BQ75" s="333"/>
      <c r="BR75" s="333"/>
      <c r="BS75" s="333"/>
      <c r="BT75" s="333"/>
      <c r="BU75" s="333"/>
      <c r="BV75" s="333"/>
      <c r="BW75" s="333"/>
      <c r="BX75" s="333"/>
      <c r="BY75" s="333"/>
      <c r="BZ75" s="333"/>
      <c r="CA75" s="333"/>
      <c r="CB75" s="333"/>
      <c r="CC75" s="333"/>
      <c r="CD75" s="333"/>
      <c r="CE75" s="333"/>
      <c r="CF75" s="333"/>
      <c r="CG75" s="333"/>
      <c r="CH75" s="333"/>
      <c r="CI75" s="333"/>
      <c r="CJ75" s="333"/>
      <c r="CK75" s="333"/>
      <c r="CL75" s="333"/>
      <c r="CM75" s="333"/>
      <c r="CN75" s="333"/>
      <c r="CO75" s="333"/>
      <c r="CP75" s="333"/>
      <c r="CQ75" s="333"/>
      <c r="CR75" s="333"/>
      <c r="CS75" s="333"/>
      <c r="CT75" s="333"/>
      <c r="CU75" s="333"/>
      <c r="CV75" s="333"/>
      <c r="CW75" s="333"/>
      <c r="CX75" s="333"/>
      <c r="CY75" s="333"/>
      <c r="CZ75" s="333"/>
      <c r="DA75" s="333"/>
      <c r="DB75" s="333"/>
      <c r="DC75" s="333"/>
      <c r="DD75" s="333"/>
      <c r="DE75" s="333"/>
      <c r="DF75" s="333"/>
      <c r="DG75" s="333"/>
      <c r="DH75" s="333"/>
      <c r="DI75" s="333"/>
      <c r="DJ75" s="333"/>
      <c r="DK75" s="333"/>
      <c r="DL75" s="333"/>
      <c r="DM75" s="333"/>
      <c r="DN75" s="333"/>
      <c r="DO75" s="333"/>
      <c r="DP75" s="333"/>
      <c r="DQ75" s="333"/>
      <c r="DR75" s="333"/>
      <c r="DS75" s="333"/>
      <c r="DT75" s="333"/>
      <c r="DU75" s="333"/>
      <c r="DV75" s="333"/>
      <c r="DW75" s="333"/>
      <c r="DX75" s="333"/>
      <c r="DY75" s="333"/>
      <c r="DZ75" s="333"/>
      <c r="EA75" s="333"/>
      <c r="EB75" s="333"/>
      <c r="EC75" s="333"/>
      <c r="ED75" s="333"/>
      <c r="EE75" s="333"/>
      <c r="EF75" s="333"/>
      <c r="EG75" s="333"/>
      <c r="EH75" s="333"/>
      <c r="EI75" s="333"/>
      <c r="EJ75" s="333"/>
      <c r="EK75" s="333"/>
      <c r="EL75" s="333"/>
      <c r="EM75" s="333"/>
      <c r="EN75" s="333"/>
      <c r="EO75" s="333"/>
      <c r="EP75" s="333"/>
      <c r="EQ75" s="333"/>
      <c r="ER75" s="333"/>
      <c r="ES75" s="333"/>
      <c r="ET75" s="333"/>
      <c r="EU75" s="333"/>
      <c r="EV75" s="333"/>
      <c r="EW75" s="333"/>
      <c r="EX75" s="333"/>
      <c r="EY75" s="333"/>
      <c r="EZ75" s="333"/>
      <c r="FA75" s="333"/>
      <c r="FB75" s="333"/>
      <c r="FC75" s="333"/>
      <c r="FD75" s="333"/>
      <c r="FE75" s="333"/>
      <c r="FF75" s="333"/>
      <c r="FG75" s="333"/>
      <c r="FH75" s="333"/>
      <c r="FI75" s="333"/>
      <c r="FJ75" s="333"/>
      <c r="FK75" s="333"/>
      <c r="FL75" s="333"/>
      <c r="FM75" s="333"/>
      <c r="FN75" s="333"/>
      <c r="FO75" s="333"/>
      <c r="FP75" s="333"/>
      <c r="FQ75" s="333"/>
      <c r="FR75" s="333"/>
      <c r="FS75" s="333"/>
      <c r="FT75" s="333"/>
      <c r="FU75" s="333"/>
      <c r="FV75" s="333"/>
      <c r="FW75" s="333"/>
      <c r="FX75" s="333"/>
      <c r="FY75" s="333"/>
      <c r="FZ75" s="333"/>
      <c r="GA75" s="333"/>
      <c r="GB75" s="333"/>
      <c r="GC75" s="333"/>
      <c r="GD75" s="333"/>
      <c r="GE75" s="333"/>
      <c r="GF75" s="333"/>
      <c r="GG75" s="333"/>
      <c r="GH75" s="333"/>
      <c r="GI75" s="333"/>
      <c r="GJ75" s="333"/>
      <c r="GK75" s="333"/>
      <c r="GL75" s="333"/>
      <c r="GM75" s="333"/>
      <c r="GN75" s="333"/>
      <c r="GO75" s="333"/>
      <c r="GP75" s="333"/>
      <c r="GQ75" s="333"/>
      <c r="GR75" s="333"/>
      <c r="GS75" s="333"/>
      <c r="GT75" s="333"/>
      <c r="GU75" s="333"/>
      <c r="GV75" s="333"/>
      <c r="GW75" s="333"/>
      <c r="GX75" s="333"/>
      <c r="GY75" s="333"/>
      <c r="GZ75" s="333"/>
      <c r="HA75" s="333"/>
      <c r="HB75" s="333"/>
      <c r="HC75" s="333"/>
      <c r="HD75" s="333"/>
      <c r="HE75" s="333"/>
      <c r="HF75" s="333"/>
      <c r="HG75" s="333"/>
      <c r="HH75" s="333"/>
      <c r="HI75" s="333"/>
      <c r="HJ75" s="333"/>
      <c r="HK75" s="333"/>
      <c r="HL75" s="333"/>
      <c r="HM75" s="333"/>
      <c r="HN75" s="333"/>
      <c r="HO75" s="333"/>
      <c r="HP75" s="333"/>
      <c r="HQ75" s="333"/>
      <c r="HR75" s="333"/>
      <c r="HS75" s="333"/>
      <c r="HT75" s="333"/>
      <c r="HU75" s="333"/>
      <c r="HV75" s="333"/>
      <c r="HW75" s="333"/>
      <c r="HX75" s="333"/>
      <c r="HY75" s="333"/>
      <c r="HZ75" s="333"/>
      <c r="IA75" s="333"/>
      <c r="IB75" s="333"/>
      <c r="IC75" s="333"/>
      <c r="ID75" s="333"/>
      <c r="IE75" s="333"/>
      <c r="IF75" s="333"/>
      <c r="IG75" s="333"/>
      <c r="IH75" s="333"/>
      <c r="II75" s="333"/>
      <c r="IJ75" s="333"/>
      <c r="IK75" s="333"/>
      <c r="IL75" s="333"/>
      <c r="IM75" s="333"/>
      <c r="IN75" s="333"/>
      <c r="IO75" s="333"/>
      <c r="IP75" s="333"/>
      <c r="IQ75" s="333"/>
      <c r="IR75" s="333"/>
      <c r="IS75" s="333"/>
      <c r="IT75" s="333"/>
      <c r="IU75" s="333"/>
      <c r="IV75" s="333"/>
      <c r="IW75" s="333"/>
      <c r="IX75" s="333"/>
      <c r="IY75" s="333"/>
      <c r="IZ75" s="333"/>
      <c r="JA75" s="333"/>
      <c r="JB75" s="333"/>
      <c r="JC75" s="333"/>
      <c r="JD75" s="333"/>
      <c r="JE75" s="333"/>
      <c r="JF75" s="333"/>
      <c r="JG75" s="333"/>
      <c r="JH75" s="333"/>
      <c r="JI75" s="333"/>
      <c r="JJ75" s="333"/>
      <c r="JK75" s="333"/>
      <c r="JL75" s="333"/>
      <c r="JM75" s="333"/>
      <c r="JN75" s="333"/>
      <c r="JO75" s="333"/>
      <c r="JP75" s="333"/>
      <c r="JQ75" s="333"/>
      <c r="JR75" s="333"/>
      <c r="JS75" s="333"/>
      <c r="JT75" s="333"/>
      <c r="JU75" s="333"/>
      <c r="JV75" s="333"/>
      <c r="JW75" s="333"/>
      <c r="JX75" s="333"/>
      <c r="JY75" s="333"/>
      <c r="JZ75" s="333"/>
      <c r="KA75" s="333"/>
      <c r="KB75" s="333"/>
      <c r="KC75" s="333"/>
      <c r="KD75" s="333"/>
      <c r="KE75" s="333"/>
      <c r="KF75" s="333"/>
      <c r="KG75" s="333"/>
      <c r="KH75" s="333"/>
      <c r="KI75" s="333"/>
      <c r="KJ75" s="333"/>
      <c r="KK75" s="333"/>
      <c r="KL75" s="333"/>
      <c r="KM75" s="333"/>
      <c r="KN75" s="333"/>
      <c r="KO75" s="333"/>
      <c r="KP75" s="333"/>
      <c r="KQ75" s="333"/>
      <c r="KR75" s="333"/>
      <c r="KS75" s="333"/>
      <c r="KT75" s="333"/>
      <c r="KU75" s="333"/>
      <c r="KV75" s="333"/>
      <c r="KW75" s="333"/>
      <c r="KX75" s="333"/>
      <c r="KY75" s="333"/>
      <c r="KZ75" s="333"/>
      <c r="LA75" s="333"/>
      <c r="LB75" s="333"/>
      <c r="LC75" s="333"/>
      <c r="LD75" s="333"/>
      <c r="LE75" s="333"/>
      <c r="LF75" s="333"/>
      <c r="LG75" s="333"/>
      <c r="LH75" s="333"/>
      <c r="LI75" s="333"/>
      <c r="LJ75" s="333"/>
      <c r="LK75" s="333"/>
      <c r="LL75" s="333"/>
      <c r="LM75" s="333"/>
    </row>
    <row r="76" spans="1:325">
      <c r="A76" s="310" t="str">
        <f>IF(OR(Data3!B18="Grand Total",Data3!B18=0),"",Data3!B18)</f>
        <v>E.3.5.</v>
      </c>
      <c r="B76" s="309" t="s">
        <v>518</v>
      </c>
      <c r="C76" s="347">
        <f ca="1">IFERROR(VLOOKUP(A76,Rezultatai!$B$44:$C$106,2,FALSE),"")</f>
        <v>0</v>
      </c>
      <c r="D76" s="358"/>
      <c r="E76" s="326"/>
      <c r="F76" s="333"/>
      <c r="G76" s="333"/>
      <c r="H76" s="333"/>
      <c r="I76" s="333"/>
      <c r="J76" s="333"/>
      <c r="K76" s="333"/>
      <c r="L76" s="333"/>
      <c r="M76" s="333"/>
      <c r="N76" s="333"/>
      <c r="O76" s="333"/>
      <c r="P76" s="333"/>
      <c r="Q76" s="333"/>
      <c r="R76" s="333"/>
      <c r="S76" s="333"/>
      <c r="T76" s="333"/>
      <c r="U76" s="333"/>
      <c r="V76" s="333"/>
      <c r="W76" s="333"/>
      <c r="X76" s="333"/>
      <c r="Y76" s="333"/>
      <c r="Z76" s="333"/>
      <c r="AA76" s="333"/>
      <c r="AB76" s="333"/>
      <c r="AC76" s="333"/>
      <c r="AD76" s="333"/>
      <c r="AE76" s="333"/>
      <c r="AF76" s="333"/>
      <c r="AG76" s="333"/>
      <c r="AH76" s="333"/>
      <c r="AI76" s="333"/>
      <c r="AJ76" s="333"/>
      <c r="AK76" s="333"/>
      <c r="AL76" s="333"/>
      <c r="AM76" s="333"/>
      <c r="AN76" s="333"/>
      <c r="AO76" s="333"/>
      <c r="AP76" s="333"/>
      <c r="AQ76" s="333"/>
      <c r="AR76" s="333"/>
      <c r="AS76" s="333"/>
      <c r="AT76" s="333"/>
      <c r="AU76" s="333"/>
      <c r="AV76" s="333"/>
      <c r="AW76" s="333"/>
      <c r="AX76" s="333"/>
      <c r="AY76" s="333"/>
      <c r="AZ76" s="333"/>
      <c r="BA76" s="333"/>
      <c r="BB76" s="333"/>
      <c r="BC76" s="333"/>
      <c r="BD76" s="333"/>
      <c r="BE76" s="333"/>
      <c r="BF76" s="333"/>
      <c r="BG76" s="333"/>
      <c r="BH76" s="333"/>
      <c r="BI76" s="333"/>
      <c r="BJ76" s="333"/>
      <c r="BK76" s="333"/>
      <c r="BL76" s="333"/>
      <c r="BM76" s="333"/>
      <c r="BN76" s="333"/>
      <c r="BO76" s="333"/>
      <c r="BP76" s="333"/>
      <c r="BQ76" s="333"/>
      <c r="BR76" s="333"/>
      <c r="BS76" s="333"/>
      <c r="BT76" s="333"/>
      <c r="BU76" s="333"/>
      <c r="BV76" s="333"/>
      <c r="BW76" s="333"/>
      <c r="BX76" s="333"/>
      <c r="BY76" s="333"/>
      <c r="BZ76" s="333"/>
      <c r="CA76" s="333"/>
      <c r="CB76" s="333"/>
      <c r="CC76" s="333"/>
      <c r="CD76" s="333"/>
      <c r="CE76" s="333"/>
      <c r="CF76" s="333"/>
      <c r="CG76" s="333"/>
      <c r="CH76" s="333"/>
      <c r="CI76" s="333"/>
      <c r="CJ76" s="333"/>
      <c r="CK76" s="333"/>
      <c r="CL76" s="333"/>
      <c r="CM76" s="333"/>
      <c r="CN76" s="333"/>
      <c r="CO76" s="333"/>
      <c r="CP76" s="333"/>
      <c r="CQ76" s="333"/>
      <c r="CR76" s="333"/>
      <c r="CS76" s="333"/>
      <c r="CT76" s="333"/>
      <c r="CU76" s="333"/>
      <c r="CV76" s="333"/>
      <c r="CW76" s="333"/>
      <c r="CX76" s="333"/>
      <c r="CY76" s="333"/>
      <c r="CZ76" s="333"/>
      <c r="DA76" s="333"/>
      <c r="DB76" s="333"/>
      <c r="DC76" s="333"/>
      <c r="DD76" s="333"/>
      <c r="DE76" s="333"/>
      <c r="DF76" s="333"/>
      <c r="DG76" s="333"/>
      <c r="DH76" s="333"/>
      <c r="DI76" s="333"/>
      <c r="DJ76" s="333"/>
      <c r="DK76" s="333"/>
      <c r="DL76" s="333"/>
      <c r="DM76" s="333"/>
      <c r="DN76" s="333"/>
      <c r="DO76" s="333"/>
      <c r="DP76" s="333"/>
      <c r="DQ76" s="333"/>
      <c r="DR76" s="333"/>
      <c r="DS76" s="333"/>
      <c r="DT76" s="333"/>
      <c r="DU76" s="333"/>
      <c r="DV76" s="333"/>
      <c r="DW76" s="333"/>
      <c r="DX76" s="333"/>
      <c r="DY76" s="333"/>
      <c r="DZ76" s="333"/>
      <c r="EA76" s="333"/>
      <c r="EB76" s="333"/>
      <c r="EC76" s="333"/>
      <c r="ED76" s="333"/>
      <c r="EE76" s="333"/>
      <c r="EF76" s="333"/>
      <c r="EG76" s="333"/>
      <c r="EH76" s="333"/>
      <c r="EI76" s="333"/>
      <c r="EJ76" s="333"/>
      <c r="EK76" s="333"/>
      <c r="EL76" s="333"/>
      <c r="EM76" s="333"/>
      <c r="EN76" s="333"/>
      <c r="EO76" s="333"/>
      <c r="EP76" s="333"/>
      <c r="EQ76" s="333"/>
      <c r="ER76" s="333"/>
      <c r="ES76" s="333"/>
      <c r="ET76" s="333"/>
      <c r="EU76" s="333"/>
      <c r="EV76" s="333"/>
      <c r="EW76" s="333"/>
      <c r="EX76" s="333"/>
      <c r="EY76" s="333"/>
      <c r="EZ76" s="333"/>
      <c r="FA76" s="333"/>
      <c r="FB76" s="333"/>
      <c r="FC76" s="333"/>
      <c r="FD76" s="333"/>
      <c r="FE76" s="333"/>
      <c r="FF76" s="333"/>
      <c r="FG76" s="333"/>
      <c r="FH76" s="333"/>
      <c r="FI76" s="333"/>
      <c r="FJ76" s="333"/>
      <c r="FK76" s="333"/>
      <c r="FL76" s="333"/>
      <c r="FM76" s="333"/>
      <c r="FN76" s="333"/>
      <c r="FO76" s="333"/>
      <c r="FP76" s="333"/>
      <c r="FQ76" s="333"/>
      <c r="FR76" s="333"/>
      <c r="FS76" s="333"/>
      <c r="FT76" s="333"/>
      <c r="FU76" s="333"/>
      <c r="FV76" s="333"/>
      <c r="FW76" s="333"/>
      <c r="FX76" s="333"/>
      <c r="FY76" s="333"/>
      <c r="FZ76" s="333"/>
      <c r="GA76" s="333"/>
      <c r="GB76" s="333"/>
      <c r="GC76" s="333"/>
      <c r="GD76" s="333"/>
      <c r="GE76" s="333"/>
      <c r="GF76" s="333"/>
      <c r="GG76" s="333"/>
      <c r="GH76" s="333"/>
      <c r="GI76" s="333"/>
      <c r="GJ76" s="333"/>
      <c r="GK76" s="333"/>
      <c r="GL76" s="333"/>
      <c r="GM76" s="333"/>
      <c r="GN76" s="333"/>
      <c r="GO76" s="333"/>
      <c r="GP76" s="333"/>
      <c r="GQ76" s="333"/>
      <c r="GR76" s="333"/>
      <c r="GS76" s="333"/>
      <c r="GT76" s="333"/>
      <c r="GU76" s="333"/>
      <c r="GV76" s="333"/>
      <c r="GW76" s="333"/>
      <c r="GX76" s="333"/>
      <c r="GY76" s="333"/>
      <c r="GZ76" s="333"/>
      <c r="HA76" s="333"/>
      <c r="HB76" s="333"/>
      <c r="HC76" s="333"/>
      <c r="HD76" s="333"/>
      <c r="HE76" s="333"/>
      <c r="HF76" s="333"/>
      <c r="HG76" s="333"/>
      <c r="HH76" s="333"/>
      <c r="HI76" s="333"/>
      <c r="HJ76" s="333"/>
      <c r="HK76" s="333"/>
      <c r="HL76" s="333"/>
      <c r="HM76" s="333"/>
      <c r="HN76" s="333"/>
      <c r="HO76" s="333"/>
      <c r="HP76" s="333"/>
      <c r="HQ76" s="333"/>
      <c r="HR76" s="333"/>
      <c r="HS76" s="333"/>
      <c r="HT76" s="333"/>
      <c r="HU76" s="333"/>
      <c r="HV76" s="333"/>
      <c r="HW76" s="333"/>
      <c r="HX76" s="333"/>
      <c r="HY76" s="333"/>
      <c r="HZ76" s="333"/>
      <c r="IA76" s="333"/>
      <c r="IB76" s="333"/>
      <c r="IC76" s="333"/>
      <c r="ID76" s="333"/>
      <c r="IE76" s="333"/>
      <c r="IF76" s="333"/>
      <c r="IG76" s="333"/>
      <c r="IH76" s="333"/>
      <c r="II76" s="333"/>
      <c r="IJ76" s="333"/>
      <c r="IK76" s="333"/>
      <c r="IL76" s="333"/>
      <c r="IM76" s="333"/>
      <c r="IN76" s="333"/>
      <c r="IO76" s="333"/>
      <c r="IP76" s="333"/>
      <c r="IQ76" s="333"/>
      <c r="IR76" s="333"/>
      <c r="IS76" s="333"/>
      <c r="IT76" s="333"/>
      <c r="IU76" s="333"/>
      <c r="IV76" s="333"/>
      <c r="IW76" s="333"/>
      <c r="IX76" s="333"/>
      <c r="IY76" s="333"/>
      <c r="IZ76" s="333"/>
      <c r="JA76" s="333"/>
      <c r="JB76" s="333"/>
      <c r="JC76" s="333"/>
      <c r="JD76" s="333"/>
      <c r="JE76" s="333"/>
      <c r="JF76" s="333"/>
      <c r="JG76" s="333"/>
      <c r="JH76" s="333"/>
      <c r="JI76" s="333"/>
      <c r="JJ76" s="333"/>
      <c r="JK76" s="333"/>
      <c r="JL76" s="333"/>
      <c r="JM76" s="333"/>
      <c r="JN76" s="333"/>
      <c r="JO76" s="333"/>
      <c r="JP76" s="333"/>
      <c r="JQ76" s="333"/>
      <c r="JR76" s="333"/>
      <c r="JS76" s="333"/>
      <c r="JT76" s="333"/>
      <c r="JU76" s="333"/>
      <c r="JV76" s="333"/>
      <c r="JW76" s="333"/>
      <c r="JX76" s="333"/>
      <c r="JY76" s="333"/>
      <c r="JZ76" s="333"/>
      <c r="KA76" s="333"/>
      <c r="KB76" s="333"/>
      <c r="KC76" s="333"/>
      <c r="KD76" s="333"/>
      <c r="KE76" s="333"/>
      <c r="KF76" s="333"/>
      <c r="KG76" s="333"/>
      <c r="KH76" s="333"/>
      <c r="KI76" s="333"/>
      <c r="KJ76" s="333"/>
      <c r="KK76" s="333"/>
      <c r="KL76" s="333"/>
      <c r="KM76" s="333"/>
      <c r="KN76" s="333"/>
      <c r="KO76" s="333"/>
      <c r="KP76" s="333"/>
      <c r="KQ76" s="333"/>
      <c r="KR76" s="333"/>
      <c r="KS76" s="333"/>
      <c r="KT76" s="333"/>
      <c r="KU76" s="333"/>
      <c r="KV76" s="333"/>
      <c r="KW76" s="333"/>
      <c r="KX76" s="333"/>
      <c r="KY76" s="333"/>
      <c r="KZ76" s="333"/>
      <c r="LA76" s="333"/>
      <c r="LB76" s="333"/>
      <c r="LC76" s="333"/>
      <c r="LD76" s="333"/>
      <c r="LE76" s="333"/>
      <c r="LF76" s="333"/>
      <c r="LG76" s="333"/>
      <c r="LH76" s="333"/>
      <c r="LI76" s="333"/>
      <c r="LJ76" s="333"/>
      <c r="LK76" s="333"/>
      <c r="LL76" s="333"/>
      <c r="LM76" s="333"/>
    </row>
    <row r="77" spans="1:325">
      <c r="A77" s="310" t="str">
        <f>IF(OR(Data3!B19="Grand Total",Data3!B19=0),"",Data3!B19)</f>
        <v>E.3.6.</v>
      </c>
      <c r="B77" s="309" t="s">
        <v>519</v>
      </c>
      <c r="C77" s="347">
        <f ca="1">IFERROR(VLOOKUP(A77,Rezultatai!$B$44:$C$106,2,FALSE),"")</f>
        <v>0</v>
      </c>
      <c r="D77" s="358"/>
      <c r="E77" s="326"/>
      <c r="F77" s="337"/>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c r="EV77" s="337"/>
      <c r="EW77" s="337"/>
      <c r="EX77" s="337"/>
      <c r="EY77" s="337"/>
      <c r="EZ77" s="337"/>
      <c r="FA77" s="337"/>
      <c r="FB77" s="337"/>
      <c r="FC77" s="337"/>
      <c r="FD77" s="337"/>
      <c r="FE77" s="337"/>
      <c r="FF77" s="337"/>
      <c r="FG77" s="337"/>
      <c r="FH77" s="337"/>
      <c r="FI77" s="337"/>
      <c r="FJ77" s="337"/>
      <c r="FK77" s="337"/>
      <c r="FL77" s="337"/>
      <c r="FM77" s="337"/>
      <c r="FN77" s="337"/>
      <c r="FO77" s="337"/>
      <c r="FP77" s="337"/>
      <c r="FQ77" s="337"/>
      <c r="FR77" s="337"/>
      <c r="FS77" s="337"/>
      <c r="FT77" s="337"/>
      <c r="FU77" s="337"/>
      <c r="FV77" s="337"/>
      <c r="FW77" s="337"/>
      <c r="FX77" s="337"/>
      <c r="FY77" s="337"/>
      <c r="FZ77" s="337"/>
      <c r="GA77" s="337"/>
      <c r="GB77" s="337"/>
      <c r="GC77" s="337"/>
      <c r="GD77" s="337"/>
      <c r="GE77" s="337"/>
      <c r="GF77" s="337"/>
      <c r="GG77" s="337"/>
      <c r="GH77" s="337"/>
      <c r="GI77" s="337"/>
      <c r="GJ77" s="337"/>
      <c r="GK77" s="337"/>
      <c r="GL77" s="337"/>
      <c r="GM77" s="337"/>
      <c r="GN77" s="337"/>
      <c r="GO77" s="337"/>
      <c r="GP77" s="337"/>
      <c r="GQ77" s="337"/>
      <c r="GR77" s="337"/>
      <c r="GS77" s="337"/>
      <c r="GT77" s="337"/>
      <c r="GU77" s="337"/>
      <c r="GV77" s="337"/>
      <c r="GW77" s="337"/>
      <c r="GX77" s="337"/>
      <c r="GY77" s="337"/>
      <c r="GZ77" s="337"/>
      <c r="HA77" s="337"/>
      <c r="HB77" s="337"/>
      <c r="HC77" s="337"/>
      <c r="HD77" s="337"/>
      <c r="HE77" s="337"/>
      <c r="HF77" s="337"/>
      <c r="HG77" s="337"/>
      <c r="HH77" s="337"/>
      <c r="HI77" s="337"/>
      <c r="HJ77" s="337"/>
      <c r="HK77" s="337"/>
      <c r="HL77" s="337"/>
      <c r="HM77" s="337"/>
      <c r="HN77" s="337"/>
      <c r="HO77" s="337"/>
      <c r="HP77" s="337"/>
      <c r="HQ77" s="337"/>
      <c r="HR77" s="337"/>
      <c r="HS77" s="337"/>
      <c r="HT77" s="337"/>
      <c r="HU77" s="337"/>
      <c r="HV77" s="337"/>
      <c r="HW77" s="337"/>
      <c r="HX77" s="337"/>
      <c r="HY77" s="337"/>
      <c r="HZ77" s="337"/>
      <c r="IA77" s="337"/>
      <c r="IB77" s="337"/>
      <c r="IC77" s="337"/>
      <c r="ID77" s="337"/>
      <c r="IE77" s="337"/>
      <c r="IF77" s="337"/>
      <c r="IG77" s="337"/>
      <c r="IH77" s="337"/>
      <c r="II77" s="337"/>
      <c r="IJ77" s="337"/>
      <c r="IK77" s="337"/>
      <c r="IL77" s="337"/>
      <c r="IM77" s="337"/>
      <c r="IN77" s="337"/>
      <c r="IO77" s="337"/>
      <c r="IP77" s="337"/>
      <c r="IQ77" s="337"/>
      <c r="IR77" s="337"/>
      <c r="IS77" s="337"/>
      <c r="IT77" s="337"/>
      <c r="IU77" s="337"/>
      <c r="IV77" s="337"/>
      <c r="IW77" s="337"/>
      <c r="IX77" s="337"/>
      <c r="IY77" s="337"/>
      <c r="IZ77" s="337"/>
      <c r="JA77" s="337"/>
      <c r="JB77" s="337"/>
      <c r="JC77" s="337"/>
      <c r="JD77" s="337"/>
      <c r="JE77" s="337"/>
      <c r="JF77" s="337"/>
      <c r="JG77" s="337"/>
      <c r="JH77" s="337"/>
      <c r="JI77" s="337"/>
      <c r="JJ77" s="337"/>
      <c r="JK77" s="337"/>
      <c r="JL77" s="337"/>
      <c r="JM77" s="337"/>
      <c r="JN77" s="337"/>
      <c r="JO77" s="337"/>
      <c r="JP77" s="337"/>
      <c r="JQ77" s="337"/>
      <c r="JR77" s="337"/>
      <c r="JS77" s="337"/>
      <c r="JT77" s="337"/>
      <c r="JU77" s="337"/>
      <c r="JV77" s="337"/>
      <c r="JW77" s="337"/>
      <c r="JX77" s="337"/>
      <c r="JY77" s="337"/>
      <c r="JZ77" s="337"/>
      <c r="KA77" s="337"/>
      <c r="KB77" s="337"/>
      <c r="KC77" s="337"/>
      <c r="KD77" s="337"/>
      <c r="KE77" s="337"/>
      <c r="KF77" s="337"/>
      <c r="KG77" s="337"/>
      <c r="KH77" s="337"/>
      <c r="KI77" s="337"/>
      <c r="KJ77" s="337"/>
      <c r="KK77" s="337"/>
      <c r="KL77" s="337"/>
      <c r="KM77" s="337"/>
      <c r="KN77" s="337"/>
      <c r="KO77" s="337"/>
      <c r="KP77" s="337"/>
      <c r="KQ77" s="337"/>
      <c r="KR77" s="337"/>
      <c r="KS77" s="337"/>
      <c r="KT77" s="337"/>
      <c r="KU77" s="337"/>
      <c r="KV77" s="337"/>
      <c r="KW77" s="337"/>
      <c r="KX77" s="337"/>
      <c r="KY77" s="337"/>
      <c r="KZ77" s="337"/>
      <c r="LA77" s="337"/>
      <c r="LB77" s="337"/>
      <c r="LC77" s="337"/>
      <c r="LD77" s="337"/>
      <c r="LE77" s="337"/>
      <c r="LF77" s="337"/>
      <c r="LG77" s="337"/>
      <c r="LH77" s="337"/>
      <c r="LI77" s="337"/>
      <c r="LJ77" s="337"/>
      <c r="LK77" s="337"/>
      <c r="LL77" s="337"/>
      <c r="LM77" s="337"/>
    </row>
    <row r="78" spans="1:325" ht="28.8">
      <c r="A78" s="310"/>
      <c r="B78" s="354" t="s">
        <v>449</v>
      </c>
      <c r="C78" s="355" t="s">
        <v>565</v>
      </c>
      <c r="D78" s="359" t="s">
        <v>589</v>
      </c>
      <c r="E78" s="359" t="s">
        <v>590</v>
      </c>
      <c r="F78" s="873"/>
      <c r="G78" s="874"/>
      <c r="H78" s="874"/>
      <c r="I78" s="874"/>
      <c r="J78" s="874"/>
      <c r="K78" s="874"/>
      <c r="L78" s="874"/>
      <c r="M78" s="874"/>
      <c r="N78" s="874"/>
      <c r="O78" s="874"/>
      <c r="P78" s="874"/>
      <c r="Q78" s="874"/>
      <c r="R78" s="874"/>
      <c r="S78" s="874"/>
      <c r="T78" s="874"/>
      <c r="U78" s="874"/>
      <c r="V78" s="874"/>
      <c r="W78" s="874"/>
      <c r="X78" s="874"/>
      <c r="Y78" s="874"/>
      <c r="Z78" s="874"/>
      <c r="AA78" s="874"/>
      <c r="AB78" s="874"/>
      <c r="AC78" s="874"/>
      <c r="AD78" s="874"/>
      <c r="AE78" s="874"/>
      <c r="AF78" s="874"/>
      <c r="AG78" s="874"/>
      <c r="AH78" s="874"/>
      <c r="AI78" s="874"/>
      <c r="AJ78" s="874"/>
      <c r="AK78" s="874"/>
      <c r="AL78" s="874"/>
      <c r="AM78" s="874"/>
      <c r="AN78" s="874"/>
      <c r="AO78" s="874"/>
      <c r="AP78" s="874"/>
      <c r="AQ78" s="874"/>
      <c r="AR78" s="874"/>
      <c r="AS78" s="874"/>
      <c r="AT78" s="874"/>
      <c r="AU78" s="874"/>
      <c r="AV78" s="874"/>
      <c r="AW78" s="874"/>
      <c r="AX78" s="874"/>
      <c r="AY78" s="874"/>
      <c r="AZ78" s="874"/>
      <c r="BA78" s="874"/>
      <c r="BB78" s="874"/>
      <c r="BC78" s="874"/>
      <c r="BD78" s="874"/>
      <c r="BE78" s="874"/>
      <c r="BF78" s="874"/>
      <c r="BG78" s="874"/>
      <c r="BH78" s="874"/>
      <c r="BI78" s="874"/>
      <c r="BJ78" s="874"/>
      <c r="BK78" s="874"/>
      <c r="BL78" s="874"/>
      <c r="BM78" s="874"/>
      <c r="BN78" s="874"/>
      <c r="BO78" s="874"/>
      <c r="BP78" s="874"/>
      <c r="BQ78" s="874"/>
      <c r="BR78" s="874"/>
      <c r="BS78" s="874"/>
      <c r="BT78" s="874"/>
      <c r="BU78" s="874"/>
      <c r="BV78" s="874"/>
      <c r="BW78" s="874"/>
      <c r="BX78" s="874"/>
      <c r="BY78" s="874"/>
      <c r="BZ78" s="874"/>
      <c r="CA78" s="874"/>
      <c r="CB78" s="874"/>
      <c r="CC78" s="874"/>
      <c r="CD78" s="874"/>
      <c r="CE78" s="874"/>
      <c r="CF78" s="874"/>
      <c r="CG78" s="874"/>
      <c r="CH78" s="874"/>
      <c r="CI78" s="874"/>
      <c r="CJ78" s="874"/>
      <c r="CK78" s="874"/>
      <c r="CL78" s="874"/>
      <c r="CM78" s="874"/>
      <c r="CN78" s="874"/>
      <c r="CO78" s="874"/>
      <c r="CP78" s="874"/>
      <c r="CQ78" s="874"/>
      <c r="CR78" s="874"/>
      <c r="CS78" s="874"/>
      <c r="CT78" s="874"/>
      <c r="CU78" s="874"/>
      <c r="CV78" s="874"/>
      <c r="CW78" s="874"/>
      <c r="CX78" s="874"/>
      <c r="CY78" s="874"/>
      <c r="CZ78" s="874"/>
      <c r="DA78" s="874"/>
      <c r="DB78" s="874"/>
      <c r="DC78" s="874"/>
      <c r="DD78" s="874"/>
      <c r="DE78" s="874"/>
      <c r="DF78" s="874"/>
      <c r="DG78" s="874"/>
      <c r="DH78" s="874"/>
      <c r="DI78" s="874"/>
      <c r="DJ78" s="874"/>
      <c r="DK78" s="874"/>
      <c r="DL78" s="874"/>
      <c r="DM78" s="874"/>
      <c r="DN78" s="874"/>
      <c r="DO78" s="874"/>
      <c r="DP78" s="874"/>
      <c r="DQ78" s="874"/>
      <c r="DR78" s="874"/>
      <c r="DS78" s="874"/>
      <c r="DT78" s="874"/>
      <c r="DU78" s="874"/>
      <c r="DV78" s="874"/>
      <c r="DW78" s="874"/>
      <c r="DX78" s="874"/>
      <c r="DY78" s="874"/>
      <c r="DZ78" s="874"/>
      <c r="EA78" s="874"/>
      <c r="EB78" s="874"/>
      <c r="EC78" s="874"/>
      <c r="ED78" s="874"/>
      <c r="EE78" s="874"/>
      <c r="EF78" s="874"/>
      <c r="EG78" s="874"/>
      <c r="EH78" s="874"/>
      <c r="EI78" s="874"/>
      <c r="EJ78" s="874"/>
      <c r="EK78" s="874"/>
      <c r="EL78" s="874"/>
      <c r="EM78" s="874"/>
      <c r="EN78" s="874"/>
      <c r="EO78" s="874"/>
      <c r="EP78" s="874"/>
      <c r="EQ78" s="874"/>
      <c r="ER78" s="874"/>
      <c r="ES78" s="874"/>
      <c r="ET78" s="874"/>
      <c r="EU78" s="874"/>
      <c r="EV78" s="874"/>
      <c r="EW78" s="874"/>
      <c r="EX78" s="874"/>
      <c r="EY78" s="874"/>
      <c r="EZ78" s="874"/>
      <c r="FA78" s="874"/>
      <c r="FB78" s="874"/>
      <c r="FC78" s="874"/>
      <c r="FD78" s="874"/>
      <c r="FE78" s="874"/>
      <c r="FF78" s="874"/>
      <c r="FG78" s="874"/>
      <c r="FH78" s="874"/>
      <c r="FI78" s="874"/>
      <c r="FJ78" s="874"/>
      <c r="FK78" s="874"/>
      <c r="FL78" s="874"/>
      <c r="FM78" s="874"/>
      <c r="FN78" s="874"/>
      <c r="FO78" s="874"/>
      <c r="FP78" s="874"/>
      <c r="FQ78" s="874"/>
      <c r="FR78" s="874"/>
      <c r="FS78" s="874"/>
      <c r="FT78" s="874"/>
      <c r="FU78" s="874"/>
      <c r="FV78" s="874"/>
      <c r="FW78" s="874"/>
      <c r="FX78" s="874"/>
      <c r="FY78" s="874"/>
      <c r="FZ78" s="874"/>
      <c r="GA78" s="874"/>
      <c r="GB78" s="874"/>
      <c r="GC78" s="874"/>
      <c r="GD78" s="874"/>
      <c r="GE78" s="874"/>
      <c r="GF78" s="874"/>
      <c r="GG78" s="874"/>
      <c r="GH78" s="874"/>
      <c r="GI78" s="874"/>
      <c r="GJ78" s="874"/>
      <c r="GK78" s="874"/>
      <c r="GL78" s="874"/>
      <c r="GM78" s="874"/>
      <c r="GN78" s="874"/>
      <c r="GO78" s="874"/>
      <c r="GP78" s="874"/>
      <c r="GQ78" s="874"/>
      <c r="GR78" s="874"/>
      <c r="GS78" s="874"/>
      <c r="GT78" s="874"/>
      <c r="GU78" s="874"/>
      <c r="GV78" s="874"/>
      <c r="GW78" s="874"/>
      <c r="GX78" s="874"/>
      <c r="GY78" s="874"/>
      <c r="GZ78" s="874"/>
      <c r="HA78" s="874"/>
      <c r="HB78" s="874"/>
      <c r="HC78" s="874"/>
      <c r="HD78" s="874"/>
      <c r="HE78" s="874"/>
      <c r="HF78" s="874"/>
      <c r="HG78" s="874"/>
      <c r="HH78" s="874"/>
      <c r="HI78" s="874"/>
      <c r="HJ78" s="874"/>
      <c r="HK78" s="874"/>
      <c r="HL78" s="874"/>
      <c r="HM78" s="874"/>
      <c r="HN78" s="874"/>
      <c r="HO78" s="874"/>
      <c r="HP78" s="874"/>
      <c r="HQ78" s="874"/>
      <c r="HR78" s="874"/>
      <c r="HS78" s="874"/>
      <c r="HT78" s="874"/>
      <c r="HU78" s="874"/>
      <c r="HV78" s="874"/>
      <c r="HW78" s="874"/>
      <c r="HX78" s="874"/>
      <c r="HY78" s="874"/>
      <c r="HZ78" s="874"/>
      <c r="IA78" s="874"/>
      <c r="IB78" s="874"/>
      <c r="IC78" s="874"/>
      <c r="ID78" s="874"/>
      <c r="IE78" s="874"/>
      <c r="IF78" s="874"/>
      <c r="IG78" s="874"/>
      <c r="IH78" s="874"/>
      <c r="II78" s="874"/>
      <c r="IJ78" s="874"/>
      <c r="IK78" s="874"/>
      <c r="IL78" s="874"/>
      <c r="IM78" s="874"/>
      <c r="IN78" s="874"/>
      <c r="IO78" s="874"/>
      <c r="IP78" s="874"/>
      <c r="IQ78" s="874"/>
      <c r="IR78" s="874"/>
      <c r="IS78" s="874"/>
      <c r="IT78" s="874"/>
      <c r="IU78" s="874"/>
      <c r="IV78" s="874"/>
      <c r="IW78" s="874"/>
      <c r="IX78" s="874"/>
      <c r="IY78" s="874"/>
      <c r="IZ78" s="874"/>
      <c r="JA78" s="874"/>
      <c r="JB78" s="874"/>
      <c r="JC78" s="874"/>
      <c r="JD78" s="874"/>
      <c r="JE78" s="874"/>
      <c r="JF78" s="874"/>
      <c r="JG78" s="874"/>
      <c r="JH78" s="874"/>
      <c r="JI78" s="874"/>
      <c r="JJ78" s="874"/>
      <c r="JK78" s="874"/>
      <c r="JL78" s="874"/>
      <c r="JM78" s="874"/>
      <c r="JN78" s="874"/>
      <c r="JO78" s="874"/>
      <c r="JP78" s="874"/>
      <c r="JQ78" s="874"/>
      <c r="JR78" s="874"/>
      <c r="JS78" s="874"/>
      <c r="JT78" s="874"/>
      <c r="JU78" s="874"/>
      <c r="JV78" s="874"/>
      <c r="JW78" s="874"/>
      <c r="JX78" s="874"/>
      <c r="JY78" s="874"/>
      <c r="JZ78" s="874"/>
      <c r="KA78" s="874"/>
      <c r="KB78" s="874"/>
      <c r="KC78" s="874"/>
      <c r="KD78" s="874"/>
      <c r="KE78" s="874"/>
      <c r="KF78" s="874"/>
      <c r="KG78" s="874"/>
      <c r="KH78" s="874"/>
      <c r="KI78" s="874"/>
      <c r="KJ78" s="874"/>
      <c r="KK78" s="874"/>
      <c r="KL78" s="874"/>
      <c r="KM78" s="874"/>
      <c r="KN78" s="874"/>
      <c r="KO78" s="874"/>
      <c r="KP78" s="874"/>
      <c r="KQ78" s="874"/>
      <c r="KR78" s="874"/>
      <c r="KS78" s="874"/>
      <c r="KT78" s="874"/>
      <c r="KU78" s="874"/>
      <c r="KV78" s="874"/>
      <c r="KW78" s="874"/>
      <c r="KX78" s="874"/>
      <c r="KY78" s="874"/>
      <c r="KZ78" s="874"/>
      <c r="LA78" s="874"/>
      <c r="LB78" s="874"/>
      <c r="LC78" s="874"/>
      <c r="LD78" s="874"/>
      <c r="LE78" s="874"/>
      <c r="LF78" s="874"/>
      <c r="LG78" s="874"/>
      <c r="LH78" s="874"/>
      <c r="LI78" s="874"/>
      <c r="LJ78" s="874"/>
      <c r="LK78" s="874"/>
      <c r="LL78" s="874"/>
      <c r="LM78" s="875"/>
    </row>
    <row r="79" spans="1:325" ht="43.2">
      <c r="A79" s="310"/>
      <c r="B79" s="309" t="s">
        <v>554</v>
      </c>
      <c r="C79" s="347" t="str">
        <f>"Rodiklio " &amp; IF(Result=0,"",Result) &amp; " pasiekimo fakto fiksavimas"</f>
        <v>Rodiklio Lietuvos gyventojų dalis, mananti, kad Lietuvos diplomatinė tarnyba labai gerai, gerai atstovauja Lietuvos saugumo interesams, išnaudoja dvišalio ir daugiašalio bendradarbiavimo priemones bei narystės NATO teikiamas galimybes pasiekimo fakto fiksavimas</v>
      </c>
      <c r="D79" s="328"/>
      <c r="E79" s="328">
        <f ca="1">SUMIF($F$6:$LM$6,"&lt;="&amp;PAL,$F79:$LM79)</f>
        <v>47</v>
      </c>
      <c r="F79" s="898" t="str">
        <f ca="1">IFERROR(HLOOKUP(F$7,Rezultatai!$H$33:$DC$34,2,FALSE),"")</f>
        <v/>
      </c>
      <c r="G79" s="899"/>
      <c r="H79" s="899"/>
      <c r="I79" s="900"/>
      <c r="J79" s="898">
        <f ca="1">IFERROR(HLOOKUP(J$7,Rezultatai!$H$33:$DC$34,2,FALSE),"")</f>
        <v>0</v>
      </c>
      <c r="K79" s="899"/>
      <c r="L79" s="899"/>
      <c r="M79" s="900"/>
      <c r="N79" s="898">
        <f ca="1">IFERROR(HLOOKUP(N$7,Rezultatai!$H$33:$DC$34,2,FALSE),"")</f>
        <v>0</v>
      </c>
      <c r="O79" s="899"/>
      <c r="P79" s="899"/>
      <c r="Q79" s="900"/>
      <c r="R79" s="898">
        <f ca="1">IFERROR(HLOOKUP(R$7,Rezultatai!$H$33:$DC$34,2,FALSE),"")</f>
        <v>0</v>
      </c>
      <c r="S79" s="899"/>
      <c r="T79" s="899"/>
      <c r="U79" s="900"/>
      <c r="V79" s="898">
        <f ca="1">HLOOKUP(V$7,Rezultatai!$H$33:$DC$34,2,FALSE)</f>
        <v>0</v>
      </c>
      <c r="W79" s="899"/>
      <c r="X79" s="899"/>
      <c r="Y79" s="900"/>
      <c r="Z79" s="898">
        <f ca="1">HLOOKUP(Z$7,Rezultatai!$H$33:$DC$34,2,FALSE)</f>
        <v>0</v>
      </c>
      <c r="AA79" s="899"/>
      <c r="AB79" s="899"/>
      <c r="AC79" s="900"/>
      <c r="AD79" s="898">
        <f ca="1">HLOOKUP(AD$7,Rezultatai!$H$33:$DC$34,2,FALSE)</f>
        <v>0</v>
      </c>
      <c r="AE79" s="899"/>
      <c r="AF79" s="899"/>
      <c r="AG79" s="900"/>
      <c r="AH79" s="898">
        <f ca="1">HLOOKUP(AH$7,Rezultatai!$H$33:$DC$34,2,FALSE)</f>
        <v>0</v>
      </c>
      <c r="AI79" s="899"/>
      <c r="AJ79" s="899"/>
      <c r="AK79" s="900"/>
      <c r="AL79" s="898">
        <f ca="1">HLOOKUP(AL$7,Rezultatai!$H$33:$DC$34,2,FALSE)</f>
        <v>47</v>
      </c>
      <c r="AM79" s="899"/>
      <c r="AN79" s="899"/>
      <c r="AO79" s="900"/>
      <c r="AP79" s="898">
        <f ca="1">HLOOKUP(AP$7,Rezultatai!$H$33:$DC$34,2,FALSE)</f>
        <v>0</v>
      </c>
      <c r="AQ79" s="899"/>
      <c r="AR79" s="899"/>
      <c r="AS79" s="900"/>
      <c r="AT79" s="898">
        <f ca="1">HLOOKUP(AT$7,Rezultatai!$H$33:$DC$34,2,FALSE)</f>
        <v>0</v>
      </c>
      <c r="AU79" s="899"/>
      <c r="AV79" s="899"/>
      <c r="AW79" s="900"/>
      <c r="AX79" s="898">
        <f ca="1">HLOOKUP(AX$7,Rezultatai!$H$33:$DC$34,2,FALSE)</f>
        <v>0</v>
      </c>
      <c r="AY79" s="899"/>
      <c r="AZ79" s="899"/>
      <c r="BA79" s="900"/>
      <c r="BB79" s="898">
        <f ca="1">HLOOKUP(BB$7,Rezultatai!$H$33:$DC$34,2,FALSE)</f>
        <v>0</v>
      </c>
      <c r="BC79" s="899"/>
      <c r="BD79" s="899"/>
      <c r="BE79" s="900"/>
      <c r="BF79" s="898">
        <f ca="1">HLOOKUP(BF$7,Rezultatai!$H$33:$DC$34,2,FALSE)</f>
        <v>0</v>
      </c>
      <c r="BG79" s="899"/>
      <c r="BH79" s="899"/>
      <c r="BI79" s="900"/>
      <c r="BJ79" s="898">
        <f ca="1">HLOOKUP(BJ$7,Rezultatai!$H$33:$DC$34,2,FALSE)</f>
        <v>0</v>
      </c>
      <c r="BK79" s="899"/>
      <c r="BL79" s="899"/>
      <c r="BM79" s="900"/>
      <c r="BN79" s="898">
        <f ca="1">HLOOKUP(BN$7,Rezultatai!$H$33:$DC$34,2,FALSE)</f>
        <v>0</v>
      </c>
      <c r="BO79" s="899"/>
      <c r="BP79" s="899"/>
      <c r="BQ79" s="900"/>
      <c r="BR79" s="898">
        <f ca="1">HLOOKUP(BR$7,Rezultatai!$H$33:$DC$34,2,FALSE)</f>
        <v>0</v>
      </c>
      <c r="BS79" s="899"/>
      <c r="BT79" s="899"/>
      <c r="BU79" s="900"/>
      <c r="BV79" s="898">
        <f ca="1">HLOOKUP(BV$7,Rezultatai!$H$33:$DC$34,2,FALSE)</f>
        <v>0</v>
      </c>
      <c r="BW79" s="899"/>
      <c r="BX79" s="899"/>
      <c r="BY79" s="900"/>
      <c r="BZ79" s="898">
        <f ca="1">HLOOKUP(BZ$7,Rezultatai!$H$33:$DC$34,2,FALSE)</f>
        <v>0</v>
      </c>
      <c r="CA79" s="899"/>
      <c r="CB79" s="899"/>
      <c r="CC79" s="900"/>
      <c r="CD79" s="898">
        <f ca="1">HLOOKUP(CD$7,Rezultatai!$H$33:$DC$34,2,FALSE)</f>
        <v>0</v>
      </c>
      <c r="CE79" s="899"/>
      <c r="CF79" s="899"/>
      <c r="CG79" s="900"/>
      <c r="CH79" s="898">
        <f ca="1">HLOOKUP(CH$7,Rezultatai!$H$33:$DC$34,2,FALSE)</f>
        <v>0</v>
      </c>
      <c r="CI79" s="899"/>
      <c r="CJ79" s="899"/>
      <c r="CK79" s="900"/>
      <c r="CL79" s="898">
        <f ca="1">HLOOKUP(CL$7,Rezultatai!$H$33:$DC$34,2,FALSE)</f>
        <v>0</v>
      </c>
      <c r="CM79" s="899"/>
      <c r="CN79" s="899"/>
      <c r="CO79" s="900"/>
      <c r="CP79" s="898">
        <f ca="1">HLOOKUP(CP$7,Rezultatai!$H$33:$DC$34,2,FALSE)</f>
        <v>0</v>
      </c>
      <c r="CQ79" s="899"/>
      <c r="CR79" s="899"/>
      <c r="CS79" s="900"/>
      <c r="CT79" s="898">
        <f ca="1">HLOOKUP(CT$7,Rezultatai!$H$33:$DC$34,2,FALSE)</f>
        <v>0</v>
      </c>
      <c r="CU79" s="899"/>
      <c r="CV79" s="899"/>
      <c r="CW79" s="900"/>
      <c r="CX79" s="898">
        <f ca="1">HLOOKUP(CX$7,Rezultatai!$H$33:$DC$34,2,FALSE)</f>
        <v>0</v>
      </c>
      <c r="CY79" s="899"/>
      <c r="CZ79" s="899"/>
      <c r="DA79" s="900"/>
      <c r="DB79" s="898">
        <f ca="1">HLOOKUP(DB$7,Rezultatai!$H$33:$DC$34,2,FALSE)</f>
        <v>0</v>
      </c>
      <c r="DC79" s="899"/>
      <c r="DD79" s="899"/>
      <c r="DE79" s="900"/>
      <c r="DF79" s="898">
        <f ca="1">HLOOKUP(DF$7,Rezultatai!$H$33:$DC$34,2,FALSE)</f>
        <v>0</v>
      </c>
      <c r="DG79" s="899"/>
      <c r="DH79" s="899"/>
      <c r="DI79" s="900"/>
      <c r="DJ79" s="898">
        <f ca="1">HLOOKUP(DJ$7,Rezultatai!$H$33:$DC$34,2,FALSE)</f>
        <v>0</v>
      </c>
      <c r="DK79" s="899"/>
      <c r="DL79" s="899"/>
      <c r="DM79" s="900"/>
      <c r="DN79" s="898">
        <f ca="1">HLOOKUP(DN$7,Rezultatai!$H$33:$DC$34,2,FALSE)</f>
        <v>0</v>
      </c>
      <c r="DO79" s="899"/>
      <c r="DP79" s="899"/>
      <c r="DQ79" s="900"/>
      <c r="DR79" s="898">
        <f ca="1">HLOOKUP(DR$7,Rezultatai!$H$33:$DC$34,2,FALSE)</f>
        <v>0</v>
      </c>
      <c r="DS79" s="899"/>
      <c r="DT79" s="899"/>
      <c r="DU79" s="900"/>
      <c r="DV79" s="898">
        <f ca="1">HLOOKUP(DV$7,Rezultatai!$H$33:$DC$34,2,FALSE)</f>
        <v>0</v>
      </c>
      <c r="DW79" s="899"/>
      <c r="DX79" s="899"/>
      <c r="DY79" s="900"/>
      <c r="DZ79" s="898">
        <f ca="1">HLOOKUP(DZ$7,Rezultatai!$H$33:$DC$34,2,FALSE)</f>
        <v>0</v>
      </c>
      <c r="EA79" s="899"/>
      <c r="EB79" s="899"/>
      <c r="EC79" s="900"/>
      <c r="ED79" s="898">
        <f ca="1">HLOOKUP(ED$7,Rezultatai!$H$33:$DC$34,2,FALSE)</f>
        <v>0</v>
      </c>
      <c r="EE79" s="899"/>
      <c r="EF79" s="899"/>
      <c r="EG79" s="900"/>
      <c r="EH79" s="898">
        <f ca="1">HLOOKUP(EH$7,Rezultatai!$H$33:$DC$34,2,FALSE)</f>
        <v>0</v>
      </c>
      <c r="EI79" s="899"/>
      <c r="EJ79" s="899"/>
      <c r="EK79" s="900"/>
      <c r="EL79" s="898">
        <f ca="1">HLOOKUP(EL$7,Rezultatai!$H$33:$DC$34,2,FALSE)</f>
        <v>0</v>
      </c>
      <c r="EM79" s="899"/>
      <c r="EN79" s="899"/>
      <c r="EO79" s="900"/>
      <c r="EP79" s="898">
        <f ca="1">HLOOKUP(EP$7,Rezultatai!$H$33:$DC$34,2,FALSE)</f>
        <v>0</v>
      </c>
      <c r="EQ79" s="899"/>
      <c r="ER79" s="899"/>
      <c r="ES79" s="900"/>
      <c r="ET79" s="898">
        <f ca="1">HLOOKUP(ET$7,Rezultatai!$H$33:$DC$34,2,FALSE)</f>
        <v>0</v>
      </c>
      <c r="EU79" s="899"/>
      <c r="EV79" s="899"/>
      <c r="EW79" s="900"/>
      <c r="EX79" s="898">
        <f ca="1">HLOOKUP(EX$7,Rezultatai!$H$33:$DC$34,2,FALSE)</f>
        <v>0</v>
      </c>
      <c r="EY79" s="899"/>
      <c r="EZ79" s="899"/>
      <c r="FA79" s="900"/>
      <c r="FB79" s="898">
        <f ca="1">HLOOKUP(FB$7,Rezultatai!$H$33:$DC$34,2,FALSE)</f>
        <v>0</v>
      </c>
      <c r="FC79" s="899"/>
      <c r="FD79" s="899"/>
      <c r="FE79" s="900"/>
      <c r="FF79" s="898">
        <f ca="1">HLOOKUP(FF$7,Rezultatai!$H$33:$DC$34,2,FALSE)</f>
        <v>0</v>
      </c>
      <c r="FG79" s="899"/>
      <c r="FH79" s="899"/>
      <c r="FI79" s="900"/>
      <c r="FJ79" s="898">
        <f ca="1">HLOOKUP(FJ$7,Rezultatai!$H$33:$DC$34,2,FALSE)</f>
        <v>0</v>
      </c>
      <c r="FK79" s="899"/>
      <c r="FL79" s="899"/>
      <c r="FM79" s="900"/>
      <c r="FN79" s="898">
        <f ca="1">HLOOKUP(FN$7,Rezultatai!$H$33:$DC$34,2,FALSE)</f>
        <v>0</v>
      </c>
      <c r="FO79" s="899"/>
      <c r="FP79" s="899"/>
      <c r="FQ79" s="900"/>
      <c r="FR79" s="898">
        <f ca="1">HLOOKUP(FR$7,Rezultatai!$H$33:$DC$34,2,FALSE)</f>
        <v>0</v>
      </c>
      <c r="FS79" s="899"/>
      <c r="FT79" s="899"/>
      <c r="FU79" s="900"/>
      <c r="FV79" s="898">
        <f ca="1">HLOOKUP(FV$7,Rezultatai!$H$33:$DC$34,2,FALSE)</f>
        <v>0</v>
      </c>
      <c r="FW79" s="899"/>
      <c r="FX79" s="899"/>
      <c r="FY79" s="900"/>
      <c r="FZ79" s="898">
        <f ca="1">HLOOKUP(FZ$7,Rezultatai!$H$33:$DC$34,2,FALSE)</f>
        <v>0</v>
      </c>
      <c r="GA79" s="899"/>
      <c r="GB79" s="899"/>
      <c r="GC79" s="900"/>
      <c r="GD79" s="898">
        <f ca="1">HLOOKUP(GD$7,Rezultatai!$H$33:$DC$34,2,FALSE)</f>
        <v>0</v>
      </c>
      <c r="GE79" s="899"/>
      <c r="GF79" s="899"/>
      <c r="GG79" s="900"/>
      <c r="GH79" s="898">
        <f ca="1">HLOOKUP(GH$7,Rezultatai!$H$33:$DC$34,2,FALSE)</f>
        <v>0</v>
      </c>
      <c r="GI79" s="899"/>
      <c r="GJ79" s="899"/>
      <c r="GK79" s="900"/>
      <c r="GL79" s="898">
        <f ca="1">HLOOKUP(GL$7,Rezultatai!$H$33:$DC$34,2,FALSE)</f>
        <v>0</v>
      </c>
      <c r="GM79" s="899"/>
      <c r="GN79" s="899"/>
      <c r="GO79" s="900"/>
      <c r="GP79" s="898">
        <f ca="1">HLOOKUP(GP$7,Rezultatai!$H$33:$DC$34,2,FALSE)</f>
        <v>0</v>
      </c>
      <c r="GQ79" s="899"/>
      <c r="GR79" s="899"/>
      <c r="GS79" s="900"/>
      <c r="GT79" s="898">
        <f ca="1">HLOOKUP(GT$7,Rezultatai!$H$33:$DC$34,2,FALSE)</f>
        <v>0</v>
      </c>
      <c r="GU79" s="899"/>
      <c r="GV79" s="899"/>
      <c r="GW79" s="900"/>
      <c r="GX79" s="898">
        <f ca="1">HLOOKUP(GX$7,Rezultatai!$H$33:$DC$34,2,FALSE)</f>
        <v>0</v>
      </c>
      <c r="GY79" s="899"/>
      <c r="GZ79" s="899"/>
      <c r="HA79" s="900"/>
      <c r="HB79" s="898">
        <f ca="1">HLOOKUP(HB$7,Rezultatai!$H$33:$DC$34,2,FALSE)</f>
        <v>0</v>
      </c>
      <c r="HC79" s="899"/>
      <c r="HD79" s="899"/>
      <c r="HE79" s="900"/>
      <c r="HF79" s="898">
        <f ca="1">HLOOKUP(HF$7,Rezultatai!$H$33:$DC$34,2,FALSE)</f>
        <v>0</v>
      </c>
      <c r="HG79" s="899"/>
      <c r="HH79" s="899"/>
      <c r="HI79" s="900"/>
      <c r="HJ79" s="898">
        <f ca="1">HLOOKUP(HJ$7,Rezultatai!$H$33:$DC$34,2,FALSE)</f>
        <v>0</v>
      </c>
      <c r="HK79" s="899"/>
      <c r="HL79" s="899"/>
      <c r="HM79" s="900"/>
      <c r="HN79" s="898">
        <f ca="1">HLOOKUP(HN$7,Rezultatai!$H$33:$DC$34,2,FALSE)</f>
        <v>0</v>
      </c>
      <c r="HO79" s="899"/>
      <c r="HP79" s="899"/>
      <c r="HQ79" s="900"/>
      <c r="HR79" s="898">
        <f ca="1">HLOOKUP(HR$7,Rezultatai!$H$33:$DC$34,2,FALSE)</f>
        <v>0</v>
      </c>
      <c r="HS79" s="899"/>
      <c r="HT79" s="899"/>
      <c r="HU79" s="900"/>
      <c r="HV79" s="898">
        <f ca="1">HLOOKUP(HV$7,Rezultatai!$H$33:$DC$34,2,FALSE)</f>
        <v>0</v>
      </c>
      <c r="HW79" s="899"/>
      <c r="HX79" s="899"/>
      <c r="HY79" s="900"/>
      <c r="HZ79" s="898">
        <f ca="1">HLOOKUP(HZ$7,Rezultatai!$H$33:$DC$34,2,FALSE)</f>
        <v>0</v>
      </c>
      <c r="IA79" s="899"/>
      <c r="IB79" s="899"/>
      <c r="IC79" s="900"/>
      <c r="ID79" s="898">
        <f ca="1">HLOOKUP(ID$7,Rezultatai!$H$33:$DC$34,2,FALSE)</f>
        <v>0</v>
      </c>
      <c r="IE79" s="899"/>
      <c r="IF79" s="899"/>
      <c r="IG79" s="900"/>
      <c r="IH79" s="898">
        <f ca="1">HLOOKUP(IH$7,Rezultatai!$H$33:$DC$34,2,FALSE)</f>
        <v>0</v>
      </c>
      <c r="II79" s="899"/>
      <c r="IJ79" s="899"/>
      <c r="IK79" s="900"/>
      <c r="IL79" s="898">
        <f ca="1">HLOOKUP(IL$7,Rezultatai!$H$33:$DC$34,2,FALSE)</f>
        <v>0</v>
      </c>
      <c r="IM79" s="899"/>
      <c r="IN79" s="899"/>
      <c r="IO79" s="900"/>
      <c r="IP79" s="898">
        <f ca="1">HLOOKUP(IP$7,Rezultatai!$H$33:$DC$34,2,FALSE)</f>
        <v>0</v>
      </c>
      <c r="IQ79" s="899"/>
      <c r="IR79" s="899"/>
      <c r="IS79" s="900"/>
      <c r="IT79" s="898">
        <f ca="1">HLOOKUP(IT$7,Rezultatai!$H$33:$DC$34,2,FALSE)</f>
        <v>0</v>
      </c>
      <c r="IU79" s="899"/>
      <c r="IV79" s="899"/>
      <c r="IW79" s="900"/>
      <c r="IX79" s="898">
        <f ca="1">HLOOKUP(IX$7,Rezultatai!$H$33:$DC$34,2,FALSE)</f>
        <v>0</v>
      </c>
      <c r="IY79" s="899"/>
      <c r="IZ79" s="899"/>
      <c r="JA79" s="900"/>
      <c r="JB79" s="898">
        <f ca="1">HLOOKUP(JB$7,Rezultatai!$H$33:$DC$34,2,FALSE)</f>
        <v>0</v>
      </c>
      <c r="JC79" s="899"/>
      <c r="JD79" s="899"/>
      <c r="JE79" s="900"/>
      <c r="JF79" s="898">
        <f ca="1">HLOOKUP(JF$7,Rezultatai!$H$33:$DC$34,2,FALSE)</f>
        <v>0</v>
      </c>
      <c r="JG79" s="899"/>
      <c r="JH79" s="899"/>
      <c r="JI79" s="900"/>
      <c r="JJ79" s="898">
        <f ca="1">HLOOKUP(JJ$7,Rezultatai!$H$33:$DC$34,2,FALSE)</f>
        <v>0</v>
      </c>
      <c r="JK79" s="899"/>
      <c r="JL79" s="899"/>
      <c r="JM79" s="900"/>
      <c r="JN79" s="898">
        <f ca="1">HLOOKUP(JN$7,Rezultatai!$H$33:$DC$34,2,FALSE)</f>
        <v>0</v>
      </c>
      <c r="JO79" s="899"/>
      <c r="JP79" s="899"/>
      <c r="JQ79" s="900"/>
      <c r="JR79" s="898">
        <f ca="1">HLOOKUP(JR$7,Rezultatai!$H$33:$DC$34,2,FALSE)</f>
        <v>0</v>
      </c>
      <c r="JS79" s="899"/>
      <c r="JT79" s="899"/>
      <c r="JU79" s="900"/>
      <c r="JV79" s="898">
        <f ca="1">HLOOKUP(JV$7,Rezultatai!$H$33:$DC$34,2,FALSE)</f>
        <v>0</v>
      </c>
      <c r="JW79" s="899"/>
      <c r="JX79" s="899"/>
      <c r="JY79" s="900"/>
      <c r="JZ79" s="898">
        <f ca="1">HLOOKUP(JZ$7,Rezultatai!$H$33:$DC$34,2,FALSE)</f>
        <v>0</v>
      </c>
      <c r="KA79" s="899"/>
      <c r="KB79" s="899"/>
      <c r="KC79" s="900"/>
      <c r="KD79" s="898">
        <f ca="1">HLOOKUP(KD$7,Rezultatai!$H$33:$DC$34,2,FALSE)</f>
        <v>0</v>
      </c>
      <c r="KE79" s="899"/>
      <c r="KF79" s="899"/>
      <c r="KG79" s="900"/>
      <c r="KH79" s="898">
        <f ca="1">HLOOKUP(KH$7,Rezultatai!$H$33:$DC$34,2,FALSE)</f>
        <v>0</v>
      </c>
      <c r="KI79" s="899"/>
      <c r="KJ79" s="899"/>
      <c r="KK79" s="900"/>
      <c r="KL79" s="898">
        <f ca="1">HLOOKUP(KL$7,Rezultatai!$H$33:$DC$34,2,FALSE)</f>
        <v>0</v>
      </c>
      <c r="KM79" s="899"/>
      <c r="KN79" s="899"/>
      <c r="KO79" s="900"/>
      <c r="KP79" s="898">
        <f ca="1">HLOOKUP(KP$7,Rezultatai!$H$33:$DC$34,2,FALSE)</f>
        <v>0</v>
      </c>
      <c r="KQ79" s="899"/>
      <c r="KR79" s="899"/>
      <c r="KS79" s="900"/>
      <c r="KT79" s="898">
        <f ca="1">HLOOKUP(KT$7,Rezultatai!$H$33:$DC$34,2,FALSE)</f>
        <v>0</v>
      </c>
      <c r="KU79" s="899"/>
      <c r="KV79" s="899"/>
      <c r="KW79" s="900"/>
      <c r="KX79" s="898">
        <f ca="1">HLOOKUP(KX$7,Rezultatai!$H$33:$DC$34,2,FALSE)</f>
        <v>0</v>
      </c>
      <c r="KY79" s="899"/>
      <c r="KZ79" s="899"/>
      <c r="LA79" s="900"/>
      <c r="LB79" s="898">
        <f ca="1">HLOOKUP(LB$7,Rezultatai!$H$33:$DC$34,2,FALSE)</f>
        <v>0</v>
      </c>
      <c r="LC79" s="899"/>
      <c r="LD79" s="899"/>
      <c r="LE79" s="900"/>
      <c r="LF79" s="898">
        <f ca="1">HLOOKUP(LF$7,Rezultatai!$H$33:$DC$34,2,FALSE)</f>
        <v>0</v>
      </c>
      <c r="LG79" s="899"/>
      <c r="LH79" s="899"/>
      <c r="LI79" s="900"/>
      <c r="LJ79" s="898">
        <f ca="1">HLOOKUP(LJ$7,Rezultatai!$H$33:$DC$34,2,FALSE)</f>
        <v>0</v>
      </c>
      <c r="LK79" s="899"/>
      <c r="LL79" s="899"/>
      <c r="LM79" s="900"/>
    </row>
    <row r="80" spans="1:325">
      <c r="A80" s="310"/>
      <c r="B80" s="309" t="s">
        <v>556</v>
      </c>
      <c r="C80" s="297" t="s">
        <v>448</v>
      </c>
      <c r="D80" s="328"/>
      <c r="E80" s="328">
        <f ca="1">SUMIF($F$6:$LM$6,"&lt;="&amp;PAL,$F80:$LM80)</f>
        <v>0</v>
      </c>
      <c r="F80" s="876"/>
      <c r="G80" s="877"/>
      <c r="H80" s="877"/>
      <c r="I80" s="878"/>
      <c r="J80" s="876"/>
      <c r="K80" s="877"/>
      <c r="L80" s="877"/>
      <c r="M80" s="878"/>
      <c r="N80" s="876"/>
      <c r="O80" s="877"/>
      <c r="P80" s="877"/>
      <c r="Q80" s="878"/>
      <c r="R80" s="876"/>
      <c r="S80" s="877"/>
      <c r="T80" s="877"/>
      <c r="U80" s="878"/>
      <c r="V80" s="876"/>
      <c r="W80" s="877"/>
      <c r="X80" s="877"/>
      <c r="Y80" s="878"/>
      <c r="Z80" s="876"/>
      <c r="AA80" s="877"/>
      <c r="AB80" s="877"/>
      <c r="AC80" s="878"/>
      <c r="AD80" s="876"/>
      <c r="AE80" s="877"/>
      <c r="AF80" s="877"/>
      <c r="AG80" s="878"/>
      <c r="AH80" s="876"/>
      <c r="AI80" s="877"/>
      <c r="AJ80" s="877"/>
      <c r="AK80" s="878"/>
      <c r="AL80" s="876"/>
      <c r="AM80" s="877"/>
      <c r="AN80" s="877"/>
      <c r="AO80" s="878"/>
      <c r="AP80" s="876"/>
      <c r="AQ80" s="877"/>
      <c r="AR80" s="877"/>
      <c r="AS80" s="878"/>
      <c r="AT80" s="876"/>
      <c r="AU80" s="877"/>
      <c r="AV80" s="877"/>
      <c r="AW80" s="878"/>
      <c r="AX80" s="876"/>
      <c r="AY80" s="877"/>
      <c r="AZ80" s="877"/>
      <c r="BA80" s="878"/>
      <c r="BB80" s="876"/>
      <c r="BC80" s="877"/>
      <c r="BD80" s="877"/>
      <c r="BE80" s="878"/>
      <c r="BF80" s="876"/>
      <c r="BG80" s="877"/>
      <c r="BH80" s="877"/>
      <c r="BI80" s="878"/>
      <c r="BJ80" s="876"/>
      <c r="BK80" s="877"/>
      <c r="BL80" s="877"/>
      <c r="BM80" s="878"/>
      <c r="BN80" s="876"/>
      <c r="BO80" s="877"/>
      <c r="BP80" s="877"/>
      <c r="BQ80" s="878"/>
      <c r="BR80" s="876"/>
      <c r="BS80" s="877"/>
      <c r="BT80" s="877"/>
      <c r="BU80" s="878"/>
      <c r="BV80" s="876"/>
      <c r="BW80" s="877"/>
      <c r="BX80" s="877"/>
      <c r="BY80" s="878"/>
      <c r="BZ80" s="876"/>
      <c r="CA80" s="877"/>
      <c r="CB80" s="877"/>
      <c r="CC80" s="878"/>
      <c r="CD80" s="876"/>
      <c r="CE80" s="877"/>
      <c r="CF80" s="877"/>
      <c r="CG80" s="878"/>
      <c r="CH80" s="876"/>
      <c r="CI80" s="877"/>
      <c r="CJ80" s="877"/>
      <c r="CK80" s="878"/>
      <c r="CL80" s="876"/>
      <c r="CM80" s="877"/>
      <c r="CN80" s="877"/>
      <c r="CO80" s="878"/>
      <c r="CP80" s="876"/>
      <c r="CQ80" s="877"/>
      <c r="CR80" s="877"/>
      <c r="CS80" s="878"/>
      <c r="CT80" s="876"/>
      <c r="CU80" s="877"/>
      <c r="CV80" s="877"/>
      <c r="CW80" s="878"/>
      <c r="CX80" s="876"/>
      <c r="CY80" s="877"/>
      <c r="CZ80" s="877"/>
      <c r="DA80" s="878"/>
      <c r="DB80" s="876"/>
      <c r="DC80" s="877"/>
      <c r="DD80" s="877"/>
      <c r="DE80" s="878"/>
      <c r="DF80" s="876"/>
      <c r="DG80" s="877"/>
      <c r="DH80" s="877"/>
      <c r="DI80" s="878"/>
      <c r="DJ80" s="876"/>
      <c r="DK80" s="877"/>
      <c r="DL80" s="877"/>
      <c r="DM80" s="878"/>
      <c r="DN80" s="876"/>
      <c r="DO80" s="877"/>
      <c r="DP80" s="877"/>
      <c r="DQ80" s="878"/>
      <c r="DR80" s="876"/>
      <c r="DS80" s="877"/>
      <c r="DT80" s="877"/>
      <c r="DU80" s="878"/>
      <c r="DV80" s="876"/>
      <c r="DW80" s="877"/>
      <c r="DX80" s="877"/>
      <c r="DY80" s="878"/>
      <c r="DZ80" s="876"/>
      <c r="EA80" s="877"/>
      <c r="EB80" s="877"/>
      <c r="EC80" s="878"/>
      <c r="ED80" s="876"/>
      <c r="EE80" s="877"/>
      <c r="EF80" s="877"/>
      <c r="EG80" s="878"/>
      <c r="EH80" s="876"/>
      <c r="EI80" s="877"/>
      <c r="EJ80" s="877"/>
      <c r="EK80" s="878"/>
      <c r="EL80" s="876"/>
      <c r="EM80" s="877"/>
      <c r="EN80" s="877"/>
      <c r="EO80" s="878"/>
      <c r="EP80" s="876"/>
      <c r="EQ80" s="877"/>
      <c r="ER80" s="877"/>
      <c r="ES80" s="878"/>
      <c r="ET80" s="876"/>
      <c r="EU80" s="877"/>
      <c r="EV80" s="877"/>
      <c r="EW80" s="878"/>
      <c r="EX80" s="876"/>
      <c r="EY80" s="877"/>
      <c r="EZ80" s="877"/>
      <c r="FA80" s="878"/>
      <c r="FB80" s="876"/>
      <c r="FC80" s="877"/>
      <c r="FD80" s="877"/>
      <c r="FE80" s="878"/>
      <c r="FF80" s="876"/>
      <c r="FG80" s="877"/>
      <c r="FH80" s="877"/>
      <c r="FI80" s="878"/>
      <c r="FJ80" s="876"/>
      <c r="FK80" s="877"/>
      <c r="FL80" s="877"/>
      <c r="FM80" s="878"/>
      <c r="FN80" s="876"/>
      <c r="FO80" s="877"/>
      <c r="FP80" s="877"/>
      <c r="FQ80" s="878"/>
      <c r="FR80" s="876"/>
      <c r="FS80" s="877"/>
      <c r="FT80" s="877"/>
      <c r="FU80" s="878"/>
      <c r="FV80" s="876"/>
      <c r="FW80" s="877"/>
      <c r="FX80" s="877"/>
      <c r="FY80" s="878"/>
      <c r="FZ80" s="876"/>
      <c r="GA80" s="877"/>
      <c r="GB80" s="877"/>
      <c r="GC80" s="878"/>
      <c r="GD80" s="876"/>
      <c r="GE80" s="877"/>
      <c r="GF80" s="877"/>
      <c r="GG80" s="878"/>
      <c r="GH80" s="876"/>
      <c r="GI80" s="877"/>
      <c r="GJ80" s="877"/>
      <c r="GK80" s="878"/>
      <c r="GL80" s="876"/>
      <c r="GM80" s="877"/>
      <c r="GN80" s="877"/>
      <c r="GO80" s="878"/>
      <c r="GP80" s="876"/>
      <c r="GQ80" s="877"/>
      <c r="GR80" s="877"/>
      <c r="GS80" s="878"/>
      <c r="GT80" s="876"/>
      <c r="GU80" s="877"/>
      <c r="GV80" s="877"/>
      <c r="GW80" s="878"/>
      <c r="GX80" s="876"/>
      <c r="GY80" s="877"/>
      <c r="GZ80" s="877"/>
      <c r="HA80" s="878"/>
      <c r="HB80" s="876"/>
      <c r="HC80" s="877"/>
      <c r="HD80" s="877"/>
      <c r="HE80" s="878"/>
      <c r="HF80" s="876"/>
      <c r="HG80" s="877"/>
      <c r="HH80" s="877"/>
      <c r="HI80" s="878"/>
      <c r="HJ80" s="876"/>
      <c r="HK80" s="877"/>
      <c r="HL80" s="877"/>
      <c r="HM80" s="878"/>
      <c r="HN80" s="876"/>
      <c r="HO80" s="877"/>
      <c r="HP80" s="877"/>
      <c r="HQ80" s="878"/>
      <c r="HR80" s="876"/>
      <c r="HS80" s="877"/>
      <c r="HT80" s="877"/>
      <c r="HU80" s="878"/>
      <c r="HV80" s="876"/>
      <c r="HW80" s="877"/>
      <c r="HX80" s="877"/>
      <c r="HY80" s="878"/>
      <c r="HZ80" s="876"/>
      <c r="IA80" s="877"/>
      <c r="IB80" s="877"/>
      <c r="IC80" s="878"/>
      <c r="ID80" s="876"/>
      <c r="IE80" s="877"/>
      <c r="IF80" s="877"/>
      <c r="IG80" s="878"/>
      <c r="IH80" s="876"/>
      <c r="II80" s="877"/>
      <c r="IJ80" s="877"/>
      <c r="IK80" s="878"/>
      <c r="IL80" s="876"/>
      <c r="IM80" s="877"/>
      <c r="IN80" s="877"/>
      <c r="IO80" s="878"/>
      <c r="IP80" s="876"/>
      <c r="IQ80" s="877"/>
      <c r="IR80" s="877"/>
      <c r="IS80" s="878"/>
      <c r="IT80" s="876"/>
      <c r="IU80" s="877"/>
      <c r="IV80" s="877"/>
      <c r="IW80" s="878"/>
      <c r="IX80" s="876"/>
      <c r="IY80" s="877"/>
      <c r="IZ80" s="877"/>
      <c r="JA80" s="878"/>
      <c r="JB80" s="876"/>
      <c r="JC80" s="877"/>
      <c r="JD80" s="877"/>
      <c r="JE80" s="878"/>
      <c r="JF80" s="876"/>
      <c r="JG80" s="877"/>
      <c r="JH80" s="877"/>
      <c r="JI80" s="878"/>
      <c r="JJ80" s="876"/>
      <c r="JK80" s="877"/>
      <c r="JL80" s="877"/>
      <c r="JM80" s="878"/>
      <c r="JN80" s="876"/>
      <c r="JO80" s="877"/>
      <c r="JP80" s="877"/>
      <c r="JQ80" s="878"/>
      <c r="JR80" s="876"/>
      <c r="JS80" s="877"/>
      <c r="JT80" s="877"/>
      <c r="JU80" s="878"/>
      <c r="JV80" s="876"/>
      <c r="JW80" s="877"/>
      <c r="JX80" s="877"/>
      <c r="JY80" s="878"/>
      <c r="JZ80" s="876"/>
      <c r="KA80" s="877"/>
      <c r="KB80" s="877"/>
      <c r="KC80" s="878"/>
      <c r="KD80" s="876"/>
      <c r="KE80" s="877"/>
      <c r="KF80" s="877"/>
      <c r="KG80" s="878"/>
      <c r="KH80" s="876"/>
      <c r="KI80" s="877"/>
      <c r="KJ80" s="877"/>
      <c r="KK80" s="878"/>
      <c r="KL80" s="876"/>
      <c r="KM80" s="877"/>
      <c r="KN80" s="877"/>
      <c r="KO80" s="878"/>
      <c r="KP80" s="876"/>
      <c r="KQ80" s="877"/>
      <c r="KR80" s="877"/>
      <c r="KS80" s="878"/>
      <c r="KT80" s="876"/>
      <c r="KU80" s="877"/>
      <c r="KV80" s="877"/>
      <c r="KW80" s="878"/>
      <c r="KX80" s="876"/>
      <c r="KY80" s="877"/>
      <c r="KZ80" s="877"/>
      <c r="LA80" s="878"/>
      <c r="LB80" s="876"/>
      <c r="LC80" s="877"/>
      <c r="LD80" s="877"/>
      <c r="LE80" s="878"/>
      <c r="LF80" s="876"/>
      <c r="LG80" s="877"/>
      <c r="LH80" s="877"/>
      <c r="LI80" s="878"/>
      <c r="LJ80" s="876"/>
      <c r="LK80" s="877"/>
      <c r="LL80" s="877"/>
      <c r="LM80" s="878"/>
    </row>
    <row r="81" spans="1:325">
      <c r="A81" s="310"/>
      <c r="B81" s="309" t="s">
        <v>557</v>
      </c>
      <c r="C81" s="297" t="s">
        <v>447</v>
      </c>
      <c r="D81" s="328"/>
      <c r="E81" s="328">
        <f ca="1">SUMIF($F$6:$LM$6,"&lt;="&amp;PAL,$F81:$LM81)</f>
        <v>0</v>
      </c>
      <c r="F81" s="876"/>
      <c r="G81" s="877"/>
      <c r="H81" s="877"/>
      <c r="I81" s="878"/>
      <c r="J81" s="876"/>
      <c r="K81" s="877"/>
      <c r="L81" s="877"/>
      <c r="M81" s="878"/>
      <c r="N81" s="876"/>
      <c r="O81" s="877"/>
      <c r="P81" s="877"/>
      <c r="Q81" s="878"/>
      <c r="R81" s="876"/>
      <c r="S81" s="877"/>
      <c r="T81" s="877"/>
      <c r="U81" s="878"/>
      <c r="V81" s="876"/>
      <c r="W81" s="877"/>
      <c r="X81" s="877"/>
      <c r="Y81" s="878"/>
      <c r="Z81" s="876"/>
      <c r="AA81" s="877"/>
      <c r="AB81" s="877"/>
      <c r="AC81" s="878"/>
      <c r="AD81" s="876"/>
      <c r="AE81" s="877"/>
      <c r="AF81" s="877"/>
      <c r="AG81" s="878"/>
      <c r="AH81" s="876"/>
      <c r="AI81" s="877"/>
      <c r="AJ81" s="877"/>
      <c r="AK81" s="878"/>
      <c r="AL81" s="876"/>
      <c r="AM81" s="877"/>
      <c r="AN81" s="877"/>
      <c r="AO81" s="878"/>
      <c r="AP81" s="876"/>
      <c r="AQ81" s="877"/>
      <c r="AR81" s="877"/>
      <c r="AS81" s="878"/>
      <c r="AT81" s="876"/>
      <c r="AU81" s="877"/>
      <c r="AV81" s="877"/>
      <c r="AW81" s="878"/>
      <c r="AX81" s="876"/>
      <c r="AY81" s="877"/>
      <c r="AZ81" s="877"/>
      <c r="BA81" s="878"/>
      <c r="BB81" s="876"/>
      <c r="BC81" s="877"/>
      <c r="BD81" s="877"/>
      <c r="BE81" s="878"/>
      <c r="BF81" s="876"/>
      <c r="BG81" s="877"/>
      <c r="BH81" s="877"/>
      <c r="BI81" s="878"/>
      <c r="BJ81" s="876"/>
      <c r="BK81" s="877"/>
      <c r="BL81" s="877"/>
      <c r="BM81" s="878"/>
      <c r="BN81" s="876"/>
      <c r="BO81" s="877"/>
      <c r="BP81" s="877"/>
      <c r="BQ81" s="878"/>
      <c r="BR81" s="876"/>
      <c r="BS81" s="877"/>
      <c r="BT81" s="877"/>
      <c r="BU81" s="878"/>
      <c r="BV81" s="876"/>
      <c r="BW81" s="877"/>
      <c r="BX81" s="877"/>
      <c r="BY81" s="878"/>
      <c r="BZ81" s="876"/>
      <c r="CA81" s="877"/>
      <c r="CB81" s="877"/>
      <c r="CC81" s="878"/>
      <c r="CD81" s="876"/>
      <c r="CE81" s="877"/>
      <c r="CF81" s="877"/>
      <c r="CG81" s="878"/>
      <c r="CH81" s="876"/>
      <c r="CI81" s="877"/>
      <c r="CJ81" s="877"/>
      <c r="CK81" s="878"/>
      <c r="CL81" s="876"/>
      <c r="CM81" s="877"/>
      <c r="CN81" s="877"/>
      <c r="CO81" s="878"/>
      <c r="CP81" s="876"/>
      <c r="CQ81" s="877"/>
      <c r="CR81" s="877"/>
      <c r="CS81" s="878"/>
      <c r="CT81" s="876"/>
      <c r="CU81" s="877"/>
      <c r="CV81" s="877"/>
      <c r="CW81" s="878"/>
      <c r="CX81" s="876"/>
      <c r="CY81" s="877"/>
      <c r="CZ81" s="877"/>
      <c r="DA81" s="878"/>
      <c r="DB81" s="876"/>
      <c r="DC81" s="877"/>
      <c r="DD81" s="877"/>
      <c r="DE81" s="878"/>
      <c r="DF81" s="876"/>
      <c r="DG81" s="877"/>
      <c r="DH81" s="877"/>
      <c r="DI81" s="878"/>
      <c r="DJ81" s="876"/>
      <c r="DK81" s="877"/>
      <c r="DL81" s="877"/>
      <c r="DM81" s="878"/>
      <c r="DN81" s="876"/>
      <c r="DO81" s="877"/>
      <c r="DP81" s="877"/>
      <c r="DQ81" s="878"/>
      <c r="DR81" s="876"/>
      <c r="DS81" s="877"/>
      <c r="DT81" s="877"/>
      <c r="DU81" s="878"/>
      <c r="DV81" s="876"/>
      <c r="DW81" s="877"/>
      <c r="DX81" s="877"/>
      <c r="DY81" s="878"/>
      <c r="DZ81" s="876"/>
      <c r="EA81" s="877"/>
      <c r="EB81" s="877"/>
      <c r="EC81" s="878"/>
      <c r="ED81" s="876"/>
      <c r="EE81" s="877"/>
      <c r="EF81" s="877"/>
      <c r="EG81" s="878"/>
      <c r="EH81" s="876"/>
      <c r="EI81" s="877"/>
      <c r="EJ81" s="877"/>
      <c r="EK81" s="878"/>
      <c r="EL81" s="876"/>
      <c r="EM81" s="877"/>
      <c r="EN81" s="877"/>
      <c r="EO81" s="878"/>
      <c r="EP81" s="876"/>
      <c r="EQ81" s="877"/>
      <c r="ER81" s="877"/>
      <c r="ES81" s="878"/>
      <c r="ET81" s="876"/>
      <c r="EU81" s="877"/>
      <c r="EV81" s="877"/>
      <c r="EW81" s="878"/>
      <c r="EX81" s="876"/>
      <c r="EY81" s="877"/>
      <c r="EZ81" s="877"/>
      <c r="FA81" s="878"/>
      <c r="FB81" s="876"/>
      <c r="FC81" s="877"/>
      <c r="FD81" s="877"/>
      <c r="FE81" s="878"/>
      <c r="FF81" s="876"/>
      <c r="FG81" s="877"/>
      <c r="FH81" s="877"/>
      <c r="FI81" s="878"/>
      <c r="FJ81" s="876"/>
      <c r="FK81" s="877"/>
      <c r="FL81" s="877"/>
      <c r="FM81" s="878"/>
      <c r="FN81" s="876"/>
      <c r="FO81" s="877"/>
      <c r="FP81" s="877"/>
      <c r="FQ81" s="878"/>
      <c r="FR81" s="876"/>
      <c r="FS81" s="877"/>
      <c r="FT81" s="877"/>
      <c r="FU81" s="878"/>
      <c r="FV81" s="876"/>
      <c r="FW81" s="877"/>
      <c r="FX81" s="877"/>
      <c r="FY81" s="878"/>
      <c r="FZ81" s="876"/>
      <c r="GA81" s="877"/>
      <c r="GB81" s="877"/>
      <c r="GC81" s="878"/>
      <c r="GD81" s="876"/>
      <c r="GE81" s="877"/>
      <c r="GF81" s="877"/>
      <c r="GG81" s="878"/>
      <c r="GH81" s="876"/>
      <c r="GI81" s="877"/>
      <c r="GJ81" s="877"/>
      <c r="GK81" s="878"/>
      <c r="GL81" s="876"/>
      <c r="GM81" s="877"/>
      <c r="GN81" s="877"/>
      <c r="GO81" s="878"/>
      <c r="GP81" s="876"/>
      <c r="GQ81" s="877"/>
      <c r="GR81" s="877"/>
      <c r="GS81" s="878"/>
      <c r="GT81" s="876"/>
      <c r="GU81" s="877"/>
      <c r="GV81" s="877"/>
      <c r="GW81" s="878"/>
      <c r="GX81" s="876"/>
      <c r="GY81" s="877"/>
      <c r="GZ81" s="877"/>
      <c r="HA81" s="878"/>
      <c r="HB81" s="876"/>
      <c r="HC81" s="877"/>
      <c r="HD81" s="877"/>
      <c r="HE81" s="878"/>
      <c r="HF81" s="876"/>
      <c r="HG81" s="877"/>
      <c r="HH81" s="877"/>
      <c r="HI81" s="878"/>
      <c r="HJ81" s="876"/>
      <c r="HK81" s="877"/>
      <c r="HL81" s="877"/>
      <c r="HM81" s="878"/>
      <c r="HN81" s="876"/>
      <c r="HO81" s="877"/>
      <c r="HP81" s="877"/>
      <c r="HQ81" s="878"/>
      <c r="HR81" s="876"/>
      <c r="HS81" s="877"/>
      <c r="HT81" s="877"/>
      <c r="HU81" s="878"/>
      <c r="HV81" s="876"/>
      <c r="HW81" s="877"/>
      <c r="HX81" s="877"/>
      <c r="HY81" s="878"/>
      <c r="HZ81" s="876"/>
      <c r="IA81" s="877"/>
      <c r="IB81" s="877"/>
      <c r="IC81" s="878"/>
      <c r="ID81" s="876"/>
      <c r="IE81" s="877"/>
      <c r="IF81" s="877"/>
      <c r="IG81" s="878"/>
      <c r="IH81" s="876"/>
      <c r="II81" s="877"/>
      <c r="IJ81" s="877"/>
      <c r="IK81" s="878"/>
      <c r="IL81" s="876"/>
      <c r="IM81" s="877"/>
      <c r="IN81" s="877"/>
      <c r="IO81" s="878"/>
      <c r="IP81" s="876"/>
      <c r="IQ81" s="877"/>
      <c r="IR81" s="877"/>
      <c r="IS81" s="878"/>
      <c r="IT81" s="876"/>
      <c r="IU81" s="877"/>
      <c r="IV81" s="877"/>
      <c r="IW81" s="878"/>
      <c r="IX81" s="876"/>
      <c r="IY81" s="877"/>
      <c r="IZ81" s="877"/>
      <c r="JA81" s="878"/>
      <c r="JB81" s="876"/>
      <c r="JC81" s="877"/>
      <c r="JD81" s="877"/>
      <c r="JE81" s="878"/>
      <c r="JF81" s="876"/>
      <c r="JG81" s="877"/>
      <c r="JH81" s="877"/>
      <c r="JI81" s="878"/>
      <c r="JJ81" s="876"/>
      <c r="JK81" s="877"/>
      <c r="JL81" s="877"/>
      <c r="JM81" s="878"/>
      <c r="JN81" s="876"/>
      <c r="JO81" s="877"/>
      <c r="JP81" s="877"/>
      <c r="JQ81" s="878"/>
      <c r="JR81" s="876"/>
      <c r="JS81" s="877"/>
      <c r="JT81" s="877"/>
      <c r="JU81" s="878"/>
      <c r="JV81" s="876"/>
      <c r="JW81" s="877"/>
      <c r="JX81" s="877"/>
      <c r="JY81" s="878"/>
      <c r="JZ81" s="876"/>
      <c r="KA81" s="877"/>
      <c r="KB81" s="877"/>
      <c r="KC81" s="878"/>
      <c r="KD81" s="876"/>
      <c r="KE81" s="877"/>
      <c r="KF81" s="877"/>
      <c r="KG81" s="878"/>
      <c r="KH81" s="876"/>
      <c r="KI81" s="877"/>
      <c r="KJ81" s="877"/>
      <c r="KK81" s="878"/>
      <c r="KL81" s="876"/>
      <c r="KM81" s="877"/>
      <c r="KN81" s="877"/>
      <c r="KO81" s="878"/>
      <c r="KP81" s="876"/>
      <c r="KQ81" s="877"/>
      <c r="KR81" s="877"/>
      <c r="KS81" s="878"/>
      <c r="KT81" s="876"/>
      <c r="KU81" s="877"/>
      <c r="KV81" s="877"/>
      <c r="KW81" s="878"/>
      <c r="KX81" s="876"/>
      <c r="KY81" s="877"/>
      <c r="KZ81" s="877"/>
      <c r="LA81" s="878"/>
      <c r="LB81" s="876"/>
      <c r="LC81" s="877"/>
      <c r="LD81" s="877"/>
      <c r="LE81" s="878"/>
      <c r="LF81" s="876"/>
      <c r="LG81" s="877"/>
      <c r="LH81" s="877"/>
      <c r="LI81" s="878"/>
      <c r="LJ81" s="876"/>
      <c r="LK81" s="877"/>
      <c r="LL81" s="877"/>
      <c r="LM81" s="878"/>
    </row>
    <row r="82" spans="1:325">
      <c r="A82" s="310" t="str">
        <f>IF(OR(Data3!F5="Grand Total",Data3!F5=0),"",Data3!F5)</f>
        <v>L.1.1.</v>
      </c>
      <c r="B82" s="309" t="s">
        <v>558</v>
      </c>
      <c r="C82" s="347" t="str">
        <f ca="1">IFERROR(VLOOKUP(A82,Rezultatai!$B$44:$F$113,2,FALSE),"")</f>
        <v>Ekonominės diplomatijos plėtros sukurta pridėtinė vertė</v>
      </c>
      <c r="D82" s="328">
        <f ca="1">SUMIF($F$6:$LM$6,"&lt;="&amp;PAL,$F82:$LM82)</f>
        <v>1515715508.6061361</v>
      </c>
      <c r="E82" s="327"/>
      <c r="F82" s="893" t="str">
        <f ca="1">IFERROR(INDEX(Rezultatai!$H$40:$DC$113,MATCH($A82,Rezultatai!$B$40:$B$113,0),MATCH(F$7,Rezultatai!$H$40:$DC$40,0)),"")</f>
        <v/>
      </c>
      <c r="G82" s="888"/>
      <c r="H82" s="888"/>
      <c r="I82" s="889"/>
      <c r="J82" s="893">
        <f ca="1">IFERROR(INDEX(Rezultatai!$H$40:$DC$113,MATCH($A82,Rezultatai!$B$40:$B$113,0),MATCH(J$7,Rezultatai!$H$40:$DC$40,0)),"")</f>
        <v>0</v>
      </c>
      <c r="K82" s="888"/>
      <c r="L82" s="888"/>
      <c r="M82" s="889"/>
      <c r="N82" s="893">
        <f ca="1">IFERROR(INDEX(Rezultatai!$H$40:$DC$113,MATCH($A82,Rezultatai!$B$40:$B$113,0),MATCH(N$7,Rezultatai!$H$40:$DC$40,0)),"")</f>
        <v>20837071.555999976</v>
      </c>
      <c r="O82" s="888"/>
      <c r="P82" s="888"/>
      <c r="Q82" s="889"/>
      <c r="R82" s="893">
        <f ca="1">IFERROR(INDEX(Rezultatai!$H$40:$DC$113,MATCH($A82,Rezultatai!$B$40:$B$113,0),MATCH(R$7,Rezultatai!$H$40:$DC$40,0)),"")</f>
        <v>29659896.624052979</v>
      </c>
      <c r="S82" s="888"/>
      <c r="T82" s="888"/>
      <c r="U82" s="889"/>
      <c r="V82" s="893">
        <f ca="1">IFERROR(INDEX(Rezultatai!$H$40:$DC$113,MATCH($A82,Rezultatai!$B$40:$B$113,0),MATCH(V$7,Rezultatai!$H$40:$DC$40,0)),"")</f>
        <v>68548109.700628564</v>
      </c>
      <c r="W82" s="888"/>
      <c r="X82" s="888"/>
      <c r="Y82" s="889"/>
      <c r="Z82" s="893">
        <f ca="1">IFERROR(INDEX(Rezultatai!$H$40:$DC$113,MATCH($A82,Rezultatai!$B$40:$B$113,0),MATCH(Z$7,Rezultatai!$H$40:$DC$40,0)),"")</f>
        <v>70453951.40923135</v>
      </c>
      <c r="AA82" s="888"/>
      <c r="AB82" s="888"/>
      <c r="AC82" s="889"/>
      <c r="AD82" s="893">
        <f ca="1">IFERROR(INDEX(Rezultatai!$H$40:$DC$113,MATCH($A82,Rezultatai!$B$40:$B$113,0),MATCH(AD$7,Rezultatai!$H$40:$DC$40,0)),"")</f>
        <v>72413829.707424104</v>
      </c>
      <c r="AE82" s="888"/>
      <c r="AF82" s="888"/>
      <c r="AG82" s="889"/>
      <c r="AH82" s="893">
        <f ca="1">IFERROR(INDEX(Rezultatai!$H$40:$DC$113,MATCH($A82,Rezultatai!$B$40:$B$113,0),MATCH(AH$7,Rezultatai!$H$40:$DC$40,0)),"")</f>
        <v>74429287.326307654</v>
      </c>
      <c r="AI82" s="888"/>
      <c r="AJ82" s="888"/>
      <c r="AK82" s="889"/>
      <c r="AL82" s="893">
        <f ca="1">IFERROR(INDEX(Rezultatai!$H$40:$DC$113,MATCH($A82,Rezultatai!$B$40:$B$113,0),MATCH(AL$7,Rezultatai!$H$40:$DC$40,0)),"")</f>
        <v>76501911.152452901</v>
      </c>
      <c r="AM82" s="888"/>
      <c r="AN82" s="888"/>
      <c r="AO82" s="889"/>
      <c r="AP82" s="893">
        <f ca="1">IFERROR(INDEX(Rezultatai!$H$40:$DC$113,MATCH($A82,Rezultatai!$B$40:$B$113,0),MATCH(AP$7,Rezultatai!$H$40:$DC$40,0)),"")</f>
        <v>78633333.492998987</v>
      </c>
      <c r="AQ82" s="888"/>
      <c r="AR82" s="888"/>
      <c r="AS82" s="889"/>
      <c r="AT82" s="893">
        <f ca="1">IFERROR(INDEX(Rezultatai!$H$40:$DC$113,MATCH($A82,Rezultatai!$B$40:$B$113,0),MATCH(AT$7,Rezultatai!$H$40:$DC$40,0)),"")</f>
        <v>80825233.377014697</v>
      </c>
      <c r="AU82" s="888"/>
      <c r="AV82" s="888"/>
      <c r="AW82" s="889"/>
      <c r="AX82" s="893">
        <f ca="1">IFERROR(INDEX(Rezultatai!$H$40:$DC$113,MATCH($A82,Rezultatai!$B$40:$B$113,0),MATCH(AX$7,Rezultatai!$H$40:$DC$40,0)),"")</f>
        <v>83079337.894167215</v>
      </c>
      <c r="AY82" s="888"/>
      <c r="AZ82" s="888"/>
      <c r="BA82" s="889"/>
      <c r="BB82" s="893">
        <f ca="1">IFERROR(INDEX(Rezultatai!$H$40:$DC$113,MATCH($A82,Rezultatai!$B$40:$B$113,0),MATCH(BB$7,Rezultatai!$H$40:$DC$40,0)),"")</f>
        <v>85397423.571763933</v>
      </c>
      <c r="BC82" s="888"/>
      <c r="BD82" s="888"/>
      <c r="BE82" s="889"/>
      <c r="BF82" s="893">
        <f ca="1">IFERROR(INDEX(Rezultatai!$H$40:$DC$113,MATCH($A82,Rezultatai!$B$40:$B$113,0),MATCH(BF$7,Rezultatai!$H$40:$DC$40,0)),"")</f>
        <v>87781317.791271195</v>
      </c>
      <c r="BG82" s="888"/>
      <c r="BH82" s="888"/>
      <c r="BI82" s="889"/>
      <c r="BJ82" s="893">
        <f ca="1">IFERROR(INDEX(Rezultatai!$H$40:$DC$113,MATCH($A82,Rezultatai!$B$40:$B$113,0),MATCH(BJ$7,Rezultatai!$H$40:$DC$40,0)),"")</f>
        <v>90232900.245439783</v>
      </c>
      <c r="BK82" s="888"/>
      <c r="BL82" s="888"/>
      <c r="BM82" s="889"/>
      <c r="BN82" s="893">
        <f ca="1">IFERROR(INDEX(Rezultatai!$H$40:$DC$113,MATCH($A82,Rezultatai!$B$40:$B$113,0),MATCH(BN$7,Rezultatai!$H$40:$DC$40,0)),"")</f>
        <v>92754104.437201709</v>
      </c>
      <c r="BO82" s="888"/>
      <c r="BP82" s="888"/>
      <c r="BQ82" s="889"/>
      <c r="BR82" s="893">
        <f ca="1">IFERROR(INDEX(Rezultatai!$H$40:$DC$113,MATCH($A82,Rezultatai!$B$40:$B$113,0),MATCH(BR$7,Rezultatai!$H$40:$DC$40,0)),"")</f>
        <v>95346919.221538752</v>
      </c>
      <c r="BS82" s="888"/>
      <c r="BT82" s="888"/>
      <c r="BU82" s="889"/>
      <c r="BV82" s="893">
        <f ca="1">IFERROR(INDEX(Rezultatai!$H$40:$DC$113,MATCH($A82,Rezultatai!$B$40:$B$113,0),MATCH(BV$7,Rezultatai!$H$40:$DC$40,0)),"")</f>
        <v>98013390.391550809</v>
      </c>
      <c r="BW82" s="888"/>
      <c r="BX82" s="888"/>
      <c r="BY82" s="889"/>
      <c r="BZ82" s="893">
        <f ca="1">IFERROR(INDEX(Rezultatai!$H$40:$DC$113,MATCH($A82,Rezultatai!$B$40:$B$113,0),MATCH(BZ$7,Rezultatai!$H$40:$DC$40,0)),"")</f>
        <v>100755622.30999547</v>
      </c>
      <c r="CA82" s="888"/>
      <c r="CB82" s="888"/>
      <c r="CC82" s="889"/>
      <c r="CD82" s="893">
        <f ca="1">IFERROR(INDEX(Rezultatai!$H$40:$DC$113,MATCH($A82,Rezultatai!$B$40:$B$113,0),MATCH(CD$7,Rezultatai!$H$40:$DC$40,0)),"")</f>
        <v>103575779.58760116</v>
      </c>
      <c r="CE82" s="888"/>
      <c r="CF82" s="888"/>
      <c r="CG82" s="889"/>
      <c r="CH82" s="893">
        <f ca="1">IFERROR(INDEX(Rezultatai!$H$40:$DC$113,MATCH($A82,Rezultatai!$B$40:$B$113,0),MATCH(CH$7,Rezultatai!$H$40:$DC$40,0)),"")</f>
        <v>106476088.80949479</v>
      </c>
      <c r="CI82" s="888"/>
      <c r="CJ82" s="888"/>
      <c r="CK82" s="889"/>
      <c r="CL82" s="893" t="str">
        <f ca="1">IFERROR(INDEX(Rezultatai!$H$40:$DC$113,MATCH($A82,Rezultatai!$B$40:$B$113,0),MATCH(CL$7,Rezultatai!$H$40:$DC$40,0)),"")</f>
        <v/>
      </c>
      <c r="CM82" s="888"/>
      <c r="CN82" s="888"/>
      <c r="CO82" s="889"/>
      <c r="CP82" s="893" t="str">
        <f ca="1">IFERROR(INDEX(Rezultatai!$H$40:$DC$113,MATCH($A82,Rezultatai!$B$40:$B$113,0),MATCH(CP$7,Rezultatai!$H$40:$DC$40,0)),"")</f>
        <v/>
      </c>
      <c r="CQ82" s="888"/>
      <c r="CR82" s="888"/>
      <c r="CS82" s="889"/>
      <c r="CT82" s="893" t="str">
        <f ca="1">IFERROR(INDEX(Rezultatai!$H$40:$DC$113,MATCH($A82,Rezultatai!$B$40:$B$113,0),MATCH(CT$7,Rezultatai!$H$40:$DC$40,0)),"")</f>
        <v/>
      </c>
      <c r="CU82" s="888"/>
      <c r="CV82" s="888"/>
      <c r="CW82" s="889"/>
      <c r="CX82" s="893" t="str">
        <f ca="1">IFERROR(INDEX(Rezultatai!$H$40:$DC$113,MATCH($A82,Rezultatai!$B$40:$B$113,0),MATCH(CX$7,Rezultatai!$H$40:$DC$40,0)),"")</f>
        <v/>
      </c>
      <c r="CY82" s="888"/>
      <c r="CZ82" s="888"/>
      <c r="DA82" s="889"/>
      <c r="DB82" s="893" t="str">
        <f ca="1">IFERROR(INDEX(Rezultatai!$H$40:$DC$113,MATCH($A82,Rezultatai!$B$40:$B$113,0),MATCH(DB$7,Rezultatai!$H$40:$DC$40,0)),"")</f>
        <v/>
      </c>
      <c r="DC82" s="888"/>
      <c r="DD82" s="888"/>
      <c r="DE82" s="889"/>
      <c r="DF82" s="893" t="str">
        <f ca="1">IFERROR(INDEX(Rezultatai!$H$40:$DC$113,MATCH($A82,Rezultatai!$B$40:$B$113,0),MATCH(DF$7,Rezultatai!$H$40:$DC$40,0)),"")</f>
        <v/>
      </c>
      <c r="DG82" s="888"/>
      <c r="DH82" s="888"/>
      <c r="DI82" s="889"/>
      <c r="DJ82" s="893" t="str">
        <f ca="1">IFERROR(INDEX(Rezultatai!$H$40:$DC$113,MATCH($A82,Rezultatai!$B$40:$B$113,0),MATCH(DJ$7,Rezultatai!$H$40:$DC$40,0)),"")</f>
        <v/>
      </c>
      <c r="DK82" s="888"/>
      <c r="DL82" s="888"/>
      <c r="DM82" s="889"/>
      <c r="DN82" s="893" t="str">
        <f ca="1">IFERROR(INDEX(Rezultatai!$H$40:$DC$113,MATCH($A82,Rezultatai!$B$40:$B$113,0),MATCH(DN$7,Rezultatai!$H$40:$DC$40,0)),"")</f>
        <v/>
      </c>
      <c r="DO82" s="888"/>
      <c r="DP82" s="888"/>
      <c r="DQ82" s="889"/>
      <c r="DR82" s="893" t="str">
        <f ca="1">IFERROR(INDEX(Rezultatai!$H$40:$DC$113,MATCH($A82,Rezultatai!$B$40:$B$113,0),MATCH(DR$7,Rezultatai!$H$40:$DC$40,0)),"")</f>
        <v/>
      </c>
      <c r="DS82" s="888"/>
      <c r="DT82" s="888"/>
      <c r="DU82" s="889"/>
      <c r="DV82" s="893" t="str">
        <f ca="1">IFERROR(INDEX(Rezultatai!$H$40:$DC$113,MATCH($A82,Rezultatai!$B$40:$B$113,0),MATCH(DV$7,Rezultatai!$H$40:$DC$40,0)),"")</f>
        <v/>
      </c>
      <c r="DW82" s="888"/>
      <c r="DX82" s="888"/>
      <c r="DY82" s="889"/>
      <c r="DZ82" s="893" t="str">
        <f ca="1">IFERROR(INDEX(Rezultatai!$H$40:$DC$113,MATCH($A82,Rezultatai!$B$40:$B$113,0),MATCH(DZ$7,Rezultatai!$H$40:$DC$40,0)),"")</f>
        <v/>
      </c>
      <c r="EA82" s="888"/>
      <c r="EB82" s="888"/>
      <c r="EC82" s="889"/>
      <c r="ED82" s="893" t="str">
        <f ca="1">IFERROR(INDEX(Rezultatai!$H$40:$DC$113,MATCH($A82,Rezultatai!$B$40:$B$113,0),MATCH(ED$7,Rezultatai!$H$40:$DC$40,0)),"")</f>
        <v/>
      </c>
      <c r="EE82" s="888"/>
      <c r="EF82" s="888"/>
      <c r="EG82" s="889"/>
      <c r="EH82" s="893" t="str">
        <f ca="1">IFERROR(INDEX(Rezultatai!$H$40:$DC$113,MATCH($A82,Rezultatai!$B$40:$B$113,0),MATCH(EH$7,Rezultatai!$H$40:$DC$40,0)),"")</f>
        <v/>
      </c>
      <c r="EI82" s="888"/>
      <c r="EJ82" s="888"/>
      <c r="EK82" s="889"/>
      <c r="EL82" s="893" t="str">
        <f ca="1">IFERROR(INDEX(Rezultatai!$H$40:$DC$113,MATCH($A82,Rezultatai!$B$40:$B$113,0),MATCH(EL$7,Rezultatai!$H$40:$DC$40,0)),"")</f>
        <v/>
      </c>
      <c r="EM82" s="888"/>
      <c r="EN82" s="888"/>
      <c r="EO82" s="889"/>
      <c r="EP82" s="893" t="str">
        <f ca="1">IFERROR(INDEX(Rezultatai!$H$40:$DC$113,MATCH($A82,Rezultatai!$B$40:$B$113,0),MATCH(EP$7,Rezultatai!$H$40:$DC$40,0)),"")</f>
        <v/>
      </c>
      <c r="EQ82" s="888"/>
      <c r="ER82" s="888"/>
      <c r="ES82" s="889"/>
      <c r="ET82" s="893" t="str">
        <f ca="1">IFERROR(INDEX(Rezultatai!$H$40:$DC$113,MATCH($A82,Rezultatai!$B$40:$B$113,0),MATCH(ET$7,Rezultatai!$H$40:$DC$40,0)),"")</f>
        <v/>
      </c>
      <c r="EU82" s="888"/>
      <c r="EV82" s="888"/>
      <c r="EW82" s="889"/>
      <c r="EX82" s="893" t="str">
        <f ca="1">IFERROR(INDEX(Rezultatai!$H$40:$DC$113,MATCH($A82,Rezultatai!$B$40:$B$113,0),MATCH(EX$7,Rezultatai!$H$40:$DC$40,0)),"")</f>
        <v/>
      </c>
      <c r="EY82" s="888"/>
      <c r="EZ82" s="888"/>
      <c r="FA82" s="889"/>
      <c r="FB82" s="893" t="str">
        <f ca="1">IFERROR(INDEX(Rezultatai!$H$40:$DC$113,MATCH($A82,Rezultatai!$B$40:$B$113,0),MATCH(FB$7,Rezultatai!$H$40:$DC$40,0)),"")</f>
        <v/>
      </c>
      <c r="FC82" s="888"/>
      <c r="FD82" s="888"/>
      <c r="FE82" s="889"/>
      <c r="FF82" s="893" t="str">
        <f ca="1">IFERROR(INDEX(Rezultatai!$H$40:$DC$113,MATCH($A82,Rezultatai!$B$40:$B$113,0),MATCH(FF$7,Rezultatai!$H$40:$DC$40,0)),"")</f>
        <v/>
      </c>
      <c r="FG82" s="888"/>
      <c r="FH82" s="888"/>
      <c r="FI82" s="889"/>
      <c r="FJ82" s="893" t="str">
        <f ca="1">IFERROR(INDEX(Rezultatai!$H$40:$DC$113,MATCH($A82,Rezultatai!$B$40:$B$113,0),MATCH(FJ$7,Rezultatai!$H$40:$DC$40,0)),"")</f>
        <v/>
      </c>
      <c r="FK82" s="888"/>
      <c r="FL82" s="888"/>
      <c r="FM82" s="889"/>
      <c r="FN82" s="893" t="str">
        <f ca="1">IFERROR(INDEX(Rezultatai!$H$40:$DC$113,MATCH($A82,Rezultatai!$B$40:$B$113,0),MATCH(FN$7,Rezultatai!$H$40:$DC$40,0)),"")</f>
        <v/>
      </c>
      <c r="FO82" s="888"/>
      <c r="FP82" s="888"/>
      <c r="FQ82" s="889"/>
      <c r="FR82" s="893" t="str">
        <f ca="1">IFERROR(INDEX(Rezultatai!$H$40:$DC$113,MATCH($A82,Rezultatai!$B$40:$B$113,0),MATCH(FR$7,Rezultatai!$H$40:$DC$40,0)),"")</f>
        <v/>
      </c>
      <c r="FS82" s="888"/>
      <c r="FT82" s="888"/>
      <c r="FU82" s="889"/>
      <c r="FV82" s="893" t="str">
        <f ca="1">IFERROR(INDEX(Rezultatai!$H$40:$DC$113,MATCH($A82,Rezultatai!$B$40:$B$113,0),MATCH(FV$7,Rezultatai!$H$40:$DC$40,0)),"")</f>
        <v/>
      </c>
      <c r="FW82" s="888"/>
      <c r="FX82" s="888"/>
      <c r="FY82" s="889"/>
      <c r="FZ82" s="893" t="str">
        <f ca="1">IFERROR(INDEX(Rezultatai!$H$40:$DC$113,MATCH($A82,Rezultatai!$B$40:$B$113,0),MATCH(FZ$7,Rezultatai!$H$40:$DC$40,0)),"")</f>
        <v/>
      </c>
      <c r="GA82" s="888"/>
      <c r="GB82" s="888"/>
      <c r="GC82" s="889"/>
      <c r="GD82" s="893" t="str">
        <f ca="1">IFERROR(INDEX(Rezultatai!$H$40:$DC$113,MATCH($A82,Rezultatai!$B$40:$B$113,0),MATCH(GD$7,Rezultatai!$H$40:$DC$40,0)),"")</f>
        <v/>
      </c>
      <c r="GE82" s="888"/>
      <c r="GF82" s="888"/>
      <c r="GG82" s="889"/>
      <c r="GH82" s="893" t="str">
        <f ca="1">IFERROR(INDEX(Rezultatai!$H$40:$DC$113,MATCH($A82,Rezultatai!$B$40:$B$113,0),MATCH(GH$7,Rezultatai!$H$40:$DC$40,0)),"")</f>
        <v/>
      </c>
      <c r="GI82" s="888"/>
      <c r="GJ82" s="888"/>
      <c r="GK82" s="889"/>
      <c r="GL82" s="893" t="str">
        <f ca="1">IFERROR(INDEX(Rezultatai!$H$40:$DC$113,MATCH($A82,Rezultatai!$B$40:$B$113,0),MATCH(GL$7,Rezultatai!$H$40:$DC$40,0)),"")</f>
        <v/>
      </c>
      <c r="GM82" s="888"/>
      <c r="GN82" s="888"/>
      <c r="GO82" s="889"/>
      <c r="GP82" s="893" t="str">
        <f ca="1">IFERROR(INDEX(Rezultatai!$H$40:$DC$113,MATCH($A82,Rezultatai!$B$40:$B$113,0),MATCH(GP$7,Rezultatai!$H$40:$DC$40,0)),"")</f>
        <v/>
      </c>
      <c r="GQ82" s="888"/>
      <c r="GR82" s="888"/>
      <c r="GS82" s="889"/>
      <c r="GT82" s="893" t="str">
        <f ca="1">IFERROR(INDEX(Rezultatai!$H$40:$DC$113,MATCH($A82,Rezultatai!$B$40:$B$113,0),MATCH(GT$7,Rezultatai!$H$40:$DC$40,0)),"")</f>
        <v/>
      </c>
      <c r="GU82" s="888"/>
      <c r="GV82" s="888"/>
      <c r="GW82" s="889"/>
      <c r="GX82" s="893" t="str">
        <f ca="1">IFERROR(INDEX(Rezultatai!$H$40:$DC$113,MATCH($A82,Rezultatai!$B$40:$B$113,0),MATCH(GX$7,Rezultatai!$H$40:$DC$40,0)),"")</f>
        <v/>
      </c>
      <c r="GY82" s="888"/>
      <c r="GZ82" s="888"/>
      <c r="HA82" s="889"/>
      <c r="HB82" s="893" t="str">
        <f ca="1">IFERROR(INDEX(Rezultatai!$H$40:$DC$113,MATCH($A82,Rezultatai!$B$40:$B$113,0),MATCH(HB$7,Rezultatai!$H$40:$DC$40,0)),"")</f>
        <v/>
      </c>
      <c r="HC82" s="888"/>
      <c r="HD82" s="888"/>
      <c r="HE82" s="889"/>
      <c r="HF82" s="893" t="str">
        <f ca="1">IFERROR(INDEX(Rezultatai!$H$40:$DC$113,MATCH($A82,Rezultatai!$B$40:$B$113,0),MATCH(HF$7,Rezultatai!$H$40:$DC$40,0)),"")</f>
        <v/>
      </c>
      <c r="HG82" s="888"/>
      <c r="HH82" s="888"/>
      <c r="HI82" s="889"/>
      <c r="HJ82" s="893" t="str">
        <f ca="1">IFERROR(INDEX(Rezultatai!$H$40:$DC$113,MATCH($A82,Rezultatai!$B$40:$B$113,0),MATCH(HJ$7,Rezultatai!$H$40:$DC$40,0)),"")</f>
        <v/>
      </c>
      <c r="HK82" s="888"/>
      <c r="HL82" s="888"/>
      <c r="HM82" s="889"/>
      <c r="HN82" s="893" t="str">
        <f ca="1">IFERROR(INDEX(Rezultatai!$H$40:$DC$113,MATCH($A82,Rezultatai!$B$40:$B$113,0),MATCH(HN$7,Rezultatai!$H$40:$DC$40,0)),"")</f>
        <v/>
      </c>
      <c r="HO82" s="888"/>
      <c r="HP82" s="888"/>
      <c r="HQ82" s="889"/>
      <c r="HR82" s="893" t="str">
        <f ca="1">IFERROR(INDEX(Rezultatai!$H$40:$DC$113,MATCH($A82,Rezultatai!$B$40:$B$113,0),MATCH(HR$7,Rezultatai!$H$40:$DC$40,0)),"")</f>
        <v/>
      </c>
      <c r="HS82" s="888"/>
      <c r="HT82" s="888"/>
      <c r="HU82" s="889"/>
      <c r="HV82" s="893" t="str">
        <f ca="1">IFERROR(INDEX(Rezultatai!$H$40:$DC$113,MATCH($A82,Rezultatai!$B$40:$B$113,0),MATCH(HV$7,Rezultatai!$H$40:$DC$40,0)),"")</f>
        <v/>
      </c>
      <c r="HW82" s="888"/>
      <c r="HX82" s="888"/>
      <c r="HY82" s="889"/>
      <c r="HZ82" s="893" t="str">
        <f ca="1">IFERROR(INDEX(Rezultatai!$H$40:$DC$113,MATCH($A82,Rezultatai!$B$40:$B$113,0),MATCH(HZ$7,Rezultatai!$H$40:$DC$40,0)),"")</f>
        <v/>
      </c>
      <c r="IA82" s="888"/>
      <c r="IB82" s="888"/>
      <c r="IC82" s="889"/>
      <c r="ID82" s="893" t="str">
        <f ca="1">IFERROR(INDEX(Rezultatai!$H$40:$DC$113,MATCH($A82,Rezultatai!$B$40:$B$113,0),MATCH(ID$7,Rezultatai!$H$40:$DC$40,0)),"")</f>
        <v/>
      </c>
      <c r="IE82" s="888"/>
      <c r="IF82" s="888"/>
      <c r="IG82" s="889"/>
      <c r="IH82" s="893" t="str">
        <f ca="1">IFERROR(INDEX(Rezultatai!$H$40:$DC$113,MATCH($A82,Rezultatai!$B$40:$B$113,0),MATCH(IH$7,Rezultatai!$H$40:$DC$40,0)),"")</f>
        <v/>
      </c>
      <c r="II82" s="888"/>
      <c r="IJ82" s="888"/>
      <c r="IK82" s="889"/>
      <c r="IL82" s="893" t="str">
        <f ca="1">IFERROR(INDEX(Rezultatai!$H$40:$DC$113,MATCH($A82,Rezultatai!$B$40:$B$113,0),MATCH(IL$7,Rezultatai!$H$40:$DC$40,0)),"")</f>
        <v/>
      </c>
      <c r="IM82" s="888"/>
      <c r="IN82" s="888"/>
      <c r="IO82" s="889"/>
      <c r="IP82" s="893" t="str">
        <f ca="1">IFERROR(INDEX(Rezultatai!$H$40:$DC$113,MATCH($A82,Rezultatai!$B$40:$B$113,0),MATCH(IP$7,Rezultatai!$H$40:$DC$40,0)),"")</f>
        <v/>
      </c>
      <c r="IQ82" s="888"/>
      <c r="IR82" s="888"/>
      <c r="IS82" s="889"/>
      <c r="IT82" s="893" t="str">
        <f ca="1">IFERROR(INDEX(Rezultatai!$H$40:$DC$113,MATCH($A82,Rezultatai!$B$40:$B$113,0),MATCH(IT$7,Rezultatai!$H$40:$DC$40,0)),"")</f>
        <v/>
      </c>
      <c r="IU82" s="888"/>
      <c r="IV82" s="888"/>
      <c r="IW82" s="889"/>
      <c r="IX82" s="893" t="str">
        <f ca="1">IFERROR(INDEX(Rezultatai!$H$40:$DC$113,MATCH($A82,Rezultatai!$B$40:$B$113,0),MATCH(IX$7,Rezultatai!$H$40:$DC$40,0)),"")</f>
        <v/>
      </c>
      <c r="IY82" s="888"/>
      <c r="IZ82" s="888"/>
      <c r="JA82" s="889"/>
      <c r="JB82" s="893" t="str">
        <f ca="1">IFERROR(INDEX(Rezultatai!$H$40:$DC$113,MATCH($A82,Rezultatai!$B$40:$B$113,0),MATCH(JB$7,Rezultatai!$H$40:$DC$40,0)),"")</f>
        <v/>
      </c>
      <c r="JC82" s="888"/>
      <c r="JD82" s="888"/>
      <c r="JE82" s="889"/>
      <c r="JF82" s="893" t="str">
        <f ca="1">IFERROR(INDEX(Rezultatai!$H$40:$DC$113,MATCH($A82,Rezultatai!$B$40:$B$113,0),MATCH(JF$7,Rezultatai!$H$40:$DC$40,0)),"")</f>
        <v/>
      </c>
      <c r="JG82" s="888"/>
      <c r="JH82" s="888"/>
      <c r="JI82" s="889"/>
      <c r="JJ82" s="893" t="str">
        <f ca="1">IFERROR(INDEX(Rezultatai!$H$40:$DC$113,MATCH($A82,Rezultatai!$B$40:$B$113,0),MATCH(JJ$7,Rezultatai!$H$40:$DC$40,0)),"")</f>
        <v/>
      </c>
      <c r="JK82" s="888"/>
      <c r="JL82" s="888"/>
      <c r="JM82" s="889"/>
      <c r="JN82" s="893" t="str">
        <f ca="1">IFERROR(INDEX(Rezultatai!$H$40:$DC$113,MATCH($A82,Rezultatai!$B$40:$B$113,0),MATCH(JN$7,Rezultatai!$H$40:$DC$40,0)),"")</f>
        <v/>
      </c>
      <c r="JO82" s="888"/>
      <c r="JP82" s="888"/>
      <c r="JQ82" s="889"/>
      <c r="JR82" s="893" t="str">
        <f ca="1">IFERROR(INDEX(Rezultatai!$H$40:$DC$113,MATCH($A82,Rezultatai!$B$40:$B$113,0),MATCH(JR$7,Rezultatai!$H$40:$DC$40,0)),"")</f>
        <v/>
      </c>
      <c r="JS82" s="888"/>
      <c r="JT82" s="888"/>
      <c r="JU82" s="889"/>
      <c r="JV82" s="893" t="str">
        <f ca="1">IFERROR(INDEX(Rezultatai!$H$40:$DC$113,MATCH($A82,Rezultatai!$B$40:$B$113,0),MATCH(JV$7,Rezultatai!$H$40:$DC$40,0)),"")</f>
        <v/>
      </c>
      <c r="JW82" s="888"/>
      <c r="JX82" s="888"/>
      <c r="JY82" s="889"/>
      <c r="JZ82" s="893" t="str">
        <f ca="1">IFERROR(INDEX(Rezultatai!$H$40:$DC$113,MATCH($A82,Rezultatai!$B$40:$B$113,0),MATCH(JZ$7,Rezultatai!$H$40:$DC$40,0)),"")</f>
        <v/>
      </c>
      <c r="KA82" s="888"/>
      <c r="KB82" s="888"/>
      <c r="KC82" s="889"/>
      <c r="KD82" s="893" t="str">
        <f ca="1">IFERROR(INDEX(Rezultatai!$H$40:$DC$113,MATCH($A82,Rezultatai!$B$40:$B$113,0),MATCH(KD$7,Rezultatai!$H$40:$DC$40,0)),"")</f>
        <v/>
      </c>
      <c r="KE82" s="888"/>
      <c r="KF82" s="888"/>
      <c r="KG82" s="889"/>
      <c r="KH82" s="893" t="str">
        <f ca="1">IFERROR(INDEX(Rezultatai!$H$40:$DC$113,MATCH($A82,Rezultatai!$B$40:$B$113,0),MATCH(KH$7,Rezultatai!$H$40:$DC$40,0)),"")</f>
        <v/>
      </c>
      <c r="KI82" s="888"/>
      <c r="KJ82" s="888"/>
      <c r="KK82" s="889"/>
      <c r="KL82" s="893" t="str">
        <f ca="1">IFERROR(INDEX(Rezultatai!$H$40:$DC$113,MATCH($A82,Rezultatai!$B$40:$B$113,0),MATCH(KL$7,Rezultatai!$H$40:$DC$40,0)),"")</f>
        <v/>
      </c>
      <c r="KM82" s="888"/>
      <c r="KN82" s="888"/>
      <c r="KO82" s="889"/>
      <c r="KP82" s="893" t="str">
        <f ca="1">IFERROR(INDEX(Rezultatai!$H$40:$DC$113,MATCH($A82,Rezultatai!$B$40:$B$113,0),MATCH(KP$7,Rezultatai!$H$40:$DC$40,0)),"")</f>
        <v/>
      </c>
      <c r="KQ82" s="888"/>
      <c r="KR82" s="888"/>
      <c r="KS82" s="889"/>
      <c r="KT82" s="893" t="str">
        <f ca="1">IFERROR(INDEX(Rezultatai!$H$40:$DC$113,MATCH($A82,Rezultatai!$B$40:$B$113,0),MATCH(KT$7,Rezultatai!$H$40:$DC$40,0)),"")</f>
        <v/>
      </c>
      <c r="KU82" s="888"/>
      <c r="KV82" s="888"/>
      <c r="KW82" s="889"/>
      <c r="KX82" s="893" t="str">
        <f ca="1">IFERROR(INDEX(Rezultatai!$H$40:$DC$113,MATCH($A82,Rezultatai!$B$40:$B$113,0),MATCH(KX$7,Rezultatai!$H$40:$DC$40,0)),"")</f>
        <v/>
      </c>
      <c r="KY82" s="888"/>
      <c r="KZ82" s="888"/>
      <c r="LA82" s="889"/>
      <c r="LB82" s="893" t="str">
        <f ca="1">IFERROR(INDEX(Rezultatai!$H$40:$DC$113,MATCH($A82,Rezultatai!$B$40:$B$113,0),MATCH(LB$7,Rezultatai!$H$40:$DC$40,0)),"")</f>
        <v/>
      </c>
      <c r="LC82" s="888"/>
      <c r="LD82" s="888"/>
      <c r="LE82" s="889"/>
      <c r="LF82" s="893" t="str">
        <f ca="1">IFERROR(INDEX(Rezultatai!$H$40:$DC$113,MATCH($A82,Rezultatai!$B$40:$B$113,0),MATCH(LF$7,Rezultatai!$H$40:$DC$40,0)),"")</f>
        <v/>
      </c>
      <c r="LG82" s="888"/>
      <c r="LH82" s="888"/>
      <c r="LI82" s="889"/>
      <c r="LJ82" s="893" t="str">
        <f ca="1">IFERROR(INDEX(Rezultatai!$H$40:$DC$113,MATCH($A82,Rezultatai!$B$40:$B$113,0),MATCH(LJ$7,Rezultatai!$H$40:$DC$40,0)),"")</f>
        <v/>
      </c>
      <c r="LK82" s="888"/>
      <c r="LL82" s="888"/>
      <c r="LM82" s="889"/>
    </row>
    <row r="83" spans="1:325">
      <c r="A83" s="310" t="str">
        <f>IF(OR(Data3!F6="Grand Total",Data3!F6=0),"",Data3!F6)</f>
        <v>L.1.2.</v>
      </c>
      <c r="B83" s="325" t="s">
        <v>559</v>
      </c>
      <c r="C83" s="347" t="str">
        <f ca="1">IFERROR(VLOOKUP(A83,Rezultatai!$B$44:$F$113,2,FALSE),"")</f>
        <v>Naujų atstovybių sukurta pridėtinė vertė</v>
      </c>
      <c r="D83" s="328">
        <f ca="1">SUMIF($F$6:$LM$6,"&lt;="&amp;PAL,$F83:$LM83)</f>
        <v>228441409.4316408</v>
      </c>
      <c r="E83" s="327"/>
      <c r="F83" s="893" t="str">
        <f ca="1">IFERROR(INDEX(Rezultatai!$H$40:$DC$113,MATCH($A83,Rezultatai!$B$40:$B$113,0),MATCH(F$7,Rezultatai!$H$40:$DC$40,0)),"")</f>
        <v/>
      </c>
      <c r="G83" s="888"/>
      <c r="H83" s="888"/>
      <c r="I83" s="889"/>
      <c r="J83" s="893">
        <f ca="1">IFERROR(INDEX(Rezultatai!$H$40:$DC$113,MATCH($A83,Rezultatai!$B$40:$B$113,0),MATCH(J$7,Rezultatai!$H$40:$DC$40,0)),"")</f>
        <v>986517.07499999995</v>
      </c>
      <c r="K83" s="888"/>
      <c r="L83" s="888"/>
      <c r="M83" s="889"/>
      <c r="N83" s="893">
        <f ca="1">IFERROR(INDEX(Rezultatai!$H$40:$DC$113,MATCH($A83,Rezultatai!$B$40:$B$113,0),MATCH(N$7,Rezultatai!$H$40:$DC$40,0)),"")</f>
        <v>9134639.0269500073</v>
      </c>
      <c r="O83" s="888"/>
      <c r="P83" s="888"/>
      <c r="Q83" s="889"/>
      <c r="R83" s="893">
        <f ca="1">IFERROR(INDEX(Rezultatai!$H$40:$DC$113,MATCH($A83,Rezultatai!$B$40:$B$113,0),MATCH(R$7,Rezultatai!$H$40:$DC$40,0)),"")</f>
        <v>10153291.638611658</v>
      </c>
      <c r="S83" s="888"/>
      <c r="T83" s="888"/>
      <c r="U83" s="889"/>
      <c r="V83" s="893">
        <f ca="1">IFERROR(INDEX(Rezultatai!$H$40:$DC$113,MATCH($A83,Rezultatai!$B$40:$B$113,0),MATCH(V$7,Rezultatai!$H$40:$DC$40,0)),"")</f>
        <v>11423003.724050811</v>
      </c>
      <c r="W83" s="888"/>
      <c r="X83" s="888"/>
      <c r="Y83" s="889"/>
      <c r="Z83" s="893">
        <f ca="1">IFERROR(INDEX(Rezultatai!$H$40:$DC$113,MATCH($A83,Rezultatai!$B$40:$B$113,0),MATCH(Z$7,Rezultatai!$H$40:$DC$40,0)),"")</f>
        <v>11519861.208758241</v>
      </c>
      <c r="AA83" s="888"/>
      <c r="AB83" s="888"/>
      <c r="AC83" s="889"/>
      <c r="AD83" s="893">
        <f ca="1">IFERROR(INDEX(Rezultatai!$H$40:$DC$113,MATCH($A83,Rezultatai!$B$40:$B$113,0),MATCH(AD$7,Rezultatai!$H$40:$DC$40,0)),"")</f>
        <v>11617837.908158684</v>
      </c>
      <c r="AE83" s="888"/>
      <c r="AF83" s="888"/>
      <c r="AG83" s="889"/>
      <c r="AH83" s="893">
        <f ca="1">IFERROR(INDEX(Rezultatai!$H$40:$DC$113,MATCH($A83,Rezultatai!$B$40:$B$113,0),MATCH(AH$7,Rezultatai!$H$40:$DC$40,0)),"")</f>
        <v>11716950.760866467</v>
      </c>
      <c r="AI83" s="888"/>
      <c r="AJ83" s="888"/>
      <c r="AK83" s="889"/>
      <c r="AL83" s="893">
        <f ca="1">IFERROR(INDEX(Rezultatai!$H$40:$DC$113,MATCH($A83,Rezultatai!$B$40:$B$113,0),MATCH(AL$7,Rezultatai!$H$40:$DC$40,0)),"")</f>
        <v>11817217.001370283</v>
      </c>
      <c r="AM83" s="888"/>
      <c r="AN83" s="888"/>
      <c r="AO83" s="889"/>
      <c r="AP83" s="893">
        <f ca="1">IFERROR(INDEX(Rezultatai!$H$40:$DC$113,MATCH($A83,Rezultatai!$B$40:$B$113,0),MATCH(AP$7,Rezultatai!$H$40:$DC$40,0)),"")</f>
        <v>11918654.165499995</v>
      </c>
      <c r="AQ83" s="888"/>
      <c r="AR83" s="888"/>
      <c r="AS83" s="889"/>
      <c r="AT83" s="893">
        <f ca="1">IFERROR(INDEX(Rezultatai!$H$40:$DC$113,MATCH($A83,Rezultatai!$B$40:$B$113,0),MATCH(AT$7,Rezultatai!$H$40:$DC$40,0)),"")</f>
        <v>12021280.095994797</v>
      </c>
      <c r="AU83" s="888"/>
      <c r="AV83" s="888"/>
      <c r="AW83" s="889"/>
      <c r="AX83" s="893">
        <f ca="1">IFERROR(INDEX(Rezultatai!$H$40:$DC$113,MATCH($A83,Rezultatai!$B$40:$B$113,0),MATCH(AX$7,Rezultatai!$H$40:$DC$40,0)),"")</f>
        <v>12125112.948177168</v>
      </c>
      <c r="AY83" s="888"/>
      <c r="AZ83" s="888"/>
      <c r="BA83" s="889"/>
      <c r="BB83" s="893">
        <f ca="1">IFERROR(INDEX(Rezultatai!$H$40:$DC$113,MATCH($A83,Rezultatai!$B$40:$B$113,0),MATCH(BB$7,Rezultatai!$H$40:$DC$40,0)),"")</f>
        <v>12230171.195733035</v>
      </c>
      <c r="BC83" s="888"/>
      <c r="BD83" s="888"/>
      <c r="BE83" s="889"/>
      <c r="BF83" s="893">
        <f ca="1">IFERROR(INDEX(Rezultatai!$H$40:$DC$113,MATCH($A83,Rezultatai!$B$40:$B$113,0),MATCH(BF$7,Rezultatai!$H$40:$DC$40,0)),"")</f>
        <v>12336473.636601824</v>
      </c>
      <c r="BG83" s="888"/>
      <c r="BH83" s="888"/>
      <c r="BI83" s="889"/>
      <c r="BJ83" s="893">
        <f ca="1">IFERROR(INDEX(Rezultatai!$H$40:$DC$113,MATCH($A83,Rezultatai!$B$40:$B$113,0),MATCH(BJ$7,Rezultatai!$H$40:$DC$40,0)),"")</f>
        <v>12444039.398975886</v>
      </c>
      <c r="BK83" s="888"/>
      <c r="BL83" s="888"/>
      <c r="BM83" s="889"/>
      <c r="BN83" s="893">
        <f ca="1">IFERROR(INDEX(Rezultatai!$H$40:$DC$113,MATCH($A83,Rezultatai!$B$40:$B$113,0),MATCH(BN$7,Rezultatai!$H$40:$DC$40,0)),"")</f>
        <v>12552887.947414845</v>
      </c>
      <c r="BO83" s="888"/>
      <c r="BP83" s="888"/>
      <c r="BQ83" s="889"/>
      <c r="BR83" s="893">
        <f ca="1">IFERROR(INDEX(Rezultatai!$H$40:$DC$113,MATCH($A83,Rezultatai!$B$40:$B$113,0),MATCH(BR$7,Rezultatai!$H$40:$DC$40,0)),"")</f>
        <v>12663039.089073319</v>
      </c>
      <c r="BS83" s="888"/>
      <c r="BT83" s="888"/>
      <c r="BU83" s="889"/>
      <c r="BV83" s="893">
        <f ca="1">IFERROR(INDEX(Rezultatai!$H$40:$DC$113,MATCH($A83,Rezultatai!$B$40:$B$113,0),MATCH(BV$7,Rezultatai!$H$40:$DC$40,0)),"")</f>
        <v>12774512.980047116</v>
      </c>
      <c r="BW83" s="888"/>
      <c r="BX83" s="888"/>
      <c r="BY83" s="889"/>
      <c r="BZ83" s="893">
        <f ca="1">IFERROR(INDEX(Rezultatai!$H$40:$DC$113,MATCH($A83,Rezultatai!$B$40:$B$113,0),MATCH(BZ$7,Rezultatai!$H$40:$DC$40,0)),"")</f>
        <v>12887330.131839219</v>
      </c>
      <c r="CA83" s="888"/>
      <c r="CB83" s="888"/>
      <c r="CC83" s="889"/>
      <c r="CD83" s="893">
        <f ca="1">IFERROR(INDEX(Rezultatai!$H$40:$DC$113,MATCH($A83,Rezultatai!$B$40:$B$113,0),MATCH(CD$7,Rezultatai!$H$40:$DC$40,0)),"")</f>
        <v>13001511.417946352</v>
      </c>
      <c r="CE83" s="888"/>
      <c r="CF83" s="888"/>
      <c r="CG83" s="889"/>
      <c r="CH83" s="893">
        <f ca="1">IFERROR(INDEX(Rezultatai!$H$40:$DC$113,MATCH($A83,Rezultatai!$B$40:$B$113,0),MATCH(CH$7,Rezultatai!$H$40:$DC$40,0)),"")</f>
        <v>13117078.080571093</v>
      </c>
      <c r="CI83" s="888"/>
      <c r="CJ83" s="888"/>
      <c r="CK83" s="889"/>
      <c r="CL83" s="893">
        <f ca="1">IFERROR(INDEX(Rezultatai!$H$40:$DC$113,MATCH($A83,Rezultatai!$B$40:$B$113,0),MATCH(CL$7,Rezultatai!$H$40:$DC$40,0)),"")</f>
        <v>0</v>
      </c>
      <c r="CM83" s="888"/>
      <c r="CN83" s="888"/>
      <c r="CO83" s="889"/>
      <c r="CP83" s="893">
        <f ca="1">IFERROR(INDEX(Rezultatai!$H$40:$DC$113,MATCH($A83,Rezultatai!$B$40:$B$113,0),MATCH(CP$7,Rezultatai!$H$40:$DC$40,0)),"")</f>
        <v>0</v>
      </c>
      <c r="CQ83" s="888"/>
      <c r="CR83" s="888"/>
      <c r="CS83" s="889"/>
      <c r="CT83" s="893">
        <f ca="1">IFERROR(INDEX(Rezultatai!$H$40:$DC$113,MATCH($A83,Rezultatai!$B$40:$B$113,0),MATCH(CT$7,Rezultatai!$H$40:$DC$40,0)),"")</f>
        <v>0</v>
      </c>
      <c r="CU83" s="888"/>
      <c r="CV83" s="888"/>
      <c r="CW83" s="889"/>
      <c r="CX83" s="893">
        <f ca="1">IFERROR(INDEX(Rezultatai!$H$40:$DC$113,MATCH($A83,Rezultatai!$B$40:$B$113,0),MATCH(CX$7,Rezultatai!$H$40:$DC$40,0)),"")</f>
        <v>0</v>
      </c>
      <c r="CY83" s="888"/>
      <c r="CZ83" s="888"/>
      <c r="DA83" s="889"/>
      <c r="DB83" s="893">
        <f ca="1">IFERROR(INDEX(Rezultatai!$H$40:$DC$113,MATCH($A83,Rezultatai!$B$40:$B$113,0),MATCH(DB$7,Rezultatai!$H$40:$DC$40,0)),"")</f>
        <v>0</v>
      </c>
      <c r="DC83" s="888"/>
      <c r="DD83" s="888"/>
      <c r="DE83" s="889"/>
      <c r="DF83" s="893">
        <f ca="1">IFERROR(INDEX(Rezultatai!$H$40:$DC$113,MATCH($A83,Rezultatai!$B$40:$B$113,0),MATCH(DF$7,Rezultatai!$H$40:$DC$40,0)),"")</f>
        <v>0</v>
      </c>
      <c r="DG83" s="888"/>
      <c r="DH83" s="888"/>
      <c r="DI83" s="889"/>
      <c r="DJ83" s="893">
        <f ca="1">IFERROR(INDEX(Rezultatai!$H$40:$DC$113,MATCH($A83,Rezultatai!$B$40:$B$113,0),MATCH(DJ$7,Rezultatai!$H$40:$DC$40,0)),"")</f>
        <v>0</v>
      </c>
      <c r="DK83" s="888"/>
      <c r="DL83" s="888"/>
      <c r="DM83" s="889"/>
      <c r="DN83" s="893">
        <f ca="1">IFERROR(INDEX(Rezultatai!$H$40:$DC$113,MATCH($A83,Rezultatai!$B$40:$B$113,0),MATCH(DN$7,Rezultatai!$H$40:$DC$40,0)),"")</f>
        <v>0</v>
      </c>
      <c r="DO83" s="888"/>
      <c r="DP83" s="888"/>
      <c r="DQ83" s="889"/>
      <c r="DR83" s="893">
        <f ca="1">IFERROR(INDEX(Rezultatai!$H$40:$DC$113,MATCH($A83,Rezultatai!$B$40:$B$113,0),MATCH(DR$7,Rezultatai!$H$40:$DC$40,0)),"")</f>
        <v>0</v>
      </c>
      <c r="DS83" s="888"/>
      <c r="DT83" s="888"/>
      <c r="DU83" s="889"/>
      <c r="DV83" s="893">
        <f ca="1">IFERROR(INDEX(Rezultatai!$H$40:$DC$113,MATCH($A83,Rezultatai!$B$40:$B$113,0),MATCH(DV$7,Rezultatai!$H$40:$DC$40,0)),"")</f>
        <v>0</v>
      </c>
      <c r="DW83" s="888"/>
      <c r="DX83" s="888"/>
      <c r="DY83" s="889"/>
      <c r="DZ83" s="893">
        <f ca="1">IFERROR(INDEX(Rezultatai!$H$40:$DC$113,MATCH($A83,Rezultatai!$B$40:$B$113,0),MATCH(DZ$7,Rezultatai!$H$40:$DC$40,0)),"")</f>
        <v>0</v>
      </c>
      <c r="EA83" s="888"/>
      <c r="EB83" s="888"/>
      <c r="EC83" s="889"/>
      <c r="ED83" s="893">
        <f ca="1">IFERROR(INDEX(Rezultatai!$H$40:$DC$113,MATCH($A83,Rezultatai!$B$40:$B$113,0),MATCH(ED$7,Rezultatai!$H$40:$DC$40,0)),"")</f>
        <v>0</v>
      </c>
      <c r="EE83" s="888"/>
      <c r="EF83" s="888"/>
      <c r="EG83" s="889"/>
      <c r="EH83" s="893">
        <f ca="1">IFERROR(INDEX(Rezultatai!$H$40:$DC$113,MATCH($A83,Rezultatai!$B$40:$B$113,0),MATCH(EH$7,Rezultatai!$H$40:$DC$40,0)),"")</f>
        <v>0</v>
      </c>
      <c r="EI83" s="888"/>
      <c r="EJ83" s="888"/>
      <c r="EK83" s="889"/>
      <c r="EL83" s="893">
        <f ca="1">IFERROR(INDEX(Rezultatai!$H$40:$DC$113,MATCH($A83,Rezultatai!$B$40:$B$113,0),MATCH(EL$7,Rezultatai!$H$40:$DC$40,0)),"")</f>
        <v>0</v>
      </c>
      <c r="EM83" s="888"/>
      <c r="EN83" s="888"/>
      <c r="EO83" s="889"/>
      <c r="EP83" s="893">
        <f ca="1">IFERROR(INDEX(Rezultatai!$H$40:$DC$113,MATCH($A83,Rezultatai!$B$40:$B$113,0),MATCH(EP$7,Rezultatai!$H$40:$DC$40,0)),"")</f>
        <v>0</v>
      </c>
      <c r="EQ83" s="888"/>
      <c r="ER83" s="888"/>
      <c r="ES83" s="889"/>
      <c r="ET83" s="893">
        <f ca="1">IFERROR(INDEX(Rezultatai!$H$40:$DC$113,MATCH($A83,Rezultatai!$B$40:$B$113,0),MATCH(ET$7,Rezultatai!$H$40:$DC$40,0)),"")</f>
        <v>0</v>
      </c>
      <c r="EU83" s="888"/>
      <c r="EV83" s="888"/>
      <c r="EW83" s="889"/>
      <c r="EX83" s="893">
        <f ca="1">IFERROR(INDEX(Rezultatai!$H$40:$DC$113,MATCH($A83,Rezultatai!$B$40:$B$113,0),MATCH(EX$7,Rezultatai!$H$40:$DC$40,0)),"")</f>
        <v>0</v>
      </c>
      <c r="EY83" s="888"/>
      <c r="EZ83" s="888"/>
      <c r="FA83" s="889"/>
      <c r="FB83" s="893">
        <f ca="1">IFERROR(INDEX(Rezultatai!$H$40:$DC$113,MATCH($A83,Rezultatai!$B$40:$B$113,0),MATCH(FB$7,Rezultatai!$H$40:$DC$40,0)),"")</f>
        <v>0</v>
      </c>
      <c r="FC83" s="888"/>
      <c r="FD83" s="888"/>
      <c r="FE83" s="889"/>
      <c r="FF83" s="893">
        <f ca="1">IFERROR(INDEX(Rezultatai!$H$40:$DC$113,MATCH($A83,Rezultatai!$B$40:$B$113,0),MATCH(FF$7,Rezultatai!$H$40:$DC$40,0)),"")</f>
        <v>0</v>
      </c>
      <c r="FG83" s="888"/>
      <c r="FH83" s="888"/>
      <c r="FI83" s="889"/>
      <c r="FJ83" s="893">
        <f ca="1">IFERROR(INDEX(Rezultatai!$H$40:$DC$113,MATCH($A83,Rezultatai!$B$40:$B$113,0),MATCH(FJ$7,Rezultatai!$H$40:$DC$40,0)),"")</f>
        <v>0</v>
      </c>
      <c r="FK83" s="888"/>
      <c r="FL83" s="888"/>
      <c r="FM83" s="889"/>
      <c r="FN83" s="893">
        <f ca="1">IFERROR(INDEX(Rezultatai!$H$40:$DC$113,MATCH($A83,Rezultatai!$B$40:$B$113,0),MATCH(FN$7,Rezultatai!$H$40:$DC$40,0)),"")</f>
        <v>0</v>
      </c>
      <c r="FO83" s="888"/>
      <c r="FP83" s="888"/>
      <c r="FQ83" s="889"/>
      <c r="FR83" s="893">
        <f ca="1">IFERROR(INDEX(Rezultatai!$H$40:$DC$113,MATCH($A83,Rezultatai!$B$40:$B$113,0),MATCH(FR$7,Rezultatai!$H$40:$DC$40,0)),"")</f>
        <v>0</v>
      </c>
      <c r="FS83" s="888"/>
      <c r="FT83" s="888"/>
      <c r="FU83" s="889"/>
      <c r="FV83" s="893">
        <f ca="1">IFERROR(INDEX(Rezultatai!$H$40:$DC$113,MATCH($A83,Rezultatai!$B$40:$B$113,0),MATCH(FV$7,Rezultatai!$H$40:$DC$40,0)),"")</f>
        <v>0</v>
      </c>
      <c r="FW83" s="888"/>
      <c r="FX83" s="888"/>
      <c r="FY83" s="889"/>
      <c r="FZ83" s="893">
        <f ca="1">IFERROR(INDEX(Rezultatai!$H$40:$DC$113,MATCH($A83,Rezultatai!$B$40:$B$113,0),MATCH(FZ$7,Rezultatai!$H$40:$DC$40,0)),"")</f>
        <v>0</v>
      </c>
      <c r="GA83" s="888"/>
      <c r="GB83" s="888"/>
      <c r="GC83" s="889"/>
      <c r="GD83" s="893">
        <f ca="1">IFERROR(INDEX(Rezultatai!$H$40:$DC$113,MATCH($A83,Rezultatai!$B$40:$B$113,0),MATCH(GD$7,Rezultatai!$H$40:$DC$40,0)),"")</f>
        <v>0</v>
      </c>
      <c r="GE83" s="888"/>
      <c r="GF83" s="888"/>
      <c r="GG83" s="889"/>
      <c r="GH83" s="893">
        <f ca="1">IFERROR(INDEX(Rezultatai!$H$40:$DC$113,MATCH($A83,Rezultatai!$B$40:$B$113,0),MATCH(GH$7,Rezultatai!$H$40:$DC$40,0)),"")</f>
        <v>0</v>
      </c>
      <c r="GI83" s="888"/>
      <c r="GJ83" s="888"/>
      <c r="GK83" s="889"/>
      <c r="GL83" s="893">
        <f ca="1">IFERROR(INDEX(Rezultatai!$H$40:$DC$113,MATCH($A83,Rezultatai!$B$40:$B$113,0),MATCH(GL$7,Rezultatai!$H$40:$DC$40,0)),"")</f>
        <v>0</v>
      </c>
      <c r="GM83" s="888"/>
      <c r="GN83" s="888"/>
      <c r="GO83" s="889"/>
      <c r="GP83" s="893">
        <f ca="1">IFERROR(INDEX(Rezultatai!$H$40:$DC$113,MATCH($A83,Rezultatai!$B$40:$B$113,0),MATCH(GP$7,Rezultatai!$H$40:$DC$40,0)),"")</f>
        <v>0</v>
      </c>
      <c r="GQ83" s="888"/>
      <c r="GR83" s="888"/>
      <c r="GS83" s="889"/>
      <c r="GT83" s="893">
        <f ca="1">IFERROR(INDEX(Rezultatai!$H$40:$DC$113,MATCH($A83,Rezultatai!$B$40:$B$113,0),MATCH(GT$7,Rezultatai!$H$40:$DC$40,0)),"")</f>
        <v>0</v>
      </c>
      <c r="GU83" s="888"/>
      <c r="GV83" s="888"/>
      <c r="GW83" s="889"/>
      <c r="GX83" s="893">
        <f ca="1">IFERROR(INDEX(Rezultatai!$H$40:$DC$113,MATCH($A83,Rezultatai!$B$40:$B$113,0),MATCH(GX$7,Rezultatai!$H$40:$DC$40,0)),"")</f>
        <v>0</v>
      </c>
      <c r="GY83" s="888"/>
      <c r="GZ83" s="888"/>
      <c r="HA83" s="889"/>
      <c r="HB83" s="893">
        <f ca="1">IFERROR(INDEX(Rezultatai!$H$40:$DC$113,MATCH($A83,Rezultatai!$B$40:$B$113,0),MATCH(HB$7,Rezultatai!$H$40:$DC$40,0)),"")</f>
        <v>0</v>
      </c>
      <c r="HC83" s="888"/>
      <c r="HD83" s="888"/>
      <c r="HE83" s="889"/>
      <c r="HF83" s="893">
        <f ca="1">IFERROR(INDEX(Rezultatai!$H$40:$DC$113,MATCH($A83,Rezultatai!$B$40:$B$113,0),MATCH(HF$7,Rezultatai!$H$40:$DC$40,0)),"")</f>
        <v>0</v>
      </c>
      <c r="HG83" s="888"/>
      <c r="HH83" s="888"/>
      <c r="HI83" s="889"/>
      <c r="HJ83" s="893">
        <f ca="1">IFERROR(INDEX(Rezultatai!$H$40:$DC$113,MATCH($A83,Rezultatai!$B$40:$B$113,0),MATCH(HJ$7,Rezultatai!$H$40:$DC$40,0)),"")</f>
        <v>0</v>
      </c>
      <c r="HK83" s="888"/>
      <c r="HL83" s="888"/>
      <c r="HM83" s="889"/>
      <c r="HN83" s="893">
        <f ca="1">IFERROR(INDEX(Rezultatai!$H$40:$DC$113,MATCH($A83,Rezultatai!$B$40:$B$113,0),MATCH(HN$7,Rezultatai!$H$40:$DC$40,0)),"")</f>
        <v>0</v>
      </c>
      <c r="HO83" s="888"/>
      <c r="HP83" s="888"/>
      <c r="HQ83" s="889"/>
      <c r="HR83" s="893">
        <f ca="1">IFERROR(INDEX(Rezultatai!$H$40:$DC$113,MATCH($A83,Rezultatai!$B$40:$B$113,0),MATCH(HR$7,Rezultatai!$H$40:$DC$40,0)),"")</f>
        <v>0</v>
      </c>
      <c r="HS83" s="888"/>
      <c r="HT83" s="888"/>
      <c r="HU83" s="889"/>
      <c r="HV83" s="893">
        <f ca="1">IFERROR(INDEX(Rezultatai!$H$40:$DC$113,MATCH($A83,Rezultatai!$B$40:$B$113,0),MATCH(HV$7,Rezultatai!$H$40:$DC$40,0)),"")</f>
        <v>0</v>
      </c>
      <c r="HW83" s="888"/>
      <c r="HX83" s="888"/>
      <c r="HY83" s="889"/>
      <c r="HZ83" s="893">
        <f ca="1">IFERROR(INDEX(Rezultatai!$H$40:$DC$113,MATCH($A83,Rezultatai!$B$40:$B$113,0),MATCH(HZ$7,Rezultatai!$H$40:$DC$40,0)),"")</f>
        <v>0</v>
      </c>
      <c r="IA83" s="888"/>
      <c r="IB83" s="888"/>
      <c r="IC83" s="889"/>
      <c r="ID83" s="893">
        <f ca="1">IFERROR(INDEX(Rezultatai!$H$40:$DC$113,MATCH($A83,Rezultatai!$B$40:$B$113,0),MATCH(ID$7,Rezultatai!$H$40:$DC$40,0)),"")</f>
        <v>0</v>
      </c>
      <c r="IE83" s="888"/>
      <c r="IF83" s="888"/>
      <c r="IG83" s="889"/>
      <c r="IH83" s="893">
        <f ca="1">IFERROR(INDEX(Rezultatai!$H$40:$DC$113,MATCH($A83,Rezultatai!$B$40:$B$113,0),MATCH(IH$7,Rezultatai!$H$40:$DC$40,0)),"")</f>
        <v>0</v>
      </c>
      <c r="II83" s="888"/>
      <c r="IJ83" s="888"/>
      <c r="IK83" s="889"/>
      <c r="IL83" s="893">
        <f ca="1">IFERROR(INDEX(Rezultatai!$H$40:$DC$113,MATCH($A83,Rezultatai!$B$40:$B$113,0),MATCH(IL$7,Rezultatai!$H$40:$DC$40,0)),"")</f>
        <v>0</v>
      </c>
      <c r="IM83" s="888"/>
      <c r="IN83" s="888"/>
      <c r="IO83" s="889"/>
      <c r="IP83" s="893">
        <f ca="1">IFERROR(INDEX(Rezultatai!$H$40:$DC$113,MATCH($A83,Rezultatai!$B$40:$B$113,0),MATCH(IP$7,Rezultatai!$H$40:$DC$40,0)),"")</f>
        <v>0</v>
      </c>
      <c r="IQ83" s="888"/>
      <c r="IR83" s="888"/>
      <c r="IS83" s="889"/>
      <c r="IT83" s="893">
        <f ca="1">IFERROR(INDEX(Rezultatai!$H$40:$DC$113,MATCH($A83,Rezultatai!$B$40:$B$113,0),MATCH(IT$7,Rezultatai!$H$40:$DC$40,0)),"")</f>
        <v>0</v>
      </c>
      <c r="IU83" s="888"/>
      <c r="IV83" s="888"/>
      <c r="IW83" s="889"/>
      <c r="IX83" s="893">
        <f ca="1">IFERROR(INDEX(Rezultatai!$H$40:$DC$113,MATCH($A83,Rezultatai!$B$40:$B$113,0),MATCH(IX$7,Rezultatai!$H$40:$DC$40,0)),"")</f>
        <v>0</v>
      </c>
      <c r="IY83" s="888"/>
      <c r="IZ83" s="888"/>
      <c r="JA83" s="889"/>
      <c r="JB83" s="893">
        <f ca="1">IFERROR(INDEX(Rezultatai!$H$40:$DC$113,MATCH($A83,Rezultatai!$B$40:$B$113,0),MATCH(JB$7,Rezultatai!$H$40:$DC$40,0)),"")</f>
        <v>0</v>
      </c>
      <c r="JC83" s="888"/>
      <c r="JD83" s="888"/>
      <c r="JE83" s="889"/>
      <c r="JF83" s="893">
        <f ca="1">IFERROR(INDEX(Rezultatai!$H$40:$DC$113,MATCH($A83,Rezultatai!$B$40:$B$113,0),MATCH(JF$7,Rezultatai!$H$40:$DC$40,0)),"")</f>
        <v>0</v>
      </c>
      <c r="JG83" s="888"/>
      <c r="JH83" s="888"/>
      <c r="JI83" s="889"/>
      <c r="JJ83" s="893">
        <f ca="1">IFERROR(INDEX(Rezultatai!$H$40:$DC$113,MATCH($A83,Rezultatai!$B$40:$B$113,0),MATCH(JJ$7,Rezultatai!$H$40:$DC$40,0)),"")</f>
        <v>0</v>
      </c>
      <c r="JK83" s="888"/>
      <c r="JL83" s="888"/>
      <c r="JM83" s="889"/>
      <c r="JN83" s="893">
        <f ca="1">IFERROR(INDEX(Rezultatai!$H$40:$DC$113,MATCH($A83,Rezultatai!$B$40:$B$113,0),MATCH(JN$7,Rezultatai!$H$40:$DC$40,0)),"")</f>
        <v>0</v>
      </c>
      <c r="JO83" s="888"/>
      <c r="JP83" s="888"/>
      <c r="JQ83" s="889"/>
      <c r="JR83" s="893">
        <f ca="1">IFERROR(INDEX(Rezultatai!$H$40:$DC$113,MATCH($A83,Rezultatai!$B$40:$B$113,0),MATCH(JR$7,Rezultatai!$H$40:$DC$40,0)),"")</f>
        <v>0</v>
      </c>
      <c r="JS83" s="888"/>
      <c r="JT83" s="888"/>
      <c r="JU83" s="889"/>
      <c r="JV83" s="893">
        <f ca="1">IFERROR(INDEX(Rezultatai!$H$40:$DC$113,MATCH($A83,Rezultatai!$B$40:$B$113,0),MATCH(JV$7,Rezultatai!$H$40:$DC$40,0)),"")</f>
        <v>0</v>
      </c>
      <c r="JW83" s="888"/>
      <c r="JX83" s="888"/>
      <c r="JY83" s="889"/>
      <c r="JZ83" s="893">
        <f ca="1">IFERROR(INDEX(Rezultatai!$H$40:$DC$113,MATCH($A83,Rezultatai!$B$40:$B$113,0),MATCH(JZ$7,Rezultatai!$H$40:$DC$40,0)),"")</f>
        <v>0</v>
      </c>
      <c r="KA83" s="888"/>
      <c r="KB83" s="888"/>
      <c r="KC83" s="889"/>
      <c r="KD83" s="893">
        <f ca="1">IFERROR(INDEX(Rezultatai!$H$40:$DC$113,MATCH($A83,Rezultatai!$B$40:$B$113,0),MATCH(KD$7,Rezultatai!$H$40:$DC$40,0)),"")</f>
        <v>0</v>
      </c>
      <c r="KE83" s="888"/>
      <c r="KF83" s="888"/>
      <c r="KG83" s="889"/>
      <c r="KH83" s="893">
        <f ca="1">IFERROR(INDEX(Rezultatai!$H$40:$DC$113,MATCH($A83,Rezultatai!$B$40:$B$113,0),MATCH(KH$7,Rezultatai!$H$40:$DC$40,0)),"")</f>
        <v>0</v>
      </c>
      <c r="KI83" s="888"/>
      <c r="KJ83" s="888"/>
      <c r="KK83" s="889"/>
      <c r="KL83" s="893">
        <f ca="1">IFERROR(INDEX(Rezultatai!$H$40:$DC$113,MATCH($A83,Rezultatai!$B$40:$B$113,0),MATCH(KL$7,Rezultatai!$H$40:$DC$40,0)),"")</f>
        <v>0</v>
      </c>
      <c r="KM83" s="888"/>
      <c r="KN83" s="888"/>
      <c r="KO83" s="889"/>
      <c r="KP83" s="893">
        <f ca="1">IFERROR(INDEX(Rezultatai!$H$40:$DC$113,MATCH($A83,Rezultatai!$B$40:$B$113,0),MATCH(KP$7,Rezultatai!$H$40:$DC$40,0)),"")</f>
        <v>0</v>
      </c>
      <c r="KQ83" s="888"/>
      <c r="KR83" s="888"/>
      <c r="KS83" s="889"/>
      <c r="KT83" s="893">
        <f ca="1">IFERROR(INDEX(Rezultatai!$H$40:$DC$113,MATCH($A83,Rezultatai!$B$40:$B$113,0),MATCH(KT$7,Rezultatai!$H$40:$DC$40,0)),"")</f>
        <v>0</v>
      </c>
      <c r="KU83" s="888"/>
      <c r="KV83" s="888"/>
      <c r="KW83" s="889"/>
      <c r="KX83" s="893">
        <f ca="1">IFERROR(INDEX(Rezultatai!$H$40:$DC$113,MATCH($A83,Rezultatai!$B$40:$B$113,0),MATCH(KX$7,Rezultatai!$H$40:$DC$40,0)),"")</f>
        <v>0</v>
      </c>
      <c r="KY83" s="888"/>
      <c r="KZ83" s="888"/>
      <c r="LA83" s="889"/>
      <c r="LB83" s="893">
        <f ca="1">IFERROR(INDEX(Rezultatai!$H$40:$DC$113,MATCH($A83,Rezultatai!$B$40:$B$113,0),MATCH(LB$7,Rezultatai!$H$40:$DC$40,0)),"")</f>
        <v>0</v>
      </c>
      <c r="LC83" s="888"/>
      <c r="LD83" s="888"/>
      <c r="LE83" s="889"/>
      <c r="LF83" s="893">
        <f ca="1">IFERROR(INDEX(Rezultatai!$H$40:$DC$113,MATCH($A83,Rezultatai!$B$40:$B$113,0),MATCH(LF$7,Rezultatai!$H$40:$DC$40,0)),"")</f>
        <v>0</v>
      </c>
      <c r="LG83" s="888"/>
      <c r="LH83" s="888"/>
      <c r="LI83" s="889"/>
      <c r="LJ83" s="893">
        <f ca="1">IFERROR(INDEX(Rezultatai!$H$40:$DC$113,MATCH($A83,Rezultatai!$B$40:$B$113,0),MATCH(LJ$7,Rezultatai!$H$40:$DC$40,0)),"")</f>
        <v>0</v>
      </c>
      <c r="LK83" s="888"/>
      <c r="LL83" s="888"/>
      <c r="LM83" s="889"/>
    </row>
    <row r="84" spans="1:325" hidden="1">
      <c r="A84" s="310" t="str">
        <f>IF(OR(Data3!F7="Grand Total",Data3!F7=0),"",Data3!F7)</f>
        <v/>
      </c>
      <c r="B84" s="314" t="s">
        <v>560</v>
      </c>
      <c r="C84" s="347" t="str">
        <f ca="1">IFERROR(VLOOKUP(A84,Rezultatai!$B$44:$F$113,2,FALSE),"")</f>
        <v/>
      </c>
      <c r="D84" s="328">
        <f ca="1">SUMIF($F$6:$LM$6,"&lt;="&amp;PAL,$F84:$LM84)</f>
        <v>0</v>
      </c>
      <c r="E84" s="327"/>
      <c r="F84" s="893" t="str">
        <f ca="1">IFERROR(INDEX(Rezultatai!$H$40:$DC$113,MATCH($A84,Rezultatai!$B$40:$B$113,0),MATCH(F$7,Rezultatai!$H$40:$DC$40,0)),"")</f>
        <v/>
      </c>
      <c r="G84" s="888"/>
      <c r="H84" s="888"/>
      <c r="I84" s="889"/>
      <c r="J84" s="893" t="str">
        <f ca="1">IFERROR(INDEX(Rezultatai!$H$40:$DC$113,MATCH($A84,Rezultatai!$B$40:$B$113,0),MATCH(J$7,Rezultatai!$H$40:$DC$40,0)),"")</f>
        <v/>
      </c>
      <c r="K84" s="888"/>
      <c r="L84" s="888"/>
      <c r="M84" s="889"/>
      <c r="N84" s="893" t="str">
        <f ca="1">IFERROR(INDEX(Rezultatai!$H$40:$DC$113,MATCH($A84,Rezultatai!$B$40:$B$113,0),MATCH(N$7,Rezultatai!$H$40:$DC$40,0)),"")</f>
        <v/>
      </c>
      <c r="O84" s="888"/>
      <c r="P84" s="888"/>
      <c r="Q84" s="889"/>
      <c r="R84" s="893" t="str">
        <f ca="1">IFERROR(INDEX(Rezultatai!$H$40:$DC$113,MATCH($A84,Rezultatai!$B$40:$B$113,0),MATCH(R$7,Rezultatai!$H$40:$DC$40,0)),"")</f>
        <v/>
      </c>
      <c r="S84" s="888"/>
      <c r="T84" s="888"/>
      <c r="U84" s="889"/>
      <c r="V84" s="893" t="str">
        <f ca="1">IFERROR(INDEX(Rezultatai!$H$40:$DC$113,MATCH($A84,Rezultatai!$B$40:$B$113,0),MATCH(V$7,Rezultatai!$H$40:$DC$40,0)),"")</f>
        <v/>
      </c>
      <c r="W84" s="888"/>
      <c r="X84" s="888"/>
      <c r="Y84" s="889"/>
      <c r="Z84" s="893" t="str">
        <f ca="1">IFERROR(INDEX(Rezultatai!$H$40:$DC$113,MATCH($A84,Rezultatai!$B$40:$B$113,0),MATCH(Z$7,Rezultatai!$H$40:$DC$40,0)),"")</f>
        <v/>
      </c>
      <c r="AA84" s="888"/>
      <c r="AB84" s="888"/>
      <c r="AC84" s="889"/>
      <c r="AD84" s="893" t="str">
        <f ca="1">IFERROR(INDEX(Rezultatai!$H$40:$DC$113,MATCH($A84,Rezultatai!$B$40:$B$113,0),MATCH(AD$7,Rezultatai!$H$40:$DC$40,0)),"")</f>
        <v/>
      </c>
      <c r="AE84" s="888"/>
      <c r="AF84" s="888"/>
      <c r="AG84" s="889"/>
      <c r="AH84" s="893" t="str">
        <f ca="1">IFERROR(INDEX(Rezultatai!$H$40:$DC$113,MATCH($A84,Rezultatai!$B$40:$B$113,0),MATCH(AH$7,Rezultatai!$H$40:$DC$40,0)),"")</f>
        <v/>
      </c>
      <c r="AI84" s="888"/>
      <c r="AJ84" s="888"/>
      <c r="AK84" s="889"/>
      <c r="AL84" s="893" t="str">
        <f ca="1">IFERROR(INDEX(Rezultatai!$H$40:$DC$113,MATCH($A84,Rezultatai!$B$40:$B$113,0),MATCH(AL$7,Rezultatai!$H$40:$DC$40,0)),"")</f>
        <v/>
      </c>
      <c r="AM84" s="888"/>
      <c r="AN84" s="888"/>
      <c r="AO84" s="889"/>
      <c r="AP84" s="893" t="str">
        <f ca="1">IFERROR(INDEX(Rezultatai!$H$40:$DC$113,MATCH($A84,Rezultatai!$B$40:$B$113,0),MATCH(AP$7,Rezultatai!$H$40:$DC$40,0)),"")</f>
        <v/>
      </c>
      <c r="AQ84" s="888"/>
      <c r="AR84" s="888"/>
      <c r="AS84" s="889"/>
      <c r="AT84" s="893" t="str">
        <f ca="1">IFERROR(INDEX(Rezultatai!$H$40:$DC$113,MATCH($A84,Rezultatai!$B$40:$B$113,0),MATCH(AT$7,Rezultatai!$H$40:$DC$40,0)),"")</f>
        <v/>
      </c>
      <c r="AU84" s="888"/>
      <c r="AV84" s="888"/>
      <c r="AW84" s="889"/>
      <c r="AX84" s="893" t="str">
        <f ca="1">IFERROR(INDEX(Rezultatai!$H$40:$DC$113,MATCH($A84,Rezultatai!$B$40:$B$113,0),MATCH(AX$7,Rezultatai!$H$40:$DC$40,0)),"")</f>
        <v/>
      </c>
      <c r="AY84" s="888"/>
      <c r="AZ84" s="888"/>
      <c r="BA84" s="889"/>
      <c r="BB84" s="893" t="str">
        <f ca="1">IFERROR(INDEX(Rezultatai!$H$40:$DC$113,MATCH($A84,Rezultatai!$B$40:$B$113,0),MATCH(BB$7,Rezultatai!$H$40:$DC$40,0)),"")</f>
        <v/>
      </c>
      <c r="BC84" s="888"/>
      <c r="BD84" s="888"/>
      <c r="BE84" s="889"/>
      <c r="BF84" s="893" t="str">
        <f ca="1">IFERROR(INDEX(Rezultatai!$H$40:$DC$113,MATCH($A84,Rezultatai!$B$40:$B$113,0),MATCH(BF$7,Rezultatai!$H$40:$DC$40,0)),"")</f>
        <v/>
      </c>
      <c r="BG84" s="888"/>
      <c r="BH84" s="888"/>
      <c r="BI84" s="889"/>
      <c r="BJ84" s="893" t="str">
        <f ca="1">IFERROR(INDEX(Rezultatai!$H$40:$DC$113,MATCH($A84,Rezultatai!$B$40:$B$113,0),MATCH(BJ$7,Rezultatai!$H$40:$DC$40,0)),"")</f>
        <v/>
      </c>
      <c r="BK84" s="888"/>
      <c r="BL84" s="888"/>
      <c r="BM84" s="889"/>
      <c r="BN84" s="893" t="str">
        <f ca="1">IFERROR(INDEX(Rezultatai!$H$40:$DC$113,MATCH($A84,Rezultatai!$B$40:$B$113,0),MATCH(BN$7,Rezultatai!$H$40:$DC$40,0)),"")</f>
        <v/>
      </c>
      <c r="BO84" s="888"/>
      <c r="BP84" s="888"/>
      <c r="BQ84" s="889"/>
      <c r="BR84" s="893" t="str">
        <f ca="1">IFERROR(INDEX(Rezultatai!$H$40:$DC$113,MATCH($A84,Rezultatai!$B$40:$B$113,0),MATCH(BR$7,Rezultatai!$H$40:$DC$40,0)),"")</f>
        <v/>
      </c>
      <c r="BS84" s="888"/>
      <c r="BT84" s="888"/>
      <c r="BU84" s="889"/>
      <c r="BV84" s="893" t="str">
        <f ca="1">IFERROR(INDEX(Rezultatai!$H$40:$DC$113,MATCH($A84,Rezultatai!$B$40:$B$113,0),MATCH(BV$7,Rezultatai!$H$40:$DC$40,0)),"")</f>
        <v/>
      </c>
      <c r="BW84" s="888"/>
      <c r="BX84" s="888"/>
      <c r="BY84" s="889"/>
      <c r="BZ84" s="893" t="str">
        <f ca="1">IFERROR(INDEX(Rezultatai!$H$40:$DC$113,MATCH($A84,Rezultatai!$B$40:$B$113,0),MATCH(BZ$7,Rezultatai!$H$40:$DC$40,0)),"")</f>
        <v/>
      </c>
      <c r="CA84" s="888"/>
      <c r="CB84" s="888"/>
      <c r="CC84" s="889"/>
      <c r="CD84" s="893" t="str">
        <f ca="1">IFERROR(INDEX(Rezultatai!$H$40:$DC$113,MATCH($A84,Rezultatai!$B$40:$B$113,0),MATCH(CD$7,Rezultatai!$H$40:$DC$40,0)),"")</f>
        <v/>
      </c>
      <c r="CE84" s="888"/>
      <c r="CF84" s="888"/>
      <c r="CG84" s="889"/>
      <c r="CH84" s="893" t="str">
        <f ca="1">IFERROR(INDEX(Rezultatai!$H$40:$DC$113,MATCH($A84,Rezultatai!$B$40:$B$113,0),MATCH(CH$7,Rezultatai!$H$40:$DC$40,0)),"")</f>
        <v/>
      </c>
      <c r="CI84" s="888"/>
      <c r="CJ84" s="888"/>
      <c r="CK84" s="889"/>
      <c r="CL84" s="893" t="str">
        <f ca="1">IFERROR(INDEX(Rezultatai!$H$40:$DC$113,MATCH($A84,Rezultatai!$B$40:$B$113,0),MATCH(CL$7,Rezultatai!$H$40:$DC$40,0)),"")</f>
        <v/>
      </c>
      <c r="CM84" s="888"/>
      <c r="CN84" s="888"/>
      <c r="CO84" s="889"/>
      <c r="CP84" s="893" t="str">
        <f ca="1">IFERROR(INDEX(Rezultatai!$H$40:$DC$113,MATCH($A84,Rezultatai!$B$40:$B$113,0),MATCH(CP$7,Rezultatai!$H$40:$DC$40,0)),"")</f>
        <v/>
      </c>
      <c r="CQ84" s="888"/>
      <c r="CR84" s="888"/>
      <c r="CS84" s="889"/>
      <c r="CT84" s="893" t="str">
        <f ca="1">IFERROR(INDEX(Rezultatai!$H$40:$DC$113,MATCH($A84,Rezultatai!$B$40:$B$113,0),MATCH(CT$7,Rezultatai!$H$40:$DC$40,0)),"")</f>
        <v/>
      </c>
      <c r="CU84" s="888"/>
      <c r="CV84" s="888"/>
      <c r="CW84" s="889"/>
      <c r="CX84" s="893" t="str">
        <f ca="1">IFERROR(INDEX(Rezultatai!$H$40:$DC$113,MATCH($A84,Rezultatai!$B$40:$B$113,0),MATCH(CX$7,Rezultatai!$H$40:$DC$40,0)),"")</f>
        <v/>
      </c>
      <c r="CY84" s="888"/>
      <c r="CZ84" s="888"/>
      <c r="DA84" s="889"/>
      <c r="DB84" s="893" t="str">
        <f ca="1">IFERROR(INDEX(Rezultatai!$H$40:$DC$113,MATCH($A84,Rezultatai!$B$40:$B$113,0),MATCH(DB$7,Rezultatai!$H$40:$DC$40,0)),"")</f>
        <v/>
      </c>
      <c r="DC84" s="888"/>
      <c r="DD84" s="888"/>
      <c r="DE84" s="889"/>
      <c r="DF84" s="893" t="str">
        <f ca="1">IFERROR(INDEX(Rezultatai!$H$40:$DC$113,MATCH($A84,Rezultatai!$B$40:$B$113,0),MATCH(DF$7,Rezultatai!$H$40:$DC$40,0)),"")</f>
        <v/>
      </c>
      <c r="DG84" s="888"/>
      <c r="DH84" s="888"/>
      <c r="DI84" s="889"/>
      <c r="DJ84" s="893" t="str">
        <f ca="1">IFERROR(INDEX(Rezultatai!$H$40:$DC$113,MATCH($A84,Rezultatai!$B$40:$B$113,0),MATCH(DJ$7,Rezultatai!$H$40:$DC$40,0)),"")</f>
        <v/>
      </c>
      <c r="DK84" s="888"/>
      <c r="DL84" s="888"/>
      <c r="DM84" s="889"/>
      <c r="DN84" s="893" t="str">
        <f ca="1">IFERROR(INDEX(Rezultatai!$H$40:$DC$113,MATCH($A84,Rezultatai!$B$40:$B$113,0),MATCH(DN$7,Rezultatai!$H$40:$DC$40,0)),"")</f>
        <v/>
      </c>
      <c r="DO84" s="888"/>
      <c r="DP84" s="888"/>
      <c r="DQ84" s="889"/>
      <c r="DR84" s="893" t="str">
        <f ca="1">IFERROR(INDEX(Rezultatai!$H$40:$DC$113,MATCH($A84,Rezultatai!$B$40:$B$113,0),MATCH(DR$7,Rezultatai!$H$40:$DC$40,0)),"")</f>
        <v/>
      </c>
      <c r="DS84" s="888"/>
      <c r="DT84" s="888"/>
      <c r="DU84" s="889"/>
      <c r="DV84" s="893" t="str">
        <f ca="1">IFERROR(INDEX(Rezultatai!$H$40:$DC$113,MATCH($A84,Rezultatai!$B$40:$B$113,0),MATCH(DV$7,Rezultatai!$H$40:$DC$40,0)),"")</f>
        <v/>
      </c>
      <c r="DW84" s="888"/>
      <c r="DX84" s="888"/>
      <c r="DY84" s="889"/>
      <c r="DZ84" s="893" t="str">
        <f ca="1">IFERROR(INDEX(Rezultatai!$H$40:$DC$113,MATCH($A84,Rezultatai!$B$40:$B$113,0),MATCH(DZ$7,Rezultatai!$H$40:$DC$40,0)),"")</f>
        <v/>
      </c>
      <c r="EA84" s="888"/>
      <c r="EB84" s="888"/>
      <c r="EC84" s="889"/>
      <c r="ED84" s="893" t="str">
        <f ca="1">IFERROR(INDEX(Rezultatai!$H$40:$DC$113,MATCH($A84,Rezultatai!$B$40:$B$113,0),MATCH(ED$7,Rezultatai!$H$40:$DC$40,0)),"")</f>
        <v/>
      </c>
      <c r="EE84" s="888"/>
      <c r="EF84" s="888"/>
      <c r="EG84" s="889"/>
      <c r="EH84" s="893" t="str">
        <f ca="1">IFERROR(INDEX(Rezultatai!$H$40:$DC$113,MATCH($A84,Rezultatai!$B$40:$B$113,0),MATCH(EH$7,Rezultatai!$H$40:$DC$40,0)),"")</f>
        <v/>
      </c>
      <c r="EI84" s="888"/>
      <c r="EJ84" s="888"/>
      <c r="EK84" s="889"/>
      <c r="EL84" s="893" t="str">
        <f ca="1">IFERROR(INDEX(Rezultatai!$H$40:$DC$113,MATCH($A84,Rezultatai!$B$40:$B$113,0),MATCH(EL$7,Rezultatai!$H$40:$DC$40,0)),"")</f>
        <v/>
      </c>
      <c r="EM84" s="888"/>
      <c r="EN84" s="888"/>
      <c r="EO84" s="889"/>
      <c r="EP84" s="893" t="str">
        <f ca="1">IFERROR(INDEX(Rezultatai!$H$40:$DC$113,MATCH($A84,Rezultatai!$B$40:$B$113,0),MATCH(EP$7,Rezultatai!$H$40:$DC$40,0)),"")</f>
        <v/>
      </c>
      <c r="EQ84" s="888"/>
      <c r="ER84" s="888"/>
      <c r="ES84" s="889"/>
      <c r="ET84" s="893" t="str">
        <f ca="1">IFERROR(INDEX(Rezultatai!$H$40:$DC$113,MATCH($A84,Rezultatai!$B$40:$B$113,0),MATCH(ET$7,Rezultatai!$H$40:$DC$40,0)),"")</f>
        <v/>
      </c>
      <c r="EU84" s="888"/>
      <c r="EV84" s="888"/>
      <c r="EW84" s="889"/>
      <c r="EX84" s="893" t="str">
        <f ca="1">IFERROR(INDEX(Rezultatai!$H$40:$DC$113,MATCH($A84,Rezultatai!$B$40:$B$113,0),MATCH(EX$7,Rezultatai!$H$40:$DC$40,0)),"")</f>
        <v/>
      </c>
      <c r="EY84" s="888"/>
      <c r="EZ84" s="888"/>
      <c r="FA84" s="889"/>
      <c r="FB84" s="893" t="str">
        <f ca="1">IFERROR(INDEX(Rezultatai!$H$40:$DC$113,MATCH($A84,Rezultatai!$B$40:$B$113,0),MATCH(FB$7,Rezultatai!$H$40:$DC$40,0)),"")</f>
        <v/>
      </c>
      <c r="FC84" s="888"/>
      <c r="FD84" s="888"/>
      <c r="FE84" s="889"/>
      <c r="FF84" s="893" t="str">
        <f ca="1">IFERROR(INDEX(Rezultatai!$H$40:$DC$113,MATCH($A84,Rezultatai!$B$40:$B$113,0),MATCH(FF$7,Rezultatai!$H$40:$DC$40,0)),"")</f>
        <v/>
      </c>
      <c r="FG84" s="888"/>
      <c r="FH84" s="888"/>
      <c r="FI84" s="889"/>
      <c r="FJ84" s="893" t="str">
        <f ca="1">IFERROR(INDEX(Rezultatai!$H$40:$DC$113,MATCH($A84,Rezultatai!$B$40:$B$113,0),MATCH(FJ$7,Rezultatai!$H$40:$DC$40,0)),"")</f>
        <v/>
      </c>
      <c r="FK84" s="888"/>
      <c r="FL84" s="888"/>
      <c r="FM84" s="889"/>
      <c r="FN84" s="893" t="str">
        <f ca="1">IFERROR(INDEX(Rezultatai!$H$40:$DC$113,MATCH($A84,Rezultatai!$B$40:$B$113,0),MATCH(FN$7,Rezultatai!$H$40:$DC$40,0)),"")</f>
        <v/>
      </c>
      <c r="FO84" s="888"/>
      <c r="FP84" s="888"/>
      <c r="FQ84" s="889"/>
      <c r="FR84" s="893" t="str">
        <f ca="1">IFERROR(INDEX(Rezultatai!$H$40:$DC$113,MATCH($A84,Rezultatai!$B$40:$B$113,0),MATCH(FR$7,Rezultatai!$H$40:$DC$40,0)),"")</f>
        <v/>
      </c>
      <c r="FS84" s="888"/>
      <c r="FT84" s="888"/>
      <c r="FU84" s="889"/>
      <c r="FV84" s="893" t="str">
        <f ca="1">IFERROR(INDEX(Rezultatai!$H$40:$DC$113,MATCH($A84,Rezultatai!$B$40:$B$113,0),MATCH(FV$7,Rezultatai!$H$40:$DC$40,0)),"")</f>
        <v/>
      </c>
      <c r="FW84" s="888"/>
      <c r="FX84" s="888"/>
      <c r="FY84" s="889"/>
      <c r="FZ84" s="893" t="str">
        <f ca="1">IFERROR(INDEX(Rezultatai!$H$40:$DC$113,MATCH($A84,Rezultatai!$B$40:$B$113,0),MATCH(FZ$7,Rezultatai!$H$40:$DC$40,0)),"")</f>
        <v/>
      </c>
      <c r="GA84" s="888"/>
      <c r="GB84" s="888"/>
      <c r="GC84" s="889"/>
      <c r="GD84" s="893" t="str">
        <f ca="1">IFERROR(INDEX(Rezultatai!$H$40:$DC$113,MATCH($A84,Rezultatai!$B$40:$B$113,0),MATCH(GD$7,Rezultatai!$H$40:$DC$40,0)),"")</f>
        <v/>
      </c>
      <c r="GE84" s="888"/>
      <c r="GF84" s="888"/>
      <c r="GG84" s="889"/>
      <c r="GH84" s="893" t="str">
        <f ca="1">IFERROR(INDEX(Rezultatai!$H$40:$DC$113,MATCH($A84,Rezultatai!$B$40:$B$113,0),MATCH(GH$7,Rezultatai!$H$40:$DC$40,0)),"")</f>
        <v/>
      </c>
      <c r="GI84" s="888"/>
      <c r="GJ84" s="888"/>
      <c r="GK84" s="889"/>
      <c r="GL84" s="893" t="str">
        <f ca="1">IFERROR(INDEX(Rezultatai!$H$40:$DC$113,MATCH($A84,Rezultatai!$B$40:$B$113,0),MATCH(GL$7,Rezultatai!$H$40:$DC$40,0)),"")</f>
        <v/>
      </c>
      <c r="GM84" s="888"/>
      <c r="GN84" s="888"/>
      <c r="GO84" s="889"/>
      <c r="GP84" s="893" t="str">
        <f ca="1">IFERROR(INDEX(Rezultatai!$H$40:$DC$113,MATCH($A84,Rezultatai!$B$40:$B$113,0),MATCH(GP$7,Rezultatai!$H$40:$DC$40,0)),"")</f>
        <v/>
      </c>
      <c r="GQ84" s="888"/>
      <c r="GR84" s="888"/>
      <c r="GS84" s="889"/>
      <c r="GT84" s="893" t="str">
        <f ca="1">IFERROR(INDEX(Rezultatai!$H$40:$DC$113,MATCH($A84,Rezultatai!$B$40:$B$113,0),MATCH(GT$7,Rezultatai!$H$40:$DC$40,0)),"")</f>
        <v/>
      </c>
      <c r="GU84" s="888"/>
      <c r="GV84" s="888"/>
      <c r="GW84" s="889"/>
      <c r="GX84" s="893" t="str">
        <f ca="1">IFERROR(INDEX(Rezultatai!$H$40:$DC$113,MATCH($A84,Rezultatai!$B$40:$B$113,0),MATCH(GX$7,Rezultatai!$H$40:$DC$40,0)),"")</f>
        <v/>
      </c>
      <c r="GY84" s="888"/>
      <c r="GZ84" s="888"/>
      <c r="HA84" s="889"/>
      <c r="HB84" s="893" t="str">
        <f ca="1">IFERROR(INDEX(Rezultatai!$H$40:$DC$113,MATCH($A84,Rezultatai!$B$40:$B$113,0),MATCH(HB$7,Rezultatai!$H$40:$DC$40,0)),"")</f>
        <v/>
      </c>
      <c r="HC84" s="888"/>
      <c r="HD84" s="888"/>
      <c r="HE84" s="889"/>
      <c r="HF84" s="893" t="str">
        <f ca="1">IFERROR(INDEX(Rezultatai!$H$40:$DC$113,MATCH($A84,Rezultatai!$B$40:$B$113,0),MATCH(HF$7,Rezultatai!$H$40:$DC$40,0)),"")</f>
        <v/>
      </c>
      <c r="HG84" s="888"/>
      <c r="HH84" s="888"/>
      <c r="HI84" s="889"/>
      <c r="HJ84" s="893" t="str">
        <f ca="1">IFERROR(INDEX(Rezultatai!$H$40:$DC$113,MATCH($A84,Rezultatai!$B$40:$B$113,0),MATCH(HJ$7,Rezultatai!$H$40:$DC$40,0)),"")</f>
        <v/>
      </c>
      <c r="HK84" s="888"/>
      <c r="HL84" s="888"/>
      <c r="HM84" s="889"/>
      <c r="HN84" s="893" t="str">
        <f ca="1">IFERROR(INDEX(Rezultatai!$H$40:$DC$113,MATCH($A84,Rezultatai!$B$40:$B$113,0),MATCH(HN$7,Rezultatai!$H$40:$DC$40,0)),"")</f>
        <v/>
      </c>
      <c r="HO84" s="888"/>
      <c r="HP84" s="888"/>
      <c r="HQ84" s="889"/>
      <c r="HR84" s="893" t="str">
        <f ca="1">IFERROR(INDEX(Rezultatai!$H$40:$DC$113,MATCH($A84,Rezultatai!$B$40:$B$113,0),MATCH(HR$7,Rezultatai!$H$40:$DC$40,0)),"")</f>
        <v/>
      </c>
      <c r="HS84" s="888"/>
      <c r="HT84" s="888"/>
      <c r="HU84" s="889"/>
      <c r="HV84" s="893" t="str">
        <f ca="1">IFERROR(INDEX(Rezultatai!$H$40:$DC$113,MATCH($A84,Rezultatai!$B$40:$B$113,0),MATCH(HV$7,Rezultatai!$H$40:$DC$40,0)),"")</f>
        <v/>
      </c>
      <c r="HW84" s="888"/>
      <c r="HX84" s="888"/>
      <c r="HY84" s="889"/>
      <c r="HZ84" s="893" t="str">
        <f ca="1">IFERROR(INDEX(Rezultatai!$H$40:$DC$113,MATCH($A84,Rezultatai!$B$40:$B$113,0),MATCH(HZ$7,Rezultatai!$H$40:$DC$40,0)),"")</f>
        <v/>
      </c>
      <c r="IA84" s="888"/>
      <c r="IB84" s="888"/>
      <c r="IC84" s="889"/>
      <c r="ID84" s="893" t="str">
        <f ca="1">IFERROR(INDEX(Rezultatai!$H$40:$DC$113,MATCH($A84,Rezultatai!$B$40:$B$113,0),MATCH(ID$7,Rezultatai!$H$40:$DC$40,0)),"")</f>
        <v/>
      </c>
      <c r="IE84" s="888"/>
      <c r="IF84" s="888"/>
      <c r="IG84" s="889"/>
      <c r="IH84" s="893" t="str">
        <f ca="1">IFERROR(INDEX(Rezultatai!$H$40:$DC$113,MATCH($A84,Rezultatai!$B$40:$B$113,0),MATCH(IH$7,Rezultatai!$H$40:$DC$40,0)),"")</f>
        <v/>
      </c>
      <c r="II84" s="888"/>
      <c r="IJ84" s="888"/>
      <c r="IK84" s="889"/>
      <c r="IL84" s="893" t="str">
        <f ca="1">IFERROR(INDEX(Rezultatai!$H$40:$DC$113,MATCH($A84,Rezultatai!$B$40:$B$113,0),MATCH(IL$7,Rezultatai!$H$40:$DC$40,0)),"")</f>
        <v/>
      </c>
      <c r="IM84" s="888"/>
      <c r="IN84" s="888"/>
      <c r="IO84" s="889"/>
      <c r="IP84" s="893" t="str">
        <f ca="1">IFERROR(INDEX(Rezultatai!$H$40:$DC$113,MATCH($A84,Rezultatai!$B$40:$B$113,0),MATCH(IP$7,Rezultatai!$H$40:$DC$40,0)),"")</f>
        <v/>
      </c>
      <c r="IQ84" s="888"/>
      <c r="IR84" s="888"/>
      <c r="IS84" s="889"/>
      <c r="IT84" s="893" t="str">
        <f ca="1">IFERROR(INDEX(Rezultatai!$H$40:$DC$113,MATCH($A84,Rezultatai!$B$40:$B$113,0),MATCH(IT$7,Rezultatai!$H$40:$DC$40,0)),"")</f>
        <v/>
      </c>
      <c r="IU84" s="888"/>
      <c r="IV84" s="888"/>
      <c r="IW84" s="889"/>
      <c r="IX84" s="893" t="str">
        <f ca="1">IFERROR(INDEX(Rezultatai!$H$40:$DC$113,MATCH($A84,Rezultatai!$B$40:$B$113,0),MATCH(IX$7,Rezultatai!$H$40:$DC$40,0)),"")</f>
        <v/>
      </c>
      <c r="IY84" s="888"/>
      <c r="IZ84" s="888"/>
      <c r="JA84" s="889"/>
      <c r="JB84" s="893" t="str">
        <f ca="1">IFERROR(INDEX(Rezultatai!$H$40:$DC$113,MATCH($A84,Rezultatai!$B$40:$B$113,0),MATCH(JB$7,Rezultatai!$H$40:$DC$40,0)),"")</f>
        <v/>
      </c>
      <c r="JC84" s="888"/>
      <c r="JD84" s="888"/>
      <c r="JE84" s="889"/>
      <c r="JF84" s="893" t="str">
        <f ca="1">IFERROR(INDEX(Rezultatai!$H$40:$DC$113,MATCH($A84,Rezultatai!$B$40:$B$113,0),MATCH(JF$7,Rezultatai!$H$40:$DC$40,0)),"")</f>
        <v/>
      </c>
      <c r="JG84" s="888"/>
      <c r="JH84" s="888"/>
      <c r="JI84" s="889"/>
      <c r="JJ84" s="893" t="str">
        <f ca="1">IFERROR(INDEX(Rezultatai!$H$40:$DC$113,MATCH($A84,Rezultatai!$B$40:$B$113,0),MATCH(JJ$7,Rezultatai!$H$40:$DC$40,0)),"")</f>
        <v/>
      </c>
      <c r="JK84" s="888"/>
      <c r="JL84" s="888"/>
      <c r="JM84" s="889"/>
      <c r="JN84" s="893" t="str">
        <f ca="1">IFERROR(INDEX(Rezultatai!$H$40:$DC$113,MATCH($A84,Rezultatai!$B$40:$B$113,0),MATCH(JN$7,Rezultatai!$H$40:$DC$40,0)),"")</f>
        <v/>
      </c>
      <c r="JO84" s="888"/>
      <c r="JP84" s="888"/>
      <c r="JQ84" s="889"/>
      <c r="JR84" s="893" t="str">
        <f ca="1">IFERROR(INDEX(Rezultatai!$H$40:$DC$113,MATCH($A84,Rezultatai!$B$40:$B$113,0),MATCH(JR$7,Rezultatai!$H$40:$DC$40,0)),"")</f>
        <v/>
      </c>
      <c r="JS84" s="888"/>
      <c r="JT84" s="888"/>
      <c r="JU84" s="889"/>
      <c r="JV84" s="893" t="str">
        <f ca="1">IFERROR(INDEX(Rezultatai!$H$40:$DC$113,MATCH($A84,Rezultatai!$B$40:$B$113,0),MATCH(JV$7,Rezultatai!$H$40:$DC$40,0)),"")</f>
        <v/>
      </c>
      <c r="JW84" s="888"/>
      <c r="JX84" s="888"/>
      <c r="JY84" s="889"/>
      <c r="JZ84" s="893" t="str">
        <f ca="1">IFERROR(INDEX(Rezultatai!$H$40:$DC$113,MATCH($A84,Rezultatai!$B$40:$B$113,0),MATCH(JZ$7,Rezultatai!$H$40:$DC$40,0)),"")</f>
        <v/>
      </c>
      <c r="KA84" s="888"/>
      <c r="KB84" s="888"/>
      <c r="KC84" s="889"/>
      <c r="KD84" s="893" t="str">
        <f ca="1">IFERROR(INDEX(Rezultatai!$H$40:$DC$113,MATCH($A84,Rezultatai!$B$40:$B$113,0),MATCH(KD$7,Rezultatai!$H$40:$DC$40,0)),"")</f>
        <v/>
      </c>
      <c r="KE84" s="888"/>
      <c r="KF84" s="888"/>
      <c r="KG84" s="889"/>
      <c r="KH84" s="893" t="str">
        <f ca="1">IFERROR(INDEX(Rezultatai!$H$40:$DC$113,MATCH($A84,Rezultatai!$B$40:$B$113,0),MATCH(KH$7,Rezultatai!$H$40:$DC$40,0)),"")</f>
        <v/>
      </c>
      <c r="KI84" s="888"/>
      <c r="KJ84" s="888"/>
      <c r="KK84" s="889"/>
      <c r="KL84" s="893" t="str">
        <f ca="1">IFERROR(INDEX(Rezultatai!$H$40:$DC$113,MATCH($A84,Rezultatai!$B$40:$B$113,0),MATCH(KL$7,Rezultatai!$H$40:$DC$40,0)),"")</f>
        <v/>
      </c>
      <c r="KM84" s="888"/>
      <c r="KN84" s="888"/>
      <c r="KO84" s="889"/>
      <c r="KP84" s="893" t="str">
        <f ca="1">IFERROR(INDEX(Rezultatai!$H$40:$DC$113,MATCH($A84,Rezultatai!$B$40:$B$113,0),MATCH(KP$7,Rezultatai!$H$40:$DC$40,0)),"")</f>
        <v/>
      </c>
      <c r="KQ84" s="888"/>
      <c r="KR84" s="888"/>
      <c r="KS84" s="889"/>
      <c r="KT84" s="893" t="str">
        <f ca="1">IFERROR(INDEX(Rezultatai!$H$40:$DC$113,MATCH($A84,Rezultatai!$B$40:$B$113,0),MATCH(KT$7,Rezultatai!$H$40:$DC$40,0)),"")</f>
        <v/>
      </c>
      <c r="KU84" s="888"/>
      <c r="KV84" s="888"/>
      <c r="KW84" s="889"/>
      <c r="KX84" s="893" t="str">
        <f ca="1">IFERROR(INDEX(Rezultatai!$H$40:$DC$113,MATCH($A84,Rezultatai!$B$40:$B$113,0),MATCH(KX$7,Rezultatai!$H$40:$DC$40,0)),"")</f>
        <v/>
      </c>
      <c r="KY84" s="888"/>
      <c r="KZ84" s="888"/>
      <c r="LA84" s="889"/>
      <c r="LB84" s="893" t="str">
        <f ca="1">IFERROR(INDEX(Rezultatai!$H$40:$DC$113,MATCH($A84,Rezultatai!$B$40:$B$113,0),MATCH(LB$7,Rezultatai!$H$40:$DC$40,0)),"")</f>
        <v/>
      </c>
      <c r="LC84" s="888"/>
      <c r="LD84" s="888"/>
      <c r="LE84" s="889"/>
      <c r="LF84" s="893" t="str">
        <f ca="1">IFERROR(INDEX(Rezultatai!$H$40:$DC$113,MATCH($A84,Rezultatai!$B$40:$B$113,0),MATCH(LF$7,Rezultatai!$H$40:$DC$40,0)),"")</f>
        <v/>
      </c>
      <c r="LG84" s="888"/>
      <c r="LH84" s="888"/>
      <c r="LI84" s="889"/>
      <c r="LJ84" s="893" t="str">
        <f ca="1">IFERROR(INDEX(Rezultatai!$H$40:$DC$113,MATCH($A84,Rezultatai!$B$40:$B$113,0),MATCH(LJ$7,Rezultatai!$H$40:$DC$40,0)),"")</f>
        <v/>
      </c>
      <c r="LK84" s="888"/>
      <c r="LL84" s="888"/>
      <c r="LM84" s="889"/>
    </row>
    <row r="85" spans="1:325" hidden="1">
      <c r="A85" s="310" t="str">
        <f>IF(OR(Data3!F8="Grand Total",Data3!F8=0),"",Data3!F8)</f>
        <v/>
      </c>
      <c r="B85" s="314" t="s">
        <v>561</v>
      </c>
      <c r="C85" s="347" t="str">
        <f ca="1">IFERROR(VLOOKUP(A85,Rezultatai!$B$44:$F$113,2,FALSE),"")</f>
        <v/>
      </c>
      <c r="D85" s="328">
        <f ca="1">SUMIF($F$6:$LM$6,"&lt;="&amp;PAL,$F85:$LM85)</f>
        <v>0</v>
      </c>
      <c r="E85" s="327"/>
      <c r="F85" s="893" t="str">
        <f ca="1">IFERROR(INDEX(Rezultatai!$H$40:$DC$113,MATCH($A85,Rezultatai!$B$40:$B$113,0),MATCH(F$7,Rezultatai!$H$40:$DC$40,0)),"")</f>
        <v/>
      </c>
      <c r="G85" s="888"/>
      <c r="H85" s="888"/>
      <c r="I85" s="889"/>
      <c r="J85" s="893" t="str">
        <f ca="1">IFERROR(INDEX(Rezultatai!$H$40:$DC$113,MATCH($A85,Rezultatai!$B$40:$B$113,0),MATCH(J$7,Rezultatai!$H$40:$DC$40,0)),"")</f>
        <v/>
      </c>
      <c r="K85" s="888"/>
      <c r="L85" s="888"/>
      <c r="M85" s="889"/>
      <c r="N85" s="893" t="str">
        <f ca="1">IFERROR(INDEX(Rezultatai!$H$40:$DC$113,MATCH($A85,Rezultatai!$B$40:$B$113,0),MATCH(N$7,Rezultatai!$H$40:$DC$40,0)),"")</f>
        <v/>
      </c>
      <c r="O85" s="888"/>
      <c r="P85" s="888"/>
      <c r="Q85" s="889"/>
      <c r="R85" s="893" t="str">
        <f ca="1">IFERROR(INDEX(Rezultatai!$H$40:$DC$113,MATCH($A85,Rezultatai!$B$40:$B$113,0),MATCH(R$7,Rezultatai!$H$40:$DC$40,0)),"")</f>
        <v/>
      </c>
      <c r="S85" s="888"/>
      <c r="T85" s="888"/>
      <c r="U85" s="889"/>
      <c r="V85" s="893" t="str">
        <f ca="1">IFERROR(INDEX(Rezultatai!$H$40:$DC$113,MATCH($A85,Rezultatai!$B$40:$B$113,0),MATCH(V$7,Rezultatai!$H$40:$DC$40,0)),"")</f>
        <v/>
      </c>
      <c r="W85" s="888"/>
      <c r="X85" s="888"/>
      <c r="Y85" s="889"/>
      <c r="Z85" s="893" t="str">
        <f ca="1">IFERROR(INDEX(Rezultatai!$H$40:$DC$113,MATCH($A85,Rezultatai!$B$40:$B$113,0),MATCH(Z$7,Rezultatai!$H$40:$DC$40,0)),"")</f>
        <v/>
      </c>
      <c r="AA85" s="888"/>
      <c r="AB85" s="888"/>
      <c r="AC85" s="889"/>
      <c r="AD85" s="893" t="str">
        <f ca="1">IFERROR(INDEX(Rezultatai!$H$40:$DC$113,MATCH($A85,Rezultatai!$B$40:$B$113,0),MATCH(AD$7,Rezultatai!$H$40:$DC$40,0)),"")</f>
        <v/>
      </c>
      <c r="AE85" s="888"/>
      <c r="AF85" s="888"/>
      <c r="AG85" s="889"/>
      <c r="AH85" s="893" t="str">
        <f ca="1">IFERROR(INDEX(Rezultatai!$H$40:$DC$113,MATCH($A85,Rezultatai!$B$40:$B$113,0),MATCH(AH$7,Rezultatai!$H$40:$DC$40,0)),"")</f>
        <v/>
      </c>
      <c r="AI85" s="888"/>
      <c r="AJ85" s="888"/>
      <c r="AK85" s="889"/>
      <c r="AL85" s="893" t="str">
        <f ca="1">IFERROR(INDEX(Rezultatai!$H$40:$DC$113,MATCH($A85,Rezultatai!$B$40:$B$113,0),MATCH(AL$7,Rezultatai!$H$40:$DC$40,0)),"")</f>
        <v/>
      </c>
      <c r="AM85" s="888"/>
      <c r="AN85" s="888"/>
      <c r="AO85" s="889"/>
      <c r="AP85" s="893" t="str">
        <f ca="1">IFERROR(INDEX(Rezultatai!$H$40:$DC$113,MATCH($A85,Rezultatai!$B$40:$B$113,0),MATCH(AP$7,Rezultatai!$H$40:$DC$40,0)),"")</f>
        <v/>
      </c>
      <c r="AQ85" s="888"/>
      <c r="AR85" s="888"/>
      <c r="AS85" s="889"/>
      <c r="AT85" s="893" t="str">
        <f ca="1">IFERROR(INDEX(Rezultatai!$H$40:$DC$113,MATCH($A85,Rezultatai!$B$40:$B$113,0),MATCH(AT$7,Rezultatai!$H$40:$DC$40,0)),"")</f>
        <v/>
      </c>
      <c r="AU85" s="888"/>
      <c r="AV85" s="888"/>
      <c r="AW85" s="889"/>
      <c r="AX85" s="893" t="str">
        <f ca="1">IFERROR(INDEX(Rezultatai!$H$40:$DC$113,MATCH($A85,Rezultatai!$B$40:$B$113,0),MATCH(AX$7,Rezultatai!$H$40:$DC$40,0)),"")</f>
        <v/>
      </c>
      <c r="AY85" s="888"/>
      <c r="AZ85" s="888"/>
      <c r="BA85" s="889"/>
      <c r="BB85" s="893" t="str">
        <f ca="1">IFERROR(INDEX(Rezultatai!$H$40:$DC$113,MATCH($A85,Rezultatai!$B$40:$B$113,0),MATCH(BB$7,Rezultatai!$H$40:$DC$40,0)),"")</f>
        <v/>
      </c>
      <c r="BC85" s="888"/>
      <c r="BD85" s="888"/>
      <c r="BE85" s="889"/>
      <c r="BF85" s="893" t="str">
        <f ca="1">IFERROR(INDEX(Rezultatai!$H$40:$DC$113,MATCH($A85,Rezultatai!$B$40:$B$113,0),MATCH(BF$7,Rezultatai!$H$40:$DC$40,0)),"")</f>
        <v/>
      </c>
      <c r="BG85" s="888"/>
      <c r="BH85" s="888"/>
      <c r="BI85" s="889"/>
      <c r="BJ85" s="893" t="str">
        <f ca="1">IFERROR(INDEX(Rezultatai!$H$40:$DC$113,MATCH($A85,Rezultatai!$B$40:$B$113,0),MATCH(BJ$7,Rezultatai!$H$40:$DC$40,0)),"")</f>
        <v/>
      </c>
      <c r="BK85" s="888"/>
      <c r="BL85" s="888"/>
      <c r="BM85" s="889"/>
      <c r="BN85" s="893" t="str">
        <f ca="1">IFERROR(INDEX(Rezultatai!$H$40:$DC$113,MATCH($A85,Rezultatai!$B$40:$B$113,0),MATCH(BN$7,Rezultatai!$H$40:$DC$40,0)),"")</f>
        <v/>
      </c>
      <c r="BO85" s="888"/>
      <c r="BP85" s="888"/>
      <c r="BQ85" s="889"/>
      <c r="BR85" s="893" t="str">
        <f ca="1">IFERROR(INDEX(Rezultatai!$H$40:$DC$113,MATCH($A85,Rezultatai!$B$40:$B$113,0),MATCH(BR$7,Rezultatai!$H$40:$DC$40,0)),"")</f>
        <v/>
      </c>
      <c r="BS85" s="888"/>
      <c r="BT85" s="888"/>
      <c r="BU85" s="889"/>
      <c r="BV85" s="893" t="str">
        <f ca="1">IFERROR(INDEX(Rezultatai!$H$40:$DC$113,MATCH($A85,Rezultatai!$B$40:$B$113,0),MATCH(BV$7,Rezultatai!$H$40:$DC$40,0)),"")</f>
        <v/>
      </c>
      <c r="BW85" s="888"/>
      <c r="BX85" s="888"/>
      <c r="BY85" s="889"/>
      <c r="BZ85" s="893" t="str">
        <f ca="1">IFERROR(INDEX(Rezultatai!$H$40:$DC$113,MATCH($A85,Rezultatai!$B$40:$B$113,0),MATCH(BZ$7,Rezultatai!$H$40:$DC$40,0)),"")</f>
        <v/>
      </c>
      <c r="CA85" s="888"/>
      <c r="CB85" s="888"/>
      <c r="CC85" s="889"/>
      <c r="CD85" s="893" t="str">
        <f ca="1">IFERROR(INDEX(Rezultatai!$H$40:$DC$113,MATCH($A85,Rezultatai!$B$40:$B$113,0),MATCH(CD$7,Rezultatai!$H$40:$DC$40,0)),"")</f>
        <v/>
      </c>
      <c r="CE85" s="888"/>
      <c r="CF85" s="888"/>
      <c r="CG85" s="889"/>
      <c r="CH85" s="893" t="str">
        <f ca="1">IFERROR(INDEX(Rezultatai!$H$40:$DC$113,MATCH($A85,Rezultatai!$B$40:$B$113,0),MATCH(CH$7,Rezultatai!$H$40:$DC$40,0)),"")</f>
        <v/>
      </c>
      <c r="CI85" s="888"/>
      <c r="CJ85" s="888"/>
      <c r="CK85" s="889"/>
      <c r="CL85" s="893" t="str">
        <f ca="1">IFERROR(INDEX(Rezultatai!$H$40:$DC$113,MATCH($A85,Rezultatai!$B$40:$B$113,0),MATCH(CL$7,Rezultatai!$H$40:$DC$40,0)),"")</f>
        <v/>
      </c>
      <c r="CM85" s="888"/>
      <c r="CN85" s="888"/>
      <c r="CO85" s="889"/>
      <c r="CP85" s="893" t="str">
        <f ca="1">IFERROR(INDEX(Rezultatai!$H$40:$DC$113,MATCH($A85,Rezultatai!$B$40:$B$113,0),MATCH(CP$7,Rezultatai!$H$40:$DC$40,0)),"")</f>
        <v/>
      </c>
      <c r="CQ85" s="888"/>
      <c r="CR85" s="888"/>
      <c r="CS85" s="889"/>
      <c r="CT85" s="893" t="str">
        <f ca="1">IFERROR(INDEX(Rezultatai!$H$40:$DC$113,MATCH($A85,Rezultatai!$B$40:$B$113,0),MATCH(CT$7,Rezultatai!$H$40:$DC$40,0)),"")</f>
        <v/>
      </c>
      <c r="CU85" s="888"/>
      <c r="CV85" s="888"/>
      <c r="CW85" s="889"/>
      <c r="CX85" s="893" t="str">
        <f ca="1">IFERROR(INDEX(Rezultatai!$H$40:$DC$113,MATCH($A85,Rezultatai!$B$40:$B$113,0),MATCH(CX$7,Rezultatai!$H$40:$DC$40,0)),"")</f>
        <v/>
      </c>
      <c r="CY85" s="888"/>
      <c r="CZ85" s="888"/>
      <c r="DA85" s="889"/>
      <c r="DB85" s="893" t="str">
        <f ca="1">IFERROR(INDEX(Rezultatai!$H$40:$DC$113,MATCH($A85,Rezultatai!$B$40:$B$113,0),MATCH(DB$7,Rezultatai!$H$40:$DC$40,0)),"")</f>
        <v/>
      </c>
      <c r="DC85" s="888"/>
      <c r="DD85" s="888"/>
      <c r="DE85" s="889"/>
      <c r="DF85" s="893" t="str">
        <f ca="1">IFERROR(INDEX(Rezultatai!$H$40:$DC$113,MATCH($A85,Rezultatai!$B$40:$B$113,0),MATCH(DF$7,Rezultatai!$H$40:$DC$40,0)),"")</f>
        <v/>
      </c>
      <c r="DG85" s="888"/>
      <c r="DH85" s="888"/>
      <c r="DI85" s="889"/>
      <c r="DJ85" s="893" t="str">
        <f ca="1">IFERROR(INDEX(Rezultatai!$H$40:$DC$113,MATCH($A85,Rezultatai!$B$40:$B$113,0),MATCH(DJ$7,Rezultatai!$H$40:$DC$40,0)),"")</f>
        <v/>
      </c>
      <c r="DK85" s="888"/>
      <c r="DL85" s="888"/>
      <c r="DM85" s="889"/>
      <c r="DN85" s="893" t="str">
        <f ca="1">IFERROR(INDEX(Rezultatai!$H$40:$DC$113,MATCH($A85,Rezultatai!$B$40:$B$113,0),MATCH(DN$7,Rezultatai!$H$40:$DC$40,0)),"")</f>
        <v/>
      </c>
      <c r="DO85" s="888"/>
      <c r="DP85" s="888"/>
      <c r="DQ85" s="889"/>
      <c r="DR85" s="893" t="str">
        <f ca="1">IFERROR(INDEX(Rezultatai!$H$40:$DC$113,MATCH($A85,Rezultatai!$B$40:$B$113,0),MATCH(DR$7,Rezultatai!$H$40:$DC$40,0)),"")</f>
        <v/>
      </c>
      <c r="DS85" s="888"/>
      <c r="DT85" s="888"/>
      <c r="DU85" s="889"/>
      <c r="DV85" s="893" t="str">
        <f ca="1">IFERROR(INDEX(Rezultatai!$H$40:$DC$113,MATCH($A85,Rezultatai!$B$40:$B$113,0),MATCH(DV$7,Rezultatai!$H$40:$DC$40,0)),"")</f>
        <v/>
      </c>
      <c r="DW85" s="888"/>
      <c r="DX85" s="888"/>
      <c r="DY85" s="889"/>
      <c r="DZ85" s="893" t="str">
        <f ca="1">IFERROR(INDEX(Rezultatai!$H$40:$DC$113,MATCH($A85,Rezultatai!$B$40:$B$113,0),MATCH(DZ$7,Rezultatai!$H$40:$DC$40,0)),"")</f>
        <v/>
      </c>
      <c r="EA85" s="888"/>
      <c r="EB85" s="888"/>
      <c r="EC85" s="889"/>
      <c r="ED85" s="893" t="str">
        <f ca="1">IFERROR(INDEX(Rezultatai!$H$40:$DC$113,MATCH($A85,Rezultatai!$B$40:$B$113,0),MATCH(ED$7,Rezultatai!$H$40:$DC$40,0)),"")</f>
        <v/>
      </c>
      <c r="EE85" s="888"/>
      <c r="EF85" s="888"/>
      <c r="EG85" s="889"/>
      <c r="EH85" s="893" t="str">
        <f ca="1">IFERROR(INDEX(Rezultatai!$H$40:$DC$113,MATCH($A85,Rezultatai!$B$40:$B$113,0),MATCH(EH$7,Rezultatai!$H$40:$DC$40,0)),"")</f>
        <v/>
      </c>
      <c r="EI85" s="888"/>
      <c r="EJ85" s="888"/>
      <c r="EK85" s="889"/>
      <c r="EL85" s="893" t="str">
        <f ca="1">IFERROR(INDEX(Rezultatai!$H$40:$DC$113,MATCH($A85,Rezultatai!$B$40:$B$113,0),MATCH(EL$7,Rezultatai!$H$40:$DC$40,0)),"")</f>
        <v/>
      </c>
      <c r="EM85" s="888"/>
      <c r="EN85" s="888"/>
      <c r="EO85" s="889"/>
      <c r="EP85" s="893" t="str">
        <f ca="1">IFERROR(INDEX(Rezultatai!$H$40:$DC$113,MATCH($A85,Rezultatai!$B$40:$B$113,0),MATCH(EP$7,Rezultatai!$H$40:$DC$40,0)),"")</f>
        <v/>
      </c>
      <c r="EQ85" s="888"/>
      <c r="ER85" s="888"/>
      <c r="ES85" s="889"/>
      <c r="ET85" s="893" t="str">
        <f ca="1">IFERROR(INDEX(Rezultatai!$H$40:$DC$113,MATCH($A85,Rezultatai!$B$40:$B$113,0),MATCH(ET$7,Rezultatai!$H$40:$DC$40,0)),"")</f>
        <v/>
      </c>
      <c r="EU85" s="888"/>
      <c r="EV85" s="888"/>
      <c r="EW85" s="889"/>
      <c r="EX85" s="893" t="str">
        <f ca="1">IFERROR(INDEX(Rezultatai!$H$40:$DC$113,MATCH($A85,Rezultatai!$B$40:$B$113,0),MATCH(EX$7,Rezultatai!$H$40:$DC$40,0)),"")</f>
        <v/>
      </c>
      <c r="EY85" s="888"/>
      <c r="EZ85" s="888"/>
      <c r="FA85" s="889"/>
      <c r="FB85" s="893" t="str">
        <f ca="1">IFERROR(INDEX(Rezultatai!$H$40:$DC$113,MATCH($A85,Rezultatai!$B$40:$B$113,0),MATCH(FB$7,Rezultatai!$H$40:$DC$40,0)),"")</f>
        <v/>
      </c>
      <c r="FC85" s="888"/>
      <c r="FD85" s="888"/>
      <c r="FE85" s="889"/>
      <c r="FF85" s="893" t="str">
        <f ca="1">IFERROR(INDEX(Rezultatai!$H$40:$DC$113,MATCH($A85,Rezultatai!$B$40:$B$113,0),MATCH(FF$7,Rezultatai!$H$40:$DC$40,0)),"")</f>
        <v/>
      </c>
      <c r="FG85" s="888"/>
      <c r="FH85" s="888"/>
      <c r="FI85" s="889"/>
      <c r="FJ85" s="893" t="str">
        <f ca="1">IFERROR(INDEX(Rezultatai!$H$40:$DC$113,MATCH($A85,Rezultatai!$B$40:$B$113,0),MATCH(FJ$7,Rezultatai!$H$40:$DC$40,0)),"")</f>
        <v/>
      </c>
      <c r="FK85" s="888"/>
      <c r="FL85" s="888"/>
      <c r="FM85" s="889"/>
      <c r="FN85" s="893" t="str">
        <f ca="1">IFERROR(INDEX(Rezultatai!$H$40:$DC$113,MATCH($A85,Rezultatai!$B$40:$B$113,0),MATCH(FN$7,Rezultatai!$H$40:$DC$40,0)),"")</f>
        <v/>
      </c>
      <c r="FO85" s="888"/>
      <c r="FP85" s="888"/>
      <c r="FQ85" s="889"/>
      <c r="FR85" s="893" t="str">
        <f ca="1">IFERROR(INDEX(Rezultatai!$H$40:$DC$113,MATCH($A85,Rezultatai!$B$40:$B$113,0),MATCH(FR$7,Rezultatai!$H$40:$DC$40,0)),"")</f>
        <v/>
      </c>
      <c r="FS85" s="888"/>
      <c r="FT85" s="888"/>
      <c r="FU85" s="889"/>
      <c r="FV85" s="893" t="str">
        <f ca="1">IFERROR(INDEX(Rezultatai!$H$40:$DC$113,MATCH($A85,Rezultatai!$B$40:$B$113,0),MATCH(FV$7,Rezultatai!$H$40:$DC$40,0)),"")</f>
        <v/>
      </c>
      <c r="FW85" s="888"/>
      <c r="FX85" s="888"/>
      <c r="FY85" s="889"/>
      <c r="FZ85" s="893" t="str">
        <f ca="1">IFERROR(INDEX(Rezultatai!$H$40:$DC$113,MATCH($A85,Rezultatai!$B$40:$B$113,0),MATCH(FZ$7,Rezultatai!$H$40:$DC$40,0)),"")</f>
        <v/>
      </c>
      <c r="GA85" s="888"/>
      <c r="GB85" s="888"/>
      <c r="GC85" s="889"/>
      <c r="GD85" s="893" t="str">
        <f ca="1">IFERROR(INDEX(Rezultatai!$H$40:$DC$113,MATCH($A85,Rezultatai!$B$40:$B$113,0),MATCH(GD$7,Rezultatai!$H$40:$DC$40,0)),"")</f>
        <v/>
      </c>
      <c r="GE85" s="888"/>
      <c r="GF85" s="888"/>
      <c r="GG85" s="889"/>
      <c r="GH85" s="893" t="str">
        <f ca="1">IFERROR(INDEX(Rezultatai!$H$40:$DC$113,MATCH($A85,Rezultatai!$B$40:$B$113,0),MATCH(GH$7,Rezultatai!$H$40:$DC$40,0)),"")</f>
        <v/>
      </c>
      <c r="GI85" s="888"/>
      <c r="GJ85" s="888"/>
      <c r="GK85" s="889"/>
      <c r="GL85" s="893" t="str">
        <f ca="1">IFERROR(INDEX(Rezultatai!$H$40:$DC$113,MATCH($A85,Rezultatai!$B$40:$B$113,0),MATCH(GL$7,Rezultatai!$H$40:$DC$40,0)),"")</f>
        <v/>
      </c>
      <c r="GM85" s="888"/>
      <c r="GN85" s="888"/>
      <c r="GO85" s="889"/>
      <c r="GP85" s="893" t="str">
        <f ca="1">IFERROR(INDEX(Rezultatai!$H$40:$DC$113,MATCH($A85,Rezultatai!$B$40:$B$113,0),MATCH(GP$7,Rezultatai!$H$40:$DC$40,0)),"")</f>
        <v/>
      </c>
      <c r="GQ85" s="888"/>
      <c r="GR85" s="888"/>
      <c r="GS85" s="889"/>
      <c r="GT85" s="893" t="str">
        <f ca="1">IFERROR(INDEX(Rezultatai!$H$40:$DC$113,MATCH($A85,Rezultatai!$B$40:$B$113,0),MATCH(GT$7,Rezultatai!$H$40:$DC$40,0)),"")</f>
        <v/>
      </c>
      <c r="GU85" s="888"/>
      <c r="GV85" s="888"/>
      <c r="GW85" s="889"/>
      <c r="GX85" s="893" t="str">
        <f ca="1">IFERROR(INDEX(Rezultatai!$H$40:$DC$113,MATCH($A85,Rezultatai!$B$40:$B$113,0),MATCH(GX$7,Rezultatai!$H$40:$DC$40,0)),"")</f>
        <v/>
      </c>
      <c r="GY85" s="888"/>
      <c r="GZ85" s="888"/>
      <c r="HA85" s="889"/>
      <c r="HB85" s="893" t="str">
        <f ca="1">IFERROR(INDEX(Rezultatai!$H$40:$DC$113,MATCH($A85,Rezultatai!$B$40:$B$113,0),MATCH(HB$7,Rezultatai!$H$40:$DC$40,0)),"")</f>
        <v/>
      </c>
      <c r="HC85" s="888"/>
      <c r="HD85" s="888"/>
      <c r="HE85" s="889"/>
      <c r="HF85" s="893" t="str">
        <f ca="1">IFERROR(INDEX(Rezultatai!$H$40:$DC$113,MATCH($A85,Rezultatai!$B$40:$B$113,0),MATCH(HF$7,Rezultatai!$H$40:$DC$40,0)),"")</f>
        <v/>
      </c>
      <c r="HG85" s="888"/>
      <c r="HH85" s="888"/>
      <c r="HI85" s="889"/>
      <c r="HJ85" s="893" t="str">
        <f ca="1">IFERROR(INDEX(Rezultatai!$H$40:$DC$113,MATCH($A85,Rezultatai!$B$40:$B$113,0),MATCH(HJ$7,Rezultatai!$H$40:$DC$40,0)),"")</f>
        <v/>
      </c>
      <c r="HK85" s="888"/>
      <c r="HL85" s="888"/>
      <c r="HM85" s="889"/>
      <c r="HN85" s="893" t="str">
        <f ca="1">IFERROR(INDEX(Rezultatai!$H$40:$DC$113,MATCH($A85,Rezultatai!$B$40:$B$113,0),MATCH(HN$7,Rezultatai!$H$40:$DC$40,0)),"")</f>
        <v/>
      </c>
      <c r="HO85" s="888"/>
      <c r="HP85" s="888"/>
      <c r="HQ85" s="889"/>
      <c r="HR85" s="893" t="str">
        <f ca="1">IFERROR(INDEX(Rezultatai!$H$40:$DC$113,MATCH($A85,Rezultatai!$B$40:$B$113,0),MATCH(HR$7,Rezultatai!$H$40:$DC$40,0)),"")</f>
        <v/>
      </c>
      <c r="HS85" s="888"/>
      <c r="HT85" s="888"/>
      <c r="HU85" s="889"/>
      <c r="HV85" s="893" t="str">
        <f ca="1">IFERROR(INDEX(Rezultatai!$H$40:$DC$113,MATCH($A85,Rezultatai!$B$40:$B$113,0),MATCH(HV$7,Rezultatai!$H$40:$DC$40,0)),"")</f>
        <v/>
      </c>
      <c r="HW85" s="888"/>
      <c r="HX85" s="888"/>
      <c r="HY85" s="889"/>
      <c r="HZ85" s="893" t="str">
        <f ca="1">IFERROR(INDEX(Rezultatai!$H$40:$DC$113,MATCH($A85,Rezultatai!$B$40:$B$113,0),MATCH(HZ$7,Rezultatai!$H$40:$DC$40,0)),"")</f>
        <v/>
      </c>
      <c r="IA85" s="888"/>
      <c r="IB85" s="888"/>
      <c r="IC85" s="889"/>
      <c r="ID85" s="893" t="str">
        <f ca="1">IFERROR(INDEX(Rezultatai!$H$40:$DC$113,MATCH($A85,Rezultatai!$B$40:$B$113,0),MATCH(ID$7,Rezultatai!$H$40:$DC$40,0)),"")</f>
        <v/>
      </c>
      <c r="IE85" s="888"/>
      <c r="IF85" s="888"/>
      <c r="IG85" s="889"/>
      <c r="IH85" s="893" t="str">
        <f ca="1">IFERROR(INDEX(Rezultatai!$H$40:$DC$113,MATCH($A85,Rezultatai!$B$40:$B$113,0),MATCH(IH$7,Rezultatai!$H$40:$DC$40,0)),"")</f>
        <v/>
      </c>
      <c r="II85" s="888"/>
      <c r="IJ85" s="888"/>
      <c r="IK85" s="889"/>
      <c r="IL85" s="893" t="str">
        <f ca="1">IFERROR(INDEX(Rezultatai!$H$40:$DC$113,MATCH($A85,Rezultatai!$B$40:$B$113,0),MATCH(IL$7,Rezultatai!$H$40:$DC$40,0)),"")</f>
        <v/>
      </c>
      <c r="IM85" s="888"/>
      <c r="IN85" s="888"/>
      <c r="IO85" s="889"/>
      <c r="IP85" s="893" t="str">
        <f ca="1">IFERROR(INDEX(Rezultatai!$H$40:$DC$113,MATCH($A85,Rezultatai!$B$40:$B$113,0),MATCH(IP$7,Rezultatai!$H$40:$DC$40,0)),"")</f>
        <v/>
      </c>
      <c r="IQ85" s="888"/>
      <c r="IR85" s="888"/>
      <c r="IS85" s="889"/>
      <c r="IT85" s="893" t="str">
        <f ca="1">IFERROR(INDEX(Rezultatai!$H$40:$DC$113,MATCH($A85,Rezultatai!$B$40:$B$113,0),MATCH(IT$7,Rezultatai!$H$40:$DC$40,0)),"")</f>
        <v/>
      </c>
      <c r="IU85" s="888"/>
      <c r="IV85" s="888"/>
      <c r="IW85" s="889"/>
      <c r="IX85" s="893" t="str">
        <f ca="1">IFERROR(INDEX(Rezultatai!$H$40:$DC$113,MATCH($A85,Rezultatai!$B$40:$B$113,0),MATCH(IX$7,Rezultatai!$H$40:$DC$40,0)),"")</f>
        <v/>
      </c>
      <c r="IY85" s="888"/>
      <c r="IZ85" s="888"/>
      <c r="JA85" s="889"/>
      <c r="JB85" s="893" t="str">
        <f ca="1">IFERROR(INDEX(Rezultatai!$H$40:$DC$113,MATCH($A85,Rezultatai!$B$40:$B$113,0),MATCH(JB$7,Rezultatai!$H$40:$DC$40,0)),"")</f>
        <v/>
      </c>
      <c r="JC85" s="888"/>
      <c r="JD85" s="888"/>
      <c r="JE85" s="889"/>
      <c r="JF85" s="893" t="str">
        <f ca="1">IFERROR(INDEX(Rezultatai!$H$40:$DC$113,MATCH($A85,Rezultatai!$B$40:$B$113,0),MATCH(JF$7,Rezultatai!$H$40:$DC$40,0)),"")</f>
        <v/>
      </c>
      <c r="JG85" s="888"/>
      <c r="JH85" s="888"/>
      <c r="JI85" s="889"/>
      <c r="JJ85" s="893" t="str">
        <f ca="1">IFERROR(INDEX(Rezultatai!$H$40:$DC$113,MATCH($A85,Rezultatai!$B$40:$B$113,0),MATCH(JJ$7,Rezultatai!$H$40:$DC$40,0)),"")</f>
        <v/>
      </c>
      <c r="JK85" s="888"/>
      <c r="JL85" s="888"/>
      <c r="JM85" s="889"/>
      <c r="JN85" s="893" t="str">
        <f ca="1">IFERROR(INDEX(Rezultatai!$H$40:$DC$113,MATCH($A85,Rezultatai!$B$40:$B$113,0),MATCH(JN$7,Rezultatai!$H$40:$DC$40,0)),"")</f>
        <v/>
      </c>
      <c r="JO85" s="888"/>
      <c r="JP85" s="888"/>
      <c r="JQ85" s="889"/>
      <c r="JR85" s="893" t="str">
        <f ca="1">IFERROR(INDEX(Rezultatai!$H$40:$DC$113,MATCH($A85,Rezultatai!$B$40:$B$113,0),MATCH(JR$7,Rezultatai!$H$40:$DC$40,0)),"")</f>
        <v/>
      </c>
      <c r="JS85" s="888"/>
      <c r="JT85" s="888"/>
      <c r="JU85" s="889"/>
      <c r="JV85" s="893" t="str">
        <f ca="1">IFERROR(INDEX(Rezultatai!$H$40:$DC$113,MATCH($A85,Rezultatai!$B$40:$B$113,0),MATCH(JV$7,Rezultatai!$H$40:$DC$40,0)),"")</f>
        <v/>
      </c>
      <c r="JW85" s="888"/>
      <c r="JX85" s="888"/>
      <c r="JY85" s="889"/>
      <c r="JZ85" s="893" t="str">
        <f ca="1">IFERROR(INDEX(Rezultatai!$H$40:$DC$113,MATCH($A85,Rezultatai!$B$40:$B$113,0),MATCH(JZ$7,Rezultatai!$H$40:$DC$40,0)),"")</f>
        <v/>
      </c>
      <c r="KA85" s="888"/>
      <c r="KB85" s="888"/>
      <c r="KC85" s="889"/>
      <c r="KD85" s="893" t="str">
        <f ca="1">IFERROR(INDEX(Rezultatai!$H$40:$DC$113,MATCH($A85,Rezultatai!$B$40:$B$113,0),MATCH(KD$7,Rezultatai!$H$40:$DC$40,0)),"")</f>
        <v/>
      </c>
      <c r="KE85" s="888"/>
      <c r="KF85" s="888"/>
      <c r="KG85" s="889"/>
      <c r="KH85" s="893" t="str">
        <f ca="1">IFERROR(INDEX(Rezultatai!$H$40:$DC$113,MATCH($A85,Rezultatai!$B$40:$B$113,0),MATCH(KH$7,Rezultatai!$H$40:$DC$40,0)),"")</f>
        <v/>
      </c>
      <c r="KI85" s="888"/>
      <c r="KJ85" s="888"/>
      <c r="KK85" s="889"/>
      <c r="KL85" s="893" t="str">
        <f ca="1">IFERROR(INDEX(Rezultatai!$H$40:$DC$113,MATCH($A85,Rezultatai!$B$40:$B$113,0),MATCH(KL$7,Rezultatai!$H$40:$DC$40,0)),"")</f>
        <v/>
      </c>
      <c r="KM85" s="888"/>
      <c r="KN85" s="888"/>
      <c r="KO85" s="889"/>
      <c r="KP85" s="893" t="str">
        <f ca="1">IFERROR(INDEX(Rezultatai!$H$40:$DC$113,MATCH($A85,Rezultatai!$B$40:$B$113,0),MATCH(KP$7,Rezultatai!$H$40:$DC$40,0)),"")</f>
        <v/>
      </c>
      <c r="KQ85" s="888"/>
      <c r="KR85" s="888"/>
      <c r="KS85" s="889"/>
      <c r="KT85" s="893" t="str">
        <f ca="1">IFERROR(INDEX(Rezultatai!$H$40:$DC$113,MATCH($A85,Rezultatai!$B$40:$B$113,0),MATCH(KT$7,Rezultatai!$H$40:$DC$40,0)),"")</f>
        <v/>
      </c>
      <c r="KU85" s="888"/>
      <c r="KV85" s="888"/>
      <c r="KW85" s="889"/>
      <c r="KX85" s="893" t="str">
        <f ca="1">IFERROR(INDEX(Rezultatai!$H$40:$DC$113,MATCH($A85,Rezultatai!$B$40:$B$113,0),MATCH(KX$7,Rezultatai!$H$40:$DC$40,0)),"")</f>
        <v/>
      </c>
      <c r="KY85" s="888"/>
      <c r="KZ85" s="888"/>
      <c r="LA85" s="889"/>
      <c r="LB85" s="893" t="str">
        <f ca="1">IFERROR(INDEX(Rezultatai!$H$40:$DC$113,MATCH($A85,Rezultatai!$B$40:$B$113,0),MATCH(LB$7,Rezultatai!$H$40:$DC$40,0)),"")</f>
        <v/>
      </c>
      <c r="LC85" s="888"/>
      <c r="LD85" s="888"/>
      <c r="LE85" s="889"/>
      <c r="LF85" s="893" t="str">
        <f ca="1">IFERROR(INDEX(Rezultatai!$H$40:$DC$113,MATCH($A85,Rezultatai!$B$40:$B$113,0),MATCH(LF$7,Rezultatai!$H$40:$DC$40,0)),"")</f>
        <v/>
      </c>
      <c r="LG85" s="888"/>
      <c r="LH85" s="888"/>
      <c r="LI85" s="889"/>
      <c r="LJ85" s="893" t="str">
        <f ca="1">IFERROR(INDEX(Rezultatai!$H$40:$DC$113,MATCH($A85,Rezultatai!$B$40:$B$113,0),MATCH(LJ$7,Rezultatai!$H$40:$DC$40,0)),"")</f>
        <v/>
      </c>
      <c r="LK85" s="888"/>
      <c r="LL85" s="888"/>
      <c r="LM85" s="889"/>
    </row>
    <row r="86" spans="1:325" hidden="1">
      <c r="A86" s="310" t="str">
        <f>IF(OR(Data3!F9="Grand Total",Data3!F9=0),"",Data3!F9)</f>
        <v/>
      </c>
      <c r="B86" s="314" t="s">
        <v>562</v>
      </c>
      <c r="C86" s="347" t="str">
        <f ca="1">IFERROR(VLOOKUP(A86,Rezultatai!$B$44:$F$113,2,FALSE),"")</f>
        <v/>
      </c>
      <c r="D86" s="328">
        <f ca="1">SUMIF($F$6:$LM$6,"&lt;="&amp;PAL,$F86:$LM86)</f>
        <v>0</v>
      </c>
      <c r="E86" s="327"/>
      <c r="F86" s="893" t="str">
        <f ca="1">IFERROR(INDEX(Rezultatai!$H$40:$DC$113,MATCH($A86,Rezultatai!$B$40:$B$113,0),MATCH(F$7,Rezultatai!$H$40:$DC$40,0)),"")</f>
        <v/>
      </c>
      <c r="G86" s="888"/>
      <c r="H86" s="888"/>
      <c r="I86" s="889"/>
      <c r="J86" s="893" t="str">
        <f ca="1">IFERROR(INDEX(Rezultatai!$H$40:$DC$113,MATCH($A86,Rezultatai!$B$40:$B$113,0),MATCH(J$7,Rezultatai!$H$40:$DC$40,0)),"")</f>
        <v/>
      </c>
      <c r="K86" s="888"/>
      <c r="L86" s="888"/>
      <c r="M86" s="889"/>
      <c r="N86" s="893" t="str">
        <f ca="1">IFERROR(INDEX(Rezultatai!$H$40:$DC$113,MATCH($A86,Rezultatai!$B$40:$B$113,0),MATCH(N$7,Rezultatai!$H$40:$DC$40,0)),"")</f>
        <v/>
      </c>
      <c r="O86" s="888"/>
      <c r="P86" s="888"/>
      <c r="Q86" s="889"/>
      <c r="R86" s="893" t="str">
        <f ca="1">IFERROR(INDEX(Rezultatai!$H$40:$DC$113,MATCH($A86,Rezultatai!$B$40:$B$113,0),MATCH(R$7,Rezultatai!$H$40:$DC$40,0)),"")</f>
        <v/>
      </c>
      <c r="S86" s="888"/>
      <c r="T86" s="888"/>
      <c r="U86" s="889"/>
      <c r="V86" s="893" t="str">
        <f ca="1">IFERROR(INDEX(Rezultatai!$H$40:$DC$113,MATCH($A86,Rezultatai!$B$40:$B$113,0),MATCH(V$7,Rezultatai!$H$40:$DC$40,0)),"")</f>
        <v/>
      </c>
      <c r="W86" s="888"/>
      <c r="X86" s="888"/>
      <c r="Y86" s="889"/>
      <c r="Z86" s="893" t="str">
        <f ca="1">IFERROR(INDEX(Rezultatai!$H$40:$DC$113,MATCH($A86,Rezultatai!$B$40:$B$113,0),MATCH(Z$7,Rezultatai!$H$40:$DC$40,0)),"")</f>
        <v/>
      </c>
      <c r="AA86" s="888"/>
      <c r="AB86" s="888"/>
      <c r="AC86" s="889"/>
      <c r="AD86" s="893" t="str">
        <f ca="1">IFERROR(INDEX(Rezultatai!$H$40:$DC$113,MATCH($A86,Rezultatai!$B$40:$B$113,0),MATCH(AD$7,Rezultatai!$H$40:$DC$40,0)),"")</f>
        <v/>
      </c>
      <c r="AE86" s="888"/>
      <c r="AF86" s="888"/>
      <c r="AG86" s="889"/>
      <c r="AH86" s="893" t="str">
        <f ca="1">IFERROR(INDEX(Rezultatai!$H$40:$DC$113,MATCH($A86,Rezultatai!$B$40:$B$113,0),MATCH(AH$7,Rezultatai!$H$40:$DC$40,0)),"")</f>
        <v/>
      </c>
      <c r="AI86" s="888"/>
      <c r="AJ86" s="888"/>
      <c r="AK86" s="889"/>
      <c r="AL86" s="893" t="str">
        <f ca="1">IFERROR(INDEX(Rezultatai!$H$40:$DC$113,MATCH($A86,Rezultatai!$B$40:$B$113,0),MATCH(AL$7,Rezultatai!$H$40:$DC$40,0)),"")</f>
        <v/>
      </c>
      <c r="AM86" s="888"/>
      <c r="AN86" s="888"/>
      <c r="AO86" s="889"/>
      <c r="AP86" s="893" t="str">
        <f ca="1">IFERROR(INDEX(Rezultatai!$H$40:$DC$113,MATCH($A86,Rezultatai!$B$40:$B$113,0),MATCH(AP$7,Rezultatai!$H$40:$DC$40,0)),"")</f>
        <v/>
      </c>
      <c r="AQ86" s="888"/>
      <c r="AR86" s="888"/>
      <c r="AS86" s="889"/>
      <c r="AT86" s="893" t="str">
        <f ca="1">IFERROR(INDEX(Rezultatai!$H$40:$DC$113,MATCH($A86,Rezultatai!$B$40:$B$113,0),MATCH(AT$7,Rezultatai!$H$40:$DC$40,0)),"")</f>
        <v/>
      </c>
      <c r="AU86" s="888"/>
      <c r="AV86" s="888"/>
      <c r="AW86" s="889"/>
      <c r="AX86" s="893" t="str">
        <f ca="1">IFERROR(INDEX(Rezultatai!$H$40:$DC$113,MATCH($A86,Rezultatai!$B$40:$B$113,0),MATCH(AX$7,Rezultatai!$H$40:$DC$40,0)),"")</f>
        <v/>
      </c>
      <c r="AY86" s="888"/>
      <c r="AZ86" s="888"/>
      <c r="BA86" s="889"/>
      <c r="BB86" s="893" t="str">
        <f ca="1">IFERROR(INDEX(Rezultatai!$H$40:$DC$113,MATCH($A86,Rezultatai!$B$40:$B$113,0),MATCH(BB$7,Rezultatai!$H$40:$DC$40,0)),"")</f>
        <v/>
      </c>
      <c r="BC86" s="888"/>
      <c r="BD86" s="888"/>
      <c r="BE86" s="889"/>
      <c r="BF86" s="893" t="str">
        <f ca="1">IFERROR(INDEX(Rezultatai!$H$40:$DC$113,MATCH($A86,Rezultatai!$B$40:$B$113,0),MATCH(BF$7,Rezultatai!$H$40:$DC$40,0)),"")</f>
        <v/>
      </c>
      <c r="BG86" s="888"/>
      <c r="BH86" s="888"/>
      <c r="BI86" s="889"/>
      <c r="BJ86" s="893" t="str">
        <f ca="1">IFERROR(INDEX(Rezultatai!$H$40:$DC$113,MATCH($A86,Rezultatai!$B$40:$B$113,0),MATCH(BJ$7,Rezultatai!$H$40:$DC$40,0)),"")</f>
        <v/>
      </c>
      <c r="BK86" s="888"/>
      <c r="BL86" s="888"/>
      <c r="BM86" s="889"/>
      <c r="BN86" s="893" t="str">
        <f ca="1">IFERROR(INDEX(Rezultatai!$H$40:$DC$113,MATCH($A86,Rezultatai!$B$40:$B$113,0),MATCH(BN$7,Rezultatai!$H$40:$DC$40,0)),"")</f>
        <v/>
      </c>
      <c r="BO86" s="888"/>
      <c r="BP86" s="888"/>
      <c r="BQ86" s="889"/>
      <c r="BR86" s="893" t="str">
        <f ca="1">IFERROR(INDEX(Rezultatai!$H$40:$DC$113,MATCH($A86,Rezultatai!$B$40:$B$113,0),MATCH(BR$7,Rezultatai!$H$40:$DC$40,0)),"")</f>
        <v/>
      </c>
      <c r="BS86" s="888"/>
      <c r="BT86" s="888"/>
      <c r="BU86" s="889"/>
      <c r="BV86" s="893" t="str">
        <f ca="1">IFERROR(INDEX(Rezultatai!$H$40:$DC$113,MATCH($A86,Rezultatai!$B$40:$B$113,0),MATCH(BV$7,Rezultatai!$H$40:$DC$40,0)),"")</f>
        <v/>
      </c>
      <c r="BW86" s="888"/>
      <c r="BX86" s="888"/>
      <c r="BY86" s="889"/>
      <c r="BZ86" s="893" t="str">
        <f ca="1">IFERROR(INDEX(Rezultatai!$H$40:$DC$113,MATCH($A86,Rezultatai!$B$40:$B$113,0),MATCH(BZ$7,Rezultatai!$H$40:$DC$40,0)),"")</f>
        <v/>
      </c>
      <c r="CA86" s="888"/>
      <c r="CB86" s="888"/>
      <c r="CC86" s="889"/>
      <c r="CD86" s="893" t="str">
        <f ca="1">IFERROR(INDEX(Rezultatai!$H$40:$DC$113,MATCH($A86,Rezultatai!$B$40:$B$113,0),MATCH(CD$7,Rezultatai!$H$40:$DC$40,0)),"")</f>
        <v/>
      </c>
      <c r="CE86" s="888"/>
      <c r="CF86" s="888"/>
      <c r="CG86" s="889"/>
      <c r="CH86" s="893" t="str">
        <f ca="1">IFERROR(INDEX(Rezultatai!$H$40:$DC$113,MATCH($A86,Rezultatai!$B$40:$B$113,0),MATCH(CH$7,Rezultatai!$H$40:$DC$40,0)),"")</f>
        <v/>
      </c>
      <c r="CI86" s="888"/>
      <c r="CJ86" s="888"/>
      <c r="CK86" s="889"/>
      <c r="CL86" s="893" t="str">
        <f ca="1">IFERROR(INDEX(Rezultatai!$H$40:$DC$113,MATCH($A86,Rezultatai!$B$40:$B$113,0),MATCH(CL$7,Rezultatai!$H$40:$DC$40,0)),"")</f>
        <v/>
      </c>
      <c r="CM86" s="888"/>
      <c r="CN86" s="888"/>
      <c r="CO86" s="889"/>
      <c r="CP86" s="893" t="str">
        <f ca="1">IFERROR(INDEX(Rezultatai!$H$40:$DC$113,MATCH($A86,Rezultatai!$B$40:$B$113,0),MATCH(CP$7,Rezultatai!$H$40:$DC$40,0)),"")</f>
        <v/>
      </c>
      <c r="CQ86" s="888"/>
      <c r="CR86" s="888"/>
      <c r="CS86" s="889"/>
      <c r="CT86" s="893" t="str">
        <f ca="1">IFERROR(INDEX(Rezultatai!$H$40:$DC$113,MATCH($A86,Rezultatai!$B$40:$B$113,0),MATCH(CT$7,Rezultatai!$H$40:$DC$40,0)),"")</f>
        <v/>
      </c>
      <c r="CU86" s="888"/>
      <c r="CV86" s="888"/>
      <c r="CW86" s="889"/>
      <c r="CX86" s="893" t="str">
        <f ca="1">IFERROR(INDEX(Rezultatai!$H$40:$DC$113,MATCH($A86,Rezultatai!$B$40:$B$113,0),MATCH(CX$7,Rezultatai!$H$40:$DC$40,0)),"")</f>
        <v/>
      </c>
      <c r="CY86" s="888"/>
      <c r="CZ86" s="888"/>
      <c r="DA86" s="889"/>
      <c r="DB86" s="893" t="str">
        <f ca="1">IFERROR(INDEX(Rezultatai!$H$40:$DC$113,MATCH($A86,Rezultatai!$B$40:$B$113,0),MATCH(DB$7,Rezultatai!$H$40:$DC$40,0)),"")</f>
        <v/>
      </c>
      <c r="DC86" s="888"/>
      <c r="DD86" s="888"/>
      <c r="DE86" s="889"/>
      <c r="DF86" s="893" t="str">
        <f ca="1">IFERROR(INDEX(Rezultatai!$H$40:$DC$113,MATCH($A86,Rezultatai!$B$40:$B$113,0),MATCH(DF$7,Rezultatai!$H$40:$DC$40,0)),"")</f>
        <v/>
      </c>
      <c r="DG86" s="888"/>
      <c r="DH86" s="888"/>
      <c r="DI86" s="889"/>
      <c r="DJ86" s="893" t="str">
        <f ca="1">IFERROR(INDEX(Rezultatai!$H$40:$DC$113,MATCH($A86,Rezultatai!$B$40:$B$113,0),MATCH(DJ$7,Rezultatai!$H$40:$DC$40,0)),"")</f>
        <v/>
      </c>
      <c r="DK86" s="888"/>
      <c r="DL86" s="888"/>
      <c r="DM86" s="889"/>
      <c r="DN86" s="893" t="str">
        <f ca="1">IFERROR(INDEX(Rezultatai!$H$40:$DC$113,MATCH($A86,Rezultatai!$B$40:$B$113,0),MATCH(DN$7,Rezultatai!$H$40:$DC$40,0)),"")</f>
        <v/>
      </c>
      <c r="DO86" s="888"/>
      <c r="DP86" s="888"/>
      <c r="DQ86" s="889"/>
      <c r="DR86" s="893" t="str">
        <f ca="1">IFERROR(INDEX(Rezultatai!$H$40:$DC$113,MATCH($A86,Rezultatai!$B$40:$B$113,0),MATCH(DR$7,Rezultatai!$H$40:$DC$40,0)),"")</f>
        <v/>
      </c>
      <c r="DS86" s="888"/>
      <c r="DT86" s="888"/>
      <c r="DU86" s="889"/>
      <c r="DV86" s="893" t="str">
        <f ca="1">IFERROR(INDEX(Rezultatai!$H$40:$DC$113,MATCH($A86,Rezultatai!$B$40:$B$113,0),MATCH(DV$7,Rezultatai!$H$40:$DC$40,0)),"")</f>
        <v/>
      </c>
      <c r="DW86" s="888"/>
      <c r="DX86" s="888"/>
      <c r="DY86" s="889"/>
      <c r="DZ86" s="893" t="str">
        <f ca="1">IFERROR(INDEX(Rezultatai!$H$40:$DC$113,MATCH($A86,Rezultatai!$B$40:$B$113,0),MATCH(DZ$7,Rezultatai!$H$40:$DC$40,0)),"")</f>
        <v/>
      </c>
      <c r="EA86" s="888"/>
      <c r="EB86" s="888"/>
      <c r="EC86" s="889"/>
      <c r="ED86" s="893" t="str">
        <f ca="1">IFERROR(INDEX(Rezultatai!$H$40:$DC$113,MATCH($A86,Rezultatai!$B$40:$B$113,0),MATCH(ED$7,Rezultatai!$H$40:$DC$40,0)),"")</f>
        <v/>
      </c>
      <c r="EE86" s="888"/>
      <c r="EF86" s="888"/>
      <c r="EG86" s="889"/>
      <c r="EH86" s="893" t="str">
        <f ca="1">IFERROR(INDEX(Rezultatai!$H$40:$DC$113,MATCH($A86,Rezultatai!$B$40:$B$113,0),MATCH(EH$7,Rezultatai!$H$40:$DC$40,0)),"")</f>
        <v/>
      </c>
      <c r="EI86" s="888"/>
      <c r="EJ86" s="888"/>
      <c r="EK86" s="889"/>
      <c r="EL86" s="893" t="str">
        <f ca="1">IFERROR(INDEX(Rezultatai!$H$40:$DC$113,MATCH($A86,Rezultatai!$B$40:$B$113,0),MATCH(EL$7,Rezultatai!$H$40:$DC$40,0)),"")</f>
        <v/>
      </c>
      <c r="EM86" s="888"/>
      <c r="EN86" s="888"/>
      <c r="EO86" s="889"/>
      <c r="EP86" s="893" t="str">
        <f ca="1">IFERROR(INDEX(Rezultatai!$H$40:$DC$113,MATCH($A86,Rezultatai!$B$40:$B$113,0),MATCH(EP$7,Rezultatai!$H$40:$DC$40,0)),"")</f>
        <v/>
      </c>
      <c r="EQ86" s="888"/>
      <c r="ER86" s="888"/>
      <c r="ES86" s="889"/>
      <c r="ET86" s="893" t="str">
        <f ca="1">IFERROR(INDEX(Rezultatai!$H$40:$DC$113,MATCH($A86,Rezultatai!$B$40:$B$113,0),MATCH(ET$7,Rezultatai!$H$40:$DC$40,0)),"")</f>
        <v/>
      </c>
      <c r="EU86" s="888"/>
      <c r="EV86" s="888"/>
      <c r="EW86" s="889"/>
      <c r="EX86" s="893" t="str">
        <f ca="1">IFERROR(INDEX(Rezultatai!$H$40:$DC$113,MATCH($A86,Rezultatai!$B$40:$B$113,0),MATCH(EX$7,Rezultatai!$H$40:$DC$40,0)),"")</f>
        <v/>
      </c>
      <c r="EY86" s="888"/>
      <c r="EZ86" s="888"/>
      <c r="FA86" s="889"/>
      <c r="FB86" s="893" t="str">
        <f ca="1">IFERROR(INDEX(Rezultatai!$H$40:$DC$113,MATCH($A86,Rezultatai!$B$40:$B$113,0),MATCH(FB$7,Rezultatai!$H$40:$DC$40,0)),"")</f>
        <v/>
      </c>
      <c r="FC86" s="888"/>
      <c r="FD86" s="888"/>
      <c r="FE86" s="889"/>
      <c r="FF86" s="893" t="str">
        <f ca="1">IFERROR(INDEX(Rezultatai!$H$40:$DC$113,MATCH($A86,Rezultatai!$B$40:$B$113,0),MATCH(FF$7,Rezultatai!$H$40:$DC$40,0)),"")</f>
        <v/>
      </c>
      <c r="FG86" s="888"/>
      <c r="FH86" s="888"/>
      <c r="FI86" s="889"/>
      <c r="FJ86" s="893" t="str">
        <f ca="1">IFERROR(INDEX(Rezultatai!$H$40:$DC$113,MATCH($A86,Rezultatai!$B$40:$B$113,0),MATCH(FJ$7,Rezultatai!$H$40:$DC$40,0)),"")</f>
        <v/>
      </c>
      <c r="FK86" s="888"/>
      <c r="FL86" s="888"/>
      <c r="FM86" s="889"/>
      <c r="FN86" s="893" t="str">
        <f ca="1">IFERROR(INDEX(Rezultatai!$H$40:$DC$113,MATCH($A86,Rezultatai!$B$40:$B$113,0),MATCH(FN$7,Rezultatai!$H$40:$DC$40,0)),"")</f>
        <v/>
      </c>
      <c r="FO86" s="888"/>
      <c r="FP86" s="888"/>
      <c r="FQ86" s="889"/>
      <c r="FR86" s="893" t="str">
        <f ca="1">IFERROR(INDEX(Rezultatai!$H$40:$DC$113,MATCH($A86,Rezultatai!$B$40:$B$113,0),MATCH(FR$7,Rezultatai!$H$40:$DC$40,0)),"")</f>
        <v/>
      </c>
      <c r="FS86" s="888"/>
      <c r="FT86" s="888"/>
      <c r="FU86" s="889"/>
      <c r="FV86" s="893" t="str">
        <f ca="1">IFERROR(INDEX(Rezultatai!$H$40:$DC$113,MATCH($A86,Rezultatai!$B$40:$B$113,0),MATCH(FV$7,Rezultatai!$H$40:$DC$40,0)),"")</f>
        <v/>
      </c>
      <c r="FW86" s="888"/>
      <c r="FX86" s="888"/>
      <c r="FY86" s="889"/>
      <c r="FZ86" s="893" t="str">
        <f ca="1">IFERROR(INDEX(Rezultatai!$H$40:$DC$113,MATCH($A86,Rezultatai!$B$40:$B$113,0),MATCH(FZ$7,Rezultatai!$H$40:$DC$40,0)),"")</f>
        <v/>
      </c>
      <c r="GA86" s="888"/>
      <c r="GB86" s="888"/>
      <c r="GC86" s="889"/>
      <c r="GD86" s="893" t="str">
        <f ca="1">IFERROR(INDEX(Rezultatai!$H$40:$DC$113,MATCH($A86,Rezultatai!$B$40:$B$113,0),MATCH(GD$7,Rezultatai!$H$40:$DC$40,0)),"")</f>
        <v/>
      </c>
      <c r="GE86" s="888"/>
      <c r="GF86" s="888"/>
      <c r="GG86" s="889"/>
      <c r="GH86" s="893" t="str">
        <f ca="1">IFERROR(INDEX(Rezultatai!$H$40:$DC$113,MATCH($A86,Rezultatai!$B$40:$B$113,0),MATCH(GH$7,Rezultatai!$H$40:$DC$40,0)),"")</f>
        <v/>
      </c>
      <c r="GI86" s="888"/>
      <c r="GJ86" s="888"/>
      <c r="GK86" s="889"/>
      <c r="GL86" s="893" t="str">
        <f ca="1">IFERROR(INDEX(Rezultatai!$H$40:$DC$113,MATCH($A86,Rezultatai!$B$40:$B$113,0),MATCH(GL$7,Rezultatai!$H$40:$DC$40,0)),"")</f>
        <v/>
      </c>
      <c r="GM86" s="888"/>
      <c r="GN86" s="888"/>
      <c r="GO86" s="889"/>
      <c r="GP86" s="893" t="str">
        <f ca="1">IFERROR(INDEX(Rezultatai!$H$40:$DC$113,MATCH($A86,Rezultatai!$B$40:$B$113,0),MATCH(GP$7,Rezultatai!$H$40:$DC$40,0)),"")</f>
        <v/>
      </c>
      <c r="GQ86" s="888"/>
      <c r="GR86" s="888"/>
      <c r="GS86" s="889"/>
      <c r="GT86" s="893" t="str">
        <f ca="1">IFERROR(INDEX(Rezultatai!$H$40:$DC$113,MATCH($A86,Rezultatai!$B$40:$B$113,0),MATCH(GT$7,Rezultatai!$H$40:$DC$40,0)),"")</f>
        <v/>
      </c>
      <c r="GU86" s="888"/>
      <c r="GV86" s="888"/>
      <c r="GW86" s="889"/>
      <c r="GX86" s="893" t="str">
        <f ca="1">IFERROR(INDEX(Rezultatai!$H$40:$DC$113,MATCH($A86,Rezultatai!$B$40:$B$113,0),MATCH(GX$7,Rezultatai!$H$40:$DC$40,0)),"")</f>
        <v/>
      </c>
      <c r="GY86" s="888"/>
      <c r="GZ86" s="888"/>
      <c r="HA86" s="889"/>
      <c r="HB86" s="893" t="str">
        <f ca="1">IFERROR(INDEX(Rezultatai!$H$40:$DC$113,MATCH($A86,Rezultatai!$B$40:$B$113,0),MATCH(HB$7,Rezultatai!$H$40:$DC$40,0)),"")</f>
        <v/>
      </c>
      <c r="HC86" s="888"/>
      <c r="HD86" s="888"/>
      <c r="HE86" s="889"/>
      <c r="HF86" s="893" t="str">
        <f ca="1">IFERROR(INDEX(Rezultatai!$H$40:$DC$113,MATCH($A86,Rezultatai!$B$40:$B$113,0),MATCH(HF$7,Rezultatai!$H$40:$DC$40,0)),"")</f>
        <v/>
      </c>
      <c r="HG86" s="888"/>
      <c r="HH86" s="888"/>
      <c r="HI86" s="889"/>
      <c r="HJ86" s="893" t="str">
        <f ca="1">IFERROR(INDEX(Rezultatai!$H$40:$DC$113,MATCH($A86,Rezultatai!$B$40:$B$113,0),MATCH(HJ$7,Rezultatai!$H$40:$DC$40,0)),"")</f>
        <v/>
      </c>
      <c r="HK86" s="888"/>
      <c r="HL86" s="888"/>
      <c r="HM86" s="889"/>
      <c r="HN86" s="893" t="str">
        <f ca="1">IFERROR(INDEX(Rezultatai!$H$40:$DC$113,MATCH($A86,Rezultatai!$B$40:$B$113,0),MATCH(HN$7,Rezultatai!$H$40:$DC$40,0)),"")</f>
        <v/>
      </c>
      <c r="HO86" s="888"/>
      <c r="HP86" s="888"/>
      <c r="HQ86" s="889"/>
      <c r="HR86" s="893" t="str">
        <f ca="1">IFERROR(INDEX(Rezultatai!$H$40:$DC$113,MATCH($A86,Rezultatai!$B$40:$B$113,0),MATCH(HR$7,Rezultatai!$H$40:$DC$40,0)),"")</f>
        <v/>
      </c>
      <c r="HS86" s="888"/>
      <c r="HT86" s="888"/>
      <c r="HU86" s="889"/>
      <c r="HV86" s="893" t="str">
        <f ca="1">IFERROR(INDEX(Rezultatai!$H$40:$DC$113,MATCH($A86,Rezultatai!$B$40:$B$113,0),MATCH(HV$7,Rezultatai!$H$40:$DC$40,0)),"")</f>
        <v/>
      </c>
      <c r="HW86" s="888"/>
      <c r="HX86" s="888"/>
      <c r="HY86" s="889"/>
      <c r="HZ86" s="893" t="str">
        <f ca="1">IFERROR(INDEX(Rezultatai!$H$40:$DC$113,MATCH($A86,Rezultatai!$B$40:$B$113,0),MATCH(HZ$7,Rezultatai!$H$40:$DC$40,0)),"")</f>
        <v/>
      </c>
      <c r="IA86" s="888"/>
      <c r="IB86" s="888"/>
      <c r="IC86" s="889"/>
      <c r="ID86" s="893" t="str">
        <f ca="1">IFERROR(INDEX(Rezultatai!$H$40:$DC$113,MATCH($A86,Rezultatai!$B$40:$B$113,0),MATCH(ID$7,Rezultatai!$H$40:$DC$40,0)),"")</f>
        <v/>
      </c>
      <c r="IE86" s="888"/>
      <c r="IF86" s="888"/>
      <c r="IG86" s="889"/>
      <c r="IH86" s="893" t="str">
        <f ca="1">IFERROR(INDEX(Rezultatai!$H$40:$DC$113,MATCH($A86,Rezultatai!$B$40:$B$113,0),MATCH(IH$7,Rezultatai!$H$40:$DC$40,0)),"")</f>
        <v/>
      </c>
      <c r="II86" s="888"/>
      <c r="IJ86" s="888"/>
      <c r="IK86" s="889"/>
      <c r="IL86" s="893" t="str">
        <f ca="1">IFERROR(INDEX(Rezultatai!$H$40:$DC$113,MATCH($A86,Rezultatai!$B$40:$B$113,0),MATCH(IL$7,Rezultatai!$H$40:$DC$40,0)),"")</f>
        <v/>
      </c>
      <c r="IM86" s="888"/>
      <c r="IN86" s="888"/>
      <c r="IO86" s="889"/>
      <c r="IP86" s="893" t="str">
        <f ca="1">IFERROR(INDEX(Rezultatai!$H$40:$DC$113,MATCH($A86,Rezultatai!$B$40:$B$113,0),MATCH(IP$7,Rezultatai!$H$40:$DC$40,0)),"")</f>
        <v/>
      </c>
      <c r="IQ86" s="888"/>
      <c r="IR86" s="888"/>
      <c r="IS86" s="889"/>
      <c r="IT86" s="893" t="str">
        <f ca="1">IFERROR(INDEX(Rezultatai!$H$40:$DC$113,MATCH($A86,Rezultatai!$B$40:$B$113,0),MATCH(IT$7,Rezultatai!$H$40:$DC$40,0)),"")</f>
        <v/>
      </c>
      <c r="IU86" s="888"/>
      <c r="IV86" s="888"/>
      <c r="IW86" s="889"/>
      <c r="IX86" s="893" t="str">
        <f ca="1">IFERROR(INDEX(Rezultatai!$H$40:$DC$113,MATCH($A86,Rezultatai!$B$40:$B$113,0),MATCH(IX$7,Rezultatai!$H$40:$DC$40,0)),"")</f>
        <v/>
      </c>
      <c r="IY86" s="888"/>
      <c r="IZ86" s="888"/>
      <c r="JA86" s="889"/>
      <c r="JB86" s="893" t="str">
        <f ca="1">IFERROR(INDEX(Rezultatai!$H$40:$DC$113,MATCH($A86,Rezultatai!$B$40:$B$113,0),MATCH(JB$7,Rezultatai!$H$40:$DC$40,0)),"")</f>
        <v/>
      </c>
      <c r="JC86" s="888"/>
      <c r="JD86" s="888"/>
      <c r="JE86" s="889"/>
      <c r="JF86" s="893" t="str">
        <f ca="1">IFERROR(INDEX(Rezultatai!$H$40:$DC$113,MATCH($A86,Rezultatai!$B$40:$B$113,0),MATCH(JF$7,Rezultatai!$H$40:$DC$40,0)),"")</f>
        <v/>
      </c>
      <c r="JG86" s="888"/>
      <c r="JH86" s="888"/>
      <c r="JI86" s="889"/>
      <c r="JJ86" s="893" t="str">
        <f ca="1">IFERROR(INDEX(Rezultatai!$H$40:$DC$113,MATCH($A86,Rezultatai!$B$40:$B$113,0),MATCH(JJ$7,Rezultatai!$H$40:$DC$40,0)),"")</f>
        <v/>
      </c>
      <c r="JK86" s="888"/>
      <c r="JL86" s="888"/>
      <c r="JM86" s="889"/>
      <c r="JN86" s="893" t="str">
        <f ca="1">IFERROR(INDEX(Rezultatai!$H$40:$DC$113,MATCH($A86,Rezultatai!$B$40:$B$113,0),MATCH(JN$7,Rezultatai!$H$40:$DC$40,0)),"")</f>
        <v/>
      </c>
      <c r="JO86" s="888"/>
      <c r="JP86" s="888"/>
      <c r="JQ86" s="889"/>
      <c r="JR86" s="893" t="str">
        <f ca="1">IFERROR(INDEX(Rezultatai!$H$40:$DC$113,MATCH($A86,Rezultatai!$B$40:$B$113,0),MATCH(JR$7,Rezultatai!$H$40:$DC$40,0)),"")</f>
        <v/>
      </c>
      <c r="JS86" s="888"/>
      <c r="JT86" s="888"/>
      <c r="JU86" s="889"/>
      <c r="JV86" s="893" t="str">
        <f ca="1">IFERROR(INDEX(Rezultatai!$H$40:$DC$113,MATCH($A86,Rezultatai!$B$40:$B$113,0),MATCH(JV$7,Rezultatai!$H$40:$DC$40,0)),"")</f>
        <v/>
      </c>
      <c r="JW86" s="888"/>
      <c r="JX86" s="888"/>
      <c r="JY86" s="889"/>
      <c r="JZ86" s="893" t="str">
        <f ca="1">IFERROR(INDEX(Rezultatai!$H$40:$DC$113,MATCH($A86,Rezultatai!$B$40:$B$113,0),MATCH(JZ$7,Rezultatai!$H$40:$DC$40,0)),"")</f>
        <v/>
      </c>
      <c r="KA86" s="888"/>
      <c r="KB86" s="888"/>
      <c r="KC86" s="889"/>
      <c r="KD86" s="893" t="str">
        <f ca="1">IFERROR(INDEX(Rezultatai!$H$40:$DC$113,MATCH($A86,Rezultatai!$B$40:$B$113,0),MATCH(KD$7,Rezultatai!$H$40:$DC$40,0)),"")</f>
        <v/>
      </c>
      <c r="KE86" s="888"/>
      <c r="KF86" s="888"/>
      <c r="KG86" s="889"/>
      <c r="KH86" s="893" t="str">
        <f ca="1">IFERROR(INDEX(Rezultatai!$H$40:$DC$113,MATCH($A86,Rezultatai!$B$40:$B$113,0),MATCH(KH$7,Rezultatai!$H$40:$DC$40,0)),"")</f>
        <v/>
      </c>
      <c r="KI86" s="888"/>
      <c r="KJ86" s="888"/>
      <c r="KK86" s="889"/>
      <c r="KL86" s="893" t="str">
        <f ca="1">IFERROR(INDEX(Rezultatai!$H$40:$DC$113,MATCH($A86,Rezultatai!$B$40:$B$113,0),MATCH(KL$7,Rezultatai!$H$40:$DC$40,0)),"")</f>
        <v/>
      </c>
      <c r="KM86" s="888"/>
      <c r="KN86" s="888"/>
      <c r="KO86" s="889"/>
      <c r="KP86" s="893" t="str">
        <f ca="1">IFERROR(INDEX(Rezultatai!$H$40:$DC$113,MATCH($A86,Rezultatai!$B$40:$B$113,0),MATCH(KP$7,Rezultatai!$H$40:$DC$40,0)),"")</f>
        <v/>
      </c>
      <c r="KQ86" s="888"/>
      <c r="KR86" s="888"/>
      <c r="KS86" s="889"/>
      <c r="KT86" s="893" t="str">
        <f ca="1">IFERROR(INDEX(Rezultatai!$H$40:$DC$113,MATCH($A86,Rezultatai!$B$40:$B$113,0),MATCH(KT$7,Rezultatai!$H$40:$DC$40,0)),"")</f>
        <v/>
      </c>
      <c r="KU86" s="888"/>
      <c r="KV86" s="888"/>
      <c r="KW86" s="889"/>
      <c r="KX86" s="893" t="str">
        <f ca="1">IFERROR(INDEX(Rezultatai!$H$40:$DC$113,MATCH($A86,Rezultatai!$B$40:$B$113,0),MATCH(KX$7,Rezultatai!$H$40:$DC$40,0)),"")</f>
        <v/>
      </c>
      <c r="KY86" s="888"/>
      <c r="KZ86" s="888"/>
      <c r="LA86" s="889"/>
      <c r="LB86" s="893" t="str">
        <f ca="1">IFERROR(INDEX(Rezultatai!$H$40:$DC$113,MATCH($A86,Rezultatai!$B$40:$B$113,0),MATCH(LB$7,Rezultatai!$H$40:$DC$40,0)),"")</f>
        <v/>
      </c>
      <c r="LC86" s="888"/>
      <c r="LD86" s="888"/>
      <c r="LE86" s="889"/>
      <c r="LF86" s="893" t="str">
        <f ca="1">IFERROR(INDEX(Rezultatai!$H$40:$DC$113,MATCH($A86,Rezultatai!$B$40:$B$113,0),MATCH(LF$7,Rezultatai!$H$40:$DC$40,0)),"")</f>
        <v/>
      </c>
      <c r="LG86" s="888"/>
      <c r="LH86" s="888"/>
      <c r="LI86" s="889"/>
      <c r="LJ86" s="893" t="str">
        <f ca="1">IFERROR(INDEX(Rezultatai!$H$40:$DC$113,MATCH($A86,Rezultatai!$B$40:$B$113,0),MATCH(LJ$7,Rezultatai!$H$40:$DC$40,0)),"")</f>
        <v/>
      </c>
      <c r="LK86" s="888"/>
      <c r="LL86" s="888"/>
      <c r="LM86" s="889"/>
    </row>
    <row r="87" spans="1:325" hidden="1">
      <c r="A87" s="310" t="str">
        <f>IF(OR(Data3!F10="Grand Total",Data3!F10=0),"",Data3!F10)</f>
        <v/>
      </c>
      <c r="B87" s="314" t="s">
        <v>555</v>
      </c>
      <c r="C87" s="347" t="str">
        <f ca="1">IFERROR(VLOOKUP(A87,Rezultatai!$B$44:$F$113,2,FALSE),"")</f>
        <v/>
      </c>
      <c r="D87" s="328">
        <f ca="1">SUMIF($F$6:$LM$6,"&lt;="&amp;PAL,$F87:$LM87)</f>
        <v>0</v>
      </c>
      <c r="E87" s="327"/>
      <c r="F87" s="893" t="str">
        <f ca="1">IFERROR(INDEX(Rezultatai!$H$40:$DC$113,MATCH($A87,Rezultatai!$B$40:$B$113,0),MATCH(F$7,Rezultatai!$H$40:$DC$40,0)),"")</f>
        <v/>
      </c>
      <c r="G87" s="888"/>
      <c r="H87" s="888"/>
      <c r="I87" s="889"/>
      <c r="J87" s="893" t="str">
        <f ca="1">IFERROR(INDEX(Rezultatai!$H$40:$DC$113,MATCH($A87,Rezultatai!$B$40:$B$113,0),MATCH(J$7,Rezultatai!$H$40:$DC$40,0)),"")</f>
        <v/>
      </c>
      <c r="K87" s="888"/>
      <c r="L87" s="888"/>
      <c r="M87" s="889"/>
      <c r="N87" s="893" t="str">
        <f ca="1">IFERROR(INDEX(Rezultatai!$H$40:$DC$113,MATCH($A87,Rezultatai!$B$40:$B$113,0),MATCH(N$7,Rezultatai!$H$40:$DC$40,0)),"")</f>
        <v/>
      </c>
      <c r="O87" s="888"/>
      <c r="P87" s="888"/>
      <c r="Q87" s="889"/>
      <c r="R87" s="893" t="str">
        <f ca="1">IFERROR(INDEX(Rezultatai!$H$40:$DC$113,MATCH($A87,Rezultatai!$B$40:$B$113,0),MATCH(R$7,Rezultatai!$H$40:$DC$40,0)),"")</f>
        <v/>
      </c>
      <c r="S87" s="888"/>
      <c r="T87" s="888"/>
      <c r="U87" s="889"/>
      <c r="V87" s="893" t="str">
        <f ca="1">IFERROR(INDEX(Rezultatai!$H$40:$DC$113,MATCH($A87,Rezultatai!$B$40:$B$113,0),MATCH(V$7,Rezultatai!$H$40:$DC$40,0)),"")</f>
        <v/>
      </c>
      <c r="W87" s="888"/>
      <c r="X87" s="888"/>
      <c r="Y87" s="889"/>
      <c r="Z87" s="893" t="str">
        <f ca="1">IFERROR(INDEX(Rezultatai!$H$40:$DC$113,MATCH($A87,Rezultatai!$B$40:$B$113,0),MATCH(Z$7,Rezultatai!$H$40:$DC$40,0)),"")</f>
        <v/>
      </c>
      <c r="AA87" s="888"/>
      <c r="AB87" s="888"/>
      <c r="AC87" s="889"/>
      <c r="AD87" s="893" t="str">
        <f ca="1">IFERROR(INDEX(Rezultatai!$H$40:$DC$113,MATCH($A87,Rezultatai!$B$40:$B$113,0),MATCH(AD$7,Rezultatai!$H$40:$DC$40,0)),"")</f>
        <v/>
      </c>
      <c r="AE87" s="888"/>
      <c r="AF87" s="888"/>
      <c r="AG87" s="889"/>
      <c r="AH87" s="893" t="str">
        <f ca="1">IFERROR(INDEX(Rezultatai!$H$40:$DC$113,MATCH($A87,Rezultatai!$B$40:$B$113,0),MATCH(AH$7,Rezultatai!$H$40:$DC$40,0)),"")</f>
        <v/>
      </c>
      <c r="AI87" s="888"/>
      <c r="AJ87" s="888"/>
      <c r="AK87" s="889"/>
      <c r="AL87" s="893" t="str">
        <f ca="1">IFERROR(INDEX(Rezultatai!$H$40:$DC$113,MATCH($A87,Rezultatai!$B$40:$B$113,0),MATCH(AL$7,Rezultatai!$H$40:$DC$40,0)),"")</f>
        <v/>
      </c>
      <c r="AM87" s="888"/>
      <c r="AN87" s="888"/>
      <c r="AO87" s="889"/>
      <c r="AP87" s="893" t="str">
        <f ca="1">IFERROR(INDEX(Rezultatai!$H$40:$DC$113,MATCH($A87,Rezultatai!$B$40:$B$113,0),MATCH(AP$7,Rezultatai!$H$40:$DC$40,0)),"")</f>
        <v/>
      </c>
      <c r="AQ87" s="888"/>
      <c r="AR87" s="888"/>
      <c r="AS87" s="889"/>
      <c r="AT87" s="893" t="str">
        <f ca="1">IFERROR(INDEX(Rezultatai!$H$40:$DC$113,MATCH($A87,Rezultatai!$B$40:$B$113,0),MATCH(AT$7,Rezultatai!$H$40:$DC$40,0)),"")</f>
        <v/>
      </c>
      <c r="AU87" s="888"/>
      <c r="AV87" s="888"/>
      <c r="AW87" s="889"/>
      <c r="AX87" s="893" t="str">
        <f ca="1">IFERROR(INDEX(Rezultatai!$H$40:$DC$113,MATCH($A87,Rezultatai!$B$40:$B$113,0),MATCH(AX$7,Rezultatai!$H$40:$DC$40,0)),"")</f>
        <v/>
      </c>
      <c r="AY87" s="888"/>
      <c r="AZ87" s="888"/>
      <c r="BA87" s="889"/>
      <c r="BB87" s="893" t="str">
        <f ca="1">IFERROR(INDEX(Rezultatai!$H$40:$DC$113,MATCH($A87,Rezultatai!$B$40:$B$113,0),MATCH(BB$7,Rezultatai!$H$40:$DC$40,0)),"")</f>
        <v/>
      </c>
      <c r="BC87" s="888"/>
      <c r="BD87" s="888"/>
      <c r="BE87" s="889"/>
      <c r="BF87" s="893" t="str">
        <f ca="1">IFERROR(INDEX(Rezultatai!$H$40:$DC$113,MATCH($A87,Rezultatai!$B$40:$B$113,0),MATCH(BF$7,Rezultatai!$H$40:$DC$40,0)),"")</f>
        <v/>
      </c>
      <c r="BG87" s="888"/>
      <c r="BH87" s="888"/>
      <c r="BI87" s="889"/>
      <c r="BJ87" s="893" t="str">
        <f ca="1">IFERROR(INDEX(Rezultatai!$H$40:$DC$113,MATCH($A87,Rezultatai!$B$40:$B$113,0),MATCH(BJ$7,Rezultatai!$H$40:$DC$40,0)),"")</f>
        <v/>
      </c>
      <c r="BK87" s="888"/>
      <c r="BL87" s="888"/>
      <c r="BM87" s="889"/>
      <c r="BN87" s="893" t="str">
        <f ca="1">IFERROR(INDEX(Rezultatai!$H$40:$DC$113,MATCH($A87,Rezultatai!$B$40:$B$113,0),MATCH(BN$7,Rezultatai!$H$40:$DC$40,0)),"")</f>
        <v/>
      </c>
      <c r="BO87" s="888"/>
      <c r="BP87" s="888"/>
      <c r="BQ87" s="889"/>
      <c r="BR87" s="893" t="str">
        <f ca="1">IFERROR(INDEX(Rezultatai!$H$40:$DC$113,MATCH($A87,Rezultatai!$B$40:$B$113,0),MATCH(BR$7,Rezultatai!$H$40:$DC$40,0)),"")</f>
        <v/>
      </c>
      <c r="BS87" s="888"/>
      <c r="BT87" s="888"/>
      <c r="BU87" s="889"/>
      <c r="BV87" s="893" t="str">
        <f ca="1">IFERROR(INDEX(Rezultatai!$H$40:$DC$113,MATCH($A87,Rezultatai!$B$40:$B$113,0),MATCH(BV$7,Rezultatai!$H$40:$DC$40,0)),"")</f>
        <v/>
      </c>
      <c r="BW87" s="888"/>
      <c r="BX87" s="888"/>
      <c r="BY87" s="889"/>
      <c r="BZ87" s="893" t="str">
        <f ca="1">IFERROR(INDEX(Rezultatai!$H$40:$DC$113,MATCH($A87,Rezultatai!$B$40:$B$113,0),MATCH(BZ$7,Rezultatai!$H$40:$DC$40,0)),"")</f>
        <v/>
      </c>
      <c r="CA87" s="888"/>
      <c r="CB87" s="888"/>
      <c r="CC87" s="889"/>
      <c r="CD87" s="893" t="str">
        <f ca="1">IFERROR(INDEX(Rezultatai!$H$40:$DC$113,MATCH($A87,Rezultatai!$B$40:$B$113,0),MATCH(CD$7,Rezultatai!$H$40:$DC$40,0)),"")</f>
        <v/>
      </c>
      <c r="CE87" s="888"/>
      <c r="CF87" s="888"/>
      <c r="CG87" s="889"/>
      <c r="CH87" s="893" t="str">
        <f ca="1">IFERROR(INDEX(Rezultatai!$H$40:$DC$113,MATCH($A87,Rezultatai!$B$40:$B$113,0),MATCH(CH$7,Rezultatai!$H$40:$DC$40,0)),"")</f>
        <v/>
      </c>
      <c r="CI87" s="888"/>
      <c r="CJ87" s="888"/>
      <c r="CK87" s="889"/>
      <c r="CL87" s="893" t="str">
        <f ca="1">IFERROR(INDEX(Rezultatai!$H$40:$DC$113,MATCH($A87,Rezultatai!$B$40:$B$113,0),MATCH(CL$7,Rezultatai!$H$40:$DC$40,0)),"")</f>
        <v/>
      </c>
      <c r="CM87" s="888"/>
      <c r="CN87" s="888"/>
      <c r="CO87" s="889"/>
      <c r="CP87" s="893" t="str">
        <f ca="1">IFERROR(INDEX(Rezultatai!$H$40:$DC$113,MATCH($A87,Rezultatai!$B$40:$B$113,0),MATCH(CP$7,Rezultatai!$H$40:$DC$40,0)),"")</f>
        <v/>
      </c>
      <c r="CQ87" s="888"/>
      <c r="CR87" s="888"/>
      <c r="CS87" s="889"/>
      <c r="CT87" s="893" t="str">
        <f ca="1">IFERROR(INDEX(Rezultatai!$H$40:$DC$113,MATCH($A87,Rezultatai!$B$40:$B$113,0),MATCH(CT$7,Rezultatai!$H$40:$DC$40,0)),"")</f>
        <v/>
      </c>
      <c r="CU87" s="888"/>
      <c r="CV87" s="888"/>
      <c r="CW87" s="889"/>
      <c r="CX87" s="893" t="str">
        <f ca="1">IFERROR(INDEX(Rezultatai!$H$40:$DC$113,MATCH($A87,Rezultatai!$B$40:$B$113,0),MATCH(CX$7,Rezultatai!$H$40:$DC$40,0)),"")</f>
        <v/>
      </c>
      <c r="CY87" s="888"/>
      <c r="CZ87" s="888"/>
      <c r="DA87" s="889"/>
      <c r="DB87" s="893" t="str">
        <f ca="1">IFERROR(INDEX(Rezultatai!$H$40:$DC$113,MATCH($A87,Rezultatai!$B$40:$B$113,0),MATCH(DB$7,Rezultatai!$H$40:$DC$40,0)),"")</f>
        <v/>
      </c>
      <c r="DC87" s="888"/>
      <c r="DD87" s="888"/>
      <c r="DE87" s="889"/>
      <c r="DF87" s="893" t="str">
        <f ca="1">IFERROR(INDEX(Rezultatai!$H$40:$DC$113,MATCH($A87,Rezultatai!$B$40:$B$113,0),MATCH(DF$7,Rezultatai!$H$40:$DC$40,0)),"")</f>
        <v/>
      </c>
      <c r="DG87" s="888"/>
      <c r="DH87" s="888"/>
      <c r="DI87" s="889"/>
      <c r="DJ87" s="893" t="str">
        <f ca="1">IFERROR(INDEX(Rezultatai!$H$40:$DC$113,MATCH($A87,Rezultatai!$B$40:$B$113,0),MATCH(DJ$7,Rezultatai!$H$40:$DC$40,0)),"")</f>
        <v/>
      </c>
      <c r="DK87" s="888"/>
      <c r="DL87" s="888"/>
      <c r="DM87" s="889"/>
      <c r="DN87" s="893" t="str">
        <f ca="1">IFERROR(INDEX(Rezultatai!$H$40:$DC$113,MATCH($A87,Rezultatai!$B$40:$B$113,0),MATCH(DN$7,Rezultatai!$H$40:$DC$40,0)),"")</f>
        <v/>
      </c>
      <c r="DO87" s="888"/>
      <c r="DP87" s="888"/>
      <c r="DQ87" s="889"/>
      <c r="DR87" s="893" t="str">
        <f ca="1">IFERROR(INDEX(Rezultatai!$H$40:$DC$113,MATCH($A87,Rezultatai!$B$40:$B$113,0),MATCH(DR$7,Rezultatai!$H$40:$DC$40,0)),"")</f>
        <v/>
      </c>
      <c r="DS87" s="888"/>
      <c r="DT87" s="888"/>
      <c r="DU87" s="889"/>
      <c r="DV87" s="893" t="str">
        <f ca="1">IFERROR(INDEX(Rezultatai!$H$40:$DC$113,MATCH($A87,Rezultatai!$B$40:$B$113,0),MATCH(DV$7,Rezultatai!$H$40:$DC$40,0)),"")</f>
        <v/>
      </c>
      <c r="DW87" s="888"/>
      <c r="DX87" s="888"/>
      <c r="DY87" s="889"/>
      <c r="DZ87" s="893" t="str">
        <f ca="1">IFERROR(INDEX(Rezultatai!$H$40:$DC$113,MATCH($A87,Rezultatai!$B$40:$B$113,0),MATCH(DZ$7,Rezultatai!$H$40:$DC$40,0)),"")</f>
        <v/>
      </c>
      <c r="EA87" s="888"/>
      <c r="EB87" s="888"/>
      <c r="EC87" s="889"/>
      <c r="ED87" s="893" t="str">
        <f ca="1">IFERROR(INDEX(Rezultatai!$H$40:$DC$113,MATCH($A87,Rezultatai!$B$40:$B$113,0),MATCH(ED$7,Rezultatai!$H$40:$DC$40,0)),"")</f>
        <v/>
      </c>
      <c r="EE87" s="888"/>
      <c r="EF87" s="888"/>
      <c r="EG87" s="889"/>
      <c r="EH87" s="893" t="str">
        <f ca="1">IFERROR(INDEX(Rezultatai!$H$40:$DC$113,MATCH($A87,Rezultatai!$B$40:$B$113,0),MATCH(EH$7,Rezultatai!$H$40:$DC$40,0)),"")</f>
        <v/>
      </c>
      <c r="EI87" s="888"/>
      <c r="EJ87" s="888"/>
      <c r="EK87" s="889"/>
      <c r="EL87" s="893" t="str">
        <f ca="1">IFERROR(INDEX(Rezultatai!$H$40:$DC$113,MATCH($A87,Rezultatai!$B$40:$B$113,0),MATCH(EL$7,Rezultatai!$H$40:$DC$40,0)),"")</f>
        <v/>
      </c>
      <c r="EM87" s="888"/>
      <c r="EN87" s="888"/>
      <c r="EO87" s="889"/>
      <c r="EP87" s="893" t="str">
        <f ca="1">IFERROR(INDEX(Rezultatai!$H$40:$DC$113,MATCH($A87,Rezultatai!$B$40:$B$113,0),MATCH(EP$7,Rezultatai!$H$40:$DC$40,0)),"")</f>
        <v/>
      </c>
      <c r="EQ87" s="888"/>
      <c r="ER87" s="888"/>
      <c r="ES87" s="889"/>
      <c r="ET87" s="893" t="str">
        <f ca="1">IFERROR(INDEX(Rezultatai!$H$40:$DC$113,MATCH($A87,Rezultatai!$B$40:$B$113,0),MATCH(ET$7,Rezultatai!$H$40:$DC$40,0)),"")</f>
        <v/>
      </c>
      <c r="EU87" s="888"/>
      <c r="EV87" s="888"/>
      <c r="EW87" s="889"/>
      <c r="EX87" s="893" t="str">
        <f ca="1">IFERROR(INDEX(Rezultatai!$H$40:$DC$113,MATCH($A87,Rezultatai!$B$40:$B$113,0),MATCH(EX$7,Rezultatai!$H$40:$DC$40,0)),"")</f>
        <v/>
      </c>
      <c r="EY87" s="888"/>
      <c r="EZ87" s="888"/>
      <c r="FA87" s="889"/>
      <c r="FB87" s="893" t="str">
        <f ca="1">IFERROR(INDEX(Rezultatai!$H$40:$DC$113,MATCH($A87,Rezultatai!$B$40:$B$113,0),MATCH(FB$7,Rezultatai!$H$40:$DC$40,0)),"")</f>
        <v/>
      </c>
      <c r="FC87" s="888"/>
      <c r="FD87" s="888"/>
      <c r="FE87" s="889"/>
      <c r="FF87" s="893" t="str">
        <f ca="1">IFERROR(INDEX(Rezultatai!$H$40:$DC$113,MATCH($A87,Rezultatai!$B$40:$B$113,0),MATCH(FF$7,Rezultatai!$H$40:$DC$40,0)),"")</f>
        <v/>
      </c>
      <c r="FG87" s="888"/>
      <c r="FH87" s="888"/>
      <c r="FI87" s="889"/>
      <c r="FJ87" s="893" t="str">
        <f ca="1">IFERROR(INDEX(Rezultatai!$H$40:$DC$113,MATCH($A87,Rezultatai!$B$40:$B$113,0),MATCH(FJ$7,Rezultatai!$H$40:$DC$40,0)),"")</f>
        <v/>
      </c>
      <c r="FK87" s="888"/>
      <c r="FL87" s="888"/>
      <c r="FM87" s="889"/>
      <c r="FN87" s="893" t="str">
        <f ca="1">IFERROR(INDEX(Rezultatai!$H$40:$DC$113,MATCH($A87,Rezultatai!$B$40:$B$113,0),MATCH(FN$7,Rezultatai!$H$40:$DC$40,0)),"")</f>
        <v/>
      </c>
      <c r="FO87" s="888"/>
      <c r="FP87" s="888"/>
      <c r="FQ87" s="889"/>
      <c r="FR87" s="893" t="str">
        <f ca="1">IFERROR(INDEX(Rezultatai!$H$40:$DC$113,MATCH($A87,Rezultatai!$B$40:$B$113,0),MATCH(FR$7,Rezultatai!$H$40:$DC$40,0)),"")</f>
        <v/>
      </c>
      <c r="FS87" s="888"/>
      <c r="FT87" s="888"/>
      <c r="FU87" s="889"/>
      <c r="FV87" s="893" t="str">
        <f ca="1">IFERROR(INDEX(Rezultatai!$H$40:$DC$113,MATCH($A87,Rezultatai!$B$40:$B$113,0),MATCH(FV$7,Rezultatai!$H$40:$DC$40,0)),"")</f>
        <v/>
      </c>
      <c r="FW87" s="888"/>
      <c r="FX87" s="888"/>
      <c r="FY87" s="889"/>
      <c r="FZ87" s="893" t="str">
        <f ca="1">IFERROR(INDEX(Rezultatai!$H$40:$DC$113,MATCH($A87,Rezultatai!$B$40:$B$113,0),MATCH(FZ$7,Rezultatai!$H$40:$DC$40,0)),"")</f>
        <v/>
      </c>
      <c r="GA87" s="888"/>
      <c r="GB87" s="888"/>
      <c r="GC87" s="889"/>
      <c r="GD87" s="893" t="str">
        <f ca="1">IFERROR(INDEX(Rezultatai!$H$40:$DC$113,MATCH($A87,Rezultatai!$B$40:$B$113,0),MATCH(GD$7,Rezultatai!$H$40:$DC$40,0)),"")</f>
        <v/>
      </c>
      <c r="GE87" s="888"/>
      <c r="GF87" s="888"/>
      <c r="GG87" s="889"/>
      <c r="GH87" s="893" t="str">
        <f ca="1">IFERROR(INDEX(Rezultatai!$H$40:$DC$113,MATCH($A87,Rezultatai!$B$40:$B$113,0),MATCH(GH$7,Rezultatai!$H$40:$DC$40,0)),"")</f>
        <v/>
      </c>
      <c r="GI87" s="888"/>
      <c r="GJ87" s="888"/>
      <c r="GK87" s="889"/>
      <c r="GL87" s="893" t="str">
        <f ca="1">IFERROR(INDEX(Rezultatai!$H$40:$DC$113,MATCH($A87,Rezultatai!$B$40:$B$113,0),MATCH(GL$7,Rezultatai!$H$40:$DC$40,0)),"")</f>
        <v/>
      </c>
      <c r="GM87" s="888"/>
      <c r="GN87" s="888"/>
      <c r="GO87" s="889"/>
      <c r="GP87" s="893" t="str">
        <f ca="1">IFERROR(INDEX(Rezultatai!$H$40:$DC$113,MATCH($A87,Rezultatai!$B$40:$B$113,0),MATCH(GP$7,Rezultatai!$H$40:$DC$40,0)),"")</f>
        <v/>
      </c>
      <c r="GQ87" s="888"/>
      <c r="GR87" s="888"/>
      <c r="GS87" s="889"/>
      <c r="GT87" s="893" t="str">
        <f ca="1">IFERROR(INDEX(Rezultatai!$H$40:$DC$113,MATCH($A87,Rezultatai!$B$40:$B$113,0),MATCH(GT$7,Rezultatai!$H$40:$DC$40,0)),"")</f>
        <v/>
      </c>
      <c r="GU87" s="888"/>
      <c r="GV87" s="888"/>
      <c r="GW87" s="889"/>
      <c r="GX87" s="893" t="str">
        <f ca="1">IFERROR(INDEX(Rezultatai!$H$40:$DC$113,MATCH($A87,Rezultatai!$B$40:$B$113,0),MATCH(GX$7,Rezultatai!$H$40:$DC$40,0)),"")</f>
        <v/>
      </c>
      <c r="GY87" s="888"/>
      <c r="GZ87" s="888"/>
      <c r="HA87" s="889"/>
      <c r="HB87" s="893" t="str">
        <f ca="1">IFERROR(INDEX(Rezultatai!$H$40:$DC$113,MATCH($A87,Rezultatai!$B$40:$B$113,0),MATCH(HB$7,Rezultatai!$H$40:$DC$40,0)),"")</f>
        <v/>
      </c>
      <c r="HC87" s="888"/>
      <c r="HD87" s="888"/>
      <c r="HE87" s="889"/>
      <c r="HF87" s="893" t="str">
        <f ca="1">IFERROR(INDEX(Rezultatai!$H$40:$DC$113,MATCH($A87,Rezultatai!$B$40:$B$113,0),MATCH(HF$7,Rezultatai!$H$40:$DC$40,0)),"")</f>
        <v/>
      </c>
      <c r="HG87" s="888"/>
      <c r="HH87" s="888"/>
      <c r="HI87" s="889"/>
      <c r="HJ87" s="893" t="str">
        <f ca="1">IFERROR(INDEX(Rezultatai!$H$40:$DC$113,MATCH($A87,Rezultatai!$B$40:$B$113,0),MATCH(HJ$7,Rezultatai!$H$40:$DC$40,0)),"")</f>
        <v/>
      </c>
      <c r="HK87" s="888"/>
      <c r="HL87" s="888"/>
      <c r="HM87" s="889"/>
      <c r="HN87" s="893" t="str">
        <f ca="1">IFERROR(INDEX(Rezultatai!$H$40:$DC$113,MATCH($A87,Rezultatai!$B$40:$B$113,0),MATCH(HN$7,Rezultatai!$H$40:$DC$40,0)),"")</f>
        <v/>
      </c>
      <c r="HO87" s="888"/>
      <c r="HP87" s="888"/>
      <c r="HQ87" s="889"/>
      <c r="HR87" s="893" t="str">
        <f ca="1">IFERROR(INDEX(Rezultatai!$H$40:$DC$113,MATCH($A87,Rezultatai!$B$40:$B$113,0),MATCH(HR$7,Rezultatai!$H$40:$DC$40,0)),"")</f>
        <v/>
      </c>
      <c r="HS87" s="888"/>
      <c r="HT87" s="888"/>
      <c r="HU87" s="889"/>
      <c r="HV87" s="893" t="str">
        <f ca="1">IFERROR(INDEX(Rezultatai!$H$40:$DC$113,MATCH($A87,Rezultatai!$B$40:$B$113,0),MATCH(HV$7,Rezultatai!$H$40:$DC$40,0)),"")</f>
        <v/>
      </c>
      <c r="HW87" s="888"/>
      <c r="HX87" s="888"/>
      <c r="HY87" s="889"/>
      <c r="HZ87" s="893" t="str">
        <f ca="1">IFERROR(INDEX(Rezultatai!$H$40:$DC$113,MATCH($A87,Rezultatai!$B$40:$B$113,0),MATCH(HZ$7,Rezultatai!$H$40:$DC$40,0)),"")</f>
        <v/>
      </c>
      <c r="IA87" s="888"/>
      <c r="IB87" s="888"/>
      <c r="IC87" s="889"/>
      <c r="ID87" s="893" t="str">
        <f ca="1">IFERROR(INDEX(Rezultatai!$H$40:$DC$113,MATCH($A87,Rezultatai!$B$40:$B$113,0),MATCH(ID$7,Rezultatai!$H$40:$DC$40,0)),"")</f>
        <v/>
      </c>
      <c r="IE87" s="888"/>
      <c r="IF87" s="888"/>
      <c r="IG87" s="889"/>
      <c r="IH87" s="893" t="str">
        <f ca="1">IFERROR(INDEX(Rezultatai!$H$40:$DC$113,MATCH($A87,Rezultatai!$B$40:$B$113,0),MATCH(IH$7,Rezultatai!$H$40:$DC$40,0)),"")</f>
        <v/>
      </c>
      <c r="II87" s="888"/>
      <c r="IJ87" s="888"/>
      <c r="IK87" s="889"/>
      <c r="IL87" s="893" t="str">
        <f ca="1">IFERROR(INDEX(Rezultatai!$H$40:$DC$113,MATCH($A87,Rezultatai!$B$40:$B$113,0),MATCH(IL$7,Rezultatai!$H$40:$DC$40,0)),"")</f>
        <v/>
      </c>
      <c r="IM87" s="888"/>
      <c r="IN87" s="888"/>
      <c r="IO87" s="889"/>
      <c r="IP87" s="893" t="str">
        <f ca="1">IFERROR(INDEX(Rezultatai!$H$40:$DC$113,MATCH($A87,Rezultatai!$B$40:$B$113,0),MATCH(IP$7,Rezultatai!$H$40:$DC$40,0)),"")</f>
        <v/>
      </c>
      <c r="IQ87" s="888"/>
      <c r="IR87" s="888"/>
      <c r="IS87" s="889"/>
      <c r="IT87" s="893" t="str">
        <f ca="1">IFERROR(INDEX(Rezultatai!$H$40:$DC$113,MATCH($A87,Rezultatai!$B$40:$B$113,0),MATCH(IT$7,Rezultatai!$H$40:$DC$40,0)),"")</f>
        <v/>
      </c>
      <c r="IU87" s="888"/>
      <c r="IV87" s="888"/>
      <c r="IW87" s="889"/>
      <c r="IX87" s="893" t="str">
        <f ca="1">IFERROR(INDEX(Rezultatai!$H$40:$DC$113,MATCH($A87,Rezultatai!$B$40:$B$113,0),MATCH(IX$7,Rezultatai!$H$40:$DC$40,0)),"")</f>
        <v/>
      </c>
      <c r="IY87" s="888"/>
      <c r="IZ87" s="888"/>
      <c r="JA87" s="889"/>
      <c r="JB87" s="893" t="str">
        <f ca="1">IFERROR(INDEX(Rezultatai!$H$40:$DC$113,MATCH($A87,Rezultatai!$B$40:$B$113,0),MATCH(JB$7,Rezultatai!$H$40:$DC$40,0)),"")</f>
        <v/>
      </c>
      <c r="JC87" s="888"/>
      <c r="JD87" s="888"/>
      <c r="JE87" s="889"/>
      <c r="JF87" s="893" t="str">
        <f ca="1">IFERROR(INDEX(Rezultatai!$H$40:$DC$113,MATCH($A87,Rezultatai!$B$40:$B$113,0),MATCH(JF$7,Rezultatai!$H$40:$DC$40,0)),"")</f>
        <v/>
      </c>
      <c r="JG87" s="888"/>
      <c r="JH87" s="888"/>
      <c r="JI87" s="889"/>
      <c r="JJ87" s="893" t="str">
        <f ca="1">IFERROR(INDEX(Rezultatai!$H$40:$DC$113,MATCH($A87,Rezultatai!$B$40:$B$113,0),MATCH(JJ$7,Rezultatai!$H$40:$DC$40,0)),"")</f>
        <v/>
      </c>
      <c r="JK87" s="888"/>
      <c r="JL87" s="888"/>
      <c r="JM87" s="889"/>
      <c r="JN87" s="893" t="str">
        <f ca="1">IFERROR(INDEX(Rezultatai!$H$40:$DC$113,MATCH($A87,Rezultatai!$B$40:$B$113,0),MATCH(JN$7,Rezultatai!$H$40:$DC$40,0)),"")</f>
        <v/>
      </c>
      <c r="JO87" s="888"/>
      <c r="JP87" s="888"/>
      <c r="JQ87" s="889"/>
      <c r="JR87" s="893" t="str">
        <f ca="1">IFERROR(INDEX(Rezultatai!$H$40:$DC$113,MATCH($A87,Rezultatai!$B$40:$B$113,0),MATCH(JR$7,Rezultatai!$H$40:$DC$40,0)),"")</f>
        <v/>
      </c>
      <c r="JS87" s="888"/>
      <c r="JT87" s="888"/>
      <c r="JU87" s="889"/>
      <c r="JV87" s="893" t="str">
        <f ca="1">IFERROR(INDEX(Rezultatai!$H$40:$DC$113,MATCH($A87,Rezultatai!$B$40:$B$113,0),MATCH(JV$7,Rezultatai!$H$40:$DC$40,0)),"")</f>
        <v/>
      </c>
      <c r="JW87" s="888"/>
      <c r="JX87" s="888"/>
      <c r="JY87" s="889"/>
      <c r="JZ87" s="893" t="str">
        <f ca="1">IFERROR(INDEX(Rezultatai!$H$40:$DC$113,MATCH($A87,Rezultatai!$B$40:$B$113,0),MATCH(JZ$7,Rezultatai!$H$40:$DC$40,0)),"")</f>
        <v/>
      </c>
      <c r="KA87" s="888"/>
      <c r="KB87" s="888"/>
      <c r="KC87" s="889"/>
      <c r="KD87" s="893" t="str">
        <f ca="1">IFERROR(INDEX(Rezultatai!$H$40:$DC$113,MATCH($A87,Rezultatai!$B$40:$B$113,0),MATCH(KD$7,Rezultatai!$H$40:$DC$40,0)),"")</f>
        <v/>
      </c>
      <c r="KE87" s="888"/>
      <c r="KF87" s="888"/>
      <c r="KG87" s="889"/>
      <c r="KH87" s="893" t="str">
        <f ca="1">IFERROR(INDEX(Rezultatai!$H$40:$DC$113,MATCH($A87,Rezultatai!$B$40:$B$113,0),MATCH(KH$7,Rezultatai!$H$40:$DC$40,0)),"")</f>
        <v/>
      </c>
      <c r="KI87" s="888"/>
      <c r="KJ87" s="888"/>
      <c r="KK87" s="889"/>
      <c r="KL87" s="893" t="str">
        <f ca="1">IFERROR(INDEX(Rezultatai!$H$40:$DC$113,MATCH($A87,Rezultatai!$B$40:$B$113,0),MATCH(KL$7,Rezultatai!$H$40:$DC$40,0)),"")</f>
        <v/>
      </c>
      <c r="KM87" s="888"/>
      <c r="KN87" s="888"/>
      <c r="KO87" s="889"/>
      <c r="KP87" s="893" t="str">
        <f ca="1">IFERROR(INDEX(Rezultatai!$H$40:$DC$113,MATCH($A87,Rezultatai!$B$40:$B$113,0),MATCH(KP$7,Rezultatai!$H$40:$DC$40,0)),"")</f>
        <v/>
      </c>
      <c r="KQ87" s="888"/>
      <c r="KR87" s="888"/>
      <c r="KS87" s="889"/>
      <c r="KT87" s="893" t="str">
        <f ca="1">IFERROR(INDEX(Rezultatai!$H$40:$DC$113,MATCH($A87,Rezultatai!$B$40:$B$113,0),MATCH(KT$7,Rezultatai!$H$40:$DC$40,0)),"")</f>
        <v/>
      </c>
      <c r="KU87" s="888"/>
      <c r="KV87" s="888"/>
      <c r="KW87" s="889"/>
      <c r="KX87" s="893" t="str">
        <f ca="1">IFERROR(INDEX(Rezultatai!$H$40:$DC$113,MATCH($A87,Rezultatai!$B$40:$B$113,0),MATCH(KX$7,Rezultatai!$H$40:$DC$40,0)),"")</f>
        <v/>
      </c>
      <c r="KY87" s="888"/>
      <c r="KZ87" s="888"/>
      <c r="LA87" s="889"/>
      <c r="LB87" s="893" t="str">
        <f ca="1">IFERROR(INDEX(Rezultatai!$H$40:$DC$113,MATCH($A87,Rezultatai!$B$40:$B$113,0),MATCH(LB$7,Rezultatai!$H$40:$DC$40,0)),"")</f>
        <v/>
      </c>
      <c r="LC87" s="888"/>
      <c r="LD87" s="888"/>
      <c r="LE87" s="889"/>
      <c r="LF87" s="893" t="str">
        <f ca="1">IFERROR(INDEX(Rezultatai!$H$40:$DC$113,MATCH($A87,Rezultatai!$B$40:$B$113,0),MATCH(LF$7,Rezultatai!$H$40:$DC$40,0)),"")</f>
        <v/>
      </c>
      <c r="LG87" s="888"/>
      <c r="LH87" s="888"/>
      <c r="LI87" s="889"/>
      <c r="LJ87" s="893" t="str">
        <f ca="1">IFERROR(INDEX(Rezultatai!$H$40:$DC$113,MATCH($A87,Rezultatai!$B$40:$B$113,0),MATCH(LJ$7,Rezultatai!$H$40:$DC$40,0)),"")</f>
        <v/>
      </c>
      <c r="LK87" s="888"/>
      <c r="LL87" s="888"/>
      <c r="LM87" s="889"/>
    </row>
    <row r="88" spans="1:325">
      <c r="A88" s="310"/>
      <c r="B88" s="354" t="s">
        <v>445</v>
      </c>
      <c r="C88" s="355" t="s">
        <v>524</v>
      </c>
      <c r="D88" s="359">
        <f ca="1">SUM(D89:D90)</f>
        <v>263616680</v>
      </c>
      <c r="E88" s="335"/>
      <c r="F88" s="873">
        <f ca="1">SUM(F89:I90)</f>
        <v>0</v>
      </c>
      <c r="G88" s="874"/>
      <c r="H88" s="874"/>
      <c r="I88" s="875"/>
      <c r="J88" s="873">
        <f ca="1">SUM(J89:M90)</f>
        <v>1558390</v>
      </c>
      <c r="K88" s="874"/>
      <c r="L88" s="874"/>
      <c r="M88" s="875"/>
      <c r="N88" s="873">
        <f ca="1">SUM(N89:Q90)</f>
        <v>4465995</v>
      </c>
      <c r="O88" s="874"/>
      <c r="P88" s="874"/>
      <c r="Q88" s="875"/>
      <c r="R88" s="873">
        <f ca="1">SUM(R89:U90)</f>
        <v>7179644</v>
      </c>
      <c r="S88" s="874"/>
      <c r="T88" s="874"/>
      <c r="U88" s="875"/>
      <c r="V88" s="873">
        <f ca="1">SUM(V89:Y90)</f>
        <v>11456014</v>
      </c>
      <c r="W88" s="874"/>
      <c r="X88" s="874"/>
      <c r="Y88" s="875"/>
      <c r="Z88" s="873">
        <f ca="1">SUM(Z89:AC90)</f>
        <v>11799695</v>
      </c>
      <c r="AA88" s="874"/>
      <c r="AB88" s="874"/>
      <c r="AC88" s="875"/>
      <c r="AD88" s="873">
        <f ca="1">SUM(AD89:AG90)</f>
        <v>12153686</v>
      </c>
      <c r="AE88" s="874"/>
      <c r="AF88" s="874"/>
      <c r="AG88" s="875"/>
      <c r="AH88" s="873">
        <f ca="1">SUM(AH89:AK90)</f>
        <v>12523831</v>
      </c>
      <c r="AI88" s="874"/>
      <c r="AJ88" s="874"/>
      <c r="AK88" s="875"/>
      <c r="AL88" s="873">
        <f ca="1">SUM(AL89:AO90)</f>
        <v>12899546</v>
      </c>
      <c r="AM88" s="874"/>
      <c r="AN88" s="874"/>
      <c r="AO88" s="875"/>
      <c r="AP88" s="873">
        <f ca="1">SUM(AP89:AS90)</f>
        <v>13286532</v>
      </c>
      <c r="AQ88" s="874"/>
      <c r="AR88" s="874"/>
      <c r="AS88" s="875"/>
      <c r="AT88" s="873">
        <f ca="1">SUM(AT89:AW90)</f>
        <v>13846398</v>
      </c>
      <c r="AU88" s="874"/>
      <c r="AV88" s="874"/>
      <c r="AW88" s="875"/>
      <c r="AX88" s="873">
        <f ca="1">SUM(AX89:BA90)</f>
        <v>14427898</v>
      </c>
      <c r="AY88" s="874"/>
      <c r="AZ88" s="874"/>
      <c r="BA88" s="875"/>
      <c r="BB88" s="873">
        <f ca="1">SUM(BB89:BE90)</f>
        <v>14689643</v>
      </c>
      <c r="BC88" s="874"/>
      <c r="BD88" s="874"/>
      <c r="BE88" s="875"/>
      <c r="BF88" s="873">
        <f ca="1">SUM(BF89:BI90)</f>
        <v>15306557</v>
      </c>
      <c r="BG88" s="874"/>
      <c r="BH88" s="874"/>
      <c r="BI88" s="875"/>
      <c r="BJ88" s="873">
        <f ca="1">SUM(BJ89:BM90)</f>
        <v>15402732</v>
      </c>
      <c r="BK88" s="874"/>
      <c r="BL88" s="874"/>
      <c r="BM88" s="875"/>
      <c r="BN88" s="873">
        <f ca="1">SUM(BN89:BQ90)</f>
        <v>15864814</v>
      </c>
      <c r="BO88" s="874"/>
      <c r="BP88" s="874"/>
      <c r="BQ88" s="875"/>
      <c r="BR88" s="873">
        <f ca="1">SUM(BR89:BU90)</f>
        <v>16340758</v>
      </c>
      <c r="BS88" s="874"/>
      <c r="BT88" s="874"/>
      <c r="BU88" s="875"/>
      <c r="BV88" s="873">
        <f ca="1">SUM(BV89:BY90)</f>
        <v>16830981</v>
      </c>
      <c r="BW88" s="874"/>
      <c r="BX88" s="874"/>
      <c r="BY88" s="875"/>
      <c r="BZ88" s="873">
        <f ca="1">SUM(BZ89:CC90)</f>
        <v>17335911</v>
      </c>
      <c r="CA88" s="874"/>
      <c r="CB88" s="874"/>
      <c r="CC88" s="875"/>
      <c r="CD88" s="873">
        <f ca="1">SUM(CD89:CG90)</f>
        <v>17855988</v>
      </c>
      <c r="CE88" s="874"/>
      <c r="CF88" s="874"/>
      <c r="CG88" s="875"/>
      <c r="CH88" s="873">
        <f ca="1">SUM(CH89:CK90)</f>
        <v>18391667</v>
      </c>
      <c r="CI88" s="874"/>
      <c r="CJ88" s="874"/>
      <c r="CK88" s="875"/>
      <c r="CL88" s="873">
        <f ca="1">SUM(CL89:CO90)</f>
        <v>4333429</v>
      </c>
      <c r="CM88" s="874"/>
      <c r="CN88" s="874"/>
      <c r="CO88" s="875"/>
      <c r="CP88" s="873">
        <f ca="1">SUM(CP89:CS90)</f>
        <v>4463432</v>
      </c>
      <c r="CQ88" s="874"/>
      <c r="CR88" s="874"/>
      <c r="CS88" s="875"/>
      <c r="CT88" s="873">
        <f ca="1">SUM(CT89:CW90)</f>
        <v>4597335</v>
      </c>
      <c r="CU88" s="874"/>
      <c r="CV88" s="874"/>
      <c r="CW88" s="875"/>
      <c r="CX88" s="873">
        <f ca="1">SUM(CX89:DA90)</f>
        <v>4735255</v>
      </c>
      <c r="CY88" s="874"/>
      <c r="CZ88" s="874"/>
      <c r="DA88" s="875"/>
      <c r="DB88" s="873">
        <f ca="1">SUM(DB89:DE90)</f>
        <v>4877313</v>
      </c>
      <c r="DC88" s="874"/>
      <c r="DD88" s="874"/>
      <c r="DE88" s="875"/>
      <c r="DF88" s="873">
        <f ca="1">SUM(DF89:DI90)</f>
        <v>5023632</v>
      </c>
      <c r="DG88" s="874"/>
      <c r="DH88" s="874"/>
      <c r="DI88" s="875"/>
      <c r="DJ88" s="873">
        <f ca="1">SUM(DJ89:DM90)</f>
        <v>5174341</v>
      </c>
      <c r="DK88" s="874"/>
      <c r="DL88" s="874"/>
      <c r="DM88" s="875"/>
      <c r="DN88" s="873">
        <f ca="1">SUM(DN89:DQ90)</f>
        <v>5329572</v>
      </c>
      <c r="DO88" s="874"/>
      <c r="DP88" s="874"/>
      <c r="DQ88" s="875"/>
      <c r="DR88" s="873">
        <f ca="1">SUM(DR89:DU90)</f>
        <v>5489459</v>
      </c>
      <c r="DS88" s="874"/>
      <c r="DT88" s="874"/>
      <c r="DU88" s="875"/>
      <c r="DV88" s="873">
        <f ca="1">SUM(DV89:DY90)</f>
        <v>5654142</v>
      </c>
      <c r="DW88" s="874"/>
      <c r="DX88" s="874"/>
      <c r="DY88" s="875"/>
      <c r="DZ88" s="873">
        <f ca="1">SUM(DZ89:EC90)</f>
        <v>5823767</v>
      </c>
      <c r="EA88" s="874"/>
      <c r="EB88" s="874"/>
      <c r="EC88" s="875"/>
      <c r="ED88" s="873">
        <f ca="1">SUM(ED89:EG90)</f>
        <v>5998480</v>
      </c>
      <c r="EE88" s="874"/>
      <c r="EF88" s="874"/>
      <c r="EG88" s="875"/>
      <c r="EH88" s="873">
        <f ca="1">SUM(EH89:EK90)</f>
        <v>6178434</v>
      </c>
      <c r="EI88" s="874"/>
      <c r="EJ88" s="874"/>
      <c r="EK88" s="875"/>
      <c r="EL88" s="873">
        <f ca="1">SUM(EL89:EO90)</f>
        <v>6363787</v>
      </c>
      <c r="EM88" s="874"/>
      <c r="EN88" s="874"/>
      <c r="EO88" s="875"/>
      <c r="EP88" s="873">
        <f ca="1">SUM(EP89:ES90)</f>
        <v>6554701</v>
      </c>
      <c r="EQ88" s="874"/>
      <c r="ER88" s="874"/>
      <c r="ES88" s="875"/>
      <c r="ET88" s="873">
        <f ca="1">SUM(ET89:EW90)</f>
        <v>6751342</v>
      </c>
      <c r="EU88" s="874"/>
      <c r="EV88" s="874"/>
      <c r="EW88" s="875"/>
      <c r="EX88" s="873">
        <f ca="1">SUM(EX89:FA90)</f>
        <v>6953882</v>
      </c>
      <c r="EY88" s="874"/>
      <c r="EZ88" s="874"/>
      <c r="FA88" s="875"/>
      <c r="FB88" s="873">
        <f ca="1">SUM(FB89:FE90)</f>
        <v>7162498</v>
      </c>
      <c r="FC88" s="874"/>
      <c r="FD88" s="874"/>
      <c r="FE88" s="875"/>
      <c r="FF88" s="873">
        <f ca="1">SUM(FF89:FI90)</f>
        <v>7377373</v>
      </c>
      <c r="FG88" s="874"/>
      <c r="FH88" s="874"/>
      <c r="FI88" s="875"/>
      <c r="FJ88" s="873">
        <f ca="1">SUM(FJ89:FM90)</f>
        <v>7598695</v>
      </c>
      <c r="FK88" s="874"/>
      <c r="FL88" s="874"/>
      <c r="FM88" s="875"/>
      <c r="FN88" s="873">
        <f ca="1">SUM(FN89:FQ90)</f>
        <v>7826655</v>
      </c>
      <c r="FO88" s="874"/>
      <c r="FP88" s="874"/>
      <c r="FQ88" s="875"/>
      <c r="FR88" s="873">
        <f ca="1">SUM(FR89:FU90)</f>
        <v>8061455</v>
      </c>
      <c r="FS88" s="874"/>
      <c r="FT88" s="874"/>
      <c r="FU88" s="875"/>
      <c r="FV88" s="873">
        <f ca="1">SUM(FV89:FY90)</f>
        <v>8303299</v>
      </c>
      <c r="FW88" s="874"/>
      <c r="FX88" s="874"/>
      <c r="FY88" s="875"/>
      <c r="FZ88" s="873">
        <f ca="1">SUM(FZ89:GC90)</f>
        <v>8552398</v>
      </c>
      <c r="GA88" s="874"/>
      <c r="GB88" s="874"/>
      <c r="GC88" s="875"/>
      <c r="GD88" s="873">
        <f ca="1">SUM(GD89:GG90)</f>
        <v>8808970</v>
      </c>
      <c r="GE88" s="874"/>
      <c r="GF88" s="874"/>
      <c r="GG88" s="875"/>
      <c r="GH88" s="873">
        <f ca="1">SUM(GH89:GK90)</f>
        <v>9073239</v>
      </c>
      <c r="GI88" s="874"/>
      <c r="GJ88" s="874"/>
      <c r="GK88" s="875"/>
      <c r="GL88" s="873">
        <f ca="1">SUM(GL89:GO90)</f>
        <v>9345436</v>
      </c>
      <c r="GM88" s="874"/>
      <c r="GN88" s="874"/>
      <c r="GO88" s="875"/>
      <c r="GP88" s="873">
        <f ca="1">SUM(GP89:GS90)</f>
        <v>9625799</v>
      </c>
      <c r="GQ88" s="874"/>
      <c r="GR88" s="874"/>
      <c r="GS88" s="875"/>
      <c r="GT88" s="873">
        <f ca="1">SUM(GT89:GW90)</f>
        <v>9914573</v>
      </c>
      <c r="GU88" s="874"/>
      <c r="GV88" s="874"/>
      <c r="GW88" s="875"/>
      <c r="GX88" s="873">
        <f ca="1">SUM(GX89:HA90)</f>
        <v>10212010</v>
      </c>
      <c r="GY88" s="874"/>
      <c r="GZ88" s="874"/>
      <c r="HA88" s="875"/>
      <c r="HB88" s="873">
        <f ca="1">SUM(HB89:HE90)</f>
        <v>10518370</v>
      </c>
      <c r="HC88" s="874"/>
      <c r="HD88" s="874"/>
      <c r="HE88" s="875"/>
      <c r="HF88" s="873">
        <f ca="1">SUM(HF89:HI90)</f>
        <v>10833922</v>
      </c>
      <c r="HG88" s="874"/>
      <c r="HH88" s="874"/>
      <c r="HI88" s="875"/>
      <c r="HJ88" s="873">
        <f ca="1">SUM(HJ89:HM90)</f>
        <v>11158939</v>
      </c>
      <c r="HK88" s="874"/>
      <c r="HL88" s="874"/>
      <c r="HM88" s="875"/>
      <c r="HN88" s="873">
        <f ca="1">SUM(HN89:HQ90)</f>
        <v>11493707</v>
      </c>
      <c r="HO88" s="874"/>
      <c r="HP88" s="874"/>
      <c r="HQ88" s="875"/>
      <c r="HR88" s="873">
        <f ca="1">SUM(HR89:HU90)</f>
        <v>11838519</v>
      </c>
      <c r="HS88" s="874"/>
      <c r="HT88" s="874"/>
      <c r="HU88" s="875"/>
      <c r="HV88" s="873">
        <f ca="1">SUM(HV89:HY90)</f>
        <v>12193674</v>
      </c>
      <c r="HW88" s="874"/>
      <c r="HX88" s="874"/>
      <c r="HY88" s="875"/>
      <c r="HZ88" s="873">
        <f ca="1">SUM(HZ89:IC90)</f>
        <v>12559484</v>
      </c>
      <c r="IA88" s="874"/>
      <c r="IB88" s="874"/>
      <c r="IC88" s="875"/>
      <c r="ID88" s="873">
        <f ca="1">SUM(ID89:IG90)</f>
        <v>12936269</v>
      </c>
      <c r="IE88" s="874"/>
      <c r="IF88" s="874"/>
      <c r="IG88" s="875"/>
      <c r="IH88" s="873">
        <f ca="1">SUM(IH89:IK90)</f>
        <v>13324357</v>
      </c>
      <c r="II88" s="874"/>
      <c r="IJ88" s="874"/>
      <c r="IK88" s="875"/>
      <c r="IL88" s="873">
        <f ca="1">SUM(IL89:IO90)</f>
        <v>13724088</v>
      </c>
      <c r="IM88" s="874"/>
      <c r="IN88" s="874"/>
      <c r="IO88" s="875"/>
      <c r="IP88" s="873">
        <f ca="1">SUM(IP89:IS90)</f>
        <v>14135810</v>
      </c>
      <c r="IQ88" s="874"/>
      <c r="IR88" s="874"/>
      <c r="IS88" s="875"/>
      <c r="IT88" s="873">
        <f ca="1">SUM(IT89:IW90)</f>
        <v>14559885</v>
      </c>
      <c r="IU88" s="874"/>
      <c r="IV88" s="874"/>
      <c r="IW88" s="875"/>
      <c r="IX88" s="873">
        <f ca="1">SUM(IX89:JA90)</f>
        <v>14996681</v>
      </c>
      <c r="IY88" s="874"/>
      <c r="IZ88" s="874"/>
      <c r="JA88" s="875"/>
      <c r="JB88" s="873">
        <f ca="1">SUM(JB89:JE90)</f>
        <v>15446582</v>
      </c>
      <c r="JC88" s="874"/>
      <c r="JD88" s="874"/>
      <c r="JE88" s="875"/>
      <c r="JF88" s="873">
        <f ca="1">SUM(JF89:JI90)</f>
        <v>15909979</v>
      </c>
      <c r="JG88" s="874"/>
      <c r="JH88" s="874"/>
      <c r="JI88" s="875"/>
      <c r="JJ88" s="873">
        <f ca="1">SUM(JJ89:JM90)</f>
        <v>16387278</v>
      </c>
      <c r="JK88" s="874"/>
      <c r="JL88" s="874"/>
      <c r="JM88" s="875"/>
      <c r="JN88" s="873">
        <f ca="1">SUM(JN89:JQ90)</f>
        <v>16878897</v>
      </c>
      <c r="JO88" s="874"/>
      <c r="JP88" s="874"/>
      <c r="JQ88" s="875"/>
      <c r="JR88" s="873">
        <f ca="1">SUM(JR89:JU90)</f>
        <v>17385264</v>
      </c>
      <c r="JS88" s="874"/>
      <c r="JT88" s="874"/>
      <c r="JU88" s="875"/>
      <c r="JV88" s="873">
        <f ca="1">SUM(JV89:JY90)</f>
        <v>17906822</v>
      </c>
      <c r="JW88" s="874"/>
      <c r="JX88" s="874"/>
      <c r="JY88" s="875"/>
      <c r="JZ88" s="873">
        <f ca="1">SUM(JZ89:KC90)</f>
        <v>18444026</v>
      </c>
      <c r="KA88" s="874"/>
      <c r="KB88" s="874"/>
      <c r="KC88" s="875"/>
      <c r="KD88" s="873">
        <f ca="1">SUM(KD89:KG90)</f>
        <v>18997347</v>
      </c>
      <c r="KE88" s="874"/>
      <c r="KF88" s="874"/>
      <c r="KG88" s="875"/>
      <c r="KH88" s="873">
        <f ca="1">SUM(KH89:KK90)</f>
        <v>19567267</v>
      </c>
      <c r="KI88" s="874"/>
      <c r="KJ88" s="874"/>
      <c r="KK88" s="875"/>
      <c r="KL88" s="873">
        <f ca="1">SUM(KL89:KO90)</f>
        <v>20154286</v>
      </c>
      <c r="KM88" s="874"/>
      <c r="KN88" s="874"/>
      <c r="KO88" s="875"/>
      <c r="KP88" s="873">
        <f ca="1">SUM(KP89:KS90)</f>
        <v>20758914</v>
      </c>
      <c r="KQ88" s="874"/>
      <c r="KR88" s="874"/>
      <c r="KS88" s="875"/>
      <c r="KT88" s="873">
        <f ca="1">SUM(KT89:KW90)</f>
        <v>21381681</v>
      </c>
      <c r="KU88" s="874"/>
      <c r="KV88" s="874"/>
      <c r="KW88" s="875"/>
      <c r="KX88" s="873">
        <f ca="1">SUM(KX89:LA90)</f>
        <v>22023132</v>
      </c>
      <c r="KY88" s="874"/>
      <c r="KZ88" s="874"/>
      <c r="LA88" s="875"/>
      <c r="LB88" s="873">
        <f ca="1">SUM(LB89:LE90)</f>
        <v>22683826</v>
      </c>
      <c r="LC88" s="874"/>
      <c r="LD88" s="874"/>
      <c r="LE88" s="875"/>
      <c r="LF88" s="873">
        <f ca="1">SUM(LF89:LI90)</f>
        <v>23364341</v>
      </c>
      <c r="LG88" s="874"/>
      <c r="LH88" s="874"/>
      <c r="LI88" s="875"/>
      <c r="LJ88" s="873">
        <f ca="1">SUM(LJ89:LM90)</f>
        <v>24065271</v>
      </c>
      <c r="LK88" s="874"/>
      <c r="LL88" s="874"/>
      <c r="LM88" s="875"/>
    </row>
    <row r="89" spans="1:325">
      <c r="A89" s="310"/>
      <c r="B89" s="309" t="s">
        <v>444</v>
      </c>
      <c r="C89" s="348" t="s">
        <v>563</v>
      </c>
      <c r="D89" s="356">
        <f ca="1">SUMIF($F$6:$LM$6,"&lt;="&amp;PAL,$F89:$LM89)</f>
        <v>262599655</v>
      </c>
      <c r="E89" s="328"/>
      <c r="F89" s="898" t="str">
        <f ca="1">IFERROR(ROUND(HLOOKUP(F$7,Rezultatai!$H$40:$DC$117,78,FALSE),0),"")</f>
        <v/>
      </c>
      <c r="G89" s="899"/>
      <c r="H89" s="899"/>
      <c r="I89" s="900"/>
      <c r="J89" s="898">
        <f ca="1">IFERROR(ROUND(HLOOKUP(J$7,Rezultatai!$H$40:$DC$117,78,FALSE),0),"")</f>
        <v>1558390</v>
      </c>
      <c r="K89" s="899"/>
      <c r="L89" s="899"/>
      <c r="M89" s="900"/>
      <c r="N89" s="898">
        <f ca="1">IFERROR(ROUND(HLOOKUP(N$7,Rezultatai!$H$40:$DC$117,78,FALSE),0),"")</f>
        <v>4465995</v>
      </c>
      <c r="O89" s="899"/>
      <c r="P89" s="899"/>
      <c r="Q89" s="900"/>
      <c r="R89" s="898">
        <f ca="1">IFERROR(ROUND(HLOOKUP(R$7,Rezultatai!$H$40:$DC$117,78,FALSE),0),"")</f>
        <v>7179644</v>
      </c>
      <c r="S89" s="899"/>
      <c r="T89" s="899"/>
      <c r="U89" s="900"/>
      <c r="V89" s="898">
        <f ca="1">IFERROR(ROUND(HLOOKUP(V$7,Rezultatai!$H$40:$DC$117,78,FALSE),0),"")</f>
        <v>11456014</v>
      </c>
      <c r="W89" s="899"/>
      <c r="X89" s="899"/>
      <c r="Y89" s="900"/>
      <c r="Z89" s="898">
        <f ca="1">IFERROR(ROUND(HLOOKUP(Z$7,Rezultatai!$H$40:$DC$117,78,FALSE),0),"")</f>
        <v>11799695</v>
      </c>
      <c r="AA89" s="899"/>
      <c r="AB89" s="899"/>
      <c r="AC89" s="900"/>
      <c r="AD89" s="898">
        <f ca="1">IFERROR(ROUND(HLOOKUP(AD$7,Rezultatai!$H$40:$DC$117,78,FALSE),0),"")</f>
        <v>12153686</v>
      </c>
      <c r="AE89" s="899"/>
      <c r="AF89" s="899"/>
      <c r="AG89" s="900"/>
      <c r="AH89" s="898">
        <f ca="1">IFERROR(ROUND(HLOOKUP(AH$7,Rezultatai!$H$40:$DC$117,78,FALSE),0),"")</f>
        <v>12523831</v>
      </c>
      <c r="AI89" s="899"/>
      <c r="AJ89" s="899"/>
      <c r="AK89" s="900"/>
      <c r="AL89" s="898">
        <f ca="1">IFERROR(ROUND(HLOOKUP(AL$7,Rezultatai!$H$40:$DC$117,78,FALSE),0),"")</f>
        <v>12899546</v>
      </c>
      <c r="AM89" s="899"/>
      <c r="AN89" s="899"/>
      <c r="AO89" s="900"/>
      <c r="AP89" s="898">
        <f ca="1">IFERROR(ROUND(HLOOKUP(AP$7,Rezultatai!$H$40:$DC$117,78,FALSE),0),"")</f>
        <v>13286532</v>
      </c>
      <c r="AQ89" s="899"/>
      <c r="AR89" s="899"/>
      <c r="AS89" s="900"/>
      <c r="AT89" s="898">
        <f ca="1">IFERROR(ROUND(HLOOKUP(AT$7,Rezultatai!$H$40:$DC$117,78,FALSE),0),"")</f>
        <v>13685128</v>
      </c>
      <c r="AU89" s="899"/>
      <c r="AV89" s="899"/>
      <c r="AW89" s="900"/>
      <c r="AX89" s="898">
        <f ca="1">IFERROR(ROUND(HLOOKUP(AX$7,Rezultatai!$H$40:$DC$117,78,FALSE),0),"")</f>
        <v>14095682</v>
      </c>
      <c r="AY89" s="899"/>
      <c r="AZ89" s="899"/>
      <c r="BA89" s="900"/>
      <c r="BB89" s="898">
        <f ca="1">IFERROR(ROUND(HLOOKUP(BB$7,Rezultatai!$H$40:$DC$117,78,FALSE),0),"")</f>
        <v>14518552</v>
      </c>
      <c r="BC89" s="899"/>
      <c r="BD89" s="899"/>
      <c r="BE89" s="900"/>
      <c r="BF89" s="898">
        <f ca="1">IFERROR(ROUND(HLOOKUP(BF$7,Rezultatai!$H$40:$DC$117,78,FALSE),0),"")</f>
        <v>14954109</v>
      </c>
      <c r="BG89" s="899"/>
      <c r="BH89" s="899"/>
      <c r="BI89" s="900"/>
      <c r="BJ89" s="898">
        <f ca="1">IFERROR(ROUND(HLOOKUP(BJ$7,Rezultatai!$H$40:$DC$117,78,FALSE),0),"")</f>
        <v>15402732</v>
      </c>
      <c r="BK89" s="899"/>
      <c r="BL89" s="899"/>
      <c r="BM89" s="900"/>
      <c r="BN89" s="898">
        <f ca="1">IFERROR(ROUND(HLOOKUP(BN$7,Rezultatai!$H$40:$DC$117,78,FALSE),0),"")</f>
        <v>15864814</v>
      </c>
      <c r="BO89" s="899"/>
      <c r="BP89" s="899"/>
      <c r="BQ89" s="900"/>
      <c r="BR89" s="898">
        <f ca="1">IFERROR(ROUND(HLOOKUP(BR$7,Rezultatai!$H$40:$DC$117,78,FALSE),0),"")</f>
        <v>16340758</v>
      </c>
      <c r="BS89" s="899"/>
      <c r="BT89" s="899"/>
      <c r="BU89" s="900"/>
      <c r="BV89" s="898">
        <f ca="1">IFERROR(ROUND(HLOOKUP(BV$7,Rezultatai!$H$40:$DC$117,78,FALSE),0),"")</f>
        <v>16830981</v>
      </c>
      <c r="BW89" s="899"/>
      <c r="BX89" s="899"/>
      <c r="BY89" s="900"/>
      <c r="BZ89" s="898">
        <f ca="1">IFERROR(ROUND(HLOOKUP(BZ$7,Rezultatai!$H$40:$DC$117,78,FALSE),0),"")</f>
        <v>17335911</v>
      </c>
      <c r="CA89" s="899"/>
      <c r="CB89" s="899"/>
      <c r="CC89" s="900"/>
      <c r="CD89" s="898">
        <f ca="1">IFERROR(ROUND(HLOOKUP(CD$7,Rezultatai!$H$40:$DC$117,78,FALSE),0),"")</f>
        <v>17855988</v>
      </c>
      <c r="CE89" s="899"/>
      <c r="CF89" s="899"/>
      <c r="CG89" s="900"/>
      <c r="CH89" s="898">
        <f ca="1">IFERROR(ROUND(HLOOKUP(CH$7,Rezultatai!$H$40:$DC$117,78,FALSE),0),"")</f>
        <v>18391667</v>
      </c>
      <c r="CI89" s="899"/>
      <c r="CJ89" s="899"/>
      <c r="CK89" s="900"/>
      <c r="CL89" s="898">
        <f ca="1">IFERROR(ROUND(HLOOKUP(CL$7,Rezultatai!$H$40:$DC$117,78,FALSE),0),"")</f>
        <v>4333429</v>
      </c>
      <c r="CM89" s="899"/>
      <c r="CN89" s="899"/>
      <c r="CO89" s="900"/>
      <c r="CP89" s="898">
        <f ca="1">IFERROR(ROUND(HLOOKUP(CP$7,Rezultatai!$H$40:$DC$117,78,FALSE),0),"")</f>
        <v>4463432</v>
      </c>
      <c r="CQ89" s="899"/>
      <c r="CR89" s="899"/>
      <c r="CS89" s="900"/>
      <c r="CT89" s="898">
        <f ca="1">IFERROR(ROUND(HLOOKUP(CT$7,Rezultatai!$H$40:$DC$117,78,FALSE),0),"")</f>
        <v>4597335</v>
      </c>
      <c r="CU89" s="899"/>
      <c r="CV89" s="899"/>
      <c r="CW89" s="900"/>
      <c r="CX89" s="898">
        <f ca="1">IFERROR(ROUND(HLOOKUP(CX$7,Rezultatai!$H$40:$DC$117,78,FALSE),0),"")</f>
        <v>4735255</v>
      </c>
      <c r="CY89" s="899"/>
      <c r="CZ89" s="899"/>
      <c r="DA89" s="900"/>
      <c r="DB89" s="898">
        <f ca="1">IFERROR(ROUND(HLOOKUP(DB$7,Rezultatai!$H$40:$DC$117,78,FALSE),0),"")</f>
        <v>4877313</v>
      </c>
      <c r="DC89" s="899"/>
      <c r="DD89" s="899"/>
      <c r="DE89" s="900"/>
      <c r="DF89" s="898">
        <f ca="1">IFERROR(ROUND(HLOOKUP(DF$7,Rezultatai!$H$40:$DC$117,78,FALSE),0),"")</f>
        <v>5023632</v>
      </c>
      <c r="DG89" s="899"/>
      <c r="DH89" s="899"/>
      <c r="DI89" s="900"/>
      <c r="DJ89" s="898">
        <f ca="1">IFERROR(ROUND(HLOOKUP(DJ$7,Rezultatai!$H$40:$DC$117,78,FALSE),0),"")</f>
        <v>5174341</v>
      </c>
      <c r="DK89" s="899"/>
      <c r="DL89" s="899"/>
      <c r="DM89" s="900"/>
      <c r="DN89" s="898">
        <f ca="1">IFERROR(ROUND(HLOOKUP(DN$7,Rezultatai!$H$40:$DC$117,78,FALSE),0),"")</f>
        <v>5329572</v>
      </c>
      <c r="DO89" s="899"/>
      <c r="DP89" s="899"/>
      <c r="DQ89" s="900"/>
      <c r="DR89" s="898">
        <f ca="1">IFERROR(ROUND(HLOOKUP(DR$7,Rezultatai!$H$40:$DC$117,78,FALSE),0),"")</f>
        <v>5489459</v>
      </c>
      <c r="DS89" s="899"/>
      <c r="DT89" s="899"/>
      <c r="DU89" s="900"/>
      <c r="DV89" s="898">
        <f ca="1">IFERROR(ROUND(HLOOKUP(DV$7,Rezultatai!$H$40:$DC$117,78,FALSE),0),"")</f>
        <v>5654142</v>
      </c>
      <c r="DW89" s="899"/>
      <c r="DX89" s="899"/>
      <c r="DY89" s="900"/>
      <c r="DZ89" s="898">
        <f ca="1">IFERROR(ROUND(HLOOKUP(DZ$7,Rezultatai!$H$40:$DC$117,78,FALSE),0),"")</f>
        <v>5823767</v>
      </c>
      <c r="EA89" s="899"/>
      <c r="EB89" s="899"/>
      <c r="EC89" s="900"/>
      <c r="ED89" s="898">
        <f ca="1">IFERROR(ROUND(HLOOKUP(ED$7,Rezultatai!$H$40:$DC$117,78,FALSE),0),"")</f>
        <v>5998480</v>
      </c>
      <c r="EE89" s="899"/>
      <c r="EF89" s="899"/>
      <c r="EG89" s="900"/>
      <c r="EH89" s="898">
        <f ca="1">IFERROR(ROUND(HLOOKUP(EH$7,Rezultatai!$H$40:$DC$117,78,FALSE),0),"")</f>
        <v>6178434</v>
      </c>
      <c r="EI89" s="899"/>
      <c r="EJ89" s="899"/>
      <c r="EK89" s="900"/>
      <c r="EL89" s="898">
        <f ca="1">IFERROR(ROUND(HLOOKUP(EL$7,Rezultatai!$H$40:$DC$117,78,FALSE),0),"")</f>
        <v>6363787</v>
      </c>
      <c r="EM89" s="899"/>
      <c r="EN89" s="899"/>
      <c r="EO89" s="900"/>
      <c r="EP89" s="898">
        <f ca="1">IFERROR(ROUND(HLOOKUP(EP$7,Rezultatai!$H$40:$DC$117,78,FALSE),0),"")</f>
        <v>6554701</v>
      </c>
      <c r="EQ89" s="899"/>
      <c r="ER89" s="899"/>
      <c r="ES89" s="900"/>
      <c r="ET89" s="898">
        <f ca="1">IFERROR(ROUND(HLOOKUP(ET$7,Rezultatai!$H$40:$DC$117,78,FALSE),0),"")</f>
        <v>6751342</v>
      </c>
      <c r="EU89" s="899"/>
      <c r="EV89" s="899"/>
      <c r="EW89" s="900"/>
      <c r="EX89" s="898">
        <f ca="1">IFERROR(ROUND(HLOOKUP(EX$7,Rezultatai!$H$40:$DC$117,78,FALSE),0),"")</f>
        <v>6953882</v>
      </c>
      <c r="EY89" s="899"/>
      <c r="EZ89" s="899"/>
      <c r="FA89" s="900"/>
      <c r="FB89" s="898">
        <f ca="1">IFERROR(ROUND(HLOOKUP(FB$7,Rezultatai!$H$40:$DC$117,78,FALSE),0),"")</f>
        <v>7162498</v>
      </c>
      <c r="FC89" s="899"/>
      <c r="FD89" s="899"/>
      <c r="FE89" s="900"/>
      <c r="FF89" s="898">
        <f ca="1">IFERROR(ROUND(HLOOKUP(FF$7,Rezultatai!$H$40:$DC$117,78,FALSE),0),"")</f>
        <v>7377373</v>
      </c>
      <c r="FG89" s="899"/>
      <c r="FH89" s="899"/>
      <c r="FI89" s="900"/>
      <c r="FJ89" s="898">
        <f ca="1">IFERROR(ROUND(HLOOKUP(FJ$7,Rezultatai!$H$40:$DC$117,78,FALSE),0),"")</f>
        <v>7598695</v>
      </c>
      <c r="FK89" s="899"/>
      <c r="FL89" s="899"/>
      <c r="FM89" s="900"/>
      <c r="FN89" s="898">
        <f ca="1">IFERROR(ROUND(HLOOKUP(FN$7,Rezultatai!$H$40:$DC$117,78,FALSE),0),"")</f>
        <v>7826655</v>
      </c>
      <c r="FO89" s="899"/>
      <c r="FP89" s="899"/>
      <c r="FQ89" s="900"/>
      <c r="FR89" s="898">
        <f ca="1">IFERROR(ROUND(HLOOKUP(FR$7,Rezultatai!$H$40:$DC$117,78,FALSE),0),"")</f>
        <v>8061455</v>
      </c>
      <c r="FS89" s="899"/>
      <c r="FT89" s="899"/>
      <c r="FU89" s="900"/>
      <c r="FV89" s="898">
        <f ca="1">IFERROR(ROUND(HLOOKUP(FV$7,Rezultatai!$H$40:$DC$117,78,FALSE),0),"")</f>
        <v>8303299</v>
      </c>
      <c r="FW89" s="899"/>
      <c r="FX89" s="899"/>
      <c r="FY89" s="900"/>
      <c r="FZ89" s="898">
        <f ca="1">IFERROR(ROUND(HLOOKUP(FZ$7,Rezultatai!$H$40:$DC$117,78,FALSE),0),"")</f>
        <v>8552398</v>
      </c>
      <c r="GA89" s="899"/>
      <c r="GB89" s="899"/>
      <c r="GC89" s="900"/>
      <c r="GD89" s="898">
        <f ca="1">IFERROR(ROUND(HLOOKUP(GD$7,Rezultatai!$H$40:$DC$117,78,FALSE),0),"")</f>
        <v>8808970</v>
      </c>
      <c r="GE89" s="899"/>
      <c r="GF89" s="899"/>
      <c r="GG89" s="900"/>
      <c r="GH89" s="898">
        <f ca="1">IFERROR(ROUND(HLOOKUP(GH$7,Rezultatai!$H$40:$DC$117,78,FALSE),0),"")</f>
        <v>9073239</v>
      </c>
      <c r="GI89" s="899"/>
      <c r="GJ89" s="899"/>
      <c r="GK89" s="900"/>
      <c r="GL89" s="898">
        <f ca="1">IFERROR(ROUND(HLOOKUP(GL$7,Rezultatai!$H$40:$DC$117,78,FALSE),0),"")</f>
        <v>9345436</v>
      </c>
      <c r="GM89" s="899"/>
      <c r="GN89" s="899"/>
      <c r="GO89" s="900"/>
      <c r="GP89" s="898">
        <f ca="1">IFERROR(ROUND(HLOOKUP(GP$7,Rezultatai!$H$40:$DC$117,78,FALSE),0),"")</f>
        <v>9625799</v>
      </c>
      <c r="GQ89" s="899"/>
      <c r="GR89" s="899"/>
      <c r="GS89" s="900"/>
      <c r="GT89" s="898">
        <f ca="1">IFERROR(ROUND(HLOOKUP(GT$7,Rezultatai!$H$40:$DC$117,78,FALSE),0),"")</f>
        <v>9914573</v>
      </c>
      <c r="GU89" s="899"/>
      <c r="GV89" s="899"/>
      <c r="GW89" s="900"/>
      <c r="GX89" s="898">
        <f ca="1">IFERROR(ROUND(HLOOKUP(GX$7,Rezultatai!$H$40:$DC$117,78,FALSE),0),"")</f>
        <v>10212010</v>
      </c>
      <c r="GY89" s="899"/>
      <c r="GZ89" s="899"/>
      <c r="HA89" s="900"/>
      <c r="HB89" s="898">
        <f ca="1">IFERROR(ROUND(HLOOKUP(HB$7,Rezultatai!$H$40:$DC$117,78,FALSE),0),"")</f>
        <v>10518370</v>
      </c>
      <c r="HC89" s="899"/>
      <c r="HD89" s="899"/>
      <c r="HE89" s="900"/>
      <c r="HF89" s="898">
        <f ca="1">IFERROR(ROUND(HLOOKUP(HF$7,Rezultatai!$H$40:$DC$117,78,FALSE),0),"")</f>
        <v>10833922</v>
      </c>
      <c r="HG89" s="899"/>
      <c r="HH89" s="899"/>
      <c r="HI89" s="900"/>
      <c r="HJ89" s="898">
        <f ca="1">IFERROR(ROUND(HLOOKUP(HJ$7,Rezultatai!$H$40:$DC$117,78,FALSE),0),"")</f>
        <v>11158939</v>
      </c>
      <c r="HK89" s="899"/>
      <c r="HL89" s="899"/>
      <c r="HM89" s="900"/>
      <c r="HN89" s="898">
        <f ca="1">IFERROR(ROUND(HLOOKUP(HN$7,Rezultatai!$H$40:$DC$117,78,FALSE),0),"")</f>
        <v>11493707</v>
      </c>
      <c r="HO89" s="899"/>
      <c r="HP89" s="899"/>
      <c r="HQ89" s="900"/>
      <c r="HR89" s="898">
        <f ca="1">IFERROR(ROUND(HLOOKUP(HR$7,Rezultatai!$H$40:$DC$117,78,FALSE),0),"")</f>
        <v>11838519</v>
      </c>
      <c r="HS89" s="899"/>
      <c r="HT89" s="899"/>
      <c r="HU89" s="900"/>
      <c r="HV89" s="898">
        <f ca="1">IFERROR(ROUND(HLOOKUP(HV$7,Rezultatai!$H$40:$DC$117,78,FALSE),0),"")</f>
        <v>12193674</v>
      </c>
      <c r="HW89" s="899"/>
      <c r="HX89" s="899"/>
      <c r="HY89" s="900"/>
      <c r="HZ89" s="898">
        <f ca="1">IFERROR(ROUND(HLOOKUP(HZ$7,Rezultatai!$H$40:$DC$117,78,FALSE),0),"")</f>
        <v>12559484</v>
      </c>
      <c r="IA89" s="899"/>
      <c r="IB89" s="899"/>
      <c r="IC89" s="900"/>
      <c r="ID89" s="898">
        <f ca="1">IFERROR(ROUND(HLOOKUP(ID$7,Rezultatai!$H$40:$DC$117,78,FALSE),0),"")</f>
        <v>12936269</v>
      </c>
      <c r="IE89" s="899"/>
      <c r="IF89" s="899"/>
      <c r="IG89" s="900"/>
      <c r="IH89" s="898">
        <f ca="1">IFERROR(ROUND(HLOOKUP(IH$7,Rezultatai!$H$40:$DC$117,78,FALSE),0),"")</f>
        <v>13324357</v>
      </c>
      <c r="II89" s="899"/>
      <c r="IJ89" s="899"/>
      <c r="IK89" s="900"/>
      <c r="IL89" s="898">
        <f ca="1">IFERROR(ROUND(HLOOKUP(IL$7,Rezultatai!$H$40:$DC$117,78,FALSE),0),"")</f>
        <v>13724088</v>
      </c>
      <c r="IM89" s="899"/>
      <c r="IN89" s="899"/>
      <c r="IO89" s="900"/>
      <c r="IP89" s="898">
        <f ca="1">IFERROR(ROUND(HLOOKUP(IP$7,Rezultatai!$H$40:$DC$117,78,FALSE),0),"")</f>
        <v>14135810</v>
      </c>
      <c r="IQ89" s="899"/>
      <c r="IR89" s="899"/>
      <c r="IS89" s="900"/>
      <c r="IT89" s="898">
        <f ca="1">IFERROR(ROUND(HLOOKUP(IT$7,Rezultatai!$H$40:$DC$117,78,FALSE),0),"")</f>
        <v>14559885</v>
      </c>
      <c r="IU89" s="899"/>
      <c r="IV89" s="899"/>
      <c r="IW89" s="900"/>
      <c r="IX89" s="898">
        <f ca="1">IFERROR(ROUND(HLOOKUP(IX$7,Rezultatai!$H$40:$DC$117,78,FALSE),0),"")</f>
        <v>14996681</v>
      </c>
      <c r="IY89" s="899"/>
      <c r="IZ89" s="899"/>
      <c r="JA89" s="900"/>
      <c r="JB89" s="898">
        <f ca="1">IFERROR(ROUND(HLOOKUP(JB$7,Rezultatai!$H$40:$DC$117,78,FALSE),0),"")</f>
        <v>15446582</v>
      </c>
      <c r="JC89" s="899"/>
      <c r="JD89" s="899"/>
      <c r="JE89" s="900"/>
      <c r="JF89" s="898">
        <f ca="1">IFERROR(ROUND(HLOOKUP(JF$7,Rezultatai!$H$40:$DC$117,78,FALSE),0),"")</f>
        <v>15909979</v>
      </c>
      <c r="JG89" s="899"/>
      <c r="JH89" s="899"/>
      <c r="JI89" s="900"/>
      <c r="JJ89" s="898">
        <f ca="1">IFERROR(ROUND(HLOOKUP(JJ$7,Rezultatai!$H$40:$DC$117,78,FALSE),0),"")</f>
        <v>16387278</v>
      </c>
      <c r="JK89" s="899"/>
      <c r="JL89" s="899"/>
      <c r="JM89" s="900"/>
      <c r="JN89" s="898">
        <f ca="1">IFERROR(ROUND(HLOOKUP(JN$7,Rezultatai!$H$40:$DC$117,78,FALSE),0),"")</f>
        <v>16878897</v>
      </c>
      <c r="JO89" s="899"/>
      <c r="JP89" s="899"/>
      <c r="JQ89" s="900"/>
      <c r="JR89" s="898">
        <f ca="1">IFERROR(ROUND(HLOOKUP(JR$7,Rezultatai!$H$40:$DC$117,78,FALSE),0),"")</f>
        <v>17385264</v>
      </c>
      <c r="JS89" s="899"/>
      <c r="JT89" s="899"/>
      <c r="JU89" s="900"/>
      <c r="JV89" s="898">
        <f ca="1">IFERROR(ROUND(HLOOKUP(JV$7,Rezultatai!$H$40:$DC$117,78,FALSE),0),"")</f>
        <v>17906822</v>
      </c>
      <c r="JW89" s="899"/>
      <c r="JX89" s="899"/>
      <c r="JY89" s="900"/>
      <c r="JZ89" s="898">
        <f ca="1">IFERROR(ROUND(HLOOKUP(JZ$7,Rezultatai!$H$40:$DC$117,78,FALSE),0),"")</f>
        <v>18444026</v>
      </c>
      <c r="KA89" s="899"/>
      <c r="KB89" s="899"/>
      <c r="KC89" s="900"/>
      <c r="KD89" s="898">
        <f ca="1">IFERROR(ROUND(HLOOKUP(KD$7,Rezultatai!$H$40:$DC$117,78,FALSE),0),"")</f>
        <v>18997347</v>
      </c>
      <c r="KE89" s="899"/>
      <c r="KF89" s="899"/>
      <c r="KG89" s="900"/>
      <c r="KH89" s="898">
        <f ca="1">IFERROR(ROUND(HLOOKUP(KH$7,Rezultatai!$H$40:$DC$117,78,FALSE),0),"")</f>
        <v>19567267</v>
      </c>
      <c r="KI89" s="899"/>
      <c r="KJ89" s="899"/>
      <c r="KK89" s="900"/>
      <c r="KL89" s="898">
        <f ca="1">IFERROR(ROUND(HLOOKUP(KL$7,Rezultatai!$H$40:$DC$117,78,FALSE),0),"")</f>
        <v>20154286</v>
      </c>
      <c r="KM89" s="899"/>
      <c r="KN89" s="899"/>
      <c r="KO89" s="900"/>
      <c r="KP89" s="898">
        <f ca="1">IFERROR(ROUND(HLOOKUP(KP$7,Rezultatai!$H$40:$DC$117,78,FALSE),0),"")</f>
        <v>20758914</v>
      </c>
      <c r="KQ89" s="899"/>
      <c r="KR89" s="899"/>
      <c r="KS89" s="900"/>
      <c r="KT89" s="898">
        <f ca="1">IFERROR(ROUND(HLOOKUP(KT$7,Rezultatai!$H$40:$DC$117,78,FALSE),0),"")</f>
        <v>21381681</v>
      </c>
      <c r="KU89" s="899"/>
      <c r="KV89" s="899"/>
      <c r="KW89" s="900"/>
      <c r="KX89" s="898">
        <f ca="1">IFERROR(ROUND(HLOOKUP(KX$7,Rezultatai!$H$40:$DC$117,78,FALSE),0),"")</f>
        <v>22023132</v>
      </c>
      <c r="KY89" s="899"/>
      <c r="KZ89" s="899"/>
      <c r="LA89" s="900"/>
      <c r="LB89" s="898">
        <f ca="1">IFERROR(ROUND(HLOOKUP(LB$7,Rezultatai!$H$40:$DC$117,78,FALSE),0),"")</f>
        <v>22683826</v>
      </c>
      <c r="LC89" s="899"/>
      <c r="LD89" s="899"/>
      <c r="LE89" s="900"/>
      <c r="LF89" s="898">
        <f ca="1">IFERROR(ROUND(HLOOKUP(LF$7,Rezultatai!$H$40:$DC$117,78,FALSE),0),"")</f>
        <v>23364341</v>
      </c>
      <c r="LG89" s="899"/>
      <c r="LH89" s="899"/>
      <c r="LI89" s="900"/>
      <c r="LJ89" s="898">
        <f ca="1">IFERROR(ROUND(HLOOKUP(LJ$7,Rezultatai!$H$40:$DC$117,78,FALSE),0),"")</f>
        <v>24065271</v>
      </c>
      <c r="LK89" s="899"/>
      <c r="LL89" s="899"/>
      <c r="LM89" s="900"/>
    </row>
    <row r="90" spans="1:325">
      <c r="A90" s="310"/>
      <c r="B90" s="309" t="s">
        <v>443</v>
      </c>
      <c r="C90" s="349" t="s">
        <v>564</v>
      </c>
      <c r="D90" s="356">
        <f ca="1">SUMIF($F$6:$LM$6,"&lt;="&amp;PAL,$F90:$LM90)</f>
        <v>1017025</v>
      </c>
      <c r="E90" s="329"/>
      <c r="F90" s="898" t="str">
        <f ca="1">IFERROR(ROUND(HLOOKUP(F$7,Rezultatai!$H$40:$DC$117,77,FALSE),0),"")</f>
        <v/>
      </c>
      <c r="G90" s="899"/>
      <c r="H90" s="899"/>
      <c r="I90" s="900"/>
      <c r="J90" s="898">
        <f ca="1">IFERROR(ROUND(HLOOKUP(J$7,Rezultatai!$H$40:$DC$117,77,FALSE),0),"")</f>
        <v>0</v>
      </c>
      <c r="K90" s="899"/>
      <c r="L90" s="899"/>
      <c r="M90" s="900"/>
      <c r="N90" s="898">
        <f ca="1">IFERROR(ROUND(HLOOKUP(N$7,Rezultatai!$H$40:$DC$117,77,FALSE),0),"")</f>
        <v>0</v>
      </c>
      <c r="O90" s="899"/>
      <c r="P90" s="899"/>
      <c r="Q90" s="900"/>
      <c r="R90" s="898">
        <f ca="1">IFERROR(ROUND(HLOOKUP(R$7,Rezultatai!$H$40:$DC$117,77,FALSE),0),"")</f>
        <v>0</v>
      </c>
      <c r="S90" s="899"/>
      <c r="T90" s="899"/>
      <c r="U90" s="900"/>
      <c r="V90" s="898">
        <f ca="1">IFERROR(ROUND(HLOOKUP(V$7,Rezultatai!$H$40:$DC$117,77,FALSE),0),"")</f>
        <v>0</v>
      </c>
      <c r="W90" s="899"/>
      <c r="X90" s="899"/>
      <c r="Y90" s="900"/>
      <c r="Z90" s="898">
        <f ca="1">IFERROR(ROUND(HLOOKUP(Z$7,Rezultatai!$H$40:$DC$117,77,FALSE),0),"")</f>
        <v>0</v>
      </c>
      <c r="AA90" s="899"/>
      <c r="AB90" s="899"/>
      <c r="AC90" s="900"/>
      <c r="AD90" s="898">
        <f ca="1">IFERROR(ROUND(HLOOKUP(AD$7,Rezultatai!$H$40:$DC$117,77,FALSE),0),"")</f>
        <v>0</v>
      </c>
      <c r="AE90" s="899"/>
      <c r="AF90" s="899"/>
      <c r="AG90" s="900"/>
      <c r="AH90" s="898">
        <f ca="1">IFERROR(ROUND(HLOOKUP(AH$7,Rezultatai!$H$40:$DC$117,77,FALSE),0),"")</f>
        <v>0</v>
      </c>
      <c r="AI90" s="899"/>
      <c r="AJ90" s="899"/>
      <c r="AK90" s="900"/>
      <c r="AL90" s="898">
        <f ca="1">IFERROR(ROUND(HLOOKUP(AL$7,Rezultatai!$H$40:$DC$117,77,FALSE),0),"")</f>
        <v>0</v>
      </c>
      <c r="AM90" s="899"/>
      <c r="AN90" s="899"/>
      <c r="AO90" s="900"/>
      <c r="AP90" s="898">
        <f ca="1">IFERROR(ROUND(HLOOKUP(AP$7,Rezultatai!$H$40:$DC$117,77,FALSE),0),"")</f>
        <v>0</v>
      </c>
      <c r="AQ90" s="899"/>
      <c r="AR90" s="899"/>
      <c r="AS90" s="900"/>
      <c r="AT90" s="898">
        <f ca="1">IFERROR(ROUND(HLOOKUP(AT$7,Rezultatai!$H$40:$DC$117,77,FALSE),0),"")</f>
        <v>161270</v>
      </c>
      <c r="AU90" s="899"/>
      <c r="AV90" s="899"/>
      <c r="AW90" s="900"/>
      <c r="AX90" s="898">
        <f ca="1">IFERROR(ROUND(HLOOKUP(AX$7,Rezultatai!$H$40:$DC$117,77,FALSE),0),"")</f>
        <v>332216</v>
      </c>
      <c r="AY90" s="899"/>
      <c r="AZ90" s="899"/>
      <c r="BA90" s="900"/>
      <c r="BB90" s="898">
        <f ca="1">IFERROR(ROUND(HLOOKUP(BB$7,Rezultatai!$H$40:$DC$117,77,FALSE),0),"")</f>
        <v>171091</v>
      </c>
      <c r="BC90" s="899"/>
      <c r="BD90" s="899"/>
      <c r="BE90" s="900"/>
      <c r="BF90" s="898">
        <f ca="1">IFERROR(ROUND(HLOOKUP(BF$7,Rezultatai!$H$40:$DC$117,77,FALSE),0),"")</f>
        <v>352448</v>
      </c>
      <c r="BG90" s="899"/>
      <c r="BH90" s="899"/>
      <c r="BI90" s="900"/>
      <c r="BJ90" s="898">
        <f ca="1">IFERROR(ROUND(HLOOKUP(BJ$7,Rezultatai!$H$40:$DC$117,77,FALSE),0),"")</f>
        <v>0</v>
      </c>
      <c r="BK90" s="899"/>
      <c r="BL90" s="899"/>
      <c r="BM90" s="900"/>
      <c r="BN90" s="898">
        <f ca="1">IFERROR(ROUND(HLOOKUP(BN$7,Rezultatai!$H$40:$DC$117,77,FALSE),0),"")</f>
        <v>0</v>
      </c>
      <c r="BO90" s="899"/>
      <c r="BP90" s="899"/>
      <c r="BQ90" s="900"/>
      <c r="BR90" s="898">
        <f ca="1">IFERROR(ROUND(HLOOKUP(BR$7,Rezultatai!$H$40:$DC$117,77,FALSE),0),"")</f>
        <v>0</v>
      </c>
      <c r="BS90" s="899"/>
      <c r="BT90" s="899"/>
      <c r="BU90" s="900"/>
      <c r="BV90" s="898">
        <f ca="1">IFERROR(ROUND(HLOOKUP(BV$7,Rezultatai!$H$40:$DC$117,77,FALSE),0),"")</f>
        <v>0</v>
      </c>
      <c r="BW90" s="899"/>
      <c r="BX90" s="899"/>
      <c r="BY90" s="900"/>
      <c r="BZ90" s="898">
        <f ca="1">IFERROR(ROUND(HLOOKUP(BZ$7,Rezultatai!$H$40:$DC$117,77,FALSE),0),"")</f>
        <v>0</v>
      </c>
      <c r="CA90" s="899"/>
      <c r="CB90" s="899"/>
      <c r="CC90" s="900"/>
      <c r="CD90" s="898">
        <f ca="1">IFERROR(ROUND(HLOOKUP(CD$7,Rezultatai!$H$40:$DC$117,77,FALSE),0),"")</f>
        <v>0</v>
      </c>
      <c r="CE90" s="899"/>
      <c r="CF90" s="899"/>
      <c r="CG90" s="900"/>
      <c r="CH90" s="898">
        <f ca="1">IFERROR(ROUND(HLOOKUP(CH$7,Rezultatai!$H$40:$DC$117,77,FALSE),0),"")</f>
        <v>0</v>
      </c>
      <c r="CI90" s="899"/>
      <c r="CJ90" s="899"/>
      <c r="CK90" s="900"/>
      <c r="CL90" s="898">
        <f ca="1">IFERROR(ROUND(HLOOKUP(CL$7,Rezultatai!$H$40:$DC$117,77,FALSE),0),"")</f>
        <v>0</v>
      </c>
      <c r="CM90" s="899"/>
      <c r="CN90" s="899"/>
      <c r="CO90" s="900"/>
      <c r="CP90" s="898">
        <f ca="1">IFERROR(ROUND(HLOOKUP(CP$7,Rezultatai!$H$40:$DC$117,77,FALSE),0),"")</f>
        <v>0</v>
      </c>
      <c r="CQ90" s="899"/>
      <c r="CR90" s="899"/>
      <c r="CS90" s="900"/>
      <c r="CT90" s="898">
        <f ca="1">IFERROR(ROUND(HLOOKUP(CT$7,Rezultatai!$H$40:$DC$117,77,FALSE),0),"")</f>
        <v>0</v>
      </c>
      <c r="CU90" s="899"/>
      <c r="CV90" s="899"/>
      <c r="CW90" s="900"/>
      <c r="CX90" s="898">
        <f ca="1">IFERROR(ROUND(HLOOKUP(CX$7,Rezultatai!$H$40:$DC$117,77,FALSE),0),"")</f>
        <v>0</v>
      </c>
      <c r="CY90" s="899"/>
      <c r="CZ90" s="899"/>
      <c r="DA90" s="900"/>
      <c r="DB90" s="898">
        <f ca="1">IFERROR(ROUND(HLOOKUP(DB$7,Rezultatai!$H$40:$DC$117,77,FALSE),0),"")</f>
        <v>0</v>
      </c>
      <c r="DC90" s="899"/>
      <c r="DD90" s="899"/>
      <c r="DE90" s="900"/>
      <c r="DF90" s="898">
        <f ca="1">IFERROR(ROUND(HLOOKUP(DF$7,Rezultatai!$H$40:$DC$117,77,FALSE),0),"")</f>
        <v>0</v>
      </c>
      <c r="DG90" s="899"/>
      <c r="DH90" s="899"/>
      <c r="DI90" s="900"/>
      <c r="DJ90" s="898">
        <f ca="1">IFERROR(ROUND(HLOOKUP(DJ$7,Rezultatai!$H$40:$DC$117,77,FALSE),0),"")</f>
        <v>0</v>
      </c>
      <c r="DK90" s="899"/>
      <c r="DL90" s="899"/>
      <c r="DM90" s="900"/>
      <c r="DN90" s="898">
        <f ca="1">IFERROR(ROUND(HLOOKUP(DN$7,Rezultatai!$H$40:$DC$117,77,FALSE),0),"")</f>
        <v>0</v>
      </c>
      <c r="DO90" s="899"/>
      <c r="DP90" s="899"/>
      <c r="DQ90" s="900"/>
      <c r="DR90" s="898">
        <f ca="1">IFERROR(ROUND(HLOOKUP(DR$7,Rezultatai!$H$40:$DC$117,77,FALSE),0),"")</f>
        <v>0</v>
      </c>
      <c r="DS90" s="899"/>
      <c r="DT90" s="899"/>
      <c r="DU90" s="900"/>
      <c r="DV90" s="898">
        <f ca="1">IFERROR(ROUND(HLOOKUP(DV$7,Rezultatai!$H$40:$DC$117,77,FALSE),0),"")</f>
        <v>0</v>
      </c>
      <c r="DW90" s="899"/>
      <c r="DX90" s="899"/>
      <c r="DY90" s="900"/>
      <c r="DZ90" s="898">
        <f ca="1">IFERROR(ROUND(HLOOKUP(DZ$7,Rezultatai!$H$40:$DC$117,77,FALSE),0),"")</f>
        <v>0</v>
      </c>
      <c r="EA90" s="899"/>
      <c r="EB90" s="899"/>
      <c r="EC90" s="900"/>
      <c r="ED90" s="898">
        <f ca="1">IFERROR(ROUND(HLOOKUP(ED$7,Rezultatai!$H$40:$DC$117,77,FALSE),0),"")</f>
        <v>0</v>
      </c>
      <c r="EE90" s="899"/>
      <c r="EF90" s="899"/>
      <c r="EG90" s="900"/>
      <c r="EH90" s="898">
        <f ca="1">IFERROR(ROUND(HLOOKUP(EH$7,Rezultatai!$H$40:$DC$117,77,FALSE),0),"")</f>
        <v>0</v>
      </c>
      <c r="EI90" s="899"/>
      <c r="EJ90" s="899"/>
      <c r="EK90" s="900"/>
      <c r="EL90" s="898">
        <f ca="1">IFERROR(ROUND(HLOOKUP(EL$7,Rezultatai!$H$40:$DC$117,77,FALSE),0),"")</f>
        <v>0</v>
      </c>
      <c r="EM90" s="899"/>
      <c r="EN90" s="899"/>
      <c r="EO90" s="900"/>
      <c r="EP90" s="898">
        <f ca="1">IFERROR(ROUND(HLOOKUP(EP$7,Rezultatai!$H$40:$DC$117,77,FALSE),0),"")</f>
        <v>0</v>
      </c>
      <c r="EQ90" s="899"/>
      <c r="ER90" s="899"/>
      <c r="ES90" s="900"/>
      <c r="ET90" s="898">
        <f ca="1">IFERROR(ROUND(HLOOKUP(ET$7,Rezultatai!$H$40:$DC$117,77,FALSE),0),"")</f>
        <v>0</v>
      </c>
      <c r="EU90" s="899"/>
      <c r="EV90" s="899"/>
      <c r="EW90" s="900"/>
      <c r="EX90" s="898">
        <f ca="1">IFERROR(ROUND(HLOOKUP(EX$7,Rezultatai!$H$40:$DC$117,77,FALSE),0),"")</f>
        <v>0</v>
      </c>
      <c r="EY90" s="899"/>
      <c r="EZ90" s="899"/>
      <c r="FA90" s="900"/>
      <c r="FB90" s="898">
        <f ca="1">IFERROR(ROUND(HLOOKUP(FB$7,Rezultatai!$H$40:$DC$117,77,FALSE),0),"")</f>
        <v>0</v>
      </c>
      <c r="FC90" s="899"/>
      <c r="FD90" s="899"/>
      <c r="FE90" s="900"/>
      <c r="FF90" s="898">
        <f ca="1">IFERROR(ROUND(HLOOKUP(FF$7,Rezultatai!$H$40:$DC$117,77,FALSE),0),"")</f>
        <v>0</v>
      </c>
      <c r="FG90" s="899"/>
      <c r="FH90" s="899"/>
      <c r="FI90" s="900"/>
      <c r="FJ90" s="898">
        <f ca="1">IFERROR(ROUND(HLOOKUP(FJ$7,Rezultatai!$H$40:$DC$117,77,FALSE),0),"")</f>
        <v>0</v>
      </c>
      <c r="FK90" s="899"/>
      <c r="FL90" s="899"/>
      <c r="FM90" s="900"/>
      <c r="FN90" s="898">
        <f ca="1">IFERROR(ROUND(HLOOKUP(FN$7,Rezultatai!$H$40:$DC$117,77,FALSE),0),"")</f>
        <v>0</v>
      </c>
      <c r="FO90" s="899"/>
      <c r="FP90" s="899"/>
      <c r="FQ90" s="900"/>
      <c r="FR90" s="898">
        <f ca="1">IFERROR(ROUND(HLOOKUP(FR$7,Rezultatai!$H$40:$DC$117,77,FALSE),0),"")</f>
        <v>0</v>
      </c>
      <c r="FS90" s="899"/>
      <c r="FT90" s="899"/>
      <c r="FU90" s="900"/>
      <c r="FV90" s="898">
        <f ca="1">IFERROR(ROUND(HLOOKUP(FV$7,Rezultatai!$H$40:$DC$117,77,FALSE),0),"")</f>
        <v>0</v>
      </c>
      <c r="FW90" s="899"/>
      <c r="FX90" s="899"/>
      <c r="FY90" s="900"/>
      <c r="FZ90" s="898">
        <f ca="1">IFERROR(ROUND(HLOOKUP(FZ$7,Rezultatai!$H$40:$DC$117,77,FALSE),0),"")</f>
        <v>0</v>
      </c>
      <c r="GA90" s="899"/>
      <c r="GB90" s="899"/>
      <c r="GC90" s="900"/>
      <c r="GD90" s="898">
        <f ca="1">IFERROR(ROUND(HLOOKUP(GD$7,Rezultatai!$H$40:$DC$117,77,FALSE),0),"")</f>
        <v>0</v>
      </c>
      <c r="GE90" s="899"/>
      <c r="GF90" s="899"/>
      <c r="GG90" s="900"/>
      <c r="GH90" s="898">
        <f ca="1">IFERROR(ROUND(HLOOKUP(GH$7,Rezultatai!$H$40:$DC$117,77,FALSE),0),"")</f>
        <v>0</v>
      </c>
      <c r="GI90" s="899"/>
      <c r="GJ90" s="899"/>
      <c r="GK90" s="900"/>
      <c r="GL90" s="898">
        <f ca="1">IFERROR(ROUND(HLOOKUP(GL$7,Rezultatai!$H$40:$DC$117,77,FALSE),0),"")</f>
        <v>0</v>
      </c>
      <c r="GM90" s="899"/>
      <c r="GN90" s="899"/>
      <c r="GO90" s="900"/>
      <c r="GP90" s="898">
        <f ca="1">IFERROR(ROUND(HLOOKUP(GP$7,Rezultatai!$H$40:$DC$117,77,FALSE),0),"")</f>
        <v>0</v>
      </c>
      <c r="GQ90" s="899"/>
      <c r="GR90" s="899"/>
      <c r="GS90" s="900"/>
      <c r="GT90" s="898">
        <f ca="1">IFERROR(ROUND(HLOOKUP(GT$7,Rezultatai!$H$40:$DC$117,77,FALSE),0),"")</f>
        <v>0</v>
      </c>
      <c r="GU90" s="899"/>
      <c r="GV90" s="899"/>
      <c r="GW90" s="900"/>
      <c r="GX90" s="898">
        <f ca="1">IFERROR(ROUND(HLOOKUP(GX$7,Rezultatai!$H$40:$DC$117,77,FALSE),0),"")</f>
        <v>0</v>
      </c>
      <c r="GY90" s="899"/>
      <c r="GZ90" s="899"/>
      <c r="HA90" s="900"/>
      <c r="HB90" s="898">
        <f ca="1">IFERROR(ROUND(HLOOKUP(HB$7,Rezultatai!$H$40:$DC$117,77,FALSE),0),"")</f>
        <v>0</v>
      </c>
      <c r="HC90" s="899"/>
      <c r="HD90" s="899"/>
      <c r="HE90" s="900"/>
      <c r="HF90" s="898">
        <f ca="1">IFERROR(ROUND(HLOOKUP(HF$7,Rezultatai!$H$40:$DC$117,77,FALSE),0),"")</f>
        <v>0</v>
      </c>
      <c r="HG90" s="899"/>
      <c r="HH90" s="899"/>
      <c r="HI90" s="900"/>
      <c r="HJ90" s="898">
        <f ca="1">IFERROR(ROUND(HLOOKUP(HJ$7,Rezultatai!$H$40:$DC$117,77,FALSE),0),"")</f>
        <v>0</v>
      </c>
      <c r="HK90" s="899"/>
      <c r="HL90" s="899"/>
      <c r="HM90" s="900"/>
      <c r="HN90" s="898">
        <f ca="1">IFERROR(ROUND(HLOOKUP(HN$7,Rezultatai!$H$40:$DC$117,77,FALSE),0),"")</f>
        <v>0</v>
      </c>
      <c r="HO90" s="899"/>
      <c r="HP90" s="899"/>
      <c r="HQ90" s="900"/>
      <c r="HR90" s="898">
        <f ca="1">IFERROR(ROUND(HLOOKUP(HR$7,Rezultatai!$H$40:$DC$117,77,FALSE),0),"")</f>
        <v>0</v>
      </c>
      <c r="HS90" s="899"/>
      <c r="HT90" s="899"/>
      <c r="HU90" s="900"/>
      <c r="HV90" s="898">
        <f ca="1">IFERROR(ROUND(HLOOKUP(HV$7,Rezultatai!$H$40:$DC$117,77,FALSE),0),"")</f>
        <v>0</v>
      </c>
      <c r="HW90" s="899"/>
      <c r="HX90" s="899"/>
      <c r="HY90" s="900"/>
      <c r="HZ90" s="898">
        <f ca="1">IFERROR(ROUND(HLOOKUP(HZ$7,Rezultatai!$H$40:$DC$117,77,FALSE),0),"")</f>
        <v>0</v>
      </c>
      <c r="IA90" s="899"/>
      <c r="IB90" s="899"/>
      <c r="IC90" s="900"/>
      <c r="ID90" s="898">
        <f ca="1">IFERROR(ROUND(HLOOKUP(ID$7,Rezultatai!$H$40:$DC$117,77,FALSE),0),"")</f>
        <v>0</v>
      </c>
      <c r="IE90" s="899"/>
      <c r="IF90" s="899"/>
      <c r="IG90" s="900"/>
      <c r="IH90" s="898">
        <f ca="1">IFERROR(ROUND(HLOOKUP(IH$7,Rezultatai!$H$40:$DC$117,77,FALSE),0),"")</f>
        <v>0</v>
      </c>
      <c r="II90" s="899"/>
      <c r="IJ90" s="899"/>
      <c r="IK90" s="900"/>
      <c r="IL90" s="898">
        <f ca="1">IFERROR(ROUND(HLOOKUP(IL$7,Rezultatai!$H$40:$DC$117,77,FALSE),0),"")</f>
        <v>0</v>
      </c>
      <c r="IM90" s="899"/>
      <c r="IN90" s="899"/>
      <c r="IO90" s="900"/>
      <c r="IP90" s="898">
        <f ca="1">IFERROR(ROUND(HLOOKUP(IP$7,Rezultatai!$H$40:$DC$117,77,FALSE),0),"")</f>
        <v>0</v>
      </c>
      <c r="IQ90" s="899"/>
      <c r="IR90" s="899"/>
      <c r="IS90" s="900"/>
      <c r="IT90" s="898">
        <f ca="1">IFERROR(ROUND(HLOOKUP(IT$7,Rezultatai!$H$40:$DC$117,77,FALSE),0),"")</f>
        <v>0</v>
      </c>
      <c r="IU90" s="899"/>
      <c r="IV90" s="899"/>
      <c r="IW90" s="900"/>
      <c r="IX90" s="898">
        <f ca="1">IFERROR(ROUND(HLOOKUP(IX$7,Rezultatai!$H$40:$DC$117,77,FALSE),0),"")</f>
        <v>0</v>
      </c>
      <c r="IY90" s="899"/>
      <c r="IZ90" s="899"/>
      <c r="JA90" s="900"/>
      <c r="JB90" s="898">
        <f ca="1">IFERROR(ROUND(HLOOKUP(JB$7,Rezultatai!$H$40:$DC$117,77,FALSE),0),"")</f>
        <v>0</v>
      </c>
      <c r="JC90" s="899"/>
      <c r="JD90" s="899"/>
      <c r="JE90" s="900"/>
      <c r="JF90" s="898">
        <f ca="1">IFERROR(ROUND(HLOOKUP(JF$7,Rezultatai!$H$40:$DC$117,77,FALSE),0),"")</f>
        <v>0</v>
      </c>
      <c r="JG90" s="899"/>
      <c r="JH90" s="899"/>
      <c r="JI90" s="900"/>
      <c r="JJ90" s="898">
        <f ca="1">IFERROR(ROUND(HLOOKUP(JJ$7,Rezultatai!$H$40:$DC$117,77,FALSE),0),"")</f>
        <v>0</v>
      </c>
      <c r="JK90" s="899"/>
      <c r="JL90" s="899"/>
      <c r="JM90" s="900"/>
      <c r="JN90" s="898">
        <f ca="1">IFERROR(ROUND(HLOOKUP(JN$7,Rezultatai!$H$40:$DC$117,77,FALSE),0),"")</f>
        <v>0</v>
      </c>
      <c r="JO90" s="899"/>
      <c r="JP90" s="899"/>
      <c r="JQ90" s="900"/>
      <c r="JR90" s="898">
        <f ca="1">IFERROR(ROUND(HLOOKUP(JR$7,Rezultatai!$H$40:$DC$117,77,FALSE),0),"")</f>
        <v>0</v>
      </c>
      <c r="JS90" s="899"/>
      <c r="JT90" s="899"/>
      <c r="JU90" s="900"/>
      <c r="JV90" s="898">
        <f ca="1">IFERROR(ROUND(HLOOKUP(JV$7,Rezultatai!$H$40:$DC$117,77,FALSE),0),"")</f>
        <v>0</v>
      </c>
      <c r="JW90" s="899"/>
      <c r="JX90" s="899"/>
      <c r="JY90" s="900"/>
      <c r="JZ90" s="898">
        <f ca="1">IFERROR(ROUND(HLOOKUP(JZ$7,Rezultatai!$H$40:$DC$117,77,FALSE),0),"")</f>
        <v>0</v>
      </c>
      <c r="KA90" s="899"/>
      <c r="KB90" s="899"/>
      <c r="KC90" s="900"/>
      <c r="KD90" s="898">
        <f ca="1">IFERROR(ROUND(HLOOKUP(KD$7,Rezultatai!$H$40:$DC$117,77,FALSE),0),"")</f>
        <v>0</v>
      </c>
      <c r="KE90" s="899"/>
      <c r="KF90" s="899"/>
      <c r="KG90" s="900"/>
      <c r="KH90" s="898">
        <f ca="1">IFERROR(ROUND(HLOOKUP(KH$7,Rezultatai!$H$40:$DC$117,77,FALSE),0),"")</f>
        <v>0</v>
      </c>
      <c r="KI90" s="899"/>
      <c r="KJ90" s="899"/>
      <c r="KK90" s="900"/>
      <c r="KL90" s="898">
        <f ca="1">IFERROR(ROUND(HLOOKUP(KL$7,Rezultatai!$H$40:$DC$117,77,FALSE),0),"")</f>
        <v>0</v>
      </c>
      <c r="KM90" s="899"/>
      <c r="KN90" s="899"/>
      <c r="KO90" s="900"/>
      <c r="KP90" s="898">
        <f ca="1">IFERROR(ROUND(HLOOKUP(KP$7,Rezultatai!$H$40:$DC$117,77,FALSE),0),"")</f>
        <v>0</v>
      </c>
      <c r="KQ90" s="899"/>
      <c r="KR90" s="899"/>
      <c r="KS90" s="900"/>
      <c r="KT90" s="898">
        <f ca="1">IFERROR(ROUND(HLOOKUP(KT$7,Rezultatai!$H$40:$DC$117,77,FALSE),0),"")</f>
        <v>0</v>
      </c>
      <c r="KU90" s="899"/>
      <c r="KV90" s="899"/>
      <c r="KW90" s="900"/>
      <c r="KX90" s="898">
        <f ca="1">IFERROR(ROUND(HLOOKUP(KX$7,Rezultatai!$H$40:$DC$117,77,FALSE),0),"")</f>
        <v>0</v>
      </c>
      <c r="KY90" s="899"/>
      <c r="KZ90" s="899"/>
      <c r="LA90" s="900"/>
      <c r="LB90" s="898">
        <f ca="1">IFERROR(ROUND(HLOOKUP(LB$7,Rezultatai!$H$40:$DC$117,77,FALSE),0),"")</f>
        <v>0</v>
      </c>
      <c r="LC90" s="899"/>
      <c r="LD90" s="899"/>
      <c r="LE90" s="900"/>
      <c r="LF90" s="898">
        <f ca="1">IFERROR(ROUND(HLOOKUP(LF$7,Rezultatai!$H$40:$DC$117,77,FALSE),0),"")</f>
        <v>0</v>
      </c>
      <c r="LG90" s="899"/>
      <c r="LH90" s="899"/>
      <c r="LI90" s="900"/>
      <c r="LJ90" s="898">
        <f ca="1">IFERROR(ROUND(HLOOKUP(LJ$7,Rezultatai!$H$40:$DC$117,77,FALSE),0),"")</f>
        <v>0</v>
      </c>
      <c r="LK90" s="899"/>
      <c r="LL90" s="899"/>
      <c r="LM90" s="900"/>
    </row>
    <row r="91" spans="1:325">
      <c r="A91" s="310"/>
      <c r="B91" s="354" t="s">
        <v>520</v>
      </c>
      <c r="C91" s="355" t="s">
        <v>585</v>
      </c>
      <c r="D91" s="359">
        <f ca="1">SUM(D92:D93)</f>
        <v>263616680</v>
      </c>
      <c r="E91" s="335"/>
      <c r="F91" s="873">
        <f>SUM(F92:I93)</f>
        <v>0</v>
      </c>
      <c r="G91" s="874"/>
      <c r="H91" s="874"/>
      <c r="I91" s="875"/>
      <c r="J91" s="873">
        <f ca="1">SUM(J92:M93)</f>
        <v>1558390</v>
      </c>
      <c r="K91" s="874"/>
      <c r="L91" s="874"/>
      <c r="M91" s="875"/>
      <c r="N91" s="873">
        <f ca="1">SUM(N92:Q93)</f>
        <v>4465995</v>
      </c>
      <c r="O91" s="874"/>
      <c r="P91" s="874"/>
      <c r="Q91" s="875"/>
      <c r="R91" s="873">
        <f ca="1">SUM(R92:U93)</f>
        <v>7179644</v>
      </c>
      <c r="S91" s="874"/>
      <c r="T91" s="874"/>
      <c r="U91" s="875"/>
      <c r="V91" s="873">
        <f ca="1">SUM(V92:Y93)</f>
        <v>11456014</v>
      </c>
      <c r="W91" s="874"/>
      <c r="X91" s="874"/>
      <c r="Y91" s="875"/>
      <c r="Z91" s="873">
        <f ca="1">SUM(Z92:AC93)</f>
        <v>11799695</v>
      </c>
      <c r="AA91" s="874"/>
      <c r="AB91" s="874"/>
      <c r="AC91" s="875"/>
      <c r="AD91" s="873">
        <f ca="1">SUM(AD92:AG93)</f>
        <v>12153686</v>
      </c>
      <c r="AE91" s="874"/>
      <c r="AF91" s="874"/>
      <c r="AG91" s="875"/>
      <c r="AH91" s="873">
        <f ca="1">SUM(AH92:AK93)</f>
        <v>12523831</v>
      </c>
      <c r="AI91" s="874"/>
      <c r="AJ91" s="874"/>
      <c r="AK91" s="875"/>
      <c r="AL91" s="873">
        <f ca="1">SUM(AL92:AO93)</f>
        <v>12899546</v>
      </c>
      <c r="AM91" s="874"/>
      <c r="AN91" s="874"/>
      <c r="AO91" s="875"/>
      <c r="AP91" s="873">
        <f ca="1">SUM(AP92:AS93)</f>
        <v>13286532</v>
      </c>
      <c r="AQ91" s="874"/>
      <c r="AR91" s="874"/>
      <c r="AS91" s="875"/>
      <c r="AT91" s="873">
        <f ca="1">SUM(AT92:AW93)</f>
        <v>13846398</v>
      </c>
      <c r="AU91" s="874"/>
      <c r="AV91" s="874"/>
      <c r="AW91" s="875"/>
      <c r="AX91" s="873">
        <f ca="1">SUM(AX92:BA93)</f>
        <v>14427898</v>
      </c>
      <c r="AY91" s="874"/>
      <c r="AZ91" s="874"/>
      <c r="BA91" s="875"/>
      <c r="BB91" s="873">
        <f ca="1">SUM(BB92:BE93)</f>
        <v>14689643</v>
      </c>
      <c r="BC91" s="874"/>
      <c r="BD91" s="874"/>
      <c r="BE91" s="875"/>
      <c r="BF91" s="873">
        <f ca="1">SUM(BF92:BI93)</f>
        <v>15306557</v>
      </c>
      <c r="BG91" s="874"/>
      <c r="BH91" s="874"/>
      <c r="BI91" s="875"/>
      <c r="BJ91" s="873">
        <f ca="1">SUM(BJ92:BM93)</f>
        <v>15402732</v>
      </c>
      <c r="BK91" s="874"/>
      <c r="BL91" s="874"/>
      <c r="BM91" s="875"/>
      <c r="BN91" s="873">
        <f ca="1">SUM(BN92:BQ93)</f>
        <v>15864814</v>
      </c>
      <c r="BO91" s="874"/>
      <c r="BP91" s="874"/>
      <c r="BQ91" s="875"/>
      <c r="BR91" s="873">
        <f ca="1">SUM(BR92:BU93)</f>
        <v>16340758</v>
      </c>
      <c r="BS91" s="874"/>
      <c r="BT91" s="874"/>
      <c r="BU91" s="875"/>
      <c r="BV91" s="873">
        <f ca="1">SUM(BV92:BY93)</f>
        <v>16830981</v>
      </c>
      <c r="BW91" s="874"/>
      <c r="BX91" s="874"/>
      <c r="BY91" s="875"/>
      <c r="BZ91" s="873">
        <f ca="1">SUM(BZ92:CC93)</f>
        <v>17335911</v>
      </c>
      <c r="CA91" s="874"/>
      <c r="CB91" s="874"/>
      <c r="CC91" s="875"/>
      <c r="CD91" s="873">
        <f ca="1">SUM(CD92:CG93)</f>
        <v>17855988</v>
      </c>
      <c r="CE91" s="874"/>
      <c r="CF91" s="874"/>
      <c r="CG91" s="875"/>
      <c r="CH91" s="873">
        <f ca="1">SUM(CH92:CK93)</f>
        <v>18391667</v>
      </c>
      <c r="CI91" s="874"/>
      <c r="CJ91" s="874"/>
      <c r="CK91" s="875"/>
      <c r="CL91" s="873">
        <f ca="1">SUM(CL92:CO93)</f>
        <v>4333429</v>
      </c>
      <c r="CM91" s="874"/>
      <c r="CN91" s="874"/>
      <c r="CO91" s="875"/>
      <c r="CP91" s="873">
        <f ca="1">SUM(CP92:CS93)</f>
        <v>4463432</v>
      </c>
      <c r="CQ91" s="874"/>
      <c r="CR91" s="874"/>
      <c r="CS91" s="875"/>
      <c r="CT91" s="873">
        <f ca="1">SUM(CT92:CW93)</f>
        <v>4597335</v>
      </c>
      <c r="CU91" s="874"/>
      <c r="CV91" s="874"/>
      <c r="CW91" s="875"/>
      <c r="CX91" s="873">
        <f>SUM(CX92:DA93)</f>
        <v>0</v>
      </c>
      <c r="CY91" s="874"/>
      <c r="CZ91" s="874"/>
      <c r="DA91" s="875"/>
      <c r="DB91" s="873">
        <f>SUM(DB92:DE93)</f>
        <v>0</v>
      </c>
      <c r="DC91" s="874"/>
      <c r="DD91" s="874"/>
      <c r="DE91" s="875"/>
      <c r="DF91" s="873">
        <f>SUM(DF92:DI93)</f>
        <v>0</v>
      </c>
      <c r="DG91" s="874"/>
      <c r="DH91" s="874"/>
      <c r="DI91" s="875"/>
      <c r="DJ91" s="873">
        <f>SUM(DJ92:DM93)</f>
        <v>0</v>
      </c>
      <c r="DK91" s="874"/>
      <c r="DL91" s="874"/>
      <c r="DM91" s="875"/>
      <c r="DN91" s="873">
        <f>SUM(DN92:DQ93)</f>
        <v>0</v>
      </c>
      <c r="DO91" s="874"/>
      <c r="DP91" s="874"/>
      <c r="DQ91" s="875"/>
      <c r="DR91" s="873">
        <f>SUM(DR92:DU93)</f>
        <v>0</v>
      </c>
      <c r="DS91" s="874"/>
      <c r="DT91" s="874"/>
      <c r="DU91" s="875"/>
      <c r="DV91" s="873">
        <f>SUM(DV92:DY93)</f>
        <v>0</v>
      </c>
      <c r="DW91" s="874"/>
      <c r="DX91" s="874"/>
      <c r="DY91" s="875"/>
      <c r="DZ91" s="873">
        <f>SUM(DZ92:EC93)</f>
        <v>0</v>
      </c>
      <c r="EA91" s="874"/>
      <c r="EB91" s="874"/>
      <c r="EC91" s="875"/>
      <c r="ED91" s="873">
        <f>SUM(ED92:EG93)</f>
        <v>0</v>
      </c>
      <c r="EE91" s="874"/>
      <c r="EF91" s="874"/>
      <c r="EG91" s="875"/>
      <c r="EH91" s="873">
        <f>SUM(EH92:EK93)</f>
        <v>0</v>
      </c>
      <c r="EI91" s="874"/>
      <c r="EJ91" s="874"/>
      <c r="EK91" s="875"/>
      <c r="EL91" s="873">
        <f>SUM(EL92:EO93)</f>
        <v>0</v>
      </c>
      <c r="EM91" s="874"/>
      <c r="EN91" s="874"/>
      <c r="EO91" s="875"/>
      <c r="EP91" s="873">
        <f>SUM(EP92:ES93)</f>
        <v>0</v>
      </c>
      <c r="EQ91" s="874"/>
      <c r="ER91" s="874"/>
      <c r="ES91" s="875"/>
      <c r="ET91" s="873">
        <f>SUM(ET92:EW93)</f>
        <v>0</v>
      </c>
      <c r="EU91" s="874"/>
      <c r="EV91" s="874"/>
      <c r="EW91" s="875"/>
      <c r="EX91" s="873">
        <f>SUM(EX92:FA93)</f>
        <v>0</v>
      </c>
      <c r="EY91" s="874"/>
      <c r="EZ91" s="874"/>
      <c r="FA91" s="875"/>
      <c r="FB91" s="873">
        <f>SUM(FB92:FE93)</f>
        <v>0</v>
      </c>
      <c r="FC91" s="874"/>
      <c r="FD91" s="874"/>
      <c r="FE91" s="875"/>
      <c r="FF91" s="873">
        <f>SUM(FF92:FI93)</f>
        <v>0</v>
      </c>
      <c r="FG91" s="874"/>
      <c r="FH91" s="874"/>
      <c r="FI91" s="875"/>
      <c r="FJ91" s="873">
        <f>SUM(FJ92:FM93)</f>
        <v>0</v>
      </c>
      <c r="FK91" s="874"/>
      <c r="FL91" s="874"/>
      <c r="FM91" s="875"/>
      <c r="FN91" s="873">
        <f>SUM(FN92:FQ93)</f>
        <v>0</v>
      </c>
      <c r="FO91" s="874"/>
      <c r="FP91" s="874"/>
      <c r="FQ91" s="875"/>
      <c r="FR91" s="873">
        <f>SUM(FR92:FU93)</f>
        <v>0</v>
      </c>
      <c r="FS91" s="874"/>
      <c r="FT91" s="874"/>
      <c r="FU91" s="875"/>
      <c r="FV91" s="873">
        <f>SUM(FV92:FY93)</f>
        <v>0</v>
      </c>
      <c r="FW91" s="874"/>
      <c r="FX91" s="874"/>
      <c r="FY91" s="875"/>
      <c r="FZ91" s="873">
        <f>SUM(FZ92:GC93)</f>
        <v>0</v>
      </c>
      <c r="GA91" s="874"/>
      <c r="GB91" s="874"/>
      <c r="GC91" s="875"/>
      <c r="GD91" s="873">
        <f>SUM(GD92:GG93)</f>
        <v>0</v>
      </c>
      <c r="GE91" s="874"/>
      <c r="GF91" s="874"/>
      <c r="GG91" s="875"/>
      <c r="GH91" s="873">
        <f>SUM(GH92:GK93)</f>
        <v>0</v>
      </c>
      <c r="GI91" s="874"/>
      <c r="GJ91" s="874"/>
      <c r="GK91" s="875"/>
      <c r="GL91" s="873">
        <f>SUM(GL92:GO93)</f>
        <v>0</v>
      </c>
      <c r="GM91" s="874"/>
      <c r="GN91" s="874"/>
      <c r="GO91" s="875"/>
      <c r="GP91" s="873">
        <f>SUM(GP92:GS93)</f>
        <v>0</v>
      </c>
      <c r="GQ91" s="874"/>
      <c r="GR91" s="874"/>
      <c r="GS91" s="875"/>
      <c r="GT91" s="873">
        <f>SUM(GT92:GW93)</f>
        <v>0</v>
      </c>
      <c r="GU91" s="874"/>
      <c r="GV91" s="874"/>
      <c r="GW91" s="875"/>
      <c r="GX91" s="873">
        <f>SUM(GX92:HA93)</f>
        <v>0</v>
      </c>
      <c r="GY91" s="874"/>
      <c r="GZ91" s="874"/>
      <c r="HA91" s="875"/>
      <c r="HB91" s="873">
        <f>SUM(HB92:HE93)</f>
        <v>0</v>
      </c>
      <c r="HC91" s="874"/>
      <c r="HD91" s="874"/>
      <c r="HE91" s="875"/>
      <c r="HF91" s="873">
        <f>SUM(HF92:HI93)</f>
        <v>0</v>
      </c>
      <c r="HG91" s="874"/>
      <c r="HH91" s="874"/>
      <c r="HI91" s="875"/>
      <c r="HJ91" s="873">
        <f>SUM(HJ92:HM93)</f>
        <v>0</v>
      </c>
      <c r="HK91" s="874"/>
      <c r="HL91" s="874"/>
      <c r="HM91" s="875"/>
      <c r="HN91" s="873">
        <f>SUM(HN92:HQ93)</f>
        <v>0</v>
      </c>
      <c r="HO91" s="874"/>
      <c r="HP91" s="874"/>
      <c r="HQ91" s="875"/>
      <c r="HR91" s="873">
        <f>SUM(HR92:HU93)</f>
        <v>0</v>
      </c>
      <c r="HS91" s="874"/>
      <c r="HT91" s="874"/>
      <c r="HU91" s="875"/>
      <c r="HV91" s="873">
        <f>SUM(HV92:HY93)</f>
        <v>0</v>
      </c>
      <c r="HW91" s="874"/>
      <c r="HX91" s="874"/>
      <c r="HY91" s="875"/>
      <c r="HZ91" s="873">
        <f>SUM(HZ92:IC93)</f>
        <v>0</v>
      </c>
      <c r="IA91" s="874"/>
      <c r="IB91" s="874"/>
      <c r="IC91" s="875"/>
      <c r="ID91" s="873">
        <f>SUM(ID92:IG93)</f>
        <v>0</v>
      </c>
      <c r="IE91" s="874"/>
      <c r="IF91" s="874"/>
      <c r="IG91" s="875"/>
      <c r="IH91" s="873">
        <f>SUM(IH92:IK93)</f>
        <v>0</v>
      </c>
      <c r="II91" s="874"/>
      <c r="IJ91" s="874"/>
      <c r="IK91" s="875"/>
      <c r="IL91" s="873">
        <f>SUM(IL92:IO93)</f>
        <v>0</v>
      </c>
      <c r="IM91" s="874"/>
      <c r="IN91" s="874"/>
      <c r="IO91" s="875"/>
      <c r="IP91" s="873">
        <f>SUM(IP92:IS93)</f>
        <v>0</v>
      </c>
      <c r="IQ91" s="874"/>
      <c r="IR91" s="874"/>
      <c r="IS91" s="875"/>
      <c r="IT91" s="873">
        <f>SUM(IT92:IW93)</f>
        <v>0</v>
      </c>
      <c r="IU91" s="874"/>
      <c r="IV91" s="874"/>
      <c r="IW91" s="875"/>
      <c r="IX91" s="873">
        <f>SUM(IX92:JA93)</f>
        <v>0</v>
      </c>
      <c r="IY91" s="874"/>
      <c r="IZ91" s="874"/>
      <c r="JA91" s="875"/>
      <c r="JB91" s="873">
        <f>SUM(JB92:JE93)</f>
        <v>0</v>
      </c>
      <c r="JC91" s="874"/>
      <c r="JD91" s="874"/>
      <c r="JE91" s="875"/>
      <c r="JF91" s="873">
        <f>SUM(JF92:JI93)</f>
        <v>0</v>
      </c>
      <c r="JG91" s="874"/>
      <c r="JH91" s="874"/>
      <c r="JI91" s="875"/>
      <c r="JJ91" s="873">
        <f>SUM(JJ92:JM93)</f>
        <v>0</v>
      </c>
      <c r="JK91" s="874"/>
      <c r="JL91" s="874"/>
      <c r="JM91" s="875"/>
      <c r="JN91" s="873">
        <f>SUM(JN92:JQ93)</f>
        <v>0</v>
      </c>
      <c r="JO91" s="874"/>
      <c r="JP91" s="874"/>
      <c r="JQ91" s="875"/>
      <c r="JR91" s="873">
        <f>SUM(JR92:JU93)</f>
        <v>0</v>
      </c>
      <c r="JS91" s="874"/>
      <c r="JT91" s="874"/>
      <c r="JU91" s="875"/>
      <c r="JV91" s="873">
        <f>SUM(JV92:JY93)</f>
        <v>0</v>
      </c>
      <c r="JW91" s="874"/>
      <c r="JX91" s="874"/>
      <c r="JY91" s="875"/>
      <c r="JZ91" s="873">
        <f>SUM(JZ92:KC93)</f>
        <v>0</v>
      </c>
      <c r="KA91" s="874"/>
      <c r="KB91" s="874"/>
      <c r="KC91" s="875"/>
      <c r="KD91" s="873">
        <f>SUM(KD92:KG93)</f>
        <v>0</v>
      </c>
      <c r="KE91" s="874"/>
      <c r="KF91" s="874"/>
      <c r="KG91" s="875"/>
      <c r="KH91" s="873">
        <f>SUM(KH92:KK93)</f>
        <v>0</v>
      </c>
      <c r="KI91" s="874"/>
      <c r="KJ91" s="874"/>
      <c r="KK91" s="875"/>
      <c r="KL91" s="873">
        <f>SUM(KL92:KO93)</f>
        <v>0</v>
      </c>
      <c r="KM91" s="874"/>
      <c r="KN91" s="874"/>
      <c r="KO91" s="875"/>
      <c r="KP91" s="873">
        <f>SUM(KP92:KS93)</f>
        <v>0</v>
      </c>
      <c r="KQ91" s="874"/>
      <c r="KR91" s="874"/>
      <c r="KS91" s="875"/>
      <c r="KT91" s="873">
        <f>SUM(KT92:KW93)</f>
        <v>0</v>
      </c>
      <c r="KU91" s="874"/>
      <c r="KV91" s="874"/>
      <c r="KW91" s="875"/>
      <c r="KX91" s="873">
        <f>SUM(KX92:LA93)</f>
        <v>0</v>
      </c>
      <c r="KY91" s="874"/>
      <c r="KZ91" s="874"/>
      <c r="LA91" s="875"/>
      <c r="LB91" s="873">
        <f>SUM(LB92:LE93)</f>
        <v>0</v>
      </c>
      <c r="LC91" s="874"/>
      <c r="LD91" s="874"/>
      <c r="LE91" s="875"/>
      <c r="LF91" s="873">
        <f>SUM(LF92:LI93)</f>
        <v>0</v>
      </c>
      <c r="LG91" s="874"/>
      <c r="LH91" s="874"/>
      <c r="LI91" s="875"/>
      <c r="LJ91" s="873">
        <f>SUM(LJ92:LM93)</f>
        <v>0</v>
      </c>
      <c r="LK91" s="874"/>
      <c r="LL91" s="874"/>
      <c r="LM91" s="875"/>
    </row>
    <row r="92" spans="1:325">
      <c r="A92" s="310"/>
      <c r="B92" s="309" t="s">
        <v>522</v>
      </c>
      <c r="C92" s="297" t="s">
        <v>783</v>
      </c>
      <c r="D92" s="356">
        <f ca="1">SUMIF($F$6:$LM$6,"&lt;="&amp;PAL,$F92:$LM92)</f>
        <v>263616680</v>
      </c>
      <c r="E92" s="330"/>
      <c r="F92" s="876"/>
      <c r="G92" s="877"/>
      <c r="H92" s="877"/>
      <c r="I92" s="878"/>
      <c r="J92" s="876">
        <f ca="1">+J89</f>
        <v>1558390</v>
      </c>
      <c r="K92" s="877"/>
      <c r="L92" s="877"/>
      <c r="M92" s="878"/>
      <c r="N92" s="876">
        <f t="shared" ref="N92" ca="1" si="0">+N89</f>
        <v>4465995</v>
      </c>
      <c r="O92" s="877"/>
      <c r="P92" s="877"/>
      <c r="Q92" s="878"/>
      <c r="R92" s="876">
        <f t="shared" ref="R92" ca="1" si="1">+R89</f>
        <v>7179644</v>
      </c>
      <c r="S92" s="877"/>
      <c r="T92" s="877"/>
      <c r="U92" s="878"/>
      <c r="V92" s="876">
        <f t="shared" ref="V92" ca="1" si="2">+V89</f>
        <v>11456014</v>
      </c>
      <c r="W92" s="877"/>
      <c r="X92" s="877"/>
      <c r="Y92" s="878"/>
      <c r="Z92" s="876">
        <f t="shared" ref="Z92" ca="1" si="3">+Z89</f>
        <v>11799695</v>
      </c>
      <c r="AA92" s="877"/>
      <c r="AB92" s="877"/>
      <c r="AC92" s="878"/>
      <c r="AD92" s="876">
        <f t="shared" ref="AD92" ca="1" si="4">+AD89</f>
        <v>12153686</v>
      </c>
      <c r="AE92" s="877"/>
      <c r="AF92" s="877"/>
      <c r="AG92" s="878"/>
      <c r="AH92" s="876">
        <f t="shared" ref="AH92" ca="1" si="5">+AH89</f>
        <v>12523831</v>
      </c>
      <c r="AI92" s="877"/>
      <c r="AJ92" s="877"/>
      <c r="AK92" s="878"/>
      <c r="AL92" s="876">
        <f t="shared" ref="AL92" ca="1" si="6">+AL89</f>
        <v>12899546</v>
      </c>
      <c r="AM92" s="877"/>
      <c r="AN92" s="877"/>
      <c r="AO92" s="878"/>
      <c r="AP92" s="876">
        <f t="shared" ref="AP92" ca="1" si="7">+AP89</f>
        <v>13286532</v>
      </c>
      <c r="AQ92" s="877"/>
      <c r="AR92" s="877"/>
      <c r="AS92" s="878"/>
      <c r="AT92" s="876">
        <f ca="1">+AT89+AT90</f>
        <v>13846398</v>
      </c>
      <c r="AU92" s="877"/>
      <c r="AV92" s="877"/>
      <c r="AW92" s="878"/>
      <c r="AX92" s="876">
        <f t="shared" ref="AX92" ca="1" si="8">+AX89+AX90</f>
        <v>14427898</v>
      </c>
      <c r="AY92" s="877"/>
      <c r="AZ92" s="877"/>
      <c r="BA92" s="878"/>
      <c r="BB92" s="876">
        <f t="shared" ref="BB92" ca="1" si="9">+BB89+BB90</f>
        <v>14689643</v>
      </c>
      <c r="BC92" s="877"/>
      <c r="BD92" s="877"/>
      <c r="BE92" s="878"/>
      <c r="BF92" s="876">
        <f t="shared" ref="BF92" ca="1" si="10">+BF89+BF90</f>
        <v>15306557</v>
      </c>
      <c r="BG92" s="877"/>
      <c r="BH92" s="877"/>
      <c r="BI92" s="878"/>
      <c r="BJ92" s="876">
        <f t="shared" ref="BJ92" ca="1" si="11">+BJ89</f>
        <v>15402732</v>
      </c>
      <c r="BK92" s="877"/>
      <c r="BL92" s="877"/>
      <c r="BM92" s="878"/>
      <c r="BN92" s="876">
        <f t="shared" ref="BN92" ca="1" si="12">+BN89</f>
        <v>15864814</v>
      </c>
      <c r="BO92" s="877"/>
      <c r="BP92" s="877"/>
      <c r="BQ92" s="878"/>
      <c r="BR92" s="876">
        <f t="shared" ref="BR92" ca="1" si="13">+BR89</f>
        <v>16340758</v>
      </c>
      <c r="BS92" s="877"/>
      <c r="BT92" s="877"/>
      <c r="BU92" s="878"/>
      <c r="BV92" s="876">
        <f t="shared" ref="BV92" ca="1" si="14">+BV89</f>
        <v>16830981</v>
      </c>
      <c r="BW92" s="877"/>
      <c r="BX92" s="877"/>
      <c r="BY92" s="878"/>
      <c r="BZ92" s="876">
        <f t="shared" ref="BZ92" ca="1" si="15">+BZ89</f>
        <v>17335911</v>
      </c>
      <c r="CA92" s="877"/>
      <c r="CB92" s="877"/>
      <c r="CC92" s="878"/>
      <c r="CD92" s="876">
        <f t="shared" ref="CD92" ca="1" si="16">+CD89</f>
        <v>17855988</v>
      </c>
      <c r="CE92" s="877"/>
      <c r="CF92" s="877"/>
      <c r="CG92" s="878"/>
      <c r="CH92" s="876">
        <f t="shared" ref="CH92" ca="1" si="17">+CH89</f>
        <v>18391667</v>
      </c>
      <c r="CI92" s="877"/>
      <c r="CJ92" s="877"/>
      <c r="CK92" s="878"/>
      <c r="CL92" s="876">
        <f t="shared" ref="CL92" ca="1" si="18">+CL89</f>
        <v>4333429</v>
      </c>
      <c r="CM92" s="877"/>
      <c r="CN92" s="877"/>
      <c r="CO92" s="878"/>
      <c r="CP92" s="876">
        <f t="shared" ref="CP92" ca="1" si="19">+CP89</f>
        <v>4463432</v>
      </c>
      <c r="CQ92" s="877"/>
      <c r="CR92" s="877"/>
      <c r="CS92" s="878"/>
      <c r="CT92" s="876">
        <f t="shared" ref="CT92" ca="1" si="20">+CT89</f>
        <v>4597335</v>
      </c>
      <c r="CU92" s="877"/>
      <c r="CV92" s="877"/>
      <c r="CW92" s="878"/>
      <c r="CX92" s="876"/>
      <c r="CY92" s="877"/>
      <c r="CZ92" s="877"/>
      <c r="DA92" s="878"/>
      <c r="DB92" s="876"/>
      <c r="DC92" s="877"/>
      <c r="DD92" s="877"/>
      <c r="DE92" s="878"/>
      <c r="DF92" s="876"/>
      <c r="DG92" s="877"/>
      <c r="DH92" s="877"/>
      <c r="DI92" s="878"/>
      <c r="DJ92" s="876"/>
      <c r="DK92" s="877"/>
      <c r="DL92" s="877"/>
      <c r="DM92" s="878"/>
      <c r="DN92" s="876"/>
      <c r="DO92" s="877"/>
      <c r="DP92" s="877"/>
      <c r="DQ92" s="878"/>
      <c r="DR92" s="876"/>
      <c r="DS92" s="877"/>
      <c r="DT92" s="877"/>
      <c r="DU92" s="878"/>
      <c r="DV92" s="876"/>
      <c r="DW92" s="877"/>
      <c r="DX92" s="877"/>
      <c r="DY92" s="878"/>
      <c r="DZ92" s="876"/>
      <c r="EA92" s="877"/>
      <c r="EB92" s="877"/>
      <c r="EC92" s="878"/>
      <c r="ED92" s="876"/>
      <c r="EE92" s="877"/>
      <c r="EF92" s="877"/>
      <c r="EG92" s="878"/>
      <c r="EH92" s="876"/>
      <c r="EI92" s="877"/>
      <c r="EJ92" s="877"/>
      <c r="EK92" s="878"/>
      <c r="EL92" s="876"/>
      <c r="EM92" s="877"/>
      <c r="EN92" s="877"/>
      <c r="EO92" s="878"/>
      <c r="EP92" s="876"/>
      <c r="EQ92" s="877"/>
      <c r="ER92" s="877"/>
      <c r="ES92" s="878"/>
      <c r="ET92" s="876"/>
      <c r="EU92" s="877"/>
      <c r="EV92" s="877"/>
      <c r="EW92" s="878"/>
      <c r="EX92" s="876"/>
      <c r="EY92" s="877"/>
      <c r="EZ92" s="877"/>
      <c r="FA92" s="878"/>
      <c r="FB92" s="876"/>
      <c r="FC92" s="877"/>
      <c r="FD92" s="877"/>
      <c r="FE92" s="878"/>
      <c r="FF92" s="876"/>
      <c r="FG92" s="877"/>
      <c r="FH92" s="877"/>
      <c r="FI92" s="878"/>
      <c r="FJ92" s="876"/>
      <c r="FK92" s="877"/>
      <c r="FL92" s="877"/>
      <c r="FM92" s="878"/>
      <c r="FN92" s="876"/>
      <c r="FO92" s="877"/>
      <c r="FP92" s="877"/>
      <c r="FQ92" s="878"/>
      <c r="FR92" s="876"/>
      <c r="FS92" s="877"/>
      <c r="FT92" s="877"/>
      <c r="FU92" s="878"/>
      <c r="FV92" s="876"/>
      <c r="FW92" s="877"/>
      <c r="FX92" s="877"/>
      <c r="FY92" s="878"/>
      <c r="FZ92" s="876"/>
      <c r="GA92" s="877"/>
      <c r="GB92" s="877"/>
      <c r="GC92" s="878"/>
      <c r="GD92" s="876"/>
      <c r="GE92" s="877"/>
      <c r="GF92" s="877"/>
      <c r="GG92" s="878"/>
      <c r="GH92" s="876"/>
      <c r="GI92" s="877"/>
      <c r="GJ92" s="877"/>
      <c r="GK92" s="878"/>
      <c r="GL92" s="876"/>
      <c r="GM92" s="877"/>
      <c r="GN92" s="877"/>
      <c r="GO92" s="878"/>
      <c r="GP92" s="876"/>
      <c r="GQ92" s="877"/>
      <c r="GR92" s="877"/>
      <c r="GS92" s="878"/>
      <c r="GT92" s="876"/>
      <c r="GU92" s="877"/>
      <c r="GV92" s="877"/>
      <c r="GW92" s="878"/>
      <c r="GX92" s="876"/>
      <c r="GY92" s="877"/>
      <c r="GZ92" s="877"/>
      <c r="HA92" s="878"/>
      <c r="HB92" s="876"/>
      <c r="HC92" s="877"/>
      <c r="HD92" s="877"/>
      <c r="HE92" s="878"/>
      <c r="HF92" s="876"/>
      <c r="HG92" s="877"/>
      <c r="HH92" s="877"/>
      <c r="HI92" s="878"/>
      <c r="HJ92" s="876"/>
      <c r="HK92" s="877"/>
      <c r="HL92" s="877"/>
      <c r="HM92" s="878"/>
      <c r="HN92" s="876"/>
      <c r="HO92" s="877"/>
      <c r="HP92" s="877"/>
      <c r="HQ92" s="878"/>
      <c r="HR92" s="876"/>
      <c r="HS92" s="877"/>
      <c r="HT92" s="877"/>
      <c r="HU92" s="878"/>
      <c r="HV92" s="876"/>
      <c r="HW92" s="877"/>
      <c r="HX92" s="877"/>
      <c r="HY92" s="878"/>
      <c r="HZ92" s="876"/>
      <c r="IA92" s="877"/>
      <c r="IB92" s="877"/>
      <c r="IC92" s="878"/>
      <c r="ID92" s="876"/>
      <c r="IE92" s="877"/>
      <c r="IF92" s="877"/>
      <c r="IG92" s="878"/>
      <c r="IH92" s="876"/>
      <c r="II92" s="877"/>
      <c r="IJ92" s="877"/>
      <c r="IK92" s="878"/>
      <c r="IL92" s="876"/>
      <c r="IM92" s="877"/>
      <c r="IN92" s="877"/>
      <c r="IO92" s="878"/>
      <c r="IP92" s="876"/>
      <c r="IQ92" s="877"/>
      <c r="IR92" s="877"/>
      <c r="IS92" s="878"/>
      <c r="IT92" s="876"/>
      <c r="IU92" s="877"/>
      <c r="IV92" s="877"/>
      <c r="IW92" s="878"/>
      <c r="IX92" s="876"/>
      <c r="IY92" s="877"/>
      <c r="IZ92" s="877"/>
      <c r="JA92" s="878"/>
      <c r="JB92" s="876"/>
      <c r="JC92" s="877"/>
      <c r="JD92" s="877"/>
      <c r="JE92" s="878"/>
      <c r="JF92" s="876"/>
      <c r="JG92" s="877"/>
      <c r="JH92" s="877"/>
      <c r="JI92" s="878"/>
      <c r="JJ92" s="876"/>
      <c r="JK92" s="877"/>
      <c r="JL92" s="877"/>
      <c r="JM92" s="878"/>
      <c r="JN92" s="876"/>
      <c r="JO92" s="877"/>
      <c r="JP92" s="877"/>
      <c r="JQ92" s="878"/>
      <c r="JR92" s="876"/>
      <c r="JS92" s="877"/>
      <c r="JT92" s="877"/>
      <c r="JU92" s="878"/>
      <c r="JV92" s="876"/>
      <c r="JW92" s="877"/>
      <c r="JX92" s="877"/>
      <c r="JY92" s="878"/>
      <c r="JZ92" s="876"/>
      <c r="KA92" s="877"/>
      <c r="KB92" s="877"/>
      <c r="KC92" s="878"/>
      <c r="KD92" s="876"/>
      <c r="KE92" s="877"/>
      <c r="KF92" s="877"/>
      <c r="KG92" s="878"/>
      <c r="KH92" s="876"/>
      <c r="KI92" s="877"/>
      <c r="KJ92" s="877"/>
      <c r="KK92" s="878"/>
      <c r="KL92" s="876"/>
      <c r="KM92" s="877"/>
      <c r="KN92" s="877"/>
      <c r="KO92" s="878"/>
      <c r="KP92" s="876"/>
      <c r="KQ92" s="877"/>
      <c r="KR92" s="877"/>
      <c r="KS92" s="878"/>
      <c r="KT92" s="876"/>
      <c r="KU92" s="877"/>
      <c r="KV92" s="877"/>
      <c r="KW92" s="878"/>
      <c r="KX92" s="876"/>
      <c r="KY92" s="877"/>
      <c r="KZ92" s="877"/>
      <c r="LA92" s="878"/>
      <c r="LB92" s="876"/>
      <c r="LC92" s="877"/>
      <c r="LD92" s="877"/>
      <c r="LE92" s="878"/>
      <c r="LF92" s="876"/>
      <c r="LG92" s="877"/>
      <c r="LH92" s="877"/>
      <c r="LI92" s="878"/>
      <c r="LJ92" s="876"/>
      <c r="LK92" s="877"/>
      <c r="LL92" s="877"/>
      <c r="LM92" s="878"/>
    </row>
    <row r="93" spans="1:325">
      <c r="A93" s="310"/>
      <c r="B93" s="309" t="s">
        <v>521</v>
      </c>
      <c r="C93" s="297" t="s">
        <v>586</v>
      </c>
      <c r="D93" s="356">
        <f ca="1">SUMIF($F$6:$LM$6,"&lt;="&amp;PAL,$F93:$LM93)</f>
        <v>0</v>
      </c>
      <c r="E93" s="330"/>
      <c r="F93" s="876"/>
      <c r="G93" s="877"/>
      <c r="H93" s="877"/>
      <c r="I93" s="878"/>
      <c r="J93" s="876"/>
      <c r="K93" s="877"/>
      <c r="L93" s="877"/>
      <c r="M93" s="878"/>
      <c r="N93" s="876"/>
      <c r="O93" s="877"/>
      <c r="P93" s="877"/>
      <c r="Q93" s="878"/>
      <c r="R93" s="876"/>
      <c r="S93" s="877"/>
      <c r="T93" s="877"/>
      <c r="U93" s="878"/>
      <c r="V93" s="876"/>
      <c r="W93" s="877"/>
      <c r="X93" s="877"/>
      <c r="Y93" s="878"/>
      <c r="Z93" s="876"/>
      <c r="AA93" s="877"/>
      <c r="AB93" s="877"/>
      <c r="AC93" s="878"/>
      <c r="AD93" s="876"/>
      <c r="AE93" s="877"/>
      <c r="AF93" s="877"/>
      <c r="AG93" s="878"/>
      <c r="AH93" s="876"/>
      <c r="AI93" s="877"/>
      <c r="AJ93" s="877"/>
      <c r="AK93" s="878"/>
      <c r="AL93" s="876"/>
      <c r="AM93" s="877"/>
      <c r="AN93" s="877"/>
      <c r="AO93" s="878"/>
      <c r="AP93" s="876"/>
      <c r="AQ93" s="877"/>
      <c r="AR93" s="877"/>
      <c r="AS93" s="878"/>
      <c r="AT93" s="876"/>
      <c r="AU93" s="877"/>
      <c r="AV93" s="877"/>
      <c r="AW93" s="878"/>
      <c r="AX93" s="876"/>
      <c r="AY93" s="877"/>
      <c r="AZ93" s="877"/>
      <c r="BA93" s="878"/>
      <c r="BB93" s="876"/>
      <c r="BC93" s="877"/>
      <c r="BD93" s="877"/>
      <c r="BE93" s="878"/>
      <c r="BF93" s="876"/>
      <c r="BG93" s="877"/>
      <c r="BH93" s="877"/>
      <c r="BI93" s="878"/>
      <c r="BJ93" s="876"/>
      <c r="BK93" s="877"/>
      <c r="BL93" s="877"/>
      <c r="BM93" s="878"/>
      <c r="BN93" s="876"/>
      <c r="BO93" s="877"/>
      <c r="BP93" s="877"/>
      <c r="BQ93" s="878"/>
      <c r="BR93" s="876"/>
      <c r="BS93" s="877"/>
      <c r="BT93" s="877"/>
      <c r="BU93" s="878"/>
      <c r="BV93" s="876"/>
      <c r="BW93" s="877"/>
      <c r="BX93" s="877"/>
      <c r="BY93" s="878"/>
      <c r="BZ93" s="876"/>
      <c r="CA93" s="877"/>
      <c r="CB93" s="877"/>
      <c r="CC93" s="878"/>
      <c r="CD93" s="876"/>
      <c r="CE93" s="877"/>
      <c r="CF93" s="877"/>
      <c r="CG93" s="878"/>
      <c r="CH93" s="876"/>
      <c r="CI93" s="877"/>
      <c r="CJ93" s="877"/>
      <c r="CK93" s="878"/>
      <c r="CL93" s="876"/>
      <c r="CM93" s="877"/>
      <c r="CN93" s="877"/>
      <c r="CO93" s="878"/>
      <c r="CP93" s="876"/>
      <c r="CQ93" s="877"/>
      <c r="CR93" s="877"/>
      <c r="CS93" s="878"/>
      <c r="CT93" s="876"/>
      <c r="CU93" s="877"/>
      <c r="CV93" s="877"/>
      <c r="CW93" s="878"/>
      <c r="CX93" s="876"/>
      <c r="CY93" s="877"/>
      <c r="CZ93" s="877"/>
      <c r="DA93" s="878"/>
      <c r="DB93" s="876"/>
      <c r="DC93" s="877"/>
      <c r="DD93" s="877"/>
      <c r="DE93" s="878"/>
      <c r="DF93" s="876"/>
      <c r="DG93" s="877"/>
      <c r="DH93" s="877"/>
      <c r="DI93" s="878"/>
      <c r="DJ93" s="876"/>
      <c r="DK93" s="877"/>
      <c r="DL93" s="877"/>
      <c r="DM93" s="878"/>
      <c r="DN93" s="876"/>
      <c r="DO93" s="877"/>
      <c r="DP93" s="877"/>
      <c r="DQ93" s="878"/>
      <c r="DR93" s="876"/>
      <c r="DS93" s="877"/>
      <c r="DT93" s="877"/>
      <c r="DU93" s="878"/>
      <c r="DV93" s="876"/>
      <c r="DW93" s="877"/>
      <c r="DX93" s="877"/>
      <c r="DY93" s="878"/>
      <c r="DZ93" s="876"/>
      <c r="EA93" s="877"/>
      <c r="EB93" s="877"/>
      <c r="EC93" s="878"/>
      <c r="ED93" s="876"/>
      <c r="EE93" s="877"/>
      <c r="EF93" s="877"/>
      <c r="EG93" s="878"/>
      <c r="EH93" s="876"/>
      <c r="EI93" s="877"/>
      <c r="EJ93" s="877"/>
      <c r="EK93" s="878"/>
      <c r="EL93" s="876"/>
      <c r="EM93" s="877"/>
      <c r="EN93" s="877"/>
      <c r="EO93" s="878"/>
      <c r="EP93" s="876"/>
      <c r="EQ93" s="877"/>
      <c r="ER93" s="877"/>
      <c r="ES93" s="878"/>
      <c r="ET93" s="876"/>
      <c r="EU93" s="877"/>
      <c r="EV93" s="877"/>
      <c r="EW93" s="878"/>
      <c r="EX93" s="876"/>
      <c r="EY93" s="877"/>
      <c r="EZ93" s="877"/>
      <c r="FA93" s="878"/>
      <c r="FB93" s="876"/>
      <c r="FC93" s="877"/>
      <c r="FD93" s="877"/>
      <c r="FE93" s="878"/>
      <c r="FF93" s="876"/>
      <c r="FG93" s="877"/>
      <c r="FH93" s="877"/>
      <c r="FI93" s="878"/>
      <c r="FJ93" s="876"/>
      <c r="FK93" s="877"/>
      <c r="FL93" s="877"/>
      <c r="FM93" s="878"/>
      <c r="FN93" s="876"/>
      <c r="FO93" s="877"/>
      <c r="FP93" s="877"/>
      <c r="FQ93" s="878"/>
      <c r="FR93" s="876"/>
      <c r="FS93" s="877"/>
      <c r="FT93" s="877"/>
      <c r="FU93" s="878"/>
      <c r="FV93" s="876"/>
      <c r="FW93" s="877"/>
      <c r="FX93" s="877"/>
      <c r="FY93" s="878"/>
      <c r="FZ93" s="876"/>
      <c r="GA93" s="877"/>
      <c r="GB93" s="877"/>
      <c r="GC93" s="878"/>
      <c r="GD93" s="876"/>
      <c r="GE93" s="877"/>
      <c r="GF93" s="877"/>
      <c r="GG93" s="878"/>
      <c r="GH93" s="876"/>
      <c r="GI93" s="877"/>
      <c r="GJ93" s="877"/>
      <c r="GK93" s="878"/>
      <c r="GL93" s="876"/>
      <c r="GM93" s="877"/>
      <c r="GN93" s="877"/>
      <c r="GO93" s="878"/>
      <c r="GP93" s="876"/>
      <c r="GQ93" s="877"/>
      <c r="GR93" s="877"/>
      <c r="GS93" s="878"/>
      <c r="GT93" s="876"/>
      <c r="GU93" s="877"/>
      <c r="GV93" s="877"/>
      <c r="GW93" s="878"/>
      <c r="GX93" s="876"/>
      <c r="GY93" s="877"/>
      <c r="GZ93" s="877"/>
      <c r="HA93" s="878"/>
      <c r="HB93" s="876"/>
      <c r="HC93" s="877"/>
      <c r="HD93" s="877"/>
      <c r="HE93" s="878"/>
      <c r="HF93" s="876"/>
      <c r="HG93" s="877"/>
      <c r="HH93" s="877"/>
      <c r="HI93" s="878"/>
      <c r="HJ93" s="876"/>
      <c r="HK93" s="877"/>
      <c r="HL93" s="877"/>
      <c r="HM93" s="878"/>
      <c r="HN93" s="876"/>
      <c r="HO93" s="877"/>
      <c r="HP93" s="877"/>
      <c r="HQ93" s="878"/>
      <c r="HR93" s="876"/>
      <c r="HS93" s="877"/>
      <c r="HT93" s="877"/>
      <c r="HU93" s="878"/>
      <c r="HV93" s="876"/>
      <c r="HW93" s="877"/>
      <c r="HX93" s="877"/>
      <c r="HY93" s="878"/>
      <c r="HZ93" s="876"/>
      <c r="IA93" s="877"/>
      <c r="IB93" s="877"/>
      <c r="IC93" s="878"/>
      <c r="ID93" s="876"/>
      <c r="IE93" s="877"/>
      <c r="IF93" s="877"/>
      <c r="IG93" s="878"/>
      <c r="IH93" s="876"/>
      <c r="II93" s="877"/>
      <c r="IJ93" s="877"/>
      <c r="IK93" s="878"/>
      <c r="IL93" s="876"/>
      <c r="IM93" s="877"/>
      <c r="IN93" s="877"/>
      <c r="IO93" s="878"/>
      <c r="IP93" s="876"/>
      <c r="IQ93" s="877"/>
      <c r="IR93" s="877"/>
      <c r="IS93" s="878"/>
      <c r="IT93" s="876"/>
      <c r="IU93" s="877"/>
      <c r="IV93" s="877"/>
      <c r="IW93" s="878"/>
      <c r="IX93" s="876"/>
      <c r="IY93" s="877"/>
      <c r="IZ93" s="877"/>
      <c r="JA93" s="878"/>
      <c r="JB93" s="876"/>
      <c r="JC93" s="877"/>
      <c r="JD93" s="877"/>
      <c r="JE93" s="878"/>
      <c r="JF93" s="876"/>
      <c r="JG93" s="877"/>
      <c r="JH93" s="877"/>
      <c r="JI93" s="878"/>
      <c r="JJ93" s="876"/>
      <c r="JK93" s="877"/>
      <c r="JL93" s="877"/>
      <c r="JM93" s="878"/>
      <c r="JN93" s="876"/>
      <c r="JO93" s="877"/>
      <c r="JP93" s="877"/>
      <c r="JQ93" s="878"/>
      <c r="JR93" s="876"/>
      <c r="JS93" s="877"/>
      <c r="JT93" s="877"/>
      <c r="JU93" s="878"/>
      <c r="JV93" s="876"/>
      <c r="JW93" s="877"/>
      <c r="JX93" s="877"/>
      <c r="JY93" s="878"/>
      <c r="JZ93" s="876"/>
      <c r="KA93" s="877"/>
      <c r="KB93" s="877"/>
      <c r="KC93" s="878"/>
      <c r="KD93" s="876"/>
      <c r="KE93" s="877"/>
      <c r="KF93" s="877"/>
      <c r="KG93" s="878"/>
      <c r="KH93" s="876"/>
      <c r="KI93" s="877"/>
      <c r="KJ93" s="877"/>
      <c r="KK93" s="878"/>
      <c r="KL93" s="876"/>
      <c r="KM93" s="877"/>
      <c r="KN93" s="877"/>
      <c r="KO93" s="878"/>
      <c r="KP93" s="876"/>
      <c r="KQ93" s="877"/>
      <c r="KR93" s="877"/>
      <c r="KS93" s="878"/>
      <c r="KT93" s="876"/>
      <c r="KU93" s="877"/>
      <c r="KV93" s="877"/>
      <c r="KW93" s="878"/>
      <c r="KX93" s="876"/>
      <c r="KY93" s="877"/>
      <c r="KZ93" s="877"/>
      <c r="LA93" s="878"/>
      <c r="LB93" s="876"/>
      <c r="LC93" s="877"/>
      <c r="LD93" s="877"/>
      <c r="LE93" s="878"/>
      <c r="LF93" s="876"/>
      <c r="LG93" s="877"/>
      <c r="LH93" s="877"/>
      <c r="LI93" s="878"/>
      <c r="LJ93" s="876"/>
      <c r="LK93" s="877"/>
      <c r="LL93" s="877"/>
      <c r="LM93" s="878"/>
    </row>
    <row r="94" spans="1:325" ht="28.8">
      <c r="A94" s="310"/>
      <c r="B94" s="360" t="s">
        <v>566</v>
      </c>
      <c r="C94" s="361" t="s">
        <v>442</v>
      </c>
      <c r="D94" s="362" t="s">
        <v>587</v>
      </c>
      <c r="E94" s="363" t="s">
        <v>394</v>
      </c>
      <c r="F94" s="895"/>
      <c r="G94" s="896"/>
      <c r="H94" s="896"/>
      <c r="I94" s="896"/>
      <c r="J94" s="896"/>
      <c r="K94" s="896"/>
      <c r="L94" s="896"/>
      <c r="M94" s="896"/>
      <c r="N94" s="896"/>
      <c r="O94" s="896"/>
      <c r="P94" s="896"/>
      <c r="Q94" s="896"/>
      <c r="R94" s="896"/>
      <c r="S94" s="896"/>
      <c r="T94" s="896"/>
      <c r="U94" s="896"/>
      <c r="V94" s="896"/>
      <c r="W94" s="896"/>
      <c r="X94" s="896"/>
      <c r="Y94" s="896"/>
      <c r="Z94" s="896"/>
      <c r="AA94" s="896"/>
      <c r="AB94" s="896"/>
      <c r="AC94" s="896"/>
      <c r="AD94" s="896"/>
      <c r="AE94" s="896"/>
      <c r="AF94" s="896"/>
      <c r="AG94" s="896"/>
      <c r="AH94" s="896"/>
      <c r="AI94" s="896"/>
      <c r="AJ94" s="896"/>
      <c r="AK94" s="896"/>
      <c r="AL94" s="896"/>
      <c r="AM94" s="896"/>
      <c r="AN94" s="896"/>
      <c r="AO94" s="896"/>
      <c r="AP94" s="896"/>
      <c r="AQ94" s="896"/>
      <c r="AR94" s="896"/>
      <c r="AS94" s="896"/>
      <c r="AT94" s="896"/>
      <c r="AU94" s="896"/>
      <c r="AV94" s="896"/>
      <c r="AW94" s="896"/>
      <c r="AX94" s="896"/>
      <c r="AY94" s="896"/>
      <c r="AZ94" s="896"/>
      <c r="BA94" s="896"/>
      <c r="BB94" s="896"/>
      <c r="BC94" s="896"/>
      <c r="BD94" s="896"/>
      <c r="BE94" s="896"/>
      <c r="BF94" s="896"/>
      <c r="BG94" s="896"/>
      <c r="BH94" s="896"/>
      <c r="BI94" s="896"/>
      <c r="BJ94" s="896"/>
      <c r="BK94" s="896"/>
      <c r="BL94" s="896"/>
      <c r="BM94" s="896"/>
      <c r="BN94" s="896"/>
      <c r="BO94" s="896"/>
      <c r="BP94" s="896"/>
      <c r="BQ94" s="896"/>
      <c r="BR94" s="896"/>
      <c r="BS94" s="896"/>
      <c r="BT94" s="896"/>
      <c r="BU94" s="896"/>
      <c r="BV94" s="896"/>
      <c r="BW94" s="896"/>
      <c r="BX94" s="896"/>
      <c r="BY94" s="896"/>
      <c r="BZ94" s="896"/>
      <c r="CA94" s="896"/>
      <c r="CB94" s="896"/>
      <c r="CC94" s="896"/>
      <c r="CD94" s="896"/>
      <c r="CE94" s="896"/>
      <c r="CF94" s="896"/>
      <c r="CG94" s="896"/>
      <c r="CH94" s="896"/>
      <c r="CI94" s="896"/>
      <c r="CJ94" s="896"/>
      <c r="CK94" s="896"/>
      <c r="CL94" s="896"/>
      <c r="CM94" s="896"/>
      <c r="CN94" s="896"/>
      <c r="CO94" s="896"/>
      <c r="CP94" s="896"/>
      <c r="CQ94" s="896"/>
      <c r="CR94" s="896"/>
      <c r="CS94" s="896"/>
      <c r="CT94" s="896"/>
      <c r="CU94" s="896"/>
      <c r="CV94" s="896"/>
      <c r="CW94" s="896"/>
      <c r="CX94" s="896"/>
      <c r="CY94" s="896"/>
      <c r="CZ94" s="896"/>
      <c r="DA94" s="896"/>
      <c r="DB94" s="896"/>
      <c r="DC94" s="896"/>
      <c r="DD94" s="896"/>
      <c r="DE94" s="896"/>
      <c r="DF94" s="896"/>
      <c r="DG94" s="896"/>
      <c r="DH94" s="896"/>
      <c r="DI94" s="896"/>
      <c r="DJ94" s="896"/>
      <c r="DK94" s="896"/>
      <c r="DL94" s="896"/>
      <c r="DM94" s="896"/>
      <c r="DN94" s="896"/>
      <c r="DO94" s="896"/>
      <c r="DP94" s="896"/>
      <c r="DQ94" s="896"/>
      <c r="DR94" s="896"/>
      <c r="DS94" s="896"/>
      <c r="DT94" s="896"/>
      <c r="DU94" s="896"/>
      <c r="DV94" s="896"/>
      <c r="DW94" s="896"/>
      <c r="DX94" s="896"/>
      <c r="DY94" s="896"/>
      <c r="DZ94" s="896"/>
      <c r="EA94" s="896"/>
      <c r="EB94" s="896"/>
      <c r="EC94" s="896"/>
      <c r="ED94" s="896"/>
      <c r="EE94" s="896"/>
      <c r="EF94" s="896"/>
      <c r="EG94" s="896"/>
      <c r="EH94" s="896"/>
      <c r="EI94" s="896"/>
      <c r="EJ94" s="896"/>
      <c r="EK94" s="896"/>
      <c r="EL94" s="896"/>
      <c r="EM94" s="896"/>
      <c r="EN94" s="896"/>
      <c r="EO94" s="896"/>
      <c r="EP94" s="896"/>
      <c r="EQ94" s="896"/>
      <c r="ER94" s="896"/>
      <c r="ES94" s="896"/>
      <c r="ET94" s="896"/>
      <c r="EU94" s="896"/>
      <c r="EV94" s="896"/>
      <c r="EW94" s="896"/>
      <c r="EX94" s="896"/>
      <c r="EY94" s="896"/>
      <c r="EZ94" s="896"/>
      <c r="FA94" s="896"/>
      <c r="FB94" s="896"/>
      <c r="FC94" s="896"/>
      <c r="FD94" s="896"/>
      <c r="FE94" s="896"/>
      <c r="FF94" s="896"/>
      <c r="FG94" s="896"/>
      <c r="FH94" s="896"/>
      <c r="FI94" s="896"/>
      <c r="FJ94" s="896"/>
      <c r="FK94" s="896"/>
      <c r="FL94" s="896"/>
      <c r="FM94" s="896"/>
      <c r="FN94" s="896"/>
      <c r="FO94" s="896"/>
      <c r="FP94" s="896"/>
      <c r="FQ94" s="896"/>
      <c r="FR94" s="896"/>
      <c r="FS94" s="896"/>
      <c r="FT94" s="896"/>
      <c r="FU94" s="896"/>
      <c r="FV94" s="896"/>
      <c r="FW94" s="896"/>
      <c r="FX94" s="896"/>
      <c r="FY94" s="896"/>
      <c r="FZ94" s="896"/>
      <c r="GA94" s="896"/>
      <c r="GB94" s="896"/>
      <c r="GC94" s="896"/>
      <c r="GD94" s="896"/>
      <c r="GE94" s="896"/>
      <c r="GF94" s="896"/>
      <c r="GG94" s="896"/>
      <c r="GH94" s="896"/>
      <c r="GI94" s="896"/>
      <c r="GJ94" s="896"/>
      <c r="GK94" s="896"/>
      <c r="GL94" s="896"/>
      <c r="GM94" s="896"/>
      <c r="GN94" s="896"/>
      <c r="GO94" s="896"/>
      <c r="GP94" s="896"/>
      <c r="GQ94" s="896"/>
      <c r="GR94" s="896"/>
      <c r="GS94" s="896"/>
      <c r="GT94" s="896"/>
      <c r="GU94" s="896"/>
      <c r="GV94" s="896"/>
      <c r="GW94" s="896"/>
      <c r="GX94" s="896"/>
      <c r="GY94" s="896"/>
      <c r="GZ94" s="896"/>
      <c r="HA94" s="896"/>
      <c r="HB94" s="896"/>
      <c r="HC94" s="896"/>
      <c r="HD94" s="896"/>
      <c r="HE94" s="896"/>
      <c r="HF94" s="896"/>
      <c r="HG94" s="896"/>
      <c r="HH94" s="896"/>
      <c r="HI94" s="896"/>
      <c r="HJ94" s="896"/>
      <c r="HK94" s="896"/>
      <c r="HL94" s="896"/>
      <c r="HM94" s="896"/>
      <c r="HN94" s="896"/>
      <c r="HO94" s="896"/>
      <c r="HP94" s="896"/>
      <c r="HQ94" s="896"/>
      <c r="HR94" s="896"/>
      <c r="HS94" s="896"/>
      <c r="HT94" s="896"/>
      <c r="HU94" s="896"/>
      <c r="HV94" s="896"/>
      <c r="HW94" s="896"/>
      <c r="HX94" s="896"/>
      <c r="HY94" s="896"/>
      <c r="HZ94" s="896"/>
      <c r="IA94" s="896"/>
      <c r="IB94" s="896"/>
      <c r="IC94" s="896"/>
      <c r="ID94" s="896"/>
      <c r="IE94" s="896"/>
      <c r="IF94" s="896"/>
      <c r="IG94" s="896"/>
      <c r="IH94" s="896"/>
      <c r="II94" s="896"/>
      <c r="IJ94" s="896"/>
      <c r="IK94" s="896"/>
      <c r="IL94" s="896"/>
      <c r="IM94" s="896"/>
      <c r="IN94" s="896"/>
      <c r="IO94" s="896"/>
      <c r="IP94" s="896"/>
      <c r="IQ94" s="896"/>
      <c r="IR94" s="896"/>
      <c r="IS94" s="896"/>
      <c r="IT94" s="896"/>
      <c r="IU94" s="896"/>
      <c r="IV94" s="896"/>
      <c r="IW94" s="896"/>
      <c r="IX94" s="896"/>
      <c r="IY94" s="896"/>
      <c r="IZ94" s="896"/>
      <c r="JA94" s="896"/>
      <c r="JB94" s="896"/>
      <c r="JC94" s="896"/>
      <c r="JD94" s="896"/>
      <c r="JE94" s="896"/>
      <c r="JF94" s="896"/>
      <c r="JG94" s="896"/>
      <c r="JH94" s="896"/>
      <c r="JI94" s="896"/>
      <c r="JJ94" s="896"/>
      <c r="JK94" s="896"/>
      <c r="JL94" s="896"/>
      <c r="JM94" s="896"/>
      <c r="JN94" s="896"/>
      <c r="JO94" s="896"/>
      <c r="JP94" s="896"/>
      <c r="JQ94" s="896"/>
      <c r="JR94" s="896"/>
      <c r="JS94" s="896"/>
      <c r="JT94" s="896"/>
      <c r="JU94" s="896"/>
      <c r="JV94" s="896"/>
      <c r="JW94" s="896"/>
      <c r="JX94" s="896"/>
      <c r="JY94" s="896"/>
      <c r="JZ94" s="896"/>
      <c r="KA94" s="896"/>
      <c r="KB94" s="896"/>
      <c r="KC94" s="896"/>
      <c r="KD94" s="896"/>
      <c r="KE94" s="896"/>
      <c r="KF94" s="896"/>
      <c r="KG94" s="896"/>
      <c r="KH94" s="896"/>
      <c r="KI94" s="896"/>
      <c r="KJ94" s="896"/>
      <c r="KK94" s="896"/>
      <c r="KL94" s="896"/>
      <c r="KM94" s="896"/>
      <c r="KN94" s="896"/>
      <c r="KO94" s="896"/>
      <c r="KP94" s="896"/>
      <c r="KQ94" s="896"/>
      <c r="KR94" s="896"/>
      <c r="KS94" s="896"/>
      <c r="KT94" s="896"/>
      <c r="KU94" s="896"/>
      <c r="KV94" s="896"/>
      <c r="KW94" s="896"/>
      <c r="KX94" s="896"/>
      <c r="KY94" s="896"/>
      <c r="KZ94" s="896"/>
      <c r="LA94" s="896"/>
      <c r="LB94" s="896"/>
      <c r="LC94" s="896"/>
      <c r="LD94" s="896"/>
      <c r="LE94" s="896"/>
      <c r="LF94" s="896"/>
      <c r="LG94" s="896"/>
      <c r="LH94" s="896"/>
      <c r="LI94" s="896"/>
      <c r="LJ94" s="896"/>
      <c r="LK94" s="896"/>
      <c r="LL94" s="896"/>
      <c r="LM94" s="897"/>
    </row>
    <row r="95" spans="1:325">
      <c r="A95" s="310"/>
      <c r="B95" s="364" t="s">
        <v>567</v>
      </c>
      <c r="C95" s="365" t="s">
        <v>441</v>
      </c>
      <c r="D95" s="380">
        <f ca="1">SUMIF($F$6:$LM$6,"&lt;="&amp;PAL,$F95:$LM95)</f>
        <v>11010940.4630432</v>
      </c>
      <c r="E95" s="367">
        <f ca="1">IFERROR(D96/D95,"")</f>
        <v>1</v>
      </c>
      <c r="F95" s="890">
        <f ca="1">IFERROR(HLOOKUP(F$7,Rezultatai!$H$40:$DC$118,79,FALSE),0)</f>
        <v>0</v>
      </c>
      <c r="G95" s="888"/>
      <c r="H95" s="888"/>
      <c r="I95" s="889"/>
      <c r="J95" s="893">
        <f ca="1">IFERROR(HLOOKUP(J$7,Rezultatai!$H$40:$DC$118,79,FALSE),0)</f>
        <v>3387980.7675319999</v>
      </c>
      <c r="K95" s="888"/>
      <c r="L95" s="888"/>
      <c r="M95" s="889"/>
      <c r="N95" s="893">
        <f ca="1">IFERROR(HLOOKUP(N$7,Rezultatai!$H$40:$DC$118,79,FALSE),0)</f>
        <v>3377730.2703541331</v>
      </c>
      <c r="O95" s="888"/>
      <c r="P95" s="888"/>
      <c r="Q95" s="889"/>
      <c r="R95" s="893">
        <f ca="1">IFERROR(HLOOKUP(R$7,Rezultatai!$H$40:$DC$118,79,FALSE),0)</f>
        <v>4210729.4251570664</v>
      </c>
      <c r="S95" s="888"/>
      <c r="T95" s="888"/>
      <c r="U95" s="889"/>
      <c r="V95" s="893">
        <f ca="1">IFERROR(HLOOKUP(V$7,Rezultatai!$H$40:$DC$118,79,FALSE),0)</f>
        <v>5000</v>
      </c>
      <c r="W95" s="888"/>
      <c r="X95" s="888"/>
      <c r="Y95" s="889"/>
      <c r="Z95" s="893">
        <f ca="1">IFERROR(HLOOKUP(Z$7,Rezultatai!$H$40:$DC$118,79,FALSE),0)</f>
        <v>25000</v>
      </c>
      <c r="AA95" s="888"/>
      <c r="AB95" s="888"/>
      <c r="AC95" s="889"/>
      <c r="AD95" s="893">
        <f ca="1">IFERROR(HLOOKUP(AD$7,Rezultatai!$H$40:$DC$118,79,FALSE),0)</f>
        <v>4500</v>
      </c>
      <c r="AE95" s="888"/>
      <c r="AF95" s="888"/>
      <c r="AG95" s="889"/>
      <c r="AH95" s="893">
        <f ca="1">IFERROR(HLOOKUP(AH$7,Rezultatai!$H$40:$DC$118,79,FALSE),0)</f>
        <v>0</v>
      </c>
      <c r="AI95" s="888"/>
      <c r="AJ95" s="888"/>
      <c r="AK95" s="889"/>
      <c r="AL95" s="893">
        <f ca="1">IFERROR(HLOOKUP(AL$7,Rezultatai!$H$40:$DC$118,79,FALSE),0)</f>
        <v>0</v>
      </c>
      <c r="AM95" s="888"/>
      <c r="AN95" s="888"/>
      <c r="AO95" s="889"/>
      <c r="AP95" s="893">
        <f ca="1">IFERROR(HLOOKUP(AP$7,Rezultatai!$H$40:$DC$118,79,FALSE),0)</f>
        <v>0</v>
      </c>
      <c r="AQ95" s="888"/>
      <c r="AR95" s="888"/>
      <c r="AS95" s="889"/>
      <c r="AT95" s="893">
        <f ca="1">IFERROR(HLOOKUP(AT$7,Rezultatai!$H$40:$DC$118,79,FALSE),0)</f>
        <v>0</v>
      </c>
      <c r="AU95" s="888"/>
      <c r="AV95" s="888"/>
      <c r="AW95" s="889"/>
      <c r="AX95" s="893">
        <f ca="1">IFERROR(HLOOKUP(AX$7,Rezultatai!$H$40:$DC$118,79,FALSE),0)</f>
        <v>0</v>
      </c>
      <c r="AY95" s="888"/>
      <c r="AZ95" s="888"/>
      <c r="BA95" s="889"/>
      <c r="BB95" s="893">
        <f ca="1">IFERROR(HLOOKUP(BB$7,Rezultatai!$H$40:$DC$118,79,FALSE),0)</f>
        <v>0</v>
      </c>
      <c r="BC95" s="888"/>
      <c r="BD95" s="888"/>
      <c r="BE95" s="889"/>
      <c r="BF95" s="893">
        <f ca="1">IFERROR(HLOOKUP(BF$7,Rezultatai!$H$40:$DC$118,79,FALSE),0)</f>
        <v>0</v>
      </c>
      <c r="BG95" s="888"/>
      <c r="BH95" s="888"/>
      <c r="BI95" s="889"/>
      <c r="BJ95" s="893">
        <f ca="1">IFERROR(HLOOKUP(BJ$7,Rezultatai!$H$40:$DC$118,79,FALSE),0)</f>
        <v>0</v>
      </c>
      <c r="BK95" s="888"/>
      <c r="BL95" s="888"/>
      <c r="BM95" s="889"/>
      <c r="BN95" s="893">
        <f ca="1">IFERROR(HLOOKUP(BN$7,Rezultatai!$H$40:$DC$118,79,FALSE),0)</f>
        <v>0</v>
      </c>
      <c r="BO95" s="888"/>
      <c r="BP95" s="888"/>
      <c r="BQ95" s="889"/>
      <c r="BR95" s="893">
        <f ca="1">IFERROR(HLOOKUP(BR$7,Rezultatai!$H$40:$DC$118,79,FALSE),0)</f>
        <v>0</v>
      </c>
      <c r="BS95" s="888"/>
      <c r="BT95" s="888"/>
      <c r="BU95" s="889"/>
      <c r="BV95" s="893">
        <f ca="1">IFERROR(HLOOKUP(BV$7,Rezultatai!$H$40:$DC$118,79,FALSE),0)</f>
        <v>0</v>
      </c>
      <c r="BW95" s="888"/>
      <c r="BX95" s="888"/>
      <c r="BY95" s="889"/>
      <c r="BZ95" s="893">
        <f ca="1">IFERROR(HLOOKUP(BZ$7,Rezultatai!$H$40:$DC$118,79,FALSE),0)</f>
        <v>0</v>
      </c>
      <c r="CA95" s="888"/>
      <c r="CB95" s="888"/>
      <c r="CC95" s="889"/>
      <c r="CD95" s="893">
        <f ca="1">IFERROR(HLOOKUP(CD$7,Rezultatai!$H$40:$DC$118,79,FALSE),0)</f>
        <v>0</v>
      </c>
      <c r="CE95" s="888"/>
      <c r="CF95" s="888"/>
      <c r="CG95" s="889"/>
      <c r="CH95" s="893">
        <f ca="1">IFERROR(HLOOKUP(CH$7,Rezultatai!$H$40:$DC$118,79,FALSE),0)</f>
        <v>0</v>
      </c>
      <c r="CI95" s="888"/>
      <c r="CJ95" s="888"/>
      <c r="CK95" s="889"/>
      <c r="CL95" s="893">
        <f ca="1">IFERROR(HLOOKUP(CL$7,Rezultatai!$H$40:$DC$118,79,FALSE),0)</f>
        <v>0</v>
      </c>
      <c r="CM95" s="888"/>
      <c r="CN95" s="888"/>
      <c r="CO95" s="889"/>
      <c r="CP95" s="893">
        <f ca="1">IFERROR(HLOOKUP(CP$7,Rezultatai!$H$40:$DC$118,79,FALSE),0)</f>
        <v>0</v>
      </c>
      <c r="CQ95" s="888"/>
      <c r="CR95" s="888"/>
      <c r="CS95" s="889"/>
      <c r="CT95" s="893">
        <f ca="1">IFERROR(HLOOKUP(CT$7,Rezultatai!$H$40:$DC$118,79,FALSE),0)</f>
        <v>0</v>
      </c>
      <c r="CU95" s="888"/>
      <c r="CV95" s="888"/>
      <c r="CW95" s="889"/>
      <c r="CX95" s="893">
        <f ca="1">IFERROR(HLOOKUP(CX$7,Rezultatai!$H$40:$DC$118,79,FALSE),0)</f>
        <v>0</v>
      </c>
      <c r="CY95" s="888"/>
      <c r="CZ95" s="888"/>
      <c r="DA95" s="889"/>
      <c r="DB95" s="893">
        <f ca="1">IFERROR(HLOOKUP(DB$7,Rezultatai!$H$40:$DC$118,79,FALSE),0)</f>
        <v>0</v>
      </c>
      <c r="DC95" s="888"/>
      <c r="DD95" s="888"/>
      <c r="DE95" s="889"/>
      <c r="DF95" s="893">
        <f ca="1">IFERROR(HLOOKUP(DF$7,Rezultatai!$H$40:$DC$118,79,FALSE),0)</f>
        <v>0</v>
      </c>
      <c r="DG95" s="888"/>
      <c r="DH95" s="888"/>
      <c r="DI95" s="889"/>
      <c r="DJ95" s="893">
        <f ca="1">IFERROR(HLOOKUP(DJ$7,Rezultatai!$H$40:$DC$118,79,FALSE),0)</f>
        <v>0</v>
      </c>
      <c r="DK95" s="888"/>
      <c r="DL95" s="888"/>
      <c r="DM95" s="889"/>
      <c r="DN95" s="893">
        <f ca="1">IFERROR(HLOOKUP(DN$7,Rezultatai!$H$40:$DC$118,79,FALSE),0)</f>
        <v>0</v>
      </c>
      <c r="DO95" s="888"/>
      <c r="DP95" s="888"/>
      <c r="DQ95" s="889"/>
      <c r="DR95" s="893">
        <f ca="1">IFERROR(HLOOKUP(DR$7,Rezultatai!$H$40:$DC$118,79,FALSE),0)</f>
        <v>0</v>
      </c>
      <c r="DS95" s="888"/>
      <c r="DT95" s="888"/>
      <c r="DU95" s="889"/>
      <c r="DV95" s="893">
        <f ca="1">IFERROR(HLOOKUP(DV$7,Rezultatai!$H$40:$DC$118,79,FALSE),0)</f>
        <v>0</v>
      </c>
      <c r="DW95" s="888"/>
      <c r="DX95" s="888"/>
      <c r="DY95" s="889"/>
      <c r="DZ95" s="893">
        <f ca="1">IFERROR(HLOOKUP(DZ$7,Rezultatai!$H$40:$DC$118,79,FALSE),0)</f>
        <v>0</v>
      </c>
      <c r="EA95" s="888"/>
      <c r="EB95" s="888"/>
      <c r="EC95" s="889"/>
      <c r="ED95" s="893">
        <f ca="1">IFERROR(HLOOKUP(ED$7,Rezultatai!$H$40:$DC$118,79,FALSE),0)</f>
        <v>0</v>
      </c>
      <c r="EE95" s="888"/>
      <c r="EF95" s="888"/>
      <c r="EG95" s="889"/>
      <c r="EH95" s="893">
        <f ca="1">IFERROR(HLOOKUP(EH$7,Rezultatai!$H$40:$DC$118,79,FALSE),0)</f>
        <v>0</v>
      </c>
      <c r="EI95" s="888"/>
      <c r="EJ95" s="888"/>
      <c r="EK95" s="889"/>
      <c r="EL95" s="893">
        <f ca="1">IFERROR(HLOOKUP(EL$7,Rezultatai!$H$40:$DC$118,79,FALSE),0)</f>
        <v>0</v>
      </c>
      <c r="EM95" s="888"/>
      <c r="EN95" s="888"/>
      <c r="EO95" s="889"/>
      <c r="EP95" s="893">
        <f ca="1">IFERROR(HLOOKUP(EP$7,Rezultatai!$H$40:$DC$118,79,FALSE),0)</f>
        <v>0</v>
      </c>
      <c r="EQ95" s="888"/>
      <c r="ER95" s="888"/>
      <c r="ES95" s="889"/>
      <c r="ET95" s="893">
        <f ca="1">IFERROR(HLOOKUP(ET$7,Rezultatai!$H$40:$DC$118,79,FALSE),0)</f>
        <v>0</v>
      </c>
      <c r="EU95" s="888"/>
      <c r="EV95" s="888"/>
      <c r="EW95" s="889"/>
      <c r="EX95" s="893">
        <f ca="1">IFERROR(HLOOKUP(EX$7,Rezultatai!$H$40:$DC$118,79,FALSE),0)</f>
        <v>0</v>
      </c>
      <c r="EY95" s="888"/>
      <c r="EZ95" s="888"/>
      <c r="FA95" s="889"/>
      <c r="FB95" s="893">
        <f ca="1">IFERROR(HLOOKUP(FB$7,Rezultatai!$H$40:$DC$118,79,FALSE),0)</f>
        <v>0</v>
      </c>
      <c r="FC95" s="888"/>
      <c r="FD95" s="888"/>
      <c r="FE95" s="889"/>
      <c r="FF95" s="893">
        <f ca="1">IFERROR(HLOOKUP(FF$7,Rezultatai!$H$40:$DC$118,79,FALSE),0)</f>
        <v>0</v>
      </c>
      <c r="FG95" s="888"/>
      <c r="FH95" s="888"/>
      <c r="FI95" s="889"/>
      <c r="FJ95" s="893">
        <f ca="1">IFERROR(HLOOKUP(FJ$7,Rezultatai!$H$40:$DC$118,79,FALSE),0)</f>
        <v>0</v>
      </c>
      <c r="FK95" s="888"/>
      <c r="FL95" s="888"/>
      <c r="FM95" s="889"/>
      <c r="FN95" s="893">
        <f ca="1">IFERROR(HLOOKUP(FN$7,Rezultatai!$H$40:$DC$118,79,FALSE),0)</f>
        <v>0</v>
      </c>
      <c r="FO95" s="888"/>
      <c r="FP95" s="888"/>
      <c r="FQ95" s="889"/>
      <c r="FR95" s="893">
        <f ca="1">IFERROR(HLOOKUP(FR$7,Rezultatai!$H$40:$DC$118,79,FALSE),0)</f>
        <v>0</v>
      </c>
      <c r="FS95" s="888"/>
      <c r="FT95" s="888"/>
      <c r="FU95" s="889"/>
      <c r="FV95" s="893">
        <f ca="1">IFERROR(HLOOKUP(FV$7,Rezultatai!$H$40:$DC$118,79,FALSE),0)</f>
        <v>0</v>
      </c>
      <c r="FW95" s="888"/>
      <c r="FX95" s="888"/>
      <c r="FY95" s="889"/>
      <c r="FZ95" s="893">
        <f ca="1">IFERROR(HLOOKUP(FZ$7,Rezultatai!$H$40:$DC$118,79,FALSE),0)</f>
        <v>0</v>
      </c>
      <c r="GA95" s="888"/>
      <c r="GB95" s="888"/>
      <c r="GC95" s="889"/>
      <c r="GD95" s="893">
        <f ca="1">IFERROR(HLOOKUP(GD$7,Rezultatai!$H$40:$DC$118,79,FALSE),0)</f>
        <v>0</v>
      </c>
      <c r="GE95" s="888"/>
      <c r="GF95" s="888"/>
      <c r="GG95" s="889"/>
      <c r="GH95" s="893">
        <f ca="1">IFERROR(HLOOKUP(GH$7,Rezultatai!$H$40:$DC$118,79,FALSE),0)</f>
        <v>0</v>
      </c>
      <c r="GI95" s="888"/>
      <c r="GJ95" s="888"/>
      <c r="GK95" s="889"/>
      <c r="GL95" s="893">
        <f ca="1">IFERROR(HLOOKUP(GL$7,Rezultatai!$H$40:$DC$118,79,FALSE),0)</f>
        <v>0</v>
      </c>
      <c r="GM95" s="888"/>
      <c r="GN95" s="888"/>
      <c r="GO95" s="889"/>
      <c r="GP95" s="893">
        <f ca="1">IFERROR(HLOOKUP(GP$7,Rezultatai!$H$40:$DC$118,79,FALSE),0)</f>
        <v>0</v>
      </c>
      <c r="GQ95" s="888"/>
      <c r="GR95" s="888"/>
      <c r="GS95" s="889"/>
      <c r="GT95" s="893">
        <f ca="1">IFERROR(HLOOKUP(GT$7,Rezultatai!$H$40:$DC$118,79,FALSE),0)</f>
        <v>0</v>
      </c>
      <c r="GU95" s="888"/>
      <c r="GV95" s="888"/>
      <c r="GW95" s="889"/>
      <c r="GX95" s="893">
        <f ca="1">IFERROR(HLOOKUP(GX$7,Rezultatai!$H$40:$DC$118,79,FALSE),0)</f>
        <v>0</v>
      </c>
      <c r="GY95" s="888"/>
      <c r="GZ95" s="888"/>
      <c r="HA95" s="889"/>
      <c r="HB95" s="893">
        <f ca="1">IFERROR(HLOOKUP(HB$7,Rezultatai!$H$40:$DC$118,79,FALSE),0)</f>
        <v>0</v>
      </c>
      <c r="HC95" s="888"/>
      <c r="HD95" s="888"/>
      <c r="HE95" s="889"/>
      <c r="HF95" s="893">
        <f ca="1">IFERROR(HLOOKUP(HF$7,Rezultatai!$H$40:$DC$118,79,FALSE),0)</f>
        <v>0</v>
      </c>
      <c r="HG95" s="888"/>
      <c r="HH95" s="888"/>
      <c r="HI95" s="889"/>
      <c r="HJ95" s="893">
        <f ca="1">IFERROR(HLOOKUP(HJ$7,Rezultatai!$H$40:$DC$118,79,FALSE),0)</f>
        <v>0</v>
      </c>
      <c r="HK95" s="888"/>
      <c r="HL95" s="888"/>
      <c r="HM95" s="889"/>
      <c r="HN95" s="893">
        <f ca="1">IFERROR(HLOOKUP(HN$7,Rezultatai!$H$40:$DC$118,79,FALSE),0)</f>
        <v>0</v>
      </c>
      <c r="HO95" s="888"/>
      <c r="HP95" s="888"/>
      <c r="HQ95" s="889"/>
      <c r="HR95" s="893">
        <f ca="1">IFERROR(HLOOKUP(HR$7,Rezultatai!$H$40:$DC$118,79,FALSE),0)</f>
        <v>0</v>
      </c>
      <c r="HS95" s="888"/>
      <c r="HT95" s="888"/>
      <c r="HU95" s="889"/>
      <c r="HV95" s="893">
        <f ca="1">IFERROR(HLOOKUP(HV$7,Rezultatai!$H$40:$DC$118,79,FALSE),0)</f>
        <v>0</v>
      </c>
      <c r="HW95" s="888"/>
      <c r="HX95" s="888"/>
      <c r="HY95" s="889"/>
      <c r="HZ95" s="893">
        <f ca="1">IFERROR(HLOOKUP(HZ$7,Rezultatai!$H$40:$DC$118,79,FALSE),0)</f>
        <v>0</v>
      </c>
      <c r="IA95" s="888"/>
      <c r="IB95" s="888"/>
      <c r="IC95" s="889"/>
      <c r="ID95" s="893">
        <f ca="1">IFERROR(HLOOKUP(ID$7,Rezultatai!$H$40:$DC$118,79,FALSE),0)</f>
        <v>0</v>
      </c>
      <c r="IE95" s="888"/>
      <c r="IF95" s="888"/>
      <c r="IG95" s="889"/>
      <c r="IH95" s="893">
        <f ca="1">IFERROR(HLOOKUP(IH$7,Rezultatai!$H$40:$DC$118,79,FALSE),0)</f>
        <v>0</v>
      </c>
      <c r="II95" s="888"/>
      <c r="IJ95" s="888"/>
      <c r="IK95" s="889"/>
      <c r="IL95" s="893">
        <f ca="1">IFERROR(HLOOKUP(IL$7,Rezultatai!$H$40:$DC$118,79,FALSE),0)</f>
        <v>0</v>
      </c>
      <c r="IM95" s="888"/>
      <c r="IN95" s="888"/>
      <c r="IO95" s="889"/>
      <c r="IP95" s="893">
        <f ca="1">IFERROR(HLOOKUP(IP$7,Rezultatai!$H$40:$DC$118,79,FALSE),0)</f>
        <v>0</v>
      </c>
      <c r="IQ95" s="888"/>
      <c r="IR95" s="888"/>
      <c r="IS95" s="889"/>
      <c r="IT95" s="893">
        <f ca="1">IFERROR(HLOOKUP(IT$7,Rezultatai!$H$40:$DC$118,79,FALSE),0)</f>
        <v>0</v>
      </c>
      <c r="IU95" s="888"/>
      <c r="IV95" s="888"/>
      <c r="IW95" s="889"/>
      <c r="IX95" s="893">
        <f ca="1">IFERROR(HLOOKUP(IX$7,Rezultatai!$H$40:$DC$118,79,FALSE),0)</f>
        <v>0</v>
      </c>
      <c r="IY95" s="888"/>
      <c r="IZ95" s="888"/>
      <c r="JA95" s="889"/>
      <c r="JB95" s="893">
        <f ca="1">IFERROR(HLOOKUP(JB$7,Rezultatai!$H$40:$DC$118,79,FALSE),0)</f>
        <v>0</v>
      </c>
      <c r="JC95" s="888"/>
      <c r="JD95" s="888"/>
      <c r="JE95" s="889"/>
      <c r="JF95" s="893">
        <f ca="1">IFERROR(HLOOKUP(JF$7,Rezultatai!$H$40:$DC$118,79,FALSE),0)</f>
        <v>0</v>
      </c>
      <c r="JG95" s="888"/>
      <c r="JH95" s="888"/>
      <c r="JI95" s="889"/>
      <c r="JJ95" s="893">
        <f ca="1">IFERROR(HLOOKUP(JJ$7,Rezultatai!$H$40:$DC$118,79,FALSE),0)</f>
        <v>0</v>
      </c>
      <c r="JK95" s="888"/>
      <c r="JL95" s="888"/>
      <c r="JM95" s="889"/>
      <c r="JN95" s="893">
        <f ca="1">IFERROR(HLOOKUP(JN$7,Rezultatai!$H$40:$DC$118,79,FALSE),0)</f>
        <v>0</v>
      </c>
      <c r="JO95" s="888"/>
      <c r="JP95" s="888"/>
      <c r="JQ95" s="889"/>
      <c r="JR95" s="893">
        <f ca="1">IFERROR(HLOOKUP(JR$7,Rezultatai!$H$40:$DC$118,79,FALSE),0)</f>
        <v>0</v>
      </c>
      <c r="JS95" s="888"/>
      <c r="JT95" s="888"/>
      <c r="JU95" s="889"/>
      <c r="JV95" s="893">
        <f ca="1">IFERROR(HLOOKUP(JV$7,Rezultatai!$H$40:$DC$118,79,FALSE),0)</f>
        <v>0</v>
      </c>
      <c r="JW95" s="888"/>
      <c r="JX95" s="888"/>
      <c r="JY95" s="889"/>
      <c r="JZ95" s="893">
        <f ca="1">IFERROR(HLOOKUP(JZ$7,Rezultatai!$H$40:$DC$118,79,FALSE),0)</f>
        <v>0</v>
      </c>
      <c r="KA95" s="888"/>
      <c r="KB95" s="888"/>
      <c r="KC95" s="889"/>
      <c r="KD95" s="893">
        <f ca="1">IFERROR(HLOOKUP(KD$7,Rezultatai!$H$40:$DC$118,79,FALSE),0)</f>
        <v>0</v>
      </c>
      <c r="KE95" s="888"/>
      <c r="KF95" s="888"/>
      <c r="KG95" s="889"/>
      <c r="KH95" s="893">
        <f ca="1">IFERROR(HLOOKUP(KH$7,Rezultatai!$H$40:$DC$118,79,FALSE),0)</f>
        <v>0</v>
      </c>
      <c r="KI95" s="888"/>
      <c r="KJ95" s="888"/>
      <c r="KK95" s="889"/>
      <c r="KL95" s="893">
        <f ca="1">IFERROR(HLOOKUP(KL$7,Rezultatai!$H$40:$DC$118,79,FALSE),0)</f>
        <v>0</v>
      </c>
      <c r="KM95" s="888"/>
      <c r="KN95" s="888"/>
      <c r="KO95" s="889"/>
      <c r="KP95" s="893">
        <f ca="1">IFERROR(HLOOKUP(KP$7,Rezultatai!$H$40:$DC$118,79,FALSE),0)</f>
        <v>0</v>
      </c>
      <c r="KQ95" s="888"/>
      <c r="KR95" s="888"/>
      <c r="KS95" s="889"/>
      <c r="KT95" s="893">
        <f ca="1">IFERROR(HLOOKUP(KT$7,Rezultatai!$H$40:$DC$118,79,FALSE),0)</f>
        <v>0</v>
      </c>
      <c r="KU95" s="888"/>
      <c r="KV95" s="888"/>
      <c r="KW95" s="889"/>
      <c r="KX95" s="893">
        <f ca="1">IFERROR(HLOOKUP(KX$7,Rezultatai!$H$40:$DC$118,79,FALSE),0)</f>
        <v>0</v>
      </c>
      <c r="KY95" s="888"/>
      <c r="KZ95" s="888"/>
      <c r="LA95" s="889"/>
      <c r="LB95" s="893">
        <f ca="1">IFERROR(HLOOKUP(LB$7,Rezultatai!$H$40:$DC$118,79,FALSE),0)</f>
        <v>0</v>
      </c>
      <c r="LC95" s="888"/>
      <c r="LD95" s="888"/>
      <c r="LE95" s="889"/>
      <c r="LF95" s="893">
        <f ca="1">IFERROR(HLOOKUP(LF$7,Rezultatai!$H$40:$DC$118,79,FALSE),0)</f>
        <v>0</v>
      </c>
      <c r="LG95" s="888"/>
      <c r="LH95" s="888"/>
      <c r="LI95" s="889"/>
      <c r="LJ95" s="893">
        <f ca="1">IFERROR(HLOOKUP(LJ$7,Rezultatai!$H$40:$DC$118,79,FALSE),0)</f>
        <v>0</v>
      </c>
      <c r="LK95" s="888"/>
      <c r="LL95" s="888"/>
      <c r="LM95" s="889"/>
    </row>
    <row r="96" spans="1:325">
      <c r="A96" s="310"/>
      <c r="B96" s="368" t="s">
        <v>568</v>
      </c>
      <c r="C96" s="369" t="s">
        <v>440</v>
      </c>
      <c r="D96" s="370">
        <f ca="1">SUM(F96:LM96)</f>
        <v>11010940.4630432</v>
      </c>
      <c r="E96" s="371">
        <f ca="1">SUM(E97,E100,E103,E106,E109)</f>
        <v>1</v>
      </c>
      <c r="F96" s="894">
        <f>SUM(F97,F100,F103,F106,F109)</f>
        <v>0</v>
      </c>
      <c r="G96" s="892"/>
      <c r="H96" s="892"/>
      <c r="I96" s="892"/>
      <c r="J96" s="891">
        <f ca="1">SUM(J97,J100,J103,J106,J109)</f>
        <v>3387980.7675319999</v>
      </c>
      <c r="K96" s="892"/>
      <c r="L96" s="892"/>
      <c r="M96" s="892"/>
      <c r="N96" s="891">
        <f ca="1">SUM(N97,N100,N103,N106,N109)</f>
        <v>3377730.2703541331</v>
      </c>
      <c r="O96" s="892"/>
      <c r="P96" s="892"/>
      <c r="Q96" s="892"/>
      <c r="R96" s="891">
        <f ca="1">SUM(R97,R100,R103,R106,R109)</f>
        <v>4210729.4251570664</v>
      </c>
      <c r="S96" s="892"/>
      <c r="T96" s="892"/>
      <c r="U96" s="892"/>
      <c r="V96" s="891">
        <f ca="1">SUM(V97,V100,V103,V106,V109)</f>
        <v>5000</v>
      </c>
      <c r="W96" s="892"/>
      <c r="X96" s="892"/>
      <c r="Y96" s="892"/>
      <c r="Z96" s="891">
        <f ca="1">SUM(Z97,Z100,Z103,Z106,Z109)</f>
        <v>25000</v>
      </c>
      <c r="AA96" s="892"/>
      <c r="AB96" s="892"/>
      <c r="AC96" s="892"/>
      <c r="AD96" s="891">
        <f ca="1">SUM(AD97,AD100,AD103,AD106,AD109)</f>
        <v>4500</v>
      </c>
      <c r="AE96" s="892"/>
      <c r="AF96" s="892"/>
      <c r="AG96" s="892"/>
      <c r="AH96" s="891">
        <f>SUM(AH97,AH100,AH103,AH106,AH109)</f>
        <v>0</v>
      </c>
      <c r="AI96" s="892"/>
      <c r="AJ96" s="892"/>
      <c r="AK96" s="892"/>
      <c r="AL96" s="891">
        <f>SUM(AL97,AL100,AL103,AL106,AL109)</f>
        <v>0</v>
      </c>
      <c r="AM96" s="892"/>
      <c r="AN96" s="892"/>
      <c r="AO96" s="892"/>
      <c r="AP96" s="891">
        <f>SUM(AP97,AP100,AP103,AP106,AP109)</f>
        <v>0</v>
      </c>
      <c r="AQ96" s="892"/>
      <c r="AR96" s="892"/>
      <c r="AS96" s="892"/>
      <c r="AT96" s="891">
        <f>SUM(AT97,AT100,AT103,AT106,AT109)</f>
        <v>0</v>
      </c>
      <c r="AU96" s="892"/>
      <c r="AV96" s="892"/>
      <c r="AW96" s="892"/>
      <c r="AX96" s="891">
        <f>SUM(AX97,AX100,AX103,AX106,AX109)</f>
        <v>0</v>
      </c>
      <c r="AY96" s="892"/>
      <c r="AZ96" s="892"/>
      <c r="BA96" s="892"/>
      <c r="BB96" s="891">
        <f>SUM(BB97,BB100,BB103,BB106,BB109)</f>
        <v>0</v>
      </c>
      <c r="BC96" s="892"/>
      <c r="BD96" s="892"/>
      <c r="BE96" s="892"/>
      <c r="BF96" s="891">
        <f>SUM(BF97,BF100,BF103,BF106,BF109)</f>
        <v>0</v>
      </c>
      <c r="BG96" s="892"/>
      <c r="BH96" s="892"/>
      <c r="BI96" s="892"/>
      <c r="BJ96" s="891">
        <f>SUM(BJ97,BJ100,BJ103,BJ106,BJ109)</f>
        <v>0</v>
      </c>
      <c r="BK96" s="892"/>
      <c r="BL96" s="892"/>
      <c r="BM96" s="892"/>
      <c r="BN96" s="891">
        <f>SUM(BN97,BN100,BN103,BN106,BN109)</f>
        <v>0</v>
      </c>
      <c r="BO96" s="892"/>
      <c r="BP96" s="892"/>
      <c r="BQ96" s="892"/>
      <c r="BR96" s="891">
        <f>SUM(BR97,BR100,BR103,BR106,BR109)</f>
        <v>0</v>
      </c>
      <c r="BS96" s="892"/>
      <c r="BT96" s="892"/>
      <c r="BU96" s="892"/>
      <c r="BV96" s="891">
        <f>SUM(BV97,BV100,BV103,BV106,BV109)</f>
        <v>0</v>
      </c>
      <c r="BW96" s="892"/>
      <c r="BX96" s="892"/>
      <c r="BY96" s="892"/>
      <c r="BZ96" s="891">
        <f>SUM(BZ97,BZ100,BZ103,BZ106,BZ109)</f>
        <v>0</v>
      </c>
      <c r="CA96" s="892"/>
      <c r="CB96" s="892"/>
      <c r="CC96" s="892"/>
      <c r="CD96" s="891">
        <f>SUM(CD97,CD100,CD103,CD106,CD109)</f>
        <v>0</v>
      </c>
      <c r="CE96" s="892"/>
      <c r="CF96" s="892"/>
      <c r="CG96" s="892"/>
      <c r="CH96" s="891">
        <f>SUM(CH97,CH100,CH103,CH106,CH109)</f>
        <v>0</v>
      </c>
      <c r="CI96" s="892"/>
      <c r="CJ96" s="892"/>
      <c r="CK96" s="892"/>
      <c r="CL96" s="891">
        <f>SUM(CL97,CL100,CL103,CL106,CL109)</f>
        <v>0</v>
      </c>
      <c r="CM96" s="892"/>
      <c r="CN96" s="892"/>
      <c r="CO96" s="892"/>
      <c r="CP96" s="891">
        <f>SUM(CP97,CP100,CP103,CP106,CP109)</f>
        <v>0</v>
      </c>
      <c r="CQ96" s="892"/>
      <c r="CR96" s="892"/>
      <c r="CS96" s="892"/>
      <c r="CT96" s="891">
        <f>SUM(CT97,CT100,CT103,CT106,CT109)</f>
        <v>0</v>
      </c>
      <c r="CU96" s="892"/>
      <c r="CV96" s="892"/>
      <c r="CW96" s="892"/>
      <c r="CX96" s="891">
        <f>SUM(CX97,CX100,CX103,CX106,CX109)</f>
        <v>0</v>
      </c>
      <c r="CY96" s="892"/>
      <c r="CZ96" s="892"/>
      <c r="DA96" s="892"/>
      <c r="DB96" s="891">
        <f>SUM(DB97,DB100,DB103,DB106,DB109)</f>
        <v>0</v>
      </c>
      <c r="DC96" s="892"/>
      <c r="DD96" s="892"/>
      <c r="DE96" s="892"/>
      <c r="DF96" s="891">
        <f>SUM(DF97,DF100,DF103,DF106,DF109)</f>
        <v>0</v>
      </c>
      <c r="DG96" s="892"/>
      <c r="DH96" s="892"/>
      <c r="DI96" s="892"/>
      <c r="DJ96" s="891">
        <f>SUM(DJ97,DJ100,DJ103,DJ106,DJ109)</f>
        <v>0</v>
      </c>
      <c r="DK96" s="892"/>
      <c r="DL96" s="892"/>
      <c r="DM96" s="892"/>
      <c r="DN96" s="891">
        <f>SUM(DN97,DN100,DN103,DN106,DN109)</f>
        <v>0</v>
      </c>
      <c r="DO96" s="892"/>
      <c r="DP96" s="892"/>
      <c r="DQ96" s="892"/>
      <c r="DR96" s="891">
        <f>SUM(DR97,DR100,DR103,DR106,DR109)</f>
        <v>0</v>
      </c>
      <c r="DS96" s="892"/>
      <c r="DT96" s="892"/>
      <c r="DU96" s="892"/>
      <c r="DV96" s="891">
        <f>SUM(DV97,DV100,DV103,DV106,DV109)</f>
        <v>0</v>
      </c>
      <c r="DW96" s="892"/>
      <c r="DX96" s="892"/>
      <c r="DY96" s="892"/>
      <c r="DZ96" s="891">
        <f>SUM(DZ97,DZ100,DZ103,DZ106,DZ109)</f>
        <v>0</v>
      </c>
      <c r="EA96" s="892"/>
      <c r="EB96" s="892"/>
      <c r="EC96" s="892"/>
      <c r="ED96" s="891">
        <f>SUM(ED97,ED100,ED103,ED106,ED109)</f>
        <v>0</v>
      </c>
      <c r="EE96" s="892"/>
      <c r="EF96" s="892"/>
      <c r="EG96" s="892"/>
      <c r="EH96" s="891">
        <f>SUM(EH97,EH100,EH103,EH106,EH109)</f>
        <v>0</v>
      </c>
      <c r="EI96" s="892"/>
      <c r="EJ96" s="892"/>
      <c r="EK96" s="892"/>
      <c r="EL96" s="891">
        <f>SUM(EL97,EL100,EL103,EL106,EL109)</f>
        <v>0</v>
      </c>
      <c r="EM96" s="892"/>
      <c r="EN96" s="892"/>
      <c r="EO96" s="892"/>
      <c r="EP96" s="891">
        <f>SUM(EP97,EP100,EP103,EP106,EP109)</f>
        <v>0</v>
      </c>
      <c r="EQ96" s="892"/>
      <c r="ER96" s="892"/>
      <c r="ES96" s="892"/>
      <c r="ET96" s="891">
        <f>SUM(ET97,ET100,ET103,ET106,ET109)</f>
        <v>0</v>
      </c>
      <c r="EU96" s="892"/>
      <c r="EV96" s="892"/>
      <c r="EW96" s="892"/>
      <c r="EX96" s="891">
        <f>SUM(EX97,EX100,EX103,EX106,EX109)</f>
        <v>0</v>
      </c>
      <c r="EY96" s="892"/>
      <c r="EZ96" s="892"/>
      <c r="FA96" s="892"/>
      <c r="FB96" s="891">
        <f>SUM(FB97,FB100,FB103,FB106,FB109)</f>
        <v>0</v>
      </c>
      <c r="FC96" s="892"/>
      <c r="FD96" s="892"/>
      <c r="FE96" s="892"/>
      <c r="FF96" s="891">
        <f>SUM(FF97,FF100,FF103,FF106,FF109)</f>
        <v>0</v>
      </c>
      <c r="FG96" s="892"/>
      <c r="FH96" s="892"/>
      <c r="FI96" s="892"/>
      <c r="FJ96" s="891">
        <f>SUM(FJ97,FJ100,FJ103,FJ106,FJ109)</f>
        <v>0</v>
      </c>
      <c r="FK96" s="892"/>
      <c r="FL96" s="892"/>
      <c r="FM96" s="892"/>
      <c r="FN96" s="891">
        <f>SUM(FN97,FN100,FN103,FN106,FN109)</f>
        <v>0</v>
      </c>
      <c r="FO96" s="892"/>
      <c r="FP96" s="892"/>
      <c r="FQ96" s="892"/>
      <c r="FR96" s="891">
        <f>SUM(FR97,FR100,FR103,FR106,FR109)</f>
        <v>0</v>
      </c>
      <c r="FS96" s="892"/>
      <c r="FT96" s="892"/>
      <c r="FU96" s="892"/>
      <c r="FV96" s="891">
        <f>SUM(FV97,FV100,FV103,FV106,FV109)</f>
        <v>0</v>
      </c>
      <c r="FW96" s="892"/>
      <c r="FX96" s="892"/>
      <c r="FY96" s="892"/>
      <c r="FZ96" s="891">
        <f>SUM(FZ97,FZ100,FZ103,FZ106,FZ109)</f>
        <v>0</v>
      </c>
      <c r="GA96" s="892"/>
      <c r="GB96" s="892"/>
      <c r="GC96" s="892"/>
      <c r="GD96" s="891">
        <f>SUM(GD97,GD100,GD103,GD106,GD109)</f>
        <v>0</v>
      </c>
      <c r="GE96" s="892"/>
      <c r="GF96" s="892"/>
      <c r="GG96" s="892"/>
      <c r="GH96" s="891">
        <f>SUM(GH97,GH100,GH103,GH106,GH109)</f>
        <v>0</v>
      </c>
      <c r="GI96" s="892"/>
      <c r="GJ96" s="892"/>
      <c r="GK96" s="892"/>
      <c r="GL96" s="891">
        <f>SUM(GL97,GL100,GL103,GL106,GL109)</f>
        <v>0</v>
      </c>
      <c r="GM96" s="892"/>
      <c r="GN96" s="892"/>
      <c r="GO96" s="892"/>
      <c r="GP96" s="891">
        <f>SUM(GP97,GP100,GP103,GP106,GP109)</f>
        <v>0</v>
      </c>
      <c r="GQ96" s="892"/>
      <c r="GR96" s="892"/>
      <c r="GS96" s="892"/>
      <c r="GT96" s="891">
        <f>SUM(GT97,GT100,GT103,GT106,GT109)</f>
        <v>0</v>
      </c>
      <c r="GU96" s="892"/>
      <c r="GV96" s="892"/>
      <c r="GW96" s="892"/>
      <c r="GX96" s="891">
        <f>SUM(GX97,GX100,GX103,GX106,GX109)</f>
        <v>0</v>
      </c>
      <c r="GY96" s="892"/>
      <c r="GZ96" s="892"/>
      <c r="HA96" s="892"/>
      <c r="HB96" s="891">
        <f>SUM(HB97,HB100,HB103,HB106,HB109)</f>
        <v>0</v>
      </c>
      <c r="HC96" s="892"/>
      <c r="HD96" s="892"/>
      <c r="HE96" s="892"/>
      <c r="HF96" s="891">
        <f>SUM(HF97,HF100,HF103,HF106,HF109)</f>
        <v>0</v>
      </c>
      <c r="HG96" s="892"/>
      <c r="HH96" s="892"/>
      <c r="HI96" s="892"/>
      <c r="HJ96" s="891">
        <f>SUM(HJ97,HJ100,HJ103,HJ106,HJ109)</f>
        <v>0</v>
      </c>
      <c r="HK96" s="892"/>
      <c r="HL96" s="892"/>
      <c r="HM96" s="892"/>
      <c r="HN96" s="891">
        <f>SUM(HN97,HN100,HN103,HN106,HN109)</f>
        <v>0</v>
      </c>
      <c r="HO96" s="892"/>
      <c r="HP96" s="892"/>
      <c r="HQ96" s="892"/>
      <c r="HR96" s="891">
        <f>SUM(HR97,HR100,HR103,HR106,HR109)</f>
        <v>0</v>
      </c>
      <c r="HS96" s="892"/>
      <c r="HT96" s="892"/>
      <c r="HU96" s="892"/>
      <c r="HV96" s="891">
        <f>SUM(HV97,HV100,HV103,HV106,HV109)</f>
        <v>0</v>
      </c>
      <c r="HW96" s="892"/>
      <c r="HX96" s="892"/>
      <c r="HY96" s="892"/>
      <c r="HZ96" s="891">
        <f>SUM(HZ97,HZ100,HZ103,HZ106,HZ109)</f>
        <v>0</v>
      </c>
      <c r="IA96" s="892"/>
      <c r="IB96" s="892"/>
      <c r="IC96" s="892"/>
      <c r="ID96" s="891">
        <f>SUM(ID97,ID100,ID103,ID106,ID109)</f>
        <v>0</v>
      </c>
      <c r="IE96" s="892"/>
      <c r="IF96" s="892"/>
      <c r="IG96" s="892"/>
      <c r="IH96" s="891">
        <f>SUM(IH97,IH100,IH103,IH106,IH109)</f>
        <v>0</v>
      </c>
      <c r="II96" s="892"/>
      <c r="IJ96" s="892"/>
      <c r="IK96" s="892"/>
      <c r="IL96" s="891">
        <f>SUM(IL97,IL100,IL103,IL106,IL109)</f>
        <v>0</v>
      </c>
      <c r="IM96" s="892"/>
      <c r="IN96" s="892"/>
      <c r="IO96" s="892"/>
      <c r="IP96" s="891">
        <f>SUM(IP97,IP100,IP103,IP106,IP109)</f>
        <v>0</v>
      </c>
      <c r="IQ96" s="892"/>
      <c r="IR96" s="892"/>
      <c r="IS96" s="892"/>
      <c r="IT96" s="891">
        <f>SUM(IT97,IT100,IT103,IT106,IT109)</f>
        <v>0</v>
      </c>
      <c r="IU96" s="892"/>
      <c r="IV96" s="892"/>
      <c r="IW96" s="892"/>
      <c r="IX96" s="891">
        <f>SUM(IX97,IX100,IX103,IX106,IX109)</f>
        <v>0</v>
      </c>
      <c r="IY96" s="892"/>
      <c r="IZ96" s="892"/>
      <c r="JA96" s="892"/>
      <c r="JB96" s="891">
        <f>SUM(JB97,JB100,JB103,JB106,JB109)</f>
        <v>0</v>
      </c>
      <c r="JC96" s="892"/>
      <c r="JD96" s="892"/>
      <c r="JE96" s="892"/>
      <c r="JF96" s="891">
        <f>SUM(JF97,JF100,JF103,JF106,JF109)</f>
        <v>0</v>
      </c>
      <c r="JG96" s="892"/>
      <c r="JH96" s="892"/>
      <c r="JI96" s="892"/>
      <c r="JJ96" s="891">
        <f>SUM(JJ97,JJ100,JJ103,JJ106,JJ109)</f>
        <v>0</v>
      </c>
      <c r="JK96" s="892"/>
      <c r="JL96" s="892"/>
      <c r="JM96" s="892"/>
      <c r="JN96" s="891">
        <f>SUM(JN97,JN100,JN103,JN106,JN109)</f>
        <v>0</v>
      </c>
      <c r="JO96" s="892"/>
      <c r="JP96" s="892"/>
      <c r="JQ96" s="892"/>
      <c r="JR96" s="891">
        <f>SUM(JR97,JR100,JR103,JR106,JR109)</f>
        <v>0</v>
      </c>
      <c r="JS96" s="892"/>
      <c r="JT96" s="892"/>
      <c r="JU96" s="892"/>
      <c r="JV96" s="891">
        <f>SUM(JV97,JV100,JV103,JV106,JV109)</f>
        <v>0</v>
      </c>
      <c r="JW96" s="892"/>
      <c r="JX96" s="892"/>
      <c r="JY96" s="892"/>
      <c r="JZ96" s="891">
        <f>SUM(JZ97,JZ100,JZ103,JZ106,JZ109)</f>
        <v>0</v>
      </c>
      <c r="KA96" s="892"/>
      <c r="KB96" s="892"/>
      <c r="KC96" s="892"/>
      <c r="KD96" s="891">
        <f>SUM(KD97,KD100,KD103,KD106,KD109)</f>
        <v>0</v>
      </c>
      <c r="KE96" s="892"/>
      <c r="KF96" s="892"/>
      <c r="KG96" s="892"/>
      <c r="KH96" s="891">
        <f>SUM(KH97,KH100,KH103,KH106,KH109)</f>
        <v>0</v>
      </c>
      <c r="KI96" s="892"/>
      <c r="KJ96" s="892"/>
      <c r="KK96" s="892"/>
      <c r="KL96" s="891">
        <f>SUM(KL97,KL100,KL103,KL106,KL109)</f>
        <v>0</v>
      </c>
      <c r="KM96" s="892"/>
      <c r="KN96" s="892"/>
      <c r="KO96" s="892"/>
      <c r="KP96" s="891">
        <f>SUM(KP97,KP100,KP103,KP106,KP109)</f>
        <v>0</v>
      </c>
      <c r="KQ96" s="892"/>
      <c r="KR96" s="892"/>
      <c r="KS96" s="892"/>
      <c r="KT96" s="891">
        <f>SUM(KT97,KT100,KT103,KT106,KT109)</f>
        <v>0</v>
      </c>
      <c r="KU96" s="892"/>
      <c r="KV96" s="892"/>
      <c r="KW96" s="892"/>
      <c r="KX96" s="891">
        <f>SUM(KX97,KX100,KX103,KX106,KX109)</f>
        <v>0</v>
      </c>
      <c r="KY96" s="892"/>
      <c r="KZ96" s="892"/>
      <c r="LA96" s="892"/>
      <c r="LB96" s="891">
        <f>SUM(LB97,LB100,LB103,LB106,LB109)</f>
        <v>0</v>
      </c>
      <c r="LC96" s="892"/>
      <c r="LD96" s="892"/>
      <c r="LE96" s="892"/>
      <c r="LF96" s="891">
        <f>SUM(LF97,LF100,LF103,LF106,LF109)</f>
        <v>0</v>
      </c>
      <c r="LG96" s="892"/>
      <c r="LH96" s="892"/>
      <c r="LI96" s="892"/>
      <c r="LJ96" s="891">
        <f>SUM(LJ97,LJ100,LJ103,LJ106,LJ109)</f>
        <v>0</v>
      </c>
      <c r="LK96" s="892"/>
      <c r="LL96" s="892"/>
      <c r="LM96" s="892"/>
    </row>
    <row r="97" spans="1:325">
      <c r="A97" s="310"/>
      <c r="B97" s="372" t="s">
        <v>569</v>
      </c>
      <c r="C97" s="373" t="s">
        <v>547</v>
      </c>
      <c r="D97" s="366">
        <f t="shared" ref="D97:D112" ca="1" si="21">SUM(F97:LM97)</f>
        <v>11010940.4630432</v>
      </c>
      <c r="E97" s="374">
        <f ca="1">SUM(E98:E99)</f>
        <v>1</v>
      </c>
      <c r="F97" s="890">
        <f>SUM(F98:I99)</f>
        <v>0</v>
      </c>
      <c r="G97" s="888"/>
      <c r="H97" s="888"/>
      <c r="I97" s="889"/>
      <c r="J97" s="887">
        <f ca="1">SUM(J98:M99)</f>
        <v>3387980.7675319999</v>
      </c>
      <c r="K97" s="888"/>
      <c r="L97" s="888"/>
      <c r="M97" s="889"/>
      <c r="N97" s="887">
        <f ca="1">SUM(N98:Q99)</f>
        <v>3377730.2703541331</v>
      </c>
      <c r="O97" s="888"/>
      <c r="P97" s="888"/>
      <c r="Q97" s="889"/>
      <c r="R97" s="887">
        <f ca="1">SUM(R98:U99)</f>
        <v>4210729.4251570664</v>
      </c>
      <c r="S97" s="888"/>
      <c r="T97" s="888"/>
      <c r="U97" s="889"/>
      <c r="V97" s="887">
        <f ca="1">SUM(V98:Y99)</f>
        <v>5000</v>
      </c>
      <c r="W97" s="888"/>
      <c r="X97" s="888"/>
      <c r="Y97" s="889"/>
      <c r="Z97" s="887">
        <f ca="1">SUM(Z98:AC99)</f>
        <v>25000</v>
      </c>
      <c r="AA97" s="888"/>
      <c r="AB97" s="888"/>
      <c r="AC97" s="889"/>
      <c r="AD97" s="887">
        <f ca="1">SUM(AD98:AG99)</f>
        <v>4500</v>
      </c>
      <c r="AE97" s="888"/>
      <c r="AF97" s="888"/>
      <c r="AG97" s="889"/>
      <c r="AH97" s="887">
        <f>SUM(AH98:AK99)</f>
        <v>0</v>
      </c>
      <c r="AI97" s="888"/>
      <c r="AJ97" s="888"/>
      <c r="AK97" s="889"/>
      <c r="AL97" s="887">
        <f>SUM(AL98:AO99)</f>
        <v>0</v>
      </c>
      <c r="AM97" s="888"/>
      <c r="AN97" s="888"/>
      <c r="AO97" s="889"/>
      <c r="AP97" s="887">
        <f>SUM(AP98:AS99)</f>
        <v>0</v>
      </c>
      <c r="AQ97" s="888"/>
      <c r="AR97" s="888"/>
      <c r="AS97" s="889"/>
      <c r="AT97" s="887">
        <f>SUM(AT98:AW99)</f>
        <v>0</v>
      </c>
      <c r="AU97" s="888"/>
      <c r="AV97" s="888"/>
      <c r="AW97" s="889"/>
      <c r="AX97" s="887">
        <f>SUM(AX98:BA99)</f>
        <v>0</v>
      </c>
      <c r="AY97" s="888"/>
      <c r="AZ97" s="888"/>
      <c r="BA97" s="889"/>
      <c r="BB97" s="887">
        <f>SUM(BB98:BE99)</f>
        <v>0</v>
      </c>
      <c r="BC97" s="888"/>
      <c r="BD97" s="888"/>
      <c r="BE97" s="889"/>
      <c r="BF97" s="887">
        <f>SUM(BF98:BI99)</f>
        <v>0</v>
      </c>
      <c r="BG97" s="888"/>
      <c r="BH97" s="888"/>
      <c r="BI97" s="889"/>
      <c r="BJ97" s="887">
        <f>SUM(BJ98:BM99)</f>
        <v>0</v>
      </c>
      <c r="BK97" s="888"/>
      <c r="BL97" s="888"/>
      <c r="BM97" s="889"/>
      <c r="BN97" s="887">
        <f>SUM(BN98:BQ99)</f>
        <v>0</v>
      </c>
      <c r="BO97" s="888"/>
      <c r="BP97" s="888"/>
      <c r="BQ97" s="889"/>
      <c r="BR97" s="887">
        <f>SUM(BR98:BU99)</f>
        <v>0</v>
      </c>
      <c r="BS97" s="888"/>
      <c r="BT97" s="888"/>
      <c r="BU97" s="889"/>
      <c r="BV97" s="887">
        <f>SUM(BV98:BY99)</f>
        <v>0</v>
      </c>
      <c r="BW97" s="888"/>
      <c r="BX97" s="888"/>
      <c r="BY97" s="889"/>
      <c r="BZ97" s="887">
        <f>SUM(BZ98:CC99)</f>
        <v>0</v>
      </c>
      <c r="CA97" s="888"/>
      <c r="CB97" s="888"/>
      <c r="CC97" s="889"/>
      <c r="CD97" s="887">
        <f>SUM(CD98:CG99)</f>
        <v>0</v>
      </c>
      <c r="CE97" s="888"/>
      <c r="CF97" s="888"/>
      <c r="CG97" s="889"/>
      <c r="CH97" s="887">
        <f>SUM(CH98:CK99)</f>
        <v>0</v>
      </c>
      <c r="CI97" s="888"/>
      <c r="CJ97" s="888"/>
      <c r="CK97" s="889"/>
      <c r="CL97" s="887">
        <f>SUM(CL98:CO99)</f>
        <v>0</v>
      </c>
      <c r="CM97" s="888"/>
      <c r="CN97" s="888"/>
      <c r="CO97" s="889"/>
      <c r="CP97" s="887">
        <f>SUM(CP98:CS99)</f>
        <v>0</v>
      </c>
      <c r="CQ97" s="888"/>
      <c r="CR97" s="888"/>
      <c r="CS97" s="889"/>
      <c r="CT97" s="887">
        <f>SUM(CT98:CW99)</f>
        <v>0</v>
      </c>
      <c r="CU97" s="888"/>
      <c r="CV97" s="888"/>
      <c r="CW97" s="889"/>
      <c r="CX97" s="887">
        <f>SUM(CX98:DA99)</f>
        <v>0</v>
      </c>
      <c r="CY97" s="888"/>
      <c r="CZ97" s="888"/>
      <c r="DA97" s="889"/>
      <c r="DB97" s="887">
        <f>SUM(DB98:DE99)</f>
        <v>0</v>
      </c>
      <c r="DC97" s="888"/>
      <c r="DD97" s="888"/>
      <c r="DE97" s="889"/>
      <c r="DF97" s="887">
        <f>SUM(DF98:DI99)</f>
        <v>0</v>
      </c>
      <c r="DG97" s="888"/>
      <c r="DH97" s="888"/>
      <c r="DI97" s="889"/>
      <c r="DJ97" s="887">
        <f>SUM(DJ98:DM99)</f>
        <v>0</v>
      </c>
      <c r="DK97" s="888"/>
      <c r="DL97" s="888"/>
      <c r="DM97" s="889"/>
      <c r="DN97" s="887">
        <f>SUM(DN98:DQ99)</f>
        <v>0</v>
      </c>
      <c r="DO97" s="888"/>
      <c r="DP97" s="888"/>
      <c r="DQ97" s="889"/>
      <c r="DR97" s="887">
        <f>SUM(DR98:DU99)</f>
        <v>0</v>
      </c>
      <c r="DS97" s="888"/>
      <c r="DT97" s="888"/>
      <c r="DU97" s="889"/>
      <c r="DV97" s="887">
        <f>SUM(DV98:DY99)</f>
        <v>0</v>
      </c>
      <c r="DW97" s="888"/>
      <c r="DX97" s="888"/>
      <c r="DY97" s="889"/>
      <c r="DZ97" s="887">
        <f>SUM(DZ98:EC99)</f>
        <v>0</v>
      </c>
      <c r="EA97" s="888"/>
      <c r="EB97" s="888"/>
      <c r="EC97" s="889"/>
      <c r="ED97" s="887">
        <f>SUM(ED98:EG99)</f>
        <v>0</v>
      </c>
      <c r="EE97" s="888"/>
      <c r="EF97" s="888"/>
      <c r="EG97" s="889"/>
      <c r="EH97" s="887">
        <f>SUM(EH98:EK99)</f>
        <v>0</v>
      </c>
      <c r="EI97" s="888"/>
      <c r="EJ97" s="888"/>
      <c r="EK97" s="889"/>
      <c r="EL97" s="887">
        <f>SUM(EL98:EO99)</f>
        <v>0</v>
      </c>
      <c r="EM97" s="888"/>
      <c r="EN97" s="888"/>
      <c r="EO97" s="889"/>
      <c r="EP97" s="887">
        <f>SUM(EP98:ES99)</f>
        <v>0</v>
      </c>
      <c r="EQ97" s="888"/>
      <c r="ER97" s="888"/>
      <c r="ES97" s="889"/>
      <c r="ET97" s="887">
        <f>SUM(ET98:EW99)</f>
        <v>0</v>
      </c>
      <c r="EU97" s="888"/>
      <c r="EV97" s="888"/>
      <c r="EW97" s="889"/>
      <c r="EX97" s="887">
        <f>SUM(EX98:FA99)</f>
        <v>0</v>
      </c>
      <c r="EY97" s="888"/>
      <c r="EZ97" s="888"/>
      <c r="FA97" s="889"/>
      <c r="FB97" s="887">
        <f>SUM(FB98:FE99)</f>
        <v>0</v>
      </c>
      <c r="FC97" s="888"/>
      <c r="FD97" s="888"/>
      <c r="FE97" s="889"/>
      <c r="FF97" s="887">
        <f>SUM(FF98:FI99)</f>
        <v>0</v>
      </c>
      <c r="FG97" s="888"/>
      <c r="FH97" s="888"/>
      <c r="FI97" s="889"/>
      <c r="FJ97" s="887">
        <f>SUM(FJ98:FM99)</f>
        <v>0</v>
      </c>
      <c r="FK97" s="888"/>
      <c r="FL97" s="888"/>
      <c r="FM97" s="889"/>
      <c r="FN97" s="887">
        <f>SUM(FN98:FQ99)</f>
        <v>0</v>
      </c>
      <c r="FO97" s="888"/>
      <c r="FP97" s="888"/>
      <c r="FQ97" s="889"/>
      <c r="FR97" s="887">
        <f>SUM(FR98:FU99)</f>
        <v>0</v>
      </c>
      <c r="FS97" s="888"/>
      <c r="FT97" s="888"/>
      <c r="FU97" s="889"/>
      <c r="FV97" s="887">
        <f>SUM(FV98:FY99)</f>
        <v>0</v>
      </c>
      <c r="FW97" s="888"/>
      <c r="FX97" s="888"/>
      <c r="FY97" s="889"/>
      <c r="FZ97" s="887">
        <f>SUM(FZ98:GC99)</f>
        <v>0</v>
      </c>
      <c r="GA97" s="888"/>
      <c r="GB97" s="888"/>
      <c r="GC97" s="889"/>
      <c r="GD97" s="887">
        <f>SUM(GD98:GG99)</f>
        <v>0</v>
      </c>
      <c r="GE97" s="888"/>
      <c r="GF97" s="888"/>
      <c r="GG97" s="889"/>
      <c r="GH97" s="887">
        <f>SUM(GH98:GK99)</f>
        <v>0</v>
      </c>
      <c r="GI97" s="888"/>
      <c r="GJ97" s="888"/>
      <c r="GK97" s="889"/>
      <c r="GL97" s="887">
        <f>SUM(GL98:GO99)</f>
        <v>0</v>
      </c>
      <c r="GM97" s="888"/>
      <c r="GN97" s="888"/>
      <c r="GO97" s="889"/>
      <c r="GP97" s="887">
        <f>SUM(GP98:GS99)</f>
        <v>0</v>
      </c>
      <c r="GQ97" s="888"/>
      <c r="GR97" s="888"/>
      <c r="GS97" s="889"/>
      <c r="GT97" s="887">
        <f>SUM(GT98:GW99)</f>
        <v>0</v>
      </c>
      <c r="GU97" s="888"/>
      <c r="GV97" s="888"/>
      <c r="GW97" s="889"/>
      <c r="GX97" s="887">
        <f>SUM(GX98:HA99)</f>
        <v>0</v>
      </c>
      <c r="GY97" s="888"/>
      <c r="GZ97" s="888"/>
      <c r="HA97" s="889"/>
      <c r="HB97" s="887">
        <f>SUM(HB98:HE99)</f>
        <v>0</v>
      </c>
      <c r="HC97" s="888"/>
      <c r="HD97" s="888"/>
      <c r="HE97" s="889"/>
      <c r="HF97" s="887">
        <f>SUM(HF98:HI99)</f>
        <v>0</v>
      </c>
      <c r="HG97" s="888"/>
      <c r="HH97" s="888"/>
      <c r="HI97" s="889"/>
      <c r="HJ97" s="887">
        <f>SUM(HJ98:HM99)</f>
        <v>0</v>
      </c>
      <c r="HK97" s="888"/>
      <c r="HL97" s="888"/>
      <c r="HM97" s="889"/>
      <c r="HN97" s="887">
        <f>SUM(HN98:HQ99)</f>
        <v>0</v>
      </c>
      <c r="HO97" s="888"/>
      <c r="HP97" s="888"/>
      <c r="HQ97" s="889"/>
      <c r="HR97" s="887">
        <f>SUM(HR98:HU99)</f>
        <v>0</v>
      </c>
      <c r="HS97" s="888"/>
      <c r="HT97" s="888"/>
      <c r="HU97" s="889"/>
      <c r="HV97" s="887">
        <f>SUM(HV98:HY99)</f>
        <v>0</v>
      </c>
      <c r="HW97" s="888"/>
      <c r="HX97" s="888"/>
      <c r="HY97" s="889"/>
      <c r="HZ97" s="887">
        <f>SUM(HZ98:IC99)</f>
        <v>0</v>
      </c>
      <c r="IA97" s="888"/>
      <c r="IB97" s="888"/>
      <c r="IC97" s="889"/>
      <c r="ID97" s="887">
        <f>SUM(ID98:IG99)</f>
        <v>0</v>
      </c>
      <c r="IE97" s="888"/>
      <c r="IF97" s="888"/>
      <c r="IG97" s="889"/>
      <c r="IH97" s="887">
        <f>SUM(IH98:IK99)</f>
        <v>0</v>
      </c>
      <c r="II97" s="888"/>
      <c r="IJ97" s="888"/>
      <c r="IK97" s="889"/>
      <c r="IL97" s="887">
        <f>SUM(IL98:IO99)</f>
        <v>0</v>
      </c>
      <c r="IM97" s="888"/>
      <c r="IN97" s="888"/>
      <c r="IO97" s="889"/>
      <c r="IP97" s="887">
        <f>SUM(IP98:IS99)</f>
        <v>0</v>
      </c>
      <c r="IQ97" s="888"/>
      <c r="IR97" s="888"/>
      <c r="IS97" s="889"/>
      <c r="IT97" s="887">
        <f>SUM(IT98:IW99)</f>
        <v>0</v>
      </c>
      <c r="IU97" s="888"/>
      <c r="IV97" s="888"/>
      <c r="IW97" s="889"/>
      <c r="IX97" s="887">
        <f>SUM(IX98:JA99)</f>
        <v>0</v>
      </c>
      <c r="IY97" s="888"/>
      <c r="IZ97" s="888"/>
      <c r="JA97" s="889"/>
      <c r="JB97" s="887">
        <f>SUM(JB98:JE99)</f>
        <v>0</v>
      </c>
      <c r="JC97" s="888"/>
      <c r="JD97" s="888"/>
      <c r="JE97" s="889"/>
      <c r="JF97" s="887">
        <f>SUM(JF98:JI99)</f>
        <v>0</v>
      </c>
      <c r="JG97" s="888"/>
      <c r="JH97" s="888"/>
      <c r="JI97" s="889"/>
      <c r="JJ97" s="887">
        <f>SUM(JJ98:JM99)</f>
        <v>0</v>
      </c>
      <c r="JK97" s="888"/>
      <c r="JL97" s="888"/>
      <c r="JM97" s="889"/>
      <c r="JN97" s="887">
        <f>SUM(JN98:JQ99)</f>
        <v>0</v>
      </c>
      <c r="JO97" s="888"/>
      <c r="JP97" s="888"/>
      <c r="JQ97" s="889"/>
      <c r="JR97" s="887">
        <f>SUM(JR98:JU99)</f>
        <v>0</v>
      </c>
      <c r="JS97" s="888"/>
      <c r="JT97" s="888"/>
      <c r="JU97" s="889"/>
      <c r="JV97" s="887">
        <f>SUM(JV98:JY99)</f>
        <v>0</v>
      </c>
      <c r="JW97" s="888"/>
      <c r="JX97" s="888"/>
      <c r="JY97" s="889"/>
      <c r="JZ97" s="887">
        <f>SUM(JZ98:KC99)</f>
        <v>0</v>
      </c>
      <c r="KA97" s="888"/>
      <c r="KB97" s="888"/>
      <c r="KC97" s="889"/>
      <c r="KD97" s="887">
        <f>SUM(KD98:KG99)</f>
        <v>0</v>
      </c>
      <c r="KE97" s="888"/>
      <c r="KF97" s="888"/>
      <c r="KG97" s="889"/>
      <c r="KH97" s="887">
        <f>SUM(KH98:KK99)</f>
        <v>0</v>
      </c>
      <c r="KI97" s="888"/>
      <c r="KJ97" s="888"/>
      <c r="KK97" s="889"/>
      <c r="KL97" s="887">
        <f>SUM(KL98:KO99)</f>
        <v>0</v>
      </c>
      <c r="KM97" s="888"/>
      <c r="KN97" s="888"/>
      <c r="KO97" s="889"/>
      <c r="KP97" s="887">
        <f>SUM(KP98:KS99)</f>
        <v>0</v>
      </c>
      <c r="KQ97" s="888"/>
      <c r="KR97" s="888"/>
      <c r="KS97" s="889"/>
      <c r="KT97" s="887">
        <f>SUM(KT98:KW99)</f>
        <v>0</v>
      </c>
      <c r="KU97" s="888"/>
      <c r="KV97" s="888"/>
      <c r="KW97" s="889"/>
      <c r="KX97" s="887">
        <f>SUM(KX98:LA99)</f>
        <v>0</v>
      </c>
      <c r="KY97" s="888"/>
      <c r="KZ97" s="888"/>
      <c r="LA97" s="889"/>
      <c r="LB97" s="887">
        <f>SUM(LB98:LE99)</f>
        <v>0</v>
      </c>
      <c r="LC97" s="888"/>
      <c r="LD97" s="888"/>
      <c r="LE97" s="889"/>
      <c r="LF97" s="887">
        <f>SUM(LF98:LI99)</f>
        <v>0</v>
      </c>
      <c r="LG97" s="888"/>
      <c r="LH97" s="888"/>
      <c r="LI97" s="889"/>
      <c r="LJ97" s="887">
        <f>SUM(LJ98:LM99)</f>
        <v>0</v>
      </c>
      <c r="LK97" s="888"/>
      <c r="LL97" s="888"/>
      <c r="LM97" s="889"/>
    </row>
    <row r="98" spans="1:325">
      <c r="A98" s="310"/>
      <c r="B98" s="375" t="s">
        <v>570</v>
      </c>
      <c r="C98" s="376" t="s">
        <v>784</v>
      </c>
      <c r="D98" s="379">
        <f t="shared" ca="1" si="21"/>
        <v>11010940.4630432</v>
      </c>
      <c r="E98" s="374">
        <f ca="1">IFERROR(D98/$D$95,"")</f>
        <v>1</v>
      </c>
      <c r="F98" s="886"/>
      <c r="G98" s="877"/>
      <c r="H98" s="877"/>
      <c r="I98" s="878"/>
      <c r="J98" s="885">
        <f ca="1">+J95</f>
        <v>3387980.7675319999</v>
      </c>
      <c r="K98" s="877"/>
      <c r="L98" s="877"/>
      <c r="M98" s="878"/>
      <c r="N98" s="885">
        <f t="shared" ref="N98" ca="1" si="22">+N95</f>
        <v>3377730.2703541331</v>
      </c>
      <c r="O98" s="877"/>
      <c r="P98" s="877"/>
      <c r="Q98" s="878"/>
      <c r="R98" s="885">
        <f t="shared" ref="R98" ca="1" si="23">+R95</f>
        <v>4210729.4251570664</v>
      </c>
      <c r="S98" s="877"/>
      <c r="T98" s="877"/>
      <c r="U98" s="878"/>
      <c r="V98" s="885">
        <f t="shared" ref="V98" ca="1" si="24">+V95</f>
        <v>5000</v>
      </c>
      <c r="W98" s="877"/>
      <c r="X98" s="877"/>
      <c r="Y98" s="878"/>
      <c r="Z98" s="885">
        <f t="shared" ref="Z98" ca="1" si="25">+Z95</f>
        <v>25000</v>
      </c>
      <c r="AA98" s="877"/>
      <c r="AB98" s="877"/>
      <c r="AC98" s="878"/>
      <c r="AD98" s="885">
        <f t="shared" ref="AD98" ca="1" si="26">+AD95</f>
        <v>4500</v>
      </c>
      <c r="AE98" s="877"/>
      <c r="AF98" s="877"/>
      <c r="AG98" s="878"/>
      <c r="AH98" s="885"/>
      <c r="AI98" s="877"/>
      <c r="AJ98" s="877"/>
      <c r="AK98" s="878"/>
      <c r="AL98" s="885"/>
      <c r="AM98" s="877"/>
      <c r="AN98" s="877"/>
      <c r="AO98" s="878"/>
      <c r="AP98" s="885"/>
      <c r="AQ98" s="877"/>
      <c r="AR98" s="877"/>
      <c r="AS98" s="878"/>
      <c r="AT98" s="885"/>
      <c r="AU98" s="877"/>
      <c r="AV98" s="877"/>
      <c r="AW98" s="878"/>
      <c r="AX98" s="885"/>
      <c r="AY98" s="877"/>
      <c r="AZ98" s="877"/>
      <c r="BA98" s="878"/>
      <c r="BB98" s="885"/>
      <c r="BC98" s="877"/>
      <c r="BD98" s="877"/>
      <c r="BE98" s="878"/>
      <c r="BF98" s="885"/>
      <c r="BG98" s="877"/>
      <c r="BH98" s="877"/>
      <c r="BI98" s="878"/>
      <c r="BJ98" s="885"/>
      <c r="BK98" s="877"/>
      <c r="BL98" s="877"/>
      <c r="BM98" s="878"/>
      <c r="BN98" s="885"/>
      <c r="BO98" s="877"/>
      <c r="BP98" s="877"/>
      <c r="BQ98" s="878"/>
      <c r="BR98" s="885"/>
      <c r="BS98" s="877"/>
      <c r="BT98" s="877"/>
      <c r="BU98" s="878"/>
      <c r="BV98" s="885"/>
      <c r="BW98" s="877"/>
      <c r="BX98" s="877"/>
      <c r="BY98" s="878"/>
      <c r="BZ98" s="885"/>
      <c r="CA98" s="877"/>
      <c r="CB98" s="877"/>
      <c r="CC98" s="878"/>
      <c r="CD98" s="885"/>
      <c r="CE98" s="877"/>
      <c r="CF98" s="877"/>
      <c r="CG98" s="878"/>
      <c r="CH98" s="885"/>
      <c r="CI98" s="877"/>
      <c r="CJ98" s="877"/>
      <c r="CK98" s="878"/>
      <c r="CL98" s="885"/>
      <c r="CM98" s="877"/>
      <c r="CN98" s="877"/>
      <c r="CO98" s="878"/>
      <c r="CP98" s="885"/>
      <c r="CQ98" s="877"/>
      <c r="CR98" s="877"/>
      <c r="CS98" s="878"/>
      <c r="CT98" s="885"/>
      <c r="CU98" s="877"/>
      <c r="CV98" s="877"/>
      <c r="CW98" s="878"/>
      <c r="CX98" s="885"/>
      <c r="CY98" s="877"/>
      <c r="CZ98" s="877"/>
      <c r="DA98" s="878"/>
      <c r="DB98" s="885"/>
      <c r="DC98" s="877"/>
      <c r="DD98" s="877"/>
      <c r="DE98" s="878"/>
      <c r="DF98" s="885"/>
      <c r="DG98" s="877"/>
      <c r="DH98" s="877"/>
      <c r="DI98" s="878"/>
      <c r="DJ98" s="885"/>
      <c r="DK98" s="877"/>
      <c r="DL98" s="877"/>
      <c r="DM98" s="878"/>
      <c r="DN98" s="885"/>
      <c r="DO98" s="877"/>
      <c r="DP98" s="877"/>
      <c r="DQ98" s="878"/>
      <c r="DR98" s="885"/>
      <c r="DS98" s="877"/>
      <c r="DT98" s="877"/>
      <c r="DU98" s="878"/>
      <c r="DV98" s="885"/>
      <c r="DW98" s="877"/>
      <c r="DX98" s="877"/>
      <c r="DY98" s="878"/>
      <c r="DZ98" s="885"/>
      <c r="EA98" s="877"/>
      <c r="EB98" s="877"/>
      <c r="EC98" s="878"/>
      <c r="ED98" s="885"/>
      <c r="EE98" s="877"/>
      <c r="EF98" s="877"/>
      <c r="EG98" s="878"/>
      <c r="EH98" s="885"/>
      <c r="EI98" s="877"/>
      <c r="EJ98" s="877"/>
      <c r="EK98" s="878"/>
      <c r="EL98" s="885"/>
      <c r="EM98" s="877"/>
      <c r="EN98" s="877"/>
      <c r="EO98" s="878"/>
      <c r="EP98" s="885"/>
      <c r="EQ98" s="877"/>
      <c r="ER98" s="877"/>
      <c r="ES98" s="878"/>
      <c r="ET98" s="885"/>
      <c r="EU98" s="877"/>
      <c r="EV98" s="877"/>
      <c r="EW98" s="878"/>
      <c r="EX98" s="885"/>
      <c r="EY98" s="877"/>
      <c r="EZ98" s="877"/>
      <c r="FA98" s="878"/>
      <c r="FB98" s="885"/>
      <c r="FC98" s="877"/>
      <c r="FD98" s="877"/>
      <c r="FE98" s="878"/>
      <c r="FF98" s="885"/>
      <c r="FG98" s="877"/>
      <c r="FH98" s="877"/>
      <c r="FI98" s="878"/>
      <c r="FJ98" s="885"/>
      <c r="FK98" s="877"/>
      <c r="FL98" s="877"/>
      <c r="FM98" s="878"/>
      <c r="FN98" s="885"/>
      <c r="FO98" s="877"/>
      <c r="FP98" s="877"/>
      <c r="FQ98" s="878"/>
      <c r="FR98" s="885"/>
      <c r="FS98" s="877"/>
      <c r="FT98" s="877"/>
      <c r="FU98" s="878"/>
      <c r="FV98" s="885"/>
      <c r="FW98" s="877"/>
      <c r="FX98" s="877"/>
      <c r="FY98" s="878"/>
      <c r="FZ98" s="885"/>
      <c r="GA98" s="877"/>
      <c r="GB98" s="877"/>
      <c r="GC98" s="878"/>
      <c r="GD98" s="885"/>
      <c r="GE98" s="877"/>
      <c r="GF98" s="877"/>
      <c r="GG98" s="878"/>
      <c r="GH98" s="885"/>
      <c r="GI98" s="877"/>
      <c r="GJ98" s="877"/>
      <c r="GK98" s="878"/>
      <c r="GL98" s="885"/>
      <c r="GM98" s="877"/>
      <c r="GN98" s="877"/>
      <c r="GO98" s="878"/>
      <c r="GP98" s="885"/>
      <c r="GQ98" s="877"/>
      <c r="GR98" s="877"/>
      <c r="GS98" s="878"/>
      <c r="GT98" s="885"/>
      <c r="GU98" s="877"/>
      <c r="GV98" s="877"/>
      <c r="GW98" s="878"/>
      <c r="GX98" s="885"/>
      <c r="GY98" s="877"/>
      <c r="GZ98" s="877"/>
      <c r="HA98" s="878"/>
      <c r="HB98" s="885"/>
      <c r="HC98" s="877"/>
      <c r="HD98" s="877"/>
      <c r="HE98" s="878"/>
      <c r="HF98" s="885"/>
      <c r="HG98" s="877"/>
      <c r="HH98" s="877"/>
      <c r="HI98" s="878"/>
      <c r="HJ98" s="885"/>
      <c r="HK98" s="877"/>
      <c r="HL98" s="877"/>
      <c r="HM98" s="878"/>
      <c r="HN98" s="885"/>
      <c r="HO98" s="877"/>
      <c r="HP98" s="877"/>
      <c r="HQ98" s="878"/>
      <c r="HR98" s="885"/>
      <c r="HS98" s="877"/>
      <c r="HT98" s="877"/>
      <c r="HU98" s="878"/>
      <c r="HV98" s="885"/>
      <c r="HW98" s="877"/>
      <c r="HX98" s="877"/>
      <c r="HY98" s="878"/>
      <c r="HZ98" s="885"/>
      <c r="IA98" s="877"/>
      <c r="IB98" s="877"/>
      <c r="IC98" s="878"/>
      <c r="ID98" s="885"/>
      <c r="IE98" s="877"/>
      <c r="IF98" s="877"/>
      <c r="IG98" s="878"/>
      <c r="IH98" s="885"/>
      <c r="II98" s="877"/>
      <c r="IJ98" s="877"/>
      <c r="IK98" s="878"/>
      <c r="IL98" s="885"/>
      <c r="IM98" s="877"/>
      <c r="IN98" s="877"/>
      <c r="IO98" s="878"/>
      <c r="IP98" s="885"/>
      <c r="IQ98" s="877"/>
      <c r="IR98" s="877"/>
      <c r="IS98" s="878"/>
      <c r="IT98" s="885"/>
      <c r="IU98" s="877"/>
      <c r="IV98" s="877"/>
      <c r="IW98" s="878"/>
      <c r="IX98" s="885"/>
      <c r="IY98" s="877"/>
      <c r="IZ98" s="877"/>
      <c r="JA98" s="878"/>
      <c r="JB98" s="885"/>
      <c r="JC98" s="877"/>
      <c r="JD98" s="877"/>
      <c r="JE98" s="878"/>
      <c r="JF98" s="885"/>
      <c r="JG98" s="877"/>
      <c r="JH98" s="877"/>
      <c r="JI98" s="878"/>
      <c r="JJ98" s="885"/>
      <c r="JK98" s="877"/>
      <c r="JL98" s="877"/>
      <c r="JM98" s="878"/>
      <c r="JN98" s="885"/>
      <c r="JO98" s="877"/>
      <c r="JP98" s="877"/>
      <c r="JQ98" s="878"/>
      <c r="JR98" s="885"/>
      <c r="JS98" s="877"/>
      <c r="JT98" s="877"/>
      <c r="JU98" s="878"/>
      <c r="JV98" s="885"/>
      <c r="JW98" s="877"/>
      <c r="JX98" s="877"/>
      <c r="JY98" s="878"/>
      <c r="JZ98" s="885"/>
      <c r="KA98" s="877"/>
      <c r="KB98" s="877"/>
      <c r="KC98" s="878"/>
      <c r="KD98" s="885"/>
      <c r="KE98" s="877"/>
      <c r="KF98" s="877"/>
      <c r="KG98" s="878"/>
      <c r="KH98" s="885"/>
      <c r="KI98" s="877"/>
      <c r="KJ98" s="877"/>
      <c r="KK98" s="878"/>
      <c r="KL98" s="885"/>
      <c r="KM98" s="877"/>
      <c r="KN98" s="877"/>
      <c r="KO98" s="878"/>
      <c r="KP98" s="885"/>
      <c r="KQ98" s="877"/>
      <c r="KR98" s="877"/>
      <c r="KS98" s="878"/>
      <c r="KT98" s="885"/>
      <c r="KU98" s="877"/>
      <c r="KV98" s="877"/>
      <c r="KW98" s="878"/>
      <c r="KX98" s="885"/>
      <c r="KY98" s="877"/>
      <c r="KZ98" s="877"/>
      <c r="LA98" s="878"/>
      <c r="LB98" s="885"/>
      <c r="LC98" s="877"/>
      <c r="LD98" s="877"/>
      <c r="LE98" s="878"/>
      <c r="LF98" s="885"/>
      <c r="LG98" s="877"/>
      <c r="LH98" s="877"/>
      <c r="LI98" s="878"/>
      <c r="LJ98" s="885"/>
      <c r="LK98" s="877"/>
      <c r="LL98" s="877"/>
      <c r="LM98" s="878"/>
    </row>
    <row r="99" spans="1:325">
      <c r="A99" s="310"/>
      <c r="B99" s="375" t="s">
        <v>571</v>
      </c>
      <c r="C99" s="376" t="s">
        <v>588</v>
      </c>
      <c r="D99" s="379">
        <f t="shared" si="21"/>
        <v>0</v>
      </c>
      <c r="E99" s="374">
        <f ca="1">IFERROR(D99/$D$95,"")</f>
        <v>0</v>
      </c>
      <c r="F99" s="886"/>
      <c r="G99" s="877"/>
      <c r="H99" s="877"/>
      <c r="I99" s="878"/>
      <c r="J99" s="885"/>
      <c r="K99" s="877"/>
      <c r="L99" s="877"/>
      <c r="M99" s="878"/>
      <c r="N99" s="885"/>
      <c r="O99" s="877"/>
      <c r="P99" s="877"/>
      <c r="Q99" s="878"/>
      <c r="R99" s="885"/>
      <c r="S99" s="877"/>
      <c r="T99" s="877"/>
      <c r="U99" s="878"/>
      <c r="V99" s="885"/>
      <c r="W99" s="877"/>
      <c r="X99" s="877"/>
      <c r="Y99" s="878"/>
      <c r="Z99" s="885"/>
      <c r="AA99" s="877"/>
      <c r="AB99" s="877"/>
      <c r="AC99" s="878"/>
      <c r="AD99" s="885"/>
      <c r="AE99" s="877"/>
      <c r="AF99" s="877"/>
      <c r="AG99" s="878"/>
      <c r="AH99" s="885"/>
      <c r="AI99" s="877"/>
      <c r="AJ99" s="877"/>
      <c r="AK99" s="878"/>
      <c r="AL99" s="885"/>
      <c r="AM99" s="877"/>
      <c r="AN99" s="877"/>
      <c r="AO99" s="878"/>
      <c r="AP99" s="885"/>
      <c r="AQ99" s="877"/>
      <c r="AR99" s="877"/>
      <c r="AS99" s="878"/>
      <c r="AT99" s="885"/>
      <c r="AU99" s="877"/>
      <c r="AV99" s="877"/>
      <c r="AW99" s="878"/>
      <c r="AX99" s="885"/>
      <c r="AY99" s="877"/>
      <c r="AZ99" s="877"/>
      <c r="BA99" s="878"/>
      <c r="BB99" s="885"/>
      <c r="BC99" s="877"/>
      <c r="BD99" s="877"/>
      <c r="BE99" s="878"/>
      <c r="BF99" s="885"/>
      <c r="BG99" s="877"/>
      <c r="BH99" s="877"/>
      <c r="BI99" s="878"/>
      <c r="BJ99" s="885"/>
      <c r="BK99" s="877"/>
      <c r="BL99" s="877"/>
      <c r="BM99" s="878"/>
      <c r="BN99" s="885"/>
      <c r="BO99" s="877"/>
      <c r="BP99" s="877"/>
      <c r="BQ99" s="878"/>
      <c r="BR99" s="885"/>
      <c r="BS99" s="877"/>
      <c r="BT99" s="877"/>
      <c r="BU99" s="878"/>
      <c r="BV99" s="885"/>
      <c r="BW99" s="877"/>
      <c r="BX99" s="877"/>
      <c r="BY99" s="878"/>
      <c r="BZ99" s="885"/>
      <c r="CA99" s="877"/>
      <c r="CB99" s="877"/>
      <c r="CC99" s="878"/>
      <c r="CD99" s="885"/>
      <c r="CE99" s="877"/>
      <c r="CF99" s="877"/>
      <c r="CG99" s="878"/>
      <c r="CH99" s="885"/>
      <c r="CI99" s="877"/>
      <c r="CJ99" s="877"/>
      <c r="CK99" s="878"/>
      <c r="CL99" s="885"/>
      <c r="CM99" s="877"/>
      <c r="CN99" s="877"/>
      <c r="CO99" s="878"/>
      <c r="CP99" s="885"/>
      <c r="CQ99" s="877"/>
      <c r="CR99" s="877"/>
      <c r="CS99" s="878"/>
      <c r="CT99" s="885"/>
      <c r="CU99" s="877"/>
      <c r="CV99" s="877"/>
      <c r="CW99" s="878"/>
      <c r="CX99" s="885"/>
      <c r="CY99" s="877"/>
      <c r="CZ99" s="877"/>
      <c r="DA99" s="878"/>
      <c r="DB99" s="885"/>
      <c r="DC99" s="877"/>
      <c r="DD99" s="877"/>
      <c r="DE99" s="878"/>
      <c r="DF99" s="885"/>
      <c r="DG99" s="877"/>
      <c r="DH99" s="877"/>
      <c r="DI99" s="878"/>
      <c r="DJ99" s="885"/>
      <c r="DK99" s="877"/>
      <c r="DL99" s="877"/>
      <c r="DM99" s="878"/>
      <c r="DN99" s="885"/>
      <c r="DO99" s="877"/>
      <c r="DP99" s="877"/>
      <c r="DQ99" s="878"/>
      <c r="DR99" s="885"/>
      <c r="DS99" s="877"/>
      <c r="DT99" s="877"/>
      <c r="DU99" s="878"/>
      <c r="DV99" s="885"/>
      <c r="DW99" s="877"/>
      <c r="DX99" s="877"/>
      <c r="DY99" s="878"/>
      <c r="DZ99" s="885"/>
      <c r="EA99" s="877"/>
      <c r="EB99" s="877"/>
      <c r="EC99" s="878"/>
      <c r="ED99" s="885"/>
      <c r="EE99" s="877"/>
      <c r="EF99" s="877"/>
      <c r="EG99" s="878"/>
      <c r="EH99" s="885"/>
      <c r="EI99" s="877"/>
      <c r="EJ99" s="877"/>
      <c r="EK99" s="878"/>
      <c r="EL99" s="885"/>
      <c r="EM99" s="877"/>
      <c r="EN99" s="877"/>
      <c r="EO99" s="878"/>
      <c r="EP99" s="885"/>
      <c r="EQ99" s="877"/>
      <c r="ER99" s="877"/>
      <c r="ES99" s="878"/>
      <c r="ET99" s="885"/>
      <c r="EU99" s="877"/>
      <c r="EV99" s="877"/>
      <c r="EW99" s="878"/>
      <c r="EX99" s="885"/>
      <c r="EY99" s="877"/>
      <c r="EZ99" s="877"/>
      <c r="FA99" s="878"/>
      <c r="FB99" s="885"/>
      <c r="FC99" s="877"/>
      <c r="FD99" s="877"/>
      <c r="FE99" s="878"/>
      <c r="FF99" s="885"/>
      <c r="FG99" s="877"/>
      <c r="FH99" s="877"/>
      <c r="FI99" s="878"/>
      <c r="FJ99" s="885"/>
      <c r="FK99" s="877"/>
      <c r="FL99" s="877"/>
      <c r="FM99" s="878"/>
      <c r="FN99" s="885"/>
      <c r="FO99" s="877"/>
      <c r="FP99" s="877"/>
      <c r="FQ99" s="878"/>
      <c r="FR99" s="885"/>
      <c r="FS99" s="877"/>
      <c r="FT99" s="877"/>
      <c r="FU99" s="878"/>
      <c r="FV99" s="885"/>
      <c r="FW99" s="877"/>
      <c r="FX99" s="877"/>
      <c r="FY99" s="878"/>
      <c r="FZ99" s="885"/>
      <c r="GA99" s="877"/>
      <c r="GB99" s="877"/>
      <c r="GC99" s="878"/>
      <c r="GD99" s="885"/>
      <c r="GE99" s="877"/>
      <c r="GF99" s="877"/>
      <c r="GG99" s="878"/>
      <c r="GH99" s="885"/>
      <c r="GI99" s="877"/>
      <c r="GJ99" s="877"/>
      <c r="GK99" s="878"/>
      <c r="GL99" s="885"/>
      <c r="GM99" s="877"/>
      <c r="GN99" s="877"/>
      <c r="GO99" s="878"/>
      <c r="GP99" s="885"/>
      <c r="GQ99" s="877"/>
      <c r="GR99" s="877"/>
      <c r="GS99" s="878"/>
      <c r="GT99" s="885"/>
      <c r="GU99" s="877"/>
      <c r="GV99" s="877"/>
      <c r="GW99" s="878"/>
      <c r="GX99" s="885"/>
      <c r="GY99" s="877"/>
      <c r="GZ99" s="877"/>
      <c r="HA99" s="878"/>
      <c r="HB99" s="885"/>
      <c r="HC99" s="877"/>
      <c r="HD99" s="877"/>
      <c r="HE99" s="878"/>
      <c r="HF99" s="885"/>
      <c r="HG99" s="877"/>
      <c r="HH99" s="877"/>
      <c r="HI99" s="878"/>
      <c r="HJ99" s="885"/>
      <c r="HK99" s="877"/>
      <c r="HL99" s="877"/>
      <c r="HM99" s="878"/>
      <c r="HN99" s="885"/>
      <c r="HO99" s="877"/>
      <c r="HP99" s="877"/>
      <c r="HQ99" s="878"/>
      <c r="HR99" s="885"/>
      <c r="HS99" s="877"/>
      <c r="HT99" s="877"/>
      <c r="HU99" s="878"/>
      <c r="HV99" s="885"/>
      <c r="HW99" s="877"/>
      <c r="HX99" s="877"/>
      <c r="HY99" s="878"/>
      <c r="HZ99" s="885"/>
      <c r="IA99" s="877"/>
      <c r="IB99" s="877"/>
      <c r="IC99" s="878"/>
      <c r="ID99" s="885"/>
      <c r="IE99" s="877"/>
      <c r="IF99" s="877"/>
      <c r="IG99" s="878"/>
      <c r="IH99" s="885"/>
      <c r="II99" s="877"/>
      <c r="IJ99" s="877"/>
      <c r="IK99" s="878"/>
      <c r="IL99" s="885"/>
      <c r="IM99" s="877"/>
      <c r="IN99" s="877"/>
      <c r="IO99" s="878"/>
      <c r="IP99" s="885"/>
      <c r="IQ99" s="877"/>
      <c r="IR99" s="877"/>
      <c r="IS99" s="878"/>
      <c r="IT99" s="885"/>
      <c r="IU99" s="877"/>
      <c r="IV99" s="877"/>
      <c r="IW99" s="878"/>
      <c r="IX99" s="885"/>
      <c r="IY99" s="877"/>
      <c r="IZ99" s="877"/>
      <c r="JA99" s="878"/>
      <c r="JB99" s="885"/>
      <c r="JC99" s="877"/>
      <c r="JD99" s="877"/>
      <c r="JE99" s="878"/>
      <c r="JF99" s="885"/>
      <c r="JG99" s="877"/>
      <c r="JH99" s="877"/>
      <c r="JI99" s="878"/>
      <c r="JJ99" s="885"/>
      <c r="JK99" s="877"/>
      <c r="JL99" s="877"/>
      <c r="JM99" s="878"/>
      <c r="JN99" s="885"/>
      <c r="JO99" s="877"/>
      <c r="JP99" s="877"/>
      <c r="JQ99" s="878"/>
      <c r="JR99" s="885"/>
      <c r="JS99" s="877"/>
      <c r="JT99" s="877"/>
      <c r="JU99" s="878"/>
      <c r="JV99" s="885"/>
      <c r="JW99" s="877"/>
      <c r="JX99" s="877"/>
      <c r="JY99" s="878"/>
      <c r="JZ99" s="885"/>
      <c r="KA99" s="877"/>
      <c r="KB99" s="877"/>
      <c r="KC99" s="878"/>
      <c r="KD99" s="885"/>
      <c r="KE99" s="877"/>
      <c r="KF99" s="877"/>
      <c r="KG99" s="878"/>
      <c r="KH99" s="885"/>
      <c r="KI99" s="877"/>
      <c r="KJ99" s="877"/>
      <c r="KK99" s="878"/>
      <c r="KL99" s="885"/>
      <c r="KM99" s="877"/>
      <c r="KN99" s="877"/>
      <c r="KO99" s="878"/>
      <c r="KP99" s="885"/>
      <c r="KQ99" s="877"/>
      <c r="KR99" s="877"/>
      <c r="KS99" s="878"/>
      <c r="KT99" s="885"/>
      <c r="KU99" s="877"/>
      <c r="KV99" s="877"/>
      <c r="KW99" s="878"/>
      <c r="KX99" s="885"/>
      <c r="KY99" s="877"/>
      <c r="KZ99" s="877"/>
      <c r="LA99" s="878"/>
      <c r="LB99" s="885"/>
      <c r="LC99" s="877"/>
      <c r="LD99" s="877"/>
      <c r="LE99" s="878"/>
      <c r="LF99" s="885"/>
      <c r="LG99" s="877"/>
      <c r="LH99" s="877"/>
      <c r="LI99" s="878"/>
      <c r="LJ99" s="885"/>
      <c r="LK99" s="877"/>
      <c r="LL99" s="877"/>
      <c r="LM99" s="878"/>
    </row>
    <row r="100" spans="1:325">
      <c r="A100" s="310"/>
      <c r="B100" s="372" t="s">
        <v>572</v>
      </c>
      <c r="C100" s="373" t="s">
        <v>549</v>
      </c>
      <c r="D100" s="366">
        <f t="shared" si="21"/>
        <v>0</v>
      </c>
      <c r="E100" s="374">
        <f ca="1">SUM(E101:E102)</f>
        <v>0</v>
      </c>
      <c r="F100" s="890">
        <f>SUM(F101:I102)</f>
        <v>0</v>
      </c>
      <c r="G100" s="888"/>
      <c r="H100" s="888"/>
      <c r="I100" s="889"/>
      <c r="J100" s="887">
        <f>SUM(J101:M102)</f>
        <v>0</v>
      </c>
      <c r="K100" s="888"/>
      <c r="L100" s="888"/>
      <c r="M100" s="889"/>
      <c r="N100" s="887">
        <f>SUM(N101:Q102)</f>
        <v>0</v>
      </c>
      <c r="O100" s="888"/>
      <c r="P100" s="888"/>
      <c r="Q100" s="889"/>
      <c r="R100" s="887">
        <f>SUM(R101:U102)</f>
        <v>0</v>
      </c>
      <c r="S100" s="888"/>
      <c r="T100" s="888"/>
      <c r="U100" s="889"/>
      <c r="V100" s="887">
        <f>SUM(V101:Y102)</f>
        <v>0</v>
      </c>
      <c r="W100" s="888"/>
      <c r="X100" s="888"/>
      <c r="Y100" s="889"/>
      <c r="Z100" s="887">
        <f>SUM(Z101:AC102)</f>
        <v>0</v>
      </c>
      <c r="AA100" s="888"/>
      <c r="AB100" s="888"/>
      <c r="AC100" s="889"/>
      <c r="AD100" s="887">
        <f>SUM(AD101:AG102)</f>
        <v>0</v>
      </c>
      <c r="AE100" s="888"/>
      <c r="AF100" s="888"/>
      <c r="AG100" s="889"/>
      <c r="AH100" s="887">
        <f>SUM(AH101:AK102)</f>
        <v>0</v>
      </c>
      <c r="AI100" s="888"/>
      <c r="AJ100" s="888"/>
      <c r="AK100" s="889"/>
      <c r="AL100" s="887">
        <f>SUM(AL101:AO102)</f>
        <v>0</v>
      </c>
      <c r="AM100" s="888"/>
      <c r="AN100" s="888"/>
      <c r="AO100" s="889"/>
      <c r="AP100" s="887">
        <f>SUM(AP101:AS102)</f>
        <v>0</v>
      </c>
      <c r="AQ100" s="888"/>
      <c r="AR100" s="888"/>
      <c r="AS100" s="889"/>
      <c r="AT100" s="887">
        <f>SUM(AT101:AW102)</f>
        <v>0</v>
      </c>
      <c r="AU100" s="888"/>
      <c r="AV100" s="888"/>
      <c r="AW100" s="889"/>
      <c r="AX100" s="887">
        <f>SUM(AX101:BA102)</f>
        <v>0</v>
      </c>
      <c r="AY100" s="888"/>
      <c r="AZ100" s="888"/>
      <c r="BA100" s="889"/>
      <c r="BB100" s="887">
        <f>SUM(BB101:BE102)</f>
        <v>0</v>
      </c>
      <c r="BC100" s="888"/>
      <c r="BD100" s="888"/>
      <c r="BE100" s="889"/>
      <c r="BF100" s="887">
        <f>SUM(BF101:BI102)</f>
        <v>0</v>
      </c>
      <c r="BG100" s="888"/>
      <c r="BH100" s="888"/>
      <c r="BI100" s="889"/>
      <c r="BJ100" s="887">
        <f>SUM(BJ101:BM102)</f>
        <v>0</v>
      </c>
      <c r="BK100" s="888"/>
      <c r="BL100" s="888"/>
      <c r="BM100" s="889"/>
      <c r="BN100" s="887">
        <f>SUM(BN101:BQ102)</f>
        <v>0</v>
      </c>
      <c r="BO100" s="888"/>
      <c r="BP100" s="888"/>
      <c r="BQ100" s="889"/>
      <c r="BR100" s="887">
        <f>SUM(BR101:BU102)</f>
        <v>0</v>
      </c>
      <c r="BS100" s="888"/>
      <c r="BT100" s="888"/>
      <c r="BU100" s="889"/>
      <c r="BV100" s="887">
        <f>SUM(BV101:BY102)</f>
        <v>0</v>
      </c>
      <c r="BW100" s="888"/>
      <c r="BX100" s="888"/>
      <c r="BY100" s="889"/>
      <c r="BZ100" s="887">
        <f>SUM(BZ101:CC102)</f>
        <v>0</v>
      </c>
      <c r="CA100" s="888"/>
      <c r="CB100" s="888"/>
      <c r="CC100" s="889"/>
      <c r="CD100" s="887">
        <f>SUM(CD101:CG102)</f>
        <v>0</v>
      </c>
      <c r="CE100" s="888"/>
      <c r="CF100" s="888"/>
      <c r="CG100" s="889"/>
      <c r="CH100" s="887">
        <f>SUM(CH101:CK102)</f>
        <v>0</v>
      </c>
      <c r="CI100" s="888"/>
      <c r="CJ100" s="888"/>
      <c r="CK100" s="889"/>
      <c r="CL100" s="887">
        <f>SUM(CL101:CO102)</f>
        <v>0</v>
      </c>
      <c r="CM100" s="888"/>
      <c r="CN100" s="888"/>
      <c r="CO100" s="889"/>
      <c r="CP100" s="887">
        <f>SUM(CP101:CS102)</f>
        <v>0</v>
      </c>
      <c r="CQ100" s="888"/>
      <c r="CR100" s="888"/>
      <c r="CS100" s="889"/>
      <c r="CT100" s="887">
        <f>SUM(CT101:CW102)</f>
        <v>0</v>
      </c>
      <c r="CU100" s="888"/>
      <c r="CV100" s="888"/>
      <c r="CW100" s="889"/>
      <c r="CX100" s="887">
        <f>SUM(CX101:DA102)</f>
        <v>0</v>
      </c>
      <c r="CY100" s="888"/>
      <c r="CZ100" s="888"/>
      <c r="DA100" s="889"/>
      <c r="DB100" s="887">
        <f>SUM(DB101:DE102)</f>
        <v>0</v>
      </c>
      <c r="DC100" s="888"/>
      <c r="DD100" s="888"/>
      <c r="DE100" s="889"/>
      <c r="DF100" s="887">
        <f>SUM(DF101:DI102)</f>
        <v>0</v>
      </c>
      <c r="DG100" s="888"/>
      <c r="DH100" s="888"/>
      <c r="DI100" s="889"/>
      <c r="DJ100" s="887">
        <f>SUM(DJ101:DM102)</f>
        <v>0</v>
      </c>
      <c r="DK100" s="888"/>
      <c r="DL100" s="888"/>
      <c r="DM100" s="889"/>
      <c r="DN100" s="887">
        <f>SUM(DN101:DQ102)</f>
        <v>0</v>
      </c>
      <c r="DO100" s="888"/>
      <c r="DP100" s="888"/>
      <c r="DQ100" s="889"/>
      <c r="DR100" s="887">
        <f>SUM(DR101:DU102)</f>
        <v>0</v>
      </c>
      <c r="DS100" s="888"/>
      <c r="DT100" s="888"/>
      <c r="DU100" s="889"/>
      <c r="DV100" s="887">
        <f>SUM(DV101:DY102)</f>
        <v>0</v>
      </c>
      <c r="DW100" s="888"/>
      <c r="DX100" s="888"/>
      <c r="DY100" s="889"/>
      <c r="DZ100" s="887">
        <f>SUM(DZ101:EC102)</f>
        <v>0</v>
      </c>
      <c r="EA100" s="888"/>
      <c r="EB100" s="888"/>
      <c r="EC100" s="889"/>
      <c r="ED100" s="887">
        <f>SUM(ED101:EG102)</f>
        <v>0</v>
      </c>
      <c r="EE100" s="888"/>
      <c r="EF100" s="888"/>
      <c r="EG100" s="889"/>
      <c r="EH100" s="887">
        <f>SUM(EH101:EK102)</f>
        <v>0</v>
      </c>
      <c r="EI100" s="888"/>
      <c r="EJ100" s="888"/>
      <c r="EK100" s="889"/>
      <c r="EL100" s="887">
        <f>SUM(EL101:EO102)</f>
        <v>0</v>
      </c>
      <c r="EM100" s="888"/>
      <c r="EN100" s="888"/>
      <c r="EO100" s="889"/>
      <c r="EP100" s="887">
        <f>SUM(EP101:ES102)</f>
        <v>0</v>
      </c>
      <c r="EQ100" s="888"/>
      <c r="ER100" s="888"/>
      <c r="ES100" s="889"/>
      <c r="ET100" s="887">
        <f>SUM(ET101:EW102)</f>
        <v>0</v>
      </c>
      <c r="EU100" s="888"/>
      <c r="EV100" s="888"/>
      <c r="EW100" s="889"/>
      <c r="EX100" s="887">
        <f>SUM(EX101:FA102)</f>
        <v>0</v>
      </c>
      <c r="EY100" s="888"/>
      <c r="EZ100" s="888"/>
      <c r="FA100" s="889"/>
      <c r="FB100" s="887">
        <f>SUM(FB101:FE102)</f>
        <v>0</v>
      </c>
      <c r="FC100" s="888"/>
      <c r="FD100" s="888"/>
      <c r="FE100" s="889"/>
      <c r="FF100" s="887">
        <f>SUM(FF101:FI102)</f>
        <v>0</v>
      </c>
      <c r="FG100" s="888"/>
      <c r="FH100" s="888"/>
      <c r="FI100" s="889"/>
      <c r="FJ100" s="887">
        <f>SUM(FJ101:FM102)</f>
        <v>0</v>
      </c>
      <c r="FK100" s="888"/>
      <c r="FL100" s="888"/>
      <c r="FM100" s="889"/>
      <c r="FN100" s="887">
        <f>SUM(FN101:FQ102)</f>
        <v>0</v>
      </c>
      <c r="FO100" s="888"/>
      <c r="FP100" s="888"/>
      <c r="FQ100" s="889"/>
      <c r="FR100" s="887">
        <f>SUM(FR101:FU102)</f>
        <v>0</v>
      </c>
      <c r="FS100" s="888"/>
      <c r="FT100" s="888"/>
      <c r="FU100" s="889"/>
      <c r="FV100" s="887">
        <f>SUM(FV101:FY102)</f>
        <v>0</v>
      </c>
      <c r="FW100" s="888"/>
      <c r="FX100" s="888"/>
      <c r="FY100" s="889"/>
      <c r="FZ100" s="887">
        <f>SUM(FZ101:GC102)</f>
        <v>0</v>
      </c>
      <c r="GA100" s="888"/>
      <c r="GB100" s="888"/>
      <c r="GC100" s="889"/>
      <c r="GD100" s="887">
        <f>SUM(GD101:GG102)</f>
        <v>0</v>
      </c>
      <c r="GE100" s="888"/>
      <c r="GF100" s="888"/>
      <c r="GG100" s="889"/>
      <c r="GH100" s="887">
        <f>SUM(GH101:GK102)</f>
        <v>0</v>
      </c>
      <c r="GI100" s="888"/>
      <c r="GJ100" s="888"/>
      <c r="GK100" s="889"/>
      <c r="GL100" s="887">
        <f>SUM(GL101:GO102)</f>
        <v>0</v>
      </c>
      <c r="GM100" s="888"/>
      <c r="GN100" s="888"/>
      <c r="GO100" s="889"/>
      <c r="GP100" s="887">
        <f>SUM(GP101:GS102)</f>
        <v>0</v>
      </c>
      <c r="GQ100" s="888"/>
      <c r="GR100" s="888"/>
      <c r="GS100" s="889"/>
      <c r="GT100" s="887">
        <f>SUM(GT101:GW102)</f>
        <v>0</v>
      </c>
      <c r="GU100" s="888"/>
      <c r="GV100" s="888"/>
      <c r="GW100" s="889"/>
      <c r="GX100" s="887">
        <f>SUM(GX101:HA102)</f>
        <v>0</v>
      </c>
      <c r="GY100" s="888"/>
      <c r="GZ100" s="888"/>
      <c r="HA100" s="889"/>
      <c r="HB100" s="887">
        <f>SUM(HB101:HE102)</f>
        <v>0</v>
      </c>
      <c r="HC100" s="888"/>
      <c r="HD100" s="888"/>
      <c r="HE100" s="889"/>
      <c r="HF100" s="887">
        <f>SUM(HF101:HI102)</f>
        <v>0</v>
      </c>
      <c r="HG100" s="888"/>
      <c r="HH100" s="888"/>
      <c r="HI100" s="889"/>
      <c r="HJ100" s="887">
        <f>SUM(HJ101:HM102)</f>
        <v>0</v>
      </c>
      <c r="HK100" s="888"/>
      <c r="HL100" s="888"/>
      <c r="HM100" s="889"/>
      <c r="HN100" s="887">
        <f>SUM(HN101:HQ102)</f>
        <v>0</v>
      </c>
      <c r="HO100" s="888"/>
      <c r="HP100" s="888"/>
      <c r="HQ100" s="889"/>
      <c r="HR100" s="887">
        <f>SUM(HR101:HU102)</f>
        <v>0</v>
      </c>
      <c r="HS100" s="888"/>
      <c r="HT100" s="888"/>
      <c r="HU100" s="889"/>
      <c r="HV100" s="887">
        <f>SUM(HV101:HY102)</f>
        <v>0</v>
      </c>
      <c r="HW100" s="888"/>
      <c r="HX100" s="888"/>
      <c r="HY100" s="889"/>
      <c r="HZ100" s="887">
        <f>SUM(HZ101:IC102)</f>
        <v>0</v>
      </c>
      <c r="IA100" s="888"/>
      <c r="IB100" s="888"/>
      <c r="IC100" s="889"/>
      <c r="ID100" s="887">
        <f>SUM(ID101:IG102)</f>
        <v>0</v>
      </c>
      <c r="IE100" s="888"/>
      <c r="IF100" s="888"/>
      <c r="IG100" s="889"/>
      <c r="IH100" s="887">
        <f>SUM(IH101:IK102)</f>
        <v>0</v>
      </c>
      <c r="II100" s="888"/>
      <c r="IJ100" s="888"/>
      <c r="IK100" s="889"/>
      <c r="IL100" s="887">
        <f>SUM(IL101:IO102)</f>
        <v>0</v>
      </c>
      <c r="IM100" s="888"/>
      <c r="IN100" s="888"/>
      <c r="IO100" s="889"/>
      <c r="IP100" s="887">
        <f>SUM(IP101:IS102)</f>
        <v>0</v>
      </c>
      <c r="IQ100" s="888"/>
      <c r="IR100" s="888"/>
      <c r="IS100" s="889"/>
      <c r="IT100" s="887">
        <f>SUM(IT101:IW102)</f>
        <v>0</v>
      </c>
      <c r="IU100" s="888"/>
      <c r="IV100" s="888"/>
      <c r="IW100" s="889"/>
      <c r="IX100" s="887">
        <f>SUM(IX101:JA102)</f>
        <v>0</v>
      </c>
      <c r="IY100" s="888"/>
      <c r="IZ100" s="888"/>
      <c r="JA100" s="889"/>
      <c r="JB100" s="887">
        <f>SUM(JB101:JE102)</f>
        <v>0</v>
      </c>
      <c r="JC100" s="888"/>
      <c r="JD100" s="888"/>
      <c r="JE100" s="889"/>
      <c r="JF100" s="887">
        <f>SUM(JF101:JI102)</f>
        <v>0</v>
      </c>
      <c r="JG100" s="888"/>
      <c r="JH100" s="888"/>
      <c r="JI100" s="889"/>
      <c r="JJ100" s="887">
        <f>SUM(JJ101:JM102)</f>
        <v>0</v>
      </c>
      <c r="JK100" s="888"/>
      <c r="JL100" s="888"/>
      <c r="JM100" s="889"/>
      <c r="JN100" s="887">
        <f>SUM(JN101:JQ102)</f>
        <v>0</v>
      </c>
      <c r="JO100" s="888"/>
      <c r="JP100" s="888"/>
      <c r="JQ100" s="889"/>
      <c r="JR100" s="887">
        <f>SUM(JR101:JU102)</f>
        <v>0</v>
      </c>
      <c r="JS100" s="888"/>
      <c r="JT100" s="888"/>
      <c r="JU100" s="889"/>
      <c r="JV100" s="887">
        <f>SUM(JV101:JY102)</f>
        <v>0</v>
      </c>
      <c r="JW100" s="888"/>
      <c r="JX100" s="888"/>
      <c r="JY100" s="889"/>
      <c r="JZ100" s="887">
        <f>SUM(JZ101:KC102)</f>
        <v>0</v>
      </c>
      <c r="KA100" s="888"/>
      <c r="KB100" s="888"/>
      <c r="KC100" s="889"/>
      <c r="KD100" s="887">
        <f>SUM(KD101:KG102)</f>
        <v>0</v>
      </c>
      <c r="KE100" s="888"/>
      <c r="KF100" s="888"/>
      <c r="KG100" s="889"/>
      <c r="KH100" s="887">
        <f>SUM(KH101:KK102)</f>
        <v>0</v>
      </c>
      <c r="KI100" s="888"/>
      <c r="KJ100" s="888"/>
      <c r="KK100" s="889"/>
      <c r="KL100" s="887">
        <f>SUM(KL101:KO102)</f>
        <v>0</v>
      </c>
      <c r="KM100" s="888"/>
      <c r="KN100" s="888"/>
      <c r="KO100" s="889"/>
      <c r="KP100" s="887">
        <f>SUM(KP101:KS102)</f>
        <v>0</v>
      </c>
      <c r="KQ100" s="888"/>
      <c r="KR100" s="888"/>
      <c r="KS100" s="889"/>
      <c r="KT100" s="887">
        <f>SUM(KT101:KW102)</f>
        <v>0</v>
      </c>
      <c r="KU100" s="888"/>
      <c r="KV100" s="888"/>
      <c r="KW100" s="889"/>
      <c r="KX100" s="887">
        <f>SUM(KX101:LA102)</f>
        <v>0</v>
      </c>
      <c r="KY100" s="888"/>
      <c r="KZ100" s="888"/>
      <c r="LA100" s="889"/>
      <c r="LB100" s="887">
        <f>SUM(LB101:LE102)</f>
        <v>0</v>
      </c>
      <c r="LC100" s="888"/>
      <c r="LD100" s="888"/>
      <c r="LE100" s="889"/>
      <c r="LF100" s="887">
        <f>SUM(LF101:LI102)</f>
        <v>0</v>
      </c>
      <c r="LG100" s="888"/>
      <c r="LH100" s="888"/>
      <c r="LI100" s="889"/>
      <c r="LJ100" s="887">
        <f>SUM(LJ101:LM102)</f>
        <v>0</v>
      </c>
      <c r="LK100" s="888"/>
      <c r="LL100" s="888"/>
      <c r="LM100" s="889"/>
    </row>
    <row r="101" spans="1:325">
      <c r="A101" s="310"/>
      <c r="B101" s="375" t="s">
        <v>573</v>
      </c>
      <c r="C101" s="376" t="s">
        <v>588</v>
      </c>
      <c r="D101" s="379">
        <f t="shared" si="21"/>
        <v>0</v>
      </c>
      <c r="E101" s="374">
        <f ca="1">IFERROR(D101/$D$95,"")</f>
        <v>0</v>
      </c>
      <c r="F101" s="886"/>
      <c r="G101" s="877"/>
      <c r="H101" s="877"/>
      <c r="I101" s="878"/>
      <c r="J101" s="885"/>
      <c r="K101" s="877"/>
      <c r="L101" s="877"/>
      <c r="M101" s="878"/>
      <c r="N101" s="885"/>
      <c r="O101" s="877"/>
      <c r="P101" s="877"/>
      <c r="Q101" s="878"/>
      <c r="R101" s="885"/>
      <c r="S101" s="877"/>
      <c r="T101" s="877"/>
      <c r="U101" s="878"/>
      <c r="V101" s="885"/>
      <c r="W101" s="877"/>
      <c r="X101" s="877"/>
      <c r="Y101" s="878"/>
      <c r="Z101" s="885"/>
      <c r="AA101" s="877"/>
      <c r="AB101" s="877"/>
      <c r="AC101" s="878"/>
      <c r="AD101" s="885"/>
      <c r="AE101" s="877"/>
      <c r="AF101" s="877"/>
      <c r="AG101" s="878"/>
      <c r="AH101" s="885"/>
      <c r="AI101" s="877"/>
      <c r="AJ101" s="877"/>
      <c r="AK101" s="878"/>
      <c r="AL101" s="885"/>
      <c r="AM101" s="877"/>
      <c r="AN101" s="877"/>
      <c r="AO101" s="878"/>
      <c r="AP101" s="885"/>
      <c r="AQ101" s="877"/>
      <c r="AR101" s="877"/>
      <c r="AS101" s="878"/>
      <c r="AT101" s="885"/>
      <c r="AU101" s="877"/>
      <c r="AV101" s="877"/>
      <c r="AW101" s="878"/>
      <c r="AX101" s="885"/>
      <c r="AY101" s="877"/>
      <c r="AZ101" s="877"/>
      <c r="BA101" s="878"/>
      <c r="BB101" s="885"/>
      <c r="BC101" s="877"/>
      <c r="BD101" s="877"/>
      <c r="BE101" s="878"/>
      <c r="BF101" s="885"/>
      <c r="BG101" s="877"/>
      <c r="BH101" s="877"/>
      <c r="BI101" s="878"/>
      <c r="BJ101" s="885"/>
      <c r="BK101" s="877"/>
      <c r="BL101" s="877"/>
      <c r="BM101" s="878"/>
      <c r="BN101" s="885"/>
      <c r="BO101" s="877"/>
      <c r="BP101" s="877"/>
      <c r="BQ101" s="878"/>
      <c r="BR101" s="885"/>
      <c r="BS101" s="877"/>
      <c r="BT101" s="877"/>
      <c r="BU101" s="878"/>
      <c r="BV101" s="885"/>
      <c r="BW101" s="877"/>
      <c r="BX101" s="877"/>
      <c r="BY101" s="878"/>
      <c r="BZ101" s="885"/>
      <c r="CA101" s="877"/>
      <c r="CB101" s="877"/>
      <c r="CC101" s="878"/>
      <c r="CD101" s="885"/>
      <c r="CE101" s="877"/>
      <c r="CF101" s="877"/>
      <c r="CG101" s="878"/>
      <c r="CH101" s="885"/>
      <c r="CI101" s="877"/>
      <c r="CJ101" s="877"/>
      <c r="CK101" s="878"/>
      <c r="CL101" s="885"/>
      <c r="CM101" s="877"/>
      <c r="CN101" s="877"/>
      <c r="CO101" s="878"/>
      <c r="CP101" s="885"/>
      <c r="CQ101" s="877"/>
      <c r="CR101" s="877"/>
      <c r="CS101" s="878"/>
      <c r="CT101" s="885"/>
      <c r="CU101" s="877"/>
      <c r="CV101" s="877"/>
      <c r="CW101" s="878"/>
      <c r="CX101" s="885"/>
      <c r="CY101" s="877"/>
      <c r="CZ101" s="877"/>
      <c r="DA101" s="878"/>
      <c r="DB101" s="885"/>
      <c r="DC101" s="877"/>
      <c r="DD101" s="877"/>
      <c r="DE101" s="878"/>
      <c r="DF101" s="885"/>
      <c r="DG101" s="877"/>
      <c r="DH101" s="877"/>
      <c r="DI101" s="878"/>
      <c r="DJ101" s="885"/>
      <c r="DK101" s="877"/>
      <c r="DL101" s="877"/>
      <c r="DM101" s="878"/>
      <c r="DN101" s="885"/>
      <c r="DO101" s="877"/>
      <c r="DP101" s="877"/>
      <c r="DQ101" s="878"/>
      <c r="DR101" s="885"/>
      <c r="DS101" s="877"/>
      <c r="DT101" s="877"/>
      <c r="DU101" s="878"/>
      <c r="DV101" s="885"/>
      <c r="DW101" s="877"/>
      <c r="DX101" s="877"/>
      <c r="DY101" s="878"/>
      <c r="DZ101" s="885"/>
      <c r="EA101" s="877"/>
      <c r="EB101" s="877"/>
      <c r="EC101" s="878"/>
      <c r="ED101" s="885"/>
      <c r="EE101" s="877"/>
      <c r="EF101" s="877"/>
      <c r="EG101" s="878"/>
      <c r="EH101" s="885"/>
      <c r="EI101" s="877"/>
      <c r="EJ101" s="877"/>
      <c r="EK101" s="878"/>
      <c r="EL101" s="885"/>
      <c r="EM101" s="877"/>
      <c r="EN101" s="877"/>
      <c r="EO101" s="878"/>
      <c r="EP101" s="885"/>
      <c r="EQ101" s="877"/>
      <c r="ER101" s="877"/>
      <c r="ES101" s="878"/>
      <c r="ET101" s="885"/>
      <c r="EU101" s="877"/>
      <c r="EV101" s="877"/>
      <c r="EW101" s="878"/>
      <c r="EX101" s="885"/>
      <c r="EY101" s="877"/>
      <c r="EZ101" s="877"/>
      <c r="FA101" s="878"/>
      <c r="FB101" s="885"/>
      <c r="FC101" s="877"/>
      <c r="FD101" s="877"/>
      <c r="FE101" s="878"/>
      <c r="FF101" s="885"/>
      <c r="FG101" s="877"/>
      <c r="FH101" s="877"/>
      <c r="FI101" s="878"/>
      <c r="FJ101" s="885"/>
      <c r="FK101" s="877"/>
      <c r="FL101" s="877"/>
      <c r="FM101" s="878"/>
      <c r="FN101" s="885"/>
      <c r="FO101" s="877"/>
      <c r="FP101" s="877"/>
      <c r="FQ101" s="878"/>
      <c r="FR101" s="885"/>
      <c r="FS101" s="877"/>
      <c r="FT101" s="877"/>
      <c r="FU101" s="878"/>
      <c r="FV101" s="885"/>
      <c r="FW101" s="877"/>
      <c r="FX101" s="877"/>
      <c r="FY101" s="878"/>
      <c r="FZ101" s="885"/>
      <c r="GA101" s="877"/>
      <c r="GB101" s="877"/>
      <c r="GC101" s="878"/>
      <c r="GD101" s="885"/>
      <c r="GE101" s="877"/>
      <c r="GF101" s="877"/>
      <c r="GG101" s="878"/>
      <c r="GH101" s="885"/>
      <c r="GI101" s="877"/>
      <c r="GJ101" s="877"/>
      <c r="GK101" s="878"/>
      <c r="GL101" s="885"/>
      <c r="GM101" s="877"/>
      <c r="GN101" s="877"/>
      <c r="GO101" s="878"/>
      <c r="GP101" s="885"/>
      <c r="GQ101" s="877"/>
      <c r="GR101" s="877"/>
      <c r="GS101" s="878"/>
      <c r="GT101" s="885"/>
      <c r="GU101" s="877"/>
      <c r="GV101" s="877"/>
      <c r="GW101" s="878"/>
      <c r="GX101" s="885"/>
      <c r="GY101" s="877"/>
      <c r="GZ101" s="877"/>
      <c r="HA101" s="878"/>
      <c r="HB101" s="885"/>
      <c r="HC101" s="877"/>
      <c r="HD101" s="877"/>
      <c r="HE101" s="878"/>
      <c r="HF101" s="885"/>
      <c r="HG101" s="877"/>
      <c r="HH101" s="877"/>
      <c r="HI101" s="878"/>
      <c r="HJ101" s="885"/>
      <c r="HK101" s="877"/>
      <c r="HL101" s="877"/>
      <c r="HM101" s="878"/>
      <c r="HN101" s="885"/>
      <c r="HO101" s="877"/>
      <c r="HP101" s="877"/>
      <c r="HQ101" s="878"/>
      <c r="HR101" s="885"/>
      <c r="HS101" s="877"/>
      <c r="HT101" s="877"/>
      <c r="HU101" s="878"/>
      <c r="HV101" s="885"/>
      <c r="HW101" s="877"/>
      <c r="HX101" s="877"/>
      <c r="HY101" s="878"/>
      <c r="HZ101" s="885"/>
      <c r="IA101" s="877"/>
      <c r="IB101" s="877"/>
      <c r="IC101" s="878"/>
      <c r="ID101" s="885"/>
      <c r="IE101" s="877"/>
      <c r="IF101" s="877"/>
      <c r="IG101" s="878"/>
      <c r="IH101" s="885"/>
      <c r="II101" s="877"/>
      <c r="IJ101" s="877"/>
      <c r="IK101" s="878"/>
      <c r="IL101" s="885"/>
      <c r="IM101" s="877"/>
      <c r="IN101" s="877"/>
      <c r="IO101" s="878"/>
      <c r="IP101" s="885"/>
      <c r="IQ101" s="877"/>
      <c r="IR101" s="877"/>
      <c r="IS101" s="878"/>
      <c r="IT101" s="885"/>
      <c r="IU101" s="877"/>
      <c r="IV101" s="877"/>
      <c r="IW101" s="878"/>
      <c r="IX101" s="885"/>
      <c r="IY101" s="877"/>
      <c r="IZ101" s="877"/>
      <c r="JA101" s="878"/>
      <c r="JB101" s="885"/>
      <c r="JC101" s="877"/>
      <c r="JD101" s="877"/>
      <c r="JE101" s="878"/>
      <c r="JF101" s="885"/>
      <c r="JG101" s="877"/>
      <c r="JH101" s="877"/>
      <c r="JI101" s="878"/>
      <c r="JJ101" s="885"/>
      <c r="JK101" s="877"/>
      <c r="JL101" s="877"/>
      <c r="JM101" s="878"/>
      <c r="JN101" s="885"/>
      <c r="JO101" s="877"/>
      <c r="JP101" s="877"/>
      <c r="JQ101" s="878"/>
      <c r="JR101" s="885"/>
      <c r="JS101" s="877"/>
      <c r="JT101" s="877"/>
      <c r="JU101" s="878"/>
      <c r="JV101" s="885"/>
      <c r="JW101" s="877"/>
      <c r="JX101" s="877"/>
      <c r="JY101" s="878"/>
      <c r="JZ101" s="885"/>
      <c r="KA101" s="877"/>
      <c r="KB101" s="877"/>
      <c r="KC101" s="878"/>
      <c r="KD101" s="885"/>
      <c r="KE101" s="877"/>
      <c r="KF101" s="877"/>
      <c r="KG101" s="878"/>
      <c r="KH101" s="885"/>
      <c r="KI101" s="877"/>
      <c r="KJ101" s="877"/>
      <c r="KK101" s="878"/>
      <c r="KL101" s="885"/>
      <c r="KM101" s="877"/>
      <c r="KN101" s="877"/>
      <c r="KO101" s="878"/>
      <c r="KP101" s="885"/>
      <c r="KQ101" s="877"/>
      <c r="KR101" s="877"/>
      <c r="KS101" s="878"/>
      <c r="KT101" s="885"/>
      <c r="KU101" s="877"/>
      <c r="KV101" s="877"/>
      <c r="KW101" s="878"/>
      <c r="KX101" s="885"/>
      <c r="KY101" s="877"/>
      <c r="KZ101" s="877"/>
      <c r="LA101" s="878"/>
      <c r="LB101" s="885"/>
      <c r="LC101" s="877"/>
      <c r="LD101" s="877"/>
      <c r="LE101" s="878"/>
      <c r="LF101" s="885"/>
      <c r="LG101" s="877"/>
      <c r="LH101" s="877"/>
      <c r="LI101" s="878"/>
      <c r="LJ101" s="885"/>
      <c r="LK101" s="877"/>
      <c r="LL101" s="877"/>
      <c r="LM101" s="878"/>
    </row>
    <row r="102" spans="1:325">
      <c r="A102" s="310"/>
      <c r="B102" s="375" t="s">
        <v>574</v>
      </c>
      <c r="C102" s="376" t="s">
        <v>588</v>
      </c>
      <c r="D102" s="379">
        <f t="shared" si="21"/>
        <v>0</v>
      </c>
      <c r="E102" s="374">
        <f ca="1">IFERROR(D102/$D$95,"")</f>
        <v>0</v>
      </c>
      <c r="F102" s="886"/>
      <c r="G102" s="877"/>
      <c r="H102" s="877"/>
      <c r="I102" s="878"/>
      <c r="J102" s="885"/>
      <c r="K102" s="877"/>
      <c r="L102" s="877"/>
      <c r="M102" s="878"/>
      <c r="N102" s="885"/>
      <c r="O102" s="877"/>
      <c r="P102" s="877"/>
      <c r="Q102" s="878"/>
      <c r="R102" s="885"/>
      <c r="S102" s="877"/>
      <c r="T102" s="877"/>
      <c r="U102" s="878"/>
      <c r="V102" s="885"/>
      <c r="W102" s="877"/>
      <c r="X102" s="877"/>
      <c r="Y102" s="878"/>
      <c r="Z102" s="885"/>
      <c r="AA102" s="877"/>
      <c r="AB102" s="877"/>
      <c r="AC102" s="878"/>
      <c r="AD102" s="885"/>
      <c r="AE102" s="877"/>
      <c r="AF102" s="877"/>
      <c r="AG102" s="878"/>
      <c r="AH102" s="885"/>
      <c r="AI102" s="877"/>
      <c r="AJ102" s="877"/>
      <c r="AK102" s="878"/>
      <c r="AL102" s="885"/>
      <c r="AM102" s="877"/>
      <c r="AN102" s="877"/>
      <c r="AO102" s="878"/>
      <c r="AP102" s="885"/>
      <c r="AQ102" s="877"/>
      <c r="AR102" s="877"/>
      <c r="AS102" s="878"/>
      <c r="AT102" s="885"/>
      <c r="AU102" s="877"/>
      <c r="AV102" s="877"/>
      <c r="AW102" s="878"/>
      <c r="AX102" s="885"/>
      <c r="AY102" s="877"/>
      <c r="AZ102" s="877"/>
      <c r="BA102" s="878"/>
      <c r="BB102" s="885"/>
      <c r="BC102" s="877"/>
      <c r="BD102" s="877"/>
      <c r="BE102" s="878"/>
      <c r="BF102" s="885"/>
      <c r="BG102" s="877"/>
      <c r="BH102" s="877"/>
      <c r="BI102" s="878"/>
      <c r="BJ102" s="885"/>
      <c r="BK102" s="877"/>
      <c r="BL102" s="877"/>
      <c r="BM102" s="878"/>
      <c r="BN102" s="885"/>
      <c r="BO102" s="877"/>
      <c r="BP102" s="877"/>
      <c r="BQ102" s="878"/>
      <c r="BR102" s="885"/>
      <c r="BS102" s="877"/>
      <c r="BT102" s="877"/>
      <c r="BU102" s="878"/>
      <c r="BV102" s="885"/>
      <c r="BW102" s="877"/>
      <c r="BX102" s="877"/>
      <c r="BY102" s="878"/>
      <c r="BZ102" s="885"/>
      <c r="CA102" s="877"/>
      <c r="CB102" s="877"/>
      <c r="CC102" s="878"/>
      <c r="CD102" s="885"/>
      <c r="CE102" s="877"/>
      <c r="CF102" s="877"/>
      <c r="CG102" s="878"/>
      <c r="CH102" s="885"/>
      <c r="CI102" s="877"/>
      <c r="CJ102" s="877"/>
      <c r="CK102" s="878"/>
      <c r="CL102" s="885"/>
      <c r="CM102" s="877"/>
      <c r="CN102" s="877"/>
      <c r="CO102" s="878"/>
      <c r="CP102" s="885"/>
      <c r="CQ102" s="877"/>
      <c r="CR102" s="877"/>
      <c r="CS102" s="878"/>
      <c r="CT102" s="885"/>
      <c r="CU102" s="877"/>
      <c r="CV102" s="877"/>
      <c r="CW102" s="878"/>
      <c r="CX102" s="885"/>
      <c r="CY102" s="877"/>
      <c r="CZ102" s="877"/>
      <c r="DA102" s="878"/>
      <c r="DB102" s="885"/>
      <c r="DC102" s="877"/>
      <c r="DD102" s="877"/>
      <c r="DE102" s="878"/>
      <c r="DF102" s="885"/>
      <c r="DG102" s="877"/>
      <c r="DH102" s="877"/>
      <c r="DI102" s="878"/>
      <c r="DJ102" s="885"/>
      <c r="DK102" s="877"/>
      <c r="DL102" s="877"/>
      <c r="DM102" s="878"/>
      <c r="DN102" s="885"/>
      <c r="DO102" s="877"/>
      <c r="DP102" s="877"/>
      <c r="DQ102" s="878"/>
      <c r="DR102" s="885"/>
      <c r="DS102" s="877"/>
      <c r="DT102" s="877"/>
      <c r="DU102" s="878"/>
      <c r="DV102" s="885"/>
      <c r="DW102" s="877"/>
      <c r="DX102" s="877"/>
      <c r="DY102" s="878"/>
      <c r="DZ102" s="885"/>
      <c r="EA102" s="877"/>
      <c r="EB102" s="877"/>
      <c r="EC102" s="878"/>
      <c r="ED102" s="885"/>
      <c r="EE102" s="877"/>
      <c r="EF102" s="877"/>
      <c r="EG102" s="878"/>
      <c r="EH102" s="885"/>
      <c r="EI102" s="877"/>
      <c r="EJ102" s="877"/>
      <c r="EK102" s="878"/>
      <c r="EL102" s="885"/>
      <c r="EM102" s="877"/>
      <c r="EN102" s="877"/>
      <c r="EO102" s="878"/>
      <c r="EP102" s="885"/>
      <c r="EQ102" s="877"/>
      <c r="ER102" s="877"/>
      <c r="ES102" s="878"/>
      <c r="ET102" s="885"/>
      <c r="EU102" s="877"/>
      <c r="EV102" s="877"/>
      <c r="EW102" s="878"/>
      <c r="EX102" s="885"/>
      <c r="EY102" s="877"/>
      <c r="EZ102" s="877"/>
      <c r="FA102" s="878"/>
      <c r="FB102" s="885"/>
      <c r="FC102" s="877"/>
      <c r="FD102" s="877"/>
      <c r="FE102" s="878"/>
      <c r="FF102" s="885"/>
      <c r="FG102" s="877"/>
      <c r="FH102" s="877"/>
      <c r="FI102" s="878"/>
      <c r="FJ102" s="885"/>
      <c r="FK102" s="877"/>
      <c r="FL102" s="877"/>
      <c r="FM102" s="878"/>
      <c r="FN102" s="885"/>
      <c r="FO102" s="877"/>
      <c r="FP102" s="877"/>
      <c r="FQ102" s="878"/>
      <c r="FR102" s="885"/>
      <c r="FS102" s="877"/>
      <c r="FT102" s="877"/>
      <c r="FU102" s="878"/>
      <c r="FV102" s="885"/>
      <c r="FW102" s="877"/>
      <c r="FX102" s="877"/>
      <c r="FY102" s="878"/>
      <c r="FZ102" s="885"/>
      <c r="GA102" s="877"/>
      <c r="GB102" s="877"/>
      <c r="GC102" s="878"/>
      <c r="GD102" s="885"/>
      <c r="GE102" s="877"/>
      <c r="GF102" s="877"/>
      <c r="GG102" s="878"/>
      <c r="GH102" s="885"/>
      <c r="GI102" s="877"/>
      <c r="GJ102" s="877"/>
      <c r="GK102" s="878"/>
      <c r="GL102" s="885"/>
      <c r="GM102" s="877"/>
      <c r="GN102" s="877"/>
      <c r="GO102" s="878"/>
      <c r="GP102" s="885"/>
      <c r="GQ102" s="877"/>
      <c r="GR102" s="877"/>
      <c r="GS102" s="878"/>
      <c r="GT102" s="885"/>
      <c r="GU102" s="877"/>
      <c r="GV102" s="877"/>
      <c r="GW102" s="878"/>
      <c r="GX102" s="885"/>
      <c r="GY102" s="877"/>
      <c r="GZ102" s="877"/>
      <c r="HA102" s="878"/>
      <c r="HB102" s="885"/>
      <c r="HC102" s="877"/>
      <c r="HD102" s="877"/>
      <c r="HE102" s="878"/>
      <c r="HF102" s="885"/>
      <c r="HG102" s="877"/>
      <c r="HH102" s="877"/>
      <c r="HI102" s="878"/>
      <c r="HJ102" s="885"/>
      <c r="HK102" s="877"/>
      <c r="HL102" s="877"/>
      <c r="HM102" s="878"/>
      <c r="HN102" s="885"/>
      <c r="HO102" s="877"/>
      <c r="HP102" s="877"/>
      <c r="HQ102" s="878"/>
      <c r="HR102" s="885"/>
      <c r="HS102" s="877"/>
      <c r="HT102" s="877"/>
      <c r="HU102" s="878"/>
      <c r="HV102" s="885"/>
      <c r="HW102" s="877"/>
      <c r="HX102" s="877"/>
      <c r="HY102" s="878"/>
      <c r="HZ102" s="885"/>
      <c r="IA102" s="877"/>
      <c r="IB102" s="877"/>
      <c r="IC102" s="878"/>
      <c r="ID102" s="885"/>
      <c r="IE102" s="877"/>
      <c r="IF102" s="877"/>
      <c r="IG102" s="878"/>
      <c r="IH102" s="885"/>
      <c r="II102" s="877"/>
      <c r="IJ102" s="877"/>
      <c r="IK102" s="878"/>
      <c r="IL102" s="885"/>
      <c r="IM102" s="877"/>
      <c r="IN102" s="877"/>
      <c r="IO102" s="878"/>
      <c r="IP102" s="885"/>
      <c r="IQ102" s="877"/>
      <c r="IR102" s="877"/>
      <c r="IS102" s="878"/>
      <c r="IT102" s="885"/>
      <c r="IU102" s="877"/>
      <c r="IV102" s="877"/>
      <c r="IW102" s="878"/>
      <c r="IX102" s="885"/>
      <c r="IY102" s="877"/>
      <c r="IZ102" s="877"/>
      <c r="JA102" s="878"/>
      <c r="JB102" s="885"/>
      <c r="JC102" s="877"/>
      <c r="JD102" s="877"/>
      <c r="JE102" s="878"/>
      <c r="JF102" s="885"/>
      <c r="JG102" s="877"/>
      <c r="JH102" s="877"/>
      <c r="JI102" s="878"/>
      <c r="JJ102" s="885"/>
      <c r="JK102" s="877"/>
      <c r="JL102" s="877"/>
      <c r="JM102" s="878"/>
      <c r="JN102" s="885"/>
      <c r="JO102" s="877"/>
      <c r="JP102" s="877"/>
      <c r="JQ102" s="878"/>
      <c r="JR102" s="885"/>
      <c r="JS102" s="877"/>
      <c r="JT102" s="877"/>
      <c r="JU102" s="878"/>
      <c r="JV102" s="885"/>
      <c r="JW102" s="877"/>
      <c r="JX102" s="877"/>
      <c r="JY102" s="878"/>
      <c r="JZ102" s="885"/>
      <c r="KA102" s="877"/>
      <c r="KB102" s="877"/>
      <c r="KC102" s="878"/>
      <c r="KD102" s="885"/>
      <c r="KE102" s="877"/>
      <c r="KF102" s="877"/>
      <c r="KG102" s="878"/>
      <c r="KH102" s="885"/>
      <c r="KI102" s="877"/>
      <c r="KJ102" s="877"/>
      <c r="KK102" s="878"/>
      <c r="KL102" s="885"/>
      <c r="KM102" s="877"/>
      <c r="KN102" s="877"/>
      <c r="KO102" s="878"/>
      <c r="KP102" s="885"/>
      <c r="KQ102" s="877"/>
      <c r="KR102" s="877"/>
      <c r="KS102" s="878"/>
      <c r="KT102" s="885"/>
      <c r="KU102" s="877"/>
      <c r="KV102" s="877"/>
      <c r="KW102" s="878"/>
      <c r="KX102" s="885"/>
      <c r="KY102" s="877"/>
      <c r="KZ102" s="877"/>
      <c r="LA102" s="878"/>
      <c r="LB102" s="885"/>
      <c r="LC102" s="877"/>
      <c r="LD102" s="877"/>
      <c r="LE102" s="878"/>
      <c r="LF102" s="885"/>
      <c r="LG102" s="877"/>
      <c r="LH102" s="877"/>
      <c r="LI102" s="878"/>
      <c r="LJ102" s="885"/>
      <c r="LK102" s="877"/>
      <c r="LL102" s="877"/>
      <c r="LM102" s="878"/>
    </row>
    <row r="103" spans="1:325">
      <c r="A103" s="310"/>
      <c r="B103" s="372" t="s">
        <v>575</v>
      </c>
      <c r="C103" s="373" t="s">
        <v>550</v>
      </c>
      <c r="D103" s="366">
        <f t="shared" si="21"/>
        <v>0</v>
      </c>
      <c r="E103" s="374">
        <f ca="1">SUM(E104:E105)</f>
        <v>0</v>
      </c>
      <c r="F103" s="890">
        <f>SUM(F104:I105)</f>
        <v>0</v>
      </c>
      <c r="G103" s="888"/>
      <c r="H103" s="888"/>
      <c r="I103" s="889"/>
      <c r="J103" s="887">
        <f>SUM(J104:M105)</f>
        <v>0</v>
      </c>
      <c r="K103" s="888"/>
      <c r="L103" s="888"/>
      <c r="M103" s="889"/>
      <c r="N103" s="887">
        <f>SUM(N104:Q105)</f>
        <v>0</v>
      </c>
      <c r="O103" s="888"/>
      <c r="P103" s="888"/>
      <c r="Q103" s="889"/>
      <c r="R103" s="887">
        <f>SUM(R104:U105)</f>
        <v>0</v>
      </c>
      <c r="S103" s="888"/>
      <c r="T103" s="888"/>
      <c r="U103" s="889"/>
      <c r="V103" s="887">
        <f>SUM(V104:Y105)</f>
        <v>0</v>
      </c>
      <c r="W103" s="888"/>
      <c r="X103" s="888"/>
      <c r="Y103" s="889"/>
      <c r="Z103" s="887">
        <f>SUM(Z104:AC105)</f>
        <v>0</v>
      </c>
      <c r="AA103" s="888"/>
      <c r="AB103" s="888"/>
      <c r="AC103" s="889"/>
      <c r="AD103" s="887">
        <f>SUM(AD104:AG105)</f>
        <v>0</v>
      </c>
      <c r="AE103" s="888"/>
      <c r="AF103" s="888"/>
      <c r="AG103" s="889"/>
      <c r="AH103" s="887">
        <f>SUM(AH104:AK105)</f>
        <v>0</v>
      </c>
      <c r="AI103" s="888"/>
      <c r="AJ103" s="888"/>
      <c r="AK103" s="889"/>
      <c r="AL103" s="887">
        <f>SUM(AL104:AO105)</f>
        <v>0</v>
      </c>
      <c r="AM103" s="888"/>
      <c r="AN103" s="888"/>
      <c r="AO103" s="889"/>
      <c r="AP103" s="887">
        <f>SUM(AP104:AS105)</f>
        <v>0</v>
      </c>
      <c r="AQ103" s="888"/>
      <c r="AR103" s="888"/>
      <c r="AS103" s="889"/>
      <c r="AT103" s="887">
        <f>SUM(AT104:AW105)</f>
        <v>0</v>
      </c>
      <c r="AU103" s="888"/>
      <c r="AV103" s="888"/>
      <c r="AW103" s="889"/>
      <c r="AX103" s="887">
        <f>SUM(AX104:BA105)</f>
        <v>0</v>
      </c>
      <c r="AY103" s="888"/>
      <c r="AZ103" s="888"/>
      <c r="BA103" s="889"/>
      <c r="BB103" s="887">
        <f>SUM(BB104:BE105)</f>
        <v>0</v>
      </c>
      <c r="BC103" s="888"/>
      <c r="BD103" s="888"/>
      <c r="BE103" s="889"/>
      <c r="BF103" s="887">
        <f>SUM(BF104:BI105)</f>
        <v>0</v>
      </c>
      <c r="BG103" s="888"/>
      <c r="BH103" s="888"/>
      <c r="BI103" s="889"/>
      <c r="BJ103" s="887">
        <f>SUM(BJ104:BM105)</f>
        <v>0</v>
      </c>
      <c r="BK103" s="888"/>
      <c r="BL103" s="888"/>
      <c r="BM103" s="889"/>
      <c r="BN103" s="887">
        <f>SUM(BN104:BQ105)</f>
        <v>0</v>
      </c>
      <c r="BO103" s="888"/>
      <c r="BP103" s="888"/>
      <c r="BQ103" s="889"/>
      <c r="BR103" s="887">
        <f>SUM(BR104:BU105)</f>
        <v>0</v>
      </c>
      <c r="BS103" s="888"/>
      <c r="BT103" s="888"/>
      <c r="BU103" s="889"/>
      <c r="BV103" s="887">
        <f>SUM(BV104:BY105)</f>
        <v>0</v>
      </c>
      <c r="BW103" s="888"/>
      <c r="BX103" s="888"/>
      <c r="BY103" s="889"/>
      <c r="BZ103" s="887">
        <f>SUM(BZ104:CC105)</f>
        <v>0</v>
      </c>
      <c r="CA103" s="888"/>
      <c r="CB103" s="888"/>
      <c r="CC103" s="889"/>
      <c r="CD103" s="887">
        <f>SUM(CD104:CG105)</f>
        <v>0</v>
      </c>
      <c r="CE103" s="888"/>
      <c r="CF103" s="888"/>
      <c r="CG103" s="889"/>
      <c r="CH103" s="887">
        <f>SUM(CH104:CK105)</f>
        <v>0</v>
      </c>
      <c r="CI103" s="888"/>
      <c r="CJ103" s="888"/>
      <c r="CK103" s="889"/>
      <c r="CL103" s="887">
        <f>SUM(CL104:CO105)</f>
        <v>0</v>
      </c>
      <c r="CM103" s="888"/>
      <c r="CN103" s="888"/>
      <c r="CO103" s="889"/>
      <c r="CP103" s="887">
        <f>SUM(CP104:CS105)</f>
        <v>0</v>
      </c>
      <c r="CQ103" s="888"/>
      <c r="CR103" s="888"/>
      <c r="CS103" s="889"/>
      <c r="CT103" s="887">
        <f>SUM(CT104:CW105)</f>
        <v>0</v>
      </c>
      <c r="CU103" s="888"/>
      <c r="CV103" s="888"/>
      <c r="CW103" s="889"/>
      <c r="CX103" s="887">
        <f>SUM(CX104:DA105)</f>
        <v>0</v>
      </c>
      <c r="CY103" s="888"/>
      <c r="CZ103" s="888"/>
      <c r="DA103" s="889"/>
      <c r="DB103" s="887">
        <f>SUM(DB104:DE105)</f>
        <v>0</v>
      </c>
      <c r="DC103" s="888"/>
      <c r="DD103" s="888"/>
      <c r="DE103" s="889"/>
      <c r="DF103" s="887">
        <f>SUM(DF104:DI105)</f>
        <v>0</v>
      </c>
      <c r="DG103" s="888"/>
      <c r="DH103" s="888"/>
      <c r="DI103" s="889"/>
      <c r="DJ103" s="887">
        <f>SUM(DJ104:DM105)</f>
        <v>0</v>
      </c>
      <c r="DK103" s="888"/>
      <c r="DL103" s="888"/>
      <c r="DM103" s="889"/>
      <c r="DN103" s="887">
        <f>SUM(DN104:DQ105)</f>
        <v>0</v>
      </c>
      <c r="DO103" s="888"/>
      <c r="DP103" s="888"/>
      <c r="DQ103" s="889"/>
      <c r="DR103" s="887">
        <f>SUM(DR104:DU105)</f>
        <v>0</v>
      </c>
      <c r="DS103" s="888"/>
      <c r="DT103" s="888"/>
      <c r="DU103" s="889"/>
      <c r="DV103" s="887">
        <f>SUM(DV104:DY105)</f>
        <v>0</v>
      </c>
      <c r="DW103" s="888"/>
      <c r="DX103" s="888"/>
      <c r="DY103" s="889"/>
      <c r="DZ103" s="887">
        <f>SUM(DZ104:EC105)</f>
        <v>0</v>
      </c>
      <c r="EA103" s="888"/>
      <c r="EB103" s="888"/>
      <c r="EC103" s="889"/>
      <c r="ED103" s="887">
        <f>SUM(ED104:EG105)</f>
        <v>0</v>
      </c>
      <c r="EE103" s="888"/>
      <c r="EF103" s="888"/>
      <c r="EG103" s="889"/>
      <c r="EH103" s="887">
        <f>SUM(EH104:EK105)</f>
        <v>0</v>
      </c>
      <c r="EI103" s="888"/>
      <c r="EJ103" s="888"/>
      <c r="EK103" s="889"/>
      <c r="EL103" s="887">
        <f>SUM(EL104:EO105)</f>
        <v>0</v>
      </c>
      <c r="EM103" s="888"/>
      <c r="EN103" s="888"/>
      <c r="EO103" s="889"/>
      <c r="EP103" s="887">
        <f>SUM(EP104:ES105)</f>
        <v>0</v>
      </c>
      <c r="EQ103" s="888"/>
      <c r="ER103" s="888"/>
      <c r="ES103" s="889"/>
      <c r="ET103" s="887">
        <f>SUM(ET104:EW105)</f>
        <v>0</v>
      </c>
      <c r="EU103" s="888"/>
      <c r="EV103" s="888"/>
      <c r="EW103" s="889"/>
      <c r="EX103" s="887">
        <f>SUM(EX104:FA105)</f>
        <v>0</v>
      </c>
      <c r="EY103" s="888"/>
      <c r="EZ103" s="888"/>
      <c r="FA103" s="889"/>
      <c r="FB103" s="887">
        <f>SUM(FB104:FE105)</f>
        <v>0</v>
      </c>
      <c r="FC103" s="888"/>
      <c r="FD103" s="888"/>
      <c r="FE103" s="889"/>
      <c r="FF103" s="887">
        <f>SUM(FF104:FI105)</f>
        <v>0</v>
      </c>
      <c r="FG103" s="888"/>
      <c r="FH103" s="888"/>
      <c r="FI103" s="889"/>
      <c r="FJ103" s="887">
        <f>SUM(FJ104:FM105)</f>
        <v>0</v>
      </c>
      <c r="FK103" s="888"/>
      <c r="FL103" s="888"/>
      <c r="FM103" s="889"/>
      <c r="FN103" s="887">
        <f>SUM(FN104:FQ105)</f>
        <v>0</v>
      </c>
      <c r="FO103" s="888"/>
      <c r="FP103" s="888"/>
      <c r="FQ103" s="889"/>
      <c r="FR103" s="887">
        <f>SUM(FR104:FU105)</f>
        <v>0</v>
      </c>
      <c r="FS103" s="888"/>
      <c r="FT103" s="888"/>
      <c r="FU103" s="889"/>
      <c r="FV103" s="887">
        <f>SUM(FV104:FY105)</f>
        <v>0</v>
      </c>
      <c r="FW103" s="888"/>
      <c r="FX103" s="888"/>
      <c r="FY103" s="889"/>
      <c r="FZ103" s="887">
        <f>SUM(FZ104:GC105)</f>
        <v>0</v>
      </c>
      <c r="GA103" s="888"/>
      <c r="GB103" s="888"/>
      <c r="GC103" s="889"/>
      <c r="GD103" s="887">
        <f>SUM(GD104:GG105)</f>
        <v>0</v>
      </c>
      <c r="GE103" s="888"/>
      <c r="GF103" s="888"/>
      <c r="GG103" s="889"/>
      <c r="GH103" s="887">
        <f>SUM(GH104:GK105)</f>
        <v>0</v>
      </c>
      <c r="GI103" s="888"/>
      <c r="GJ103" s="888"/>
      <c r="GK103" s="889"/>
      <c r="GL103" s="887">
        <f>SUM(GL104:GO105)</f>
        <v>0</v>
      </c>
      <c r="GM103" s="888"/>
      <c r="GN103" s="888"/>
      <c r="GO103" s="889"/>
      <c r="GP103" s="887">
        <f>SUM(GP104:GS105)</f>
        <v>0</v>
      </c>
      <c r="GQ103" s="888"/>
      <c r="GR103" s="888"/>
      <c r="GS103" s="889"/>
      <c r="GT103" s="887">
        <f>SUM(GT104:GW105)</f>
        <v>0</v>
      </c>
      <c r="GU103" s="888"/>
      <c r="GV103" s="888"/>
      <c r="GW103" s="889"/>
      <c r="GX103" s="887">
        <f>SUM(GX104:HA105)</f>
        <v>0</v>
      </c>
      <c r="GY103" s="888"/>
      <c r="GZ103" s="888"/>
      <c r="HA103" s="889"/>
      <c r="HB103" s="887">
        <f>SUM(HB104:HE105)</f>
        <v>0</v>
      </c>
      <c r="HC103" s="888"/>
      <c r="HD103" s="888"/>
      <c r="HE103" s="889"/>
      <c r="HF103" s="887">
        <f>SUM(HF104:HI105)</f>
        <v>0</v>
      </c>
      <c r="HG103" s="888"/>
      <c r="HH103" s="888"/>
      <c r="HI103" s="889"/>
      <c r="HJ103" s="887">
        <f>SUM(HJ104:HM105)</f>
        <v>0</v>
      </c>
      <c r="HK103" s="888"/>
      <c r="HL103" s="888"/>
      <c r="HM103" s="889"/>
      <c r="HN103" s="887">
        <f>SUM(HN104:HQ105)</f>
        <v>0</v>
      </c>
      <c r="HO103" s="888"/>
      <c r="HP103" s="888"/>
      <c r="HQ103" s="889"/>
      <c r="HR103" s="887">
        <f>SUM(HR104:HU105)</f>
        <v>0</v>
      </c>
      <c r="HS103" s="888"/>
      <c r="HT103" s="888"/>
      <c r="HU103" s="889"/>
      <c r="HV103" s="887">
        <f>SUM(HV104:HY105)</f>
        <v>0</v>
      </c>
      <c r="HW103" s="888"/>
      <c r="HX103" s="888"/>
      <c r="HY103" s="889"/>
      <c r="HZ103" s="887">
        <f>SUM(HZ104:IC105)</f>
        <v>0</v>
      </c>
      <c r="IA103" s="888"/>
      <c r="IB103" s="888"/>
      <c r="IC103" s="889"/>
      <c r="ID103" s="887">
        <f>SUM(ID104:IG105)</f>
        <v>0</v>
      </c>
      <c r="IE103" s="888"/>
      <c r="IF103" s="888"/>
      <c r="IG103" s="889"/>
      <c r="IH103" s="887">
        <f>SUM(IH104:IK105)</f>
        <v>0</v>
      </c>
      <c r="II103" s="888"/>
      <c r="IJ103" s="888"/>
      <c r="IK103" s="889"/>
      <c r="IL103" s="887">
        <f>SUM(IL104:IO105)</f>
        <v>0</v>
      </c>
      <c r="IM103" s="888"/>
      <c r="IN103" s="888"/>
      <c r="IO103" s="889"/>
      <c r="IP103" s="887">
        <f>SUM(IP104:IS105)</f>
        <v>0</v>
      </c>
      <c r="IQ103" s="888"/>
      <c r="IR103" s="888"/>
      <c r="IS103" s="889"/>
      <c r="IT103" s="887">
        <f>SUM(IT104:IW105)</f>
        <v>0</v>
      </c>
      <c r="IU103" s="888"/>
      <c r="IV103" s="888"/>
      <c r="IW103" s="889"/>
      <c r="IX103" s="887">
        <f>SUM(IX104:JA105)</f>
        <v>0</v>
      </c>
      <c r="IY103" s="888"/>
      <c r="IZ103" s="888"/>
      <c r="JA103" s="889"/>
      <c r="JB103" s="887">
        <f>SUM(JB104:JE105)</f>
        <v>0</v>
      </c>
      <c r="JC103" s="888"/>
      <c r="JD103" s="888"/>
      <c r="JE103" s="889"/>
      <c r="JF103" s="887">
        <f>SUM(JF104:JI105)</f>
        <v>0</v>
      </c>
      <c r="JG103" s="888"/>
      <c r="JH103" s="888"/>
      <c r="JI103" s="889"/>
      <c r="JJ103" s="887">
        <f>SUM(JJ104:JM105)</f>
        <v>0</v>
      </c>
      <c r="JK103" s="888"/>
      <c r="JL103" s="888"/>
      <c r="JM103" s="889"/>
      <c r="JN103" s="887">
        <f>SUM(JN104:JQ105)</f>
        <v>0</v>
      </c>
      <c r="JO103" s="888"/>
      <c r="JP103" s="888"/>
      <c r="JQ103" s="889"/>
      <c r="JR103" s="887">
        <f>SUM(JR104:JU105)</f>
        <v>0</v>
      </c>
      <c r="JS103" s="888"/>
      <c r="JT103" s="888"/>
      <c r="JU103" s="889"/>
      <c r="JV103" s="887">
        <f>SUM(JV104:JY105)</f>
        <v>0</v>
      </c>
      <c r="JW103" s="888"/>
      <c r="JX103" s="888"/>
      <c r="JY103" s="889"/>
      <c r="JZ103" s="887">
        <f>SUM(JZ104:KC105)</f>
        <v>0</v>
      </c>
      <c r="KA103" s="888"/>
      <c r="KB103" s="888"/>
      <c r="KC103" s="889"/>
      <c r="KD103" s="887">
        <f>SUM(KD104:KG105)</f>
        <v>0</v>
      </c>
      <c r="KE103" s="888"/>
      <c r="KF103" s="888"/>
      <c r="KG103" s="889"/>
      <c r="KH103" s="887">
        <f>SUM(KH104:KK105)</f>
        <v>0</v>
      </c>
      <c r="KI103" s="888"/>
      <c r="KJ103" s="888"/>
      <c r="KK103" s="889"/>
      <c r="KL103" s="887">
        <f>SUM(KL104:KO105)</f>
        <v>0</v>
      </c>
      <c r="KM103" s="888"/>
      <c r="KN103" s="888"/>
      <c r="KO103" s="889"/>
      <c r="KP103" s="887">
        <f>SUM(KP104:KS105)</f>
        <v>0</v>
      </c>
      <c r="KQ103" s="888"/>
      <c r="KR103" s="888"/>
      <c r="KS103" s="889"/>
      <c r="KT103" s="887">
        <f>SUM(KT104:KW105)</f>
        <v>0</v>
      </c>
      <c r="KU103" s="888"/>
      <c r="KV103" s="888"/>
      <c r="KW103" s="889"/>
      <c r="KX103" s="887">
        <f>SUM(KX104:LA105)</f>
        <v>0</v>
      </c>
      <c r="KY103" s="888"/>
      <c r="KZ103" s="888"/>
      <c r="LA103" s="889"/>
      <c r="LB103" s="887">
        <f>SUM(LB104:LE105)</f>
        <v>0</v>
      </c>
      <c r="LC103" s="888"/>
      <c r="LD103" s="888"/>
      <c r="LE103" s="889"/>
      <c r="LF103" s="887">
        <f>SUM(LF104:LI105)</f>
        <v>0</v>
      </c>
      <c r="LG103" s="888"/>
      <c r="LH103" s="888"/>
      <c r="LI103" s="889"/>
      <c r="LJ103" s="887">
        <f>SUM(LJ104:LM105)</f>
        <v>0</v>
      </c>
      <c r="LK103" s="888"/>
      <c r="LL103" s="888"/>
      <c r="LM103" s="889"/>
    </row>
    <row r="104" spans="1:325">
      <c r="A104" s="310"/>
      <c r="B104" s="375" t="s">
        <v>576</v>
      </c>
      <c r="C104" s="376" t="s">
        <v>588</v>
      </c>
      <c r="D104" s="379">
        <f t="shared" si="21"/>
        <v>0</v>
      </c>
      <c r="E104" s="374">
        <f ca="1">IFERROR(D104/$D$95,"")</f>
        <v>0</v>
      </c>
      <c r="F104" s="886"/>
      <c r="G104" s="877"/>
      <c r="H104" s="877"/>
      <c r="I104" s="878"/>
      <c r="J104" s="885"/>
      <c r="K104" s="877"/>
      <c r="L104" s="877"/>
      <c r="M104" s="878"/>
      <c r="N104" s="885"/>
      <c r="O104" s="877"/>
      <c r="P104" s="877"/>
      <c r="Q104" s="878"/>
      <c r="R104" s="885"/>
      <c r="S104" s="877"/>
      <c r="T104" s="877"/>
      <c r="U104" s="878"/>
      <c r="V104" s="885"/>
      <c r="W104" s="877"/>
      <c r="X104" s="877"/>
      <c r="Y104" s="878"/>
      <c r="Z104" s="885"/>
      <c r="AA104" s="877"/>
      <c r="AB104" s="877"/>
      <c r="AC104" s="878"/>
      <c r="AD104" s="885"/>
      <c r="AE104" s="877"/>
      <c r="AF104" s="877"/>
      <c r="AG104" s="878"/>
      <c r="AH104" s="885"/>
      <c r="AI104" s="877"/>
      <c r="AJ104" s="877"/>
      <c r="AK104" s="878"/>
      <c r="AL104" s="885"/>
      <c r="AM104" s="877"/>
      <c r="AN104" s="877"/>
      <c r="AO104" s="878"/>
      <c r="AP104" s="885"/>
      <c r="AQ104" s="877"/>
      <c r="AR104" s="877"/>
      <c r="AS104" s="878"/>
      <c r="AT104" s="885"/>
      <c r="AU104" s="877"/>
      <c r="AV104" s="877"/>
      <c r="AW104" s="878"/>
      <c r="AX104" s="885"/>
      <c r="AY104" s="877"/>
      <c r="AZ104" s="877"/>
      <c r="BA104" s="878"/>
      <c r="BB104" s="885"/>
      <c r="BC104" s="877"/>
      <c r="BD104" s="877"/>
      <c r="BE104" s="878"/>
      <c r="BF104" s="885"/>
      <c r="BG104" s="877"/>
      <c r="BH104" s="877"/>
      <c r="BI104" s="878"/>
      <c r="BJ104" s="885"/>
      <c r="BK104" s="877"/>
      <c r="BL104" s="877"/>
      <c r="BM104" s="878"/>
      <c r="BN104" s="885"/>
      <c r="BO104" s="877"/>
      <c r="BP104" s="877"/>
      <c r="BQ104" s="878"/>
      <c r="BR104" s="885"/>
      <c r="BS104" s="877"/>
      <c r="BT104" s="877"/>
      <c r="BU104" s="878"/>
      <c r="BV104" s="885"/>
      <c r="BW104" s="877"/>
      <c r="BX104" s="877"/>
      <c r="BY104" s="878"/>
      <c r="BZ104" s="885"/>
      <c r="CA104" s="877"/>
      <c r="CB104" s="877"/>
      <c r="CC104" s="878"/>
      <c r="CD104" s="885"/>
      <c r="CE104" s="877"/>
      <c r="CF104" s="877"/>
      <c r="CG104" s="878"/>
      <c r="CH104" s="885"/>
      <c r="CI104" s="877"/>
      <c r="CJ104" s="877"/>
      <c r="CK104" s="878"/>
      <c r="CL104" s="885"/>
      <c r="CM104" s="877"/>
      <c r="CN104" s="877"/>
      <c r="CO104" s="878"/>
      <c r="CP104" s="885"/>
      <c r="CQ104" s="877"/>
      <c r="CR104" s="877"/>
      <c r="CS104" s="878"/>
      <c r="CT104" s="885"/>
      <c r="CU104" s="877"/>
      <c r="CV104" s="877"/>
      <c r="CW104" s="878"/>
      <c r="CX104" s="885"/>
      <c r="CY104" s="877"/>
      <c r="CZ104" s="877"/>
      <c r="DA104" s="878"/>
      <c r="DB104" s="885"/>
      <c r="DC104" s="877"/>
      <c r="DD104" s="877"/>
      <c r="DE104" s="878"/>
      <c r="DF104" s="885"/>
      <c r="DG104" s="877"/>
      <c r="DH104" s="877"/>
      <c r="DI104" s="878"/>
      <c r="DJ104" s="885"/>
      <c r="DK104" s="877"/>
      <c r="DL104" s="877"/>
      <c r="DM104" s="878"/>
      <c r="DN104" s="885"/>
      <c r="DO104" s="877"/>
      <c r="DP104" s="877"/>
      <c r="DQ104" s="878"/>
      <c r="DR104" s="885"/>
      <c r="DS104" s="877"/>
      <c r="DT104" s="877"/>
      <c r="DU104" s="878"/>
      <c r="DV104" s="885"/>
      <c r="DW104" s="877"/>
      <c r="DX104" s="877"/>
      <c r="DY104" s="878"/>
      <c r="DZ104" s="885"/>
      <c r="EA104" s="877"/>
      <c r="EB104" s="877"/>
      <c r="EC104" s="878"/>
      <c r="ED104" s="885"/>
      <c r="EE104" s="877"/>
      <c r="EF104" s="877"/>
      <c r="EG104" s="878"/>
      <c r="EH104" s="885"/>
      <c r="EI104" s="877"/>
      <c r="EJ104" s="877"/>
      <c r="EK104" s="878"/>
      <c r="EL104" s="885"/>
      <c r="EM104" s="877"/>
      <c r="EN104" s="877"/>
      <c r="EO104" s="878"/>
      <c r="EP104" s="885"/>
      <c r="EQ104" s="877"/>
      <c r="ER104" s="877"/>
      <c r="ES104" s="878"/>
      <c r="ET104" s="885"/>
      <c r="EU104" s="877"/>
      <c r="EV104" s="877"/>
      <c r="EW104" s="878"/>
      <c r="EX104" s="885"/>
      <c r="EY104" s="877"/>
      <c r="EZ104" s="877"/>
      <c r="FA104" s="878"/>
      <c r="FB104" s="885"/>
      <c r="FC104" s="877"/>
      <c r="FD104" s="877"/>
      <c r="FE104" s="878"/>
      <c r="FF104" s="885"/>
      <c r="FG104" s="877"/>
      <c r="FH104" s="877"/>
      <c r="FI104" s="878"/>
      <c r="FJ104" s="885"/>
      <c r="FK104" s="877"/>
      <c r="FL104" s="877"/>
      <c r="FM104" s="878"/>
      <c r="FN104" s="885"/>
      <c r="FO104" s="877"/>
      <c r="FP104" s="877"/>
      <c r="FQ104" s="878"/>
      <c r="FR104" s="885"/>
      <c r="FS104" s="877"/>
      <c r="FT104" s="877"/>
      <c r="FU104" s="878"/>
      <c r="FV104" s="885"/>
      <c r="FW104" s="877"/>
      <c r="FX104" s="877"/>
      <c r="FY104" s="878"/>
      <c r="FZ104" s="885"/>
      <c r="GA104" s="877"/>
      <c r="GB104" s="877"/>
      <c r="GC104" s="878"/>
      <c r="GD104" s="885"/>
      <c r="GE104" s="877"/>
      <c r="GF104" s="877"/>
      <c r="GG104" s="878"/>
      <c r="GH104" s="885"/>
      <c r="GI104" s="877"/>
      <c r="GJ104" s="877"/>
      <c r="GK104" s="878"/>
      <c r="GL104" s="885"/>
      <c r="GM104" s="877"/>
      <c r="GN104" s="877"/>
      <c r="GO104" s="878"/>
      <c r="GP104" s="885"/>
      <c r="GQ104" s="877"/>
      <c r="GR104" s="877"/>
      <c r="GS104" s="878"/>
      <c r="GT104" s="885"/>
      <c r="GU104" s="877"/>
      <c r="GV104" s="877"/>
      <c r="GW104" s="878"/>
      <c r="GX104" s="885"/>
      <c r="GY104" s="877"/>
      <c r="GZ104" s="877"/>
      <c r="HA104" s="878"/>
      <c r="HB104" s="885"/>
      <c r="HC104" s="877"/>
      <c r="HD104" s="877"/>
      <c r="HE104" s="878"/>
      <c r="HF104" s="885"/>
      <c r="HG104" s="877"/>
      <c r="HH104" s="877"/>
      <c r="HI104" s="878"/>
      <c r="HJ104" s="885"/>
      <c r="HK104" s="877"/>
      <c r="HL104" s="877"/>
      <c r="HM104" s="878"/>
      <c r="HN104" s="885"/>
      <c r="HO104" s="877"/>
      <c r="HP104" s="877"/>
      <c r="HQ104" s="878"/>
      <c r="HR104" s="885"/>
      <c r="HS104" s="877"/>
      <c r="HT104" s="877"/>
      <c r="HU104" s="878"/>
      <c r="HV104" s="885"/>
      <c r="HW104" s="877"/>
      <c r="HX104" s="877"/>
      <c r="HY104" s="878"/>
      <c r="HZ104" s="885"/>
      <c r="IA104" s="877"/>
      <c r="IB104" s="877"/>
      <c r="IC104" s="878"/>
      <c r="ID104" s="885"/>
      <c r="IE104" s="877"/>
      <c r="IF104" s="877"/>
      <c r="IG104" s="878"/>
      <c r="IH104" s="885"/>
      <c r="II104" s="877"/>
      <c r="IJ104" s="877"/>
      <c r="IK104" s="878"/>
      <c r="IL104" s="885"/>
      <c r="IM104" s="877"/>
      <c r="IN104" s="877"/>
      <c r="IO104" s="878"/>
      <c r="IP104" s="885"/>
      <c r="IQ104" s="877"/>
      <c r="IR104" s="877"/>
      <c r="IS104" s="878"/>
      <c r="IT104" s="885"/>
      <c r="IU104" s="877"/>
      <c r="IV104" s="877"/>
      <c r="IW104" s="878"/>
      <c r="IX104" s="885"/>
      <c r="IY104" s="877"/>
      <c r="IZ104" s="877"/>
      <c r="JA104" s="878"/>
      <c r="JB104" s="885"/>
      <c r="JC104" s="877"/>
      <c r="JD104" s="877"/>
      <c r="JE104" s="878"/>
      <c r="JF104" s="885"/>
      <c r="JG104" s="877"/>
      <c r="JH104" s="877"/>
      <c r="JI104" s="878"/>
      <c r="JJ104" s="885"/>
      <c r="JK104" s="877"/>
      <c r="JL104" s="877"/>
      <c r="JM104" s="878"/>
      <c r="JN104" s="885"/>
      <c r="JO104" s="877"/>
      <c r="JP104" s="877"/>
      <c r="JQ104" s="878"/>
      <c r="JR104" s="885"/>
      <c r="JS104" s="877"/>
      <c r="JT104" s="877"/>
      <c r="JU104" s="878"/>
      <c r="JV104" s="885"/>
      <c r="JW104" s="877"/>
      <c r="JX104" s="877"/>
      <c r="JY104" s="878"/>
      <c r="JZ104" s="885"/>
      <c r="KA104" s="877"/>
      <c r="KB104" s="877"/>
      <c r="KC104" s="878"/>
      <c r="KD104" s="885"/>
      <c r="KE104" s="877"/>
      <c r="KF104" s="877"/>
      <c r="KG104" s="878"/>
      <c r="KH104" s="885"/>
      <c r="KI104" s="877"/>
      <c r="KJ104" s="877"/>
      <c r="KK104" s="878"/>
      <c r="KL104" s="885"/>
      <c r="KM104" s="877"/>
      <c r="KN104" s="877"/>
      <c r="KO104" s="878"/>
      <c r="KP104" s="885"/>
      <c r="KQ104" s="877"/>
      <c r="KR104" s="877"/>
      <c r="KS104" s="878"/>
      <c r="KT104" s="885"/>
      <c r="KU104" s="877"/>
      <c r="KV104" s="877"/>
      <c r="KW104" s="878"/>
      <c r="KX104" s="885"/>
      <c r="KY104" s="877"/>
      <c r="KZ104" s="877"/>
      <c r="LA104" s="878"/>
      <c r="LB104" s="885"/>
      <c r="LC104" s="877"/>
      <c r="LD104" s="877"/>
      <c r="LE104" s="878"/>
      <c r="LF104" s="885"/>
      <c r="LG104" s="877"/>
      <c r="LH104" s="877"/>
      <c r="LI104" s="878"/>
      <c r="LJ104" s="885"/>
      <c r="LK104" s="877"/>
      <c r="LL104" s="877"/>
      <c r="LM104" s="878"/>
    </row>
    <row r="105" spans="1:325">
      <c r="A105" s="310"/>
      <c r="B105" s="375" t="s">
        <v>577</v>
      </c>
      <c r="C105" s="376" t="s">
        <v>588</v>
      </c>
      <c r="D105" s="379">
        <f t="shared" si="21"/>
        <v>0</v>
      </c>
      <c r="E105" s="374">
        <f ca="1">IFERROR(D105/$D$95,"")</f>
        <v>0</v>
      </c>
      <c r="F105" s="886"/>
      <c r="G105" s="877"/>
      <c r="H105" s="877"/>
      <c r="I105" s="878"/>
      <c r="J105" s="885"/>
      <c r="K105" s="877"/>
      <c r="L105" s="877"/>
      <c r="M105" s="878"/>
      <c r="N105" s="885"/>
      <c r="O105" s="877"/>
      <c r="P105" s="877"/>
      <c r="Q105" s="878"/>
      <c r="R105" s="885"/>
      <c r="S105" s="877"/>
      <c r="T105" s="877"/>
      <c r="U105" s="878"/>
      <c r="V105" s="885"/>
      <c r="W105" s="877"/>
      <c r="X105" s="877"/>
      <c r="Y105" s="878"/>
      <c r="Z105" s="885"/>
      <c r="AA105" s="877"/>
      <c r="AB105" s="877"/>
      <c r="AC105" s="878"/>
      <c r="AD105" s="885"/>
      <c r="AE105" s="877"/>
      <c r="AF105" s="877"/>
      <c r="AG105" s="878"/>
      <c r="AH105" s="885"/>
      <c r="AI105" s="877"/>
      <c r="AJ105" s="877"/>
      <c r="AK105" s="878"/>
      <c r="AL105" s="885"/>
      <c r="AM105" s="877"/>
      <c r="AN105" s="877"/>
      <c r="AO105" s="878"/>
      <c r="AP105" s="885"/>
      <c r="AQ105" s="877"/>
      <c r="AR105" s="877"/>
      <c r="AS105" s="878"/>
      <c r="AT105" s="885"/>
      <c r="AU105" s="877"/>
      <c r="AV105" s="877"/>
      <c r="AW105" s="878"/>
      <c r="AX105" s="885"/>
      <c r="AY105" s="877"/>
      <c r="AZ105" s="877"/>
      <c r="BA105" s="878"/>
      <c r="BB105" s="885"/>
      <c r="BC105" s="877"/>
      <c r="BD105" s="877"/>
      <c r="BE105" s="878"/>
      <c r="BF105" s="885"/>
      <c r="BG105" s="877"/>
      <c r="BH105" s="877"/>
      <c r="BI105" s="878"/>
      <c r="BJ105" s="885"/>
      <c r="BK105" s="877"/>
      <c r="BL105" s="877"/>
      <c r="BM105" s="878"/>
      <c r="BN105" s="885"/>
      <c r="BO105" s="877"/>
      <c r="BP105" s="877"/>
      <c r="BQ105" s="878"/>
      <c r="BR105" s="885"/>
      <c r="BS105" s="877"/>
      <c r="BT105" s="877"/>
      <c r="BU105" s="878"/>
      <c r="BV105" s="885"/>
      <c r="BW105" s="877"/>
      <c r="BX105" s="877"/>
      <c r="BY105" s="878"/>
      <c r="BZ105" s="885"/>
      <c r="CA105" s="877"/>
      <c r="CB105" s="877"/>
      <c r="CC105" s="878"/>
      <c r="CD105" s="885"/>
      <c r="CE105" s="877"/>
      <c r="CF105" s="877"/>
      <c r="CG105" s="878"/>
      <c r="CH105" s="885"/>
      <c r="CI105" s="877"/>
      <c r="CJ105" s="877"/>
      <c r="CK105" s="878"/>
      <c r="CL105" s="885"/>
      <c r="CM105" s="877"/>
      <c r="CN105" s="877"/>
      <c r="CO105" s="878"/>
      <c r="CP105" s="885"/>
      <c r="CQ105" s="877"/>
      <c r="CR105" s="877"/>
      <c r="CS105" s="878"/>
      <c r="CT105" s="885"/>
      <c r="CU105" s="877"/>
      <c r="CV105" s="877"/>
      <c r="CW105" s="878"/>
      <c r="CX105" s="885"/>
      <c r="CY105" s="877"/>
      <c r="CZ105" s="877"/>
      <c r="DA105" s="878"/>
      <c r="DB105" s="885"/>
      <c r="DC105" s="877"/>
      <c r="DD105" s="877"/>
      <c r="DE105" s="878"/>
      <c r="DF105" s="885"/>
      <c r="DG105" s="877"/>
      <c r="DH105" s="877"/>
      <c r="DI105" s="878"/>
      <c r="DJ105" s="885"/>
      <c r="DK105" s="877"/>
      <c r="DL105" s="877"/>
      <c r="DM105" s="878"/>
      <c r="DN105" s="885"/>
      <c r="DO105" s="877"/>
      <c r="DP105" s="877"/>
      <c r="DQ105" s="878"/>
      <c r="DR105" s="885"/>
      <c r="DS105" s="877"/>
      <c r="DT105" s="877"/>
      <c r="DU105" s="878"/>
      <c r="DV105" s="885"/>
      <c r="DW105" s="877"/>
      <c r="DX105" s="877"/>
      <c r="DY105" s="878"/>
      <c r="DZ105" s="885"/>
      <c r="EA105" s="877"/>
      <c r="EB105" s="877"/>
      <c r="EC105" s="878"/>
      <c r="ED105" s="885"/>
      <c r="EE105" s="877"/>
      <c r="EF105" s="877"/>
      <c r="EG105" s="878"/>
      <c r="EH105" s="885"/>
      <c r="EI105" s="877"/>
      <c r="EJ105" s="877"/>
      <c r="EK105" s="878"/>
      <c r="EL105" s="885"/>
      <c r="EM105" s="877"/>
      <c r="EN105" s="877"/>
      <c r="EO105" s="878"/>
      <c r="EP105" s="885"/>
      <c r="EQ105" s="877"/>
      <c r="ER105" s="877"/>
      <c r="ES105" s="878"/>
      <c r="ET105" s="885"/>
      <c r="EU105" s="877"/>
      <c r="EV105" s="877"/>
      <c r="EW105" s="878"/>
      <c r="EX105" s="885"/>
      <c r="EY105" s="877"/>
      <c r="EZ105" s="877"/>
      <c r="FA105" s="878"/>
      <c r="FB105" s="885"/>
      <c r="FC105" s="877"/>
      <c r="FD105" s="877"/>
      <c r="FE105" s="878"/>
      <c r="FF105" s="885"/>
      <c r="FG105" s="877"/>
      <c r="FH105" s="877"/>
      <c r="FI105" s="878"/>
      <c r="FJ105" s="885"/>
      <c r="FK105" s="877"/>
      <c r="FL105" s="877"/>
      <c r="FM105" s="878"/>
      <c r="FN105" s="885"/>
      <c r="FO105" s="877"/>
      <c r="FP105" s="877"/>
      <c r="FQ105" s="878"/>
      <c r="FR105" s="885"/>
      <c r="FS105" s="877"/>
      <c r="FT105" s="877"/>
      <c r="FU105" s="878"/>
      <c r="FV105" s="885"/>
      <c r="FW105" s="877"/>
      <c r="FX105" s="877"/>
      <c r="FY105" s="878"/>
      <c r="FZ105" s="885"/>
      <c r="GA105" s="877"/>
      <c r="GB105" s="877"/>
      <c r="GC105" s="878"/>
      <c r="GD105" s="885"/>
      <c r="GE105" s="877"/>
      <c r="GF105" s="877"/>
      <c r="GG105" s="878"/>
      <c r="GH105" s="885"/>
      <c r="GI105" s="877"/>
      <c r="GJ105" s="877"/>
      <c r="GK105" s="878"/>
      <c r="GL105" s="885"/>
      <c r="GM105" s="877"/>
      <c r="GN105" s="877"/>
      <c r="GO105" s="878"/>
      <c r="GP105" s="885"/>
      <c r="GQ105" s="877"/>
      <c r="GR105" s="877"/>
      <c r="GS105" s="878"/>
      <c r="GT105" s="885"/>
      <c r="GU105" s="877"/>
      <c r="GV105" s="877"/>
      <c r="GW105" s="878"/>
      <c r="GX105" s="885"/>
      <c r="GY105" s="877"/>
      <c r="GZ105" s="877"/>
      <c r="HA105" s="878"/>
      <c r="HB105" s="885"/>
      <c r="HC105" s="877"/>
      <c r="HD105" s="877"/>
      <c r="HE105" s="878"/>
      <c r="HF105" s="885"/>
      <c r="HG105" s="877"/>
      <c r="HH105" s="877"/>
      <c r="HI105" s="878"/>
      <c r="HJ105" s="885"/>
      <c r="HK105" s="877"/>
      <c r="HL105" s="877"/>
      <c r="HM105" s="878"/>
      <c r="HN105" s="885"/>
      <c r="HO105" s="877"/>
      <c r="HP105" s="877"/>
      <c r="HQ105" s="878"/>
      <c r="HR105" s="885"/>
      <c r="HS105" s="877"/>
      <c r="HT105" s="877"/>
      <c r="HU105" s="878"/>
      <c r="HV105" s="885"/>
      <c r="HW105" s="877"/>
      <c r="HX105" s="877"/>
      <c r="HY105" s="878"/>
      <c r="HZ105" s="885"/>
      <c r="IA105" s="877"/>
      <c r="IB105" s="877"/>
      <c r="IC105" s="878"/>
      <c r="ID105" s="885"/>
      <c r="IE105" s="877"/>
      <c r="IF105" s="877"/>
      <c r="IG105" s="878"/>
      <c r="IH105" s="885"/>
      <c r="II105" s="877"/>
      <c r="IJ105" s="877"/>
      <c r="IK105" s="878"/>
      <c r="IL105" s="885"/>
      <c r="IM105" s="877"/>
      <c r="IN105" s="877"/>
      <c r="IO105" s="878"/>
      <c r="IP105" s="885"/>
      <c r="IQ105" s="877"/>
      <c r="IR105" s="877"/>
      <c r="IS105" s="878"/>
      <c r="IT105" s="885"/>
      <c r="IU105" s="877"/>
      <c r="IV105" s="877"/>
      <c r="IW105" s="878"/>
      <c r="IX105" s="885"/>
      <c r="IY105" s="877"/>
      <c r="IZ105" s="877"/>
      <c r="JA105" s="878"/>
      <c r="JB105" s="885"/>
      <c r="JC105" s="877"/>
      <c r="JD105" s="877"/>
      <c r="JE105" s="878"/>
      <c r="JF105" s="885"/>
      <c r="JG105" s="877"/>
      <c r="JH105" s="877"/>
      <c r="JI105" s="878"/>
      <c r="JJ105" s="885"/>
      <c r="JK105" s="877"/>
      <c r="JL105" s="877"/>
      <c r="JM105" s="878"/>
      <c r="JN105" s="885"/>
      <c r="JO105" s="877"/>
      <c r="JP105" s="877"/>
      <c r="JQ105" s="878"/>
      <c r="JR105" s="885"/>
      <c r="JS105" s="877"/>
      <c r="JT105" s="877"/>
      <c r="JU105" s="878"/>
      <c r="JV105" s="885"/>
      <c r="JW105" s="877"/>
      <c r="JX105" s="877"/>
      <c r="JY105" s="878"/>
      <c r="JZ105" s="885"/>
      <c r="KA105" s="877"/>
      <c r="KB105" s="877"/>
      <c r="KC105" s="878"/>
      <c r="KD105" s="885"/>
      <c r="KE105" s="877"/>
      <c r="KF105" s="877"/>
      <c r="KG105" s="878"/>
      <c r="KH105" s="885"/>
      <c r="KI105" s="877"/>
      <c r="KJ105" s="877"/>
      <c r="KK105" s="878"/>
      <c r="KL105" s="885"/>
      <c r="KM105" s="877"/>
      <c r="KN105" s="877"/>
      <c r="KO105" s="878"/>
      <c r="KP105" s="885"/>
      <c r="KQ105" s="877"/>
      <c r="KR105" s="877"/>
      <c r="KS105" s="878"/>
      <c r="KT105" s="885"/>
      <c r="KU105" s="877"/>
      <c r="KV105" s="877"/>
      <c r="KW105" s="878"/>
      <c r="KX105" s="885"/>
      <c r="KY105" s="877"/>
      <c r="KZ105" s="877"/>
      <c r="LA105" s="878"/>
      <c r="LB105" s="885"/>
      <c r="LC105" s="877"/>
      <c r="LD105" s="877"/>
      <c r="LE105" s="878"/>
      <c r="LF105" s="885"/>
      <c r="LG105" s="877"/>
      <c r="LH105" s="877"/>
      <c r="LI105" s="878"/>
      <c r="LJ105" s="885"/>
      <c r="LK105" s="877"/>
      <c r="LL105" s="877"/>
      <c r="LM105" s="878"/>
    </row>
    <row r="106" spans="1:325">
      <c r="A106" s="310"/>
      <c r="B106" s="372" t="s">
        <v>578</v>
      </c>
      <c r="C106" s="373" t="s">
        <v>551</v>
      </c>
      <c r="D106" s="366">
        <f t="shared" si="21"/>
        <v>0</v>
      </c>
      <c r="E106" s="374">
        <f ca="1">SUM(E107:E108)</f>
        <v>0</v>
      </c>
      <c r="F106" s="890">
        <f>SUM(F107:I108)</f>
        <v>0</v>
      </c>
      <c r="G106" s="888"/>
      <c r="H106" s="888"/>
      <c r="I106" s="889"/>
      <c r="J106" s="887">
        <f>SUM(J107:M108)</f>
        <v>0</v>
      </c>
      <c r="K106" s="888"/>
      <c r="L106" s="888"/>
      <c r="M106" s="889"/>
      <c r="N106" s="887">
        <f>SUM(N107:Q108)</f>
        <v>0</v>
      </c>
      <c r="O106" s="888"/>
      <c r="P106" s="888"/>
      <c r="Q106" s="889"/>
      <c r="R106" s="887">
        <f>SUM(R107:U108)</f>
        <v>0</v>
      </c>
      <c r="S106" s="888"/>
      <c r="T106" s="888"/>
      <c r="U106" s="889"/>
      <c r="V106" s="887">
        <f>SUM(V107:Y108)</f>
        <v>0</v>
      </c>
      <c r="W106" s="888"/>
      <c r="X106" s="888"/>
      <c r="Y106" s="889"/>
      <c r="Z106" s="887">
        <f>SUM(Z107:AC108)</f>
        <v>0</v>
      </c>
      <c r="AA106" s="888"/>
      <c r="AB106" s="888"/>
      <c r="AC106" s="889"/>
      <c r="AD106" s="887">
        <f>SUM(AD107:AG108)</f>
        <v>0</v>
      </c>
      <c r="AE106" s="888"/>
      <c r="AF106" s="888"/>
      <c r="AG106" s="889"/>
      <c r="AH106" s="887">
        <f>SUM(AH107:AK108)</f>
        <v>0</v>
      </c>
      <c r="AI106" s="888"/>
      <c r="AJ106" s="888"/>
      <c r="AK106" s="889"/>
      <c r="AL106" s="887">
        <f>SUM(AL107:AO108)</f>
        <v>0</v>
      </c>
      <c r="AM106" s="888"/>
      <c r="AN106" s="888"/>
      <c r="AO106" s="889"/>
      <c r="AP106" s="887">
        <f>SUM(AP107:AS108)</f>
        <v>0</v>
      </c>
      <c r="AQ106" s="888"/>
      <c r="AR106" s="888"/>
      <c r="AS106" s="889"/>
      <c r="AT106" s="887">
        <f>SUM(AT107:AW108)</f>
        <v>0</v>
      </c>
      <c r="AU106" s="888"/>
      <c r="AV106" s="888"/>
      <c r="AW106" s="889"/>
      <c r="AX106" s="887">
        <f>SUM(AX107:BA108)</f>
        <v>0</v>
      </c>
      <c r="AY106" s="888"/>
      <c r="AZ106" s="888"/>
      <c r="BA106" s="889"/>
      <c r="BB106" s="887">
        <f>SUM(BB107:BE108)</f>
        <v>0</v>
      </c>
      <c r="BC106" s="888"/>
      <c r="BD106" s="888"/>
      <c r="BE106" s="889"/>
      <c r="BF106" s="887">
        <f>SUM(BF107:BI108)</f>
        <v>0</v>
      </c>
      <c r="BG106" s="888"/>
      <c r="BH106" s="888"/>
      <c r="BI106" s="889"/>
      <c r="BJ106" s="887">
        <f>SUM(BJ107:BM108)</f>
        <v>0</v>
      </c>
      <c r="BK106" s="888"/>
      <c r="BL106" s="888"/>
      <c r="BM106" s="889"/>
      <c r="BN106" s="887">
        <f>SUM(BN107:BQ108)</f>
        <v>0</v>
      </c>
      <c r="BO106" s="888"/>
      <c r="BP106" s="888"/>
      <c r="BQ106" s="889"/>
      <c r="BR106" s="887">
        <f>SUM(BR107:BU108)</f>
        <v>0</v>
      </c>
      <c r="BS106" s="888"/>
      <c r="BT106" s="888"/>
      <c r="BU106" s="889"/>
      <c r="BV106" s="887">
        <f>SUM(BV107:BY108)</f>
        <v>0</v>
      </c>
      <c r="BW106" s="888"/>
      <c r="BX106" s="888"/>
      <c r="BY106" s="889"/>
      <c r="BZ106" s="887">
        <f>SUM(BZ107:CC108)</f>
        <v>0</v>
      </c>
      <c r="CA106" s="888"/>
      <c r="CB106" s="888"/>
      <c r="CC106" s="889"/>
      <c r="CD106" s="887">
        <f>SUM(CD107:CG108)</f>
        <v>0</v>
      </c>
      <c r="CE106" s="888"/>
      <c r="CF106" s="888"/>
      <c r="CG106" s="889"/>
      <c r="CH106" s="887">
        <f>SUM(CH107:CK108)</f>
        <v>0</v>
      </c>
      <c r="CI106" s="888"/>
      <c r="CJ106" s="888"/>
      <c r="CK106" s="889"/>
      <c r="CL106" s="887">
        <f>SUM(CL107:CO108)</f>
        <v>0</v>
      </c>
      <c r="CM106" s="888"/>
      <c r="CN106" s="888"/>
      <c r="CO106" s="889"/>
      <c r="CP106" s="887">
        <f>SUM(CP107:CS108)</f>
        <v>0</v>
      </c>
      <c r="CQ106" s="888"/>
      <c r="CR106" s="888"/>
      <c r="CS106" s="889"/>
      <c r="CT106" s="887">
        <f>SUM(CT107:CW108)</f>
        <v>0</v>
      </c>
      <c r="CU106" s="888"/>
      <c r="CV106" s="888"/>
      <c r="CW106" s="889"/>
      <c r="CX106" s="887">
        <f>SUM(CX107:DA108)</f>
        <v>0</v>
      </c>
      <c r="CY106" s="888"/>
      <c r="CZ106" s="888"/>
      <c r="DA106" s="889"/>
      <c r="DB106" s="887">
        <f>SUM(DB107:DE108)</f>
        <v>0</v>
      </c>
      <c r="DC106" s="888"/>
      <c r="DD106" s="888"/>
      <c r="DE106" s="889"/>
      <c r="DF106" s="887">
        <f>SUM(DF107:DI108)</f>
        <v>0</v>
      </c>
      <c r="DG106" s="888"/>
      <c r="DH106" s="888"/>
      <c r="DI106" s="889"/>
      <c r="DJ106" s="887">
        <f>SUM(DJ107:DM108)</f>
        <v>0</v>
      </c>
      <c r="DK106" s="888"/>
      <c r="DL106" s="888"/>
      <c r="DM106" s="889"/>
      <c r="DN106" s="887">
        <f>SUM(DN107:DQ108)</f>
        <v>0</v>
      </c>
      <c r="DO106" s="888"/>
      <c r="DP106" s="888"/>
      <c r="DQ106" s="889"/>
      <c r="DR106" s="887">
        <f>SUM(DR107:DU108)</f>
        <v>0</v>
      </c>
      <c r="DS106" s="888"/>
      <c r="DT106" s="888"/>
      <c r="DU106" s="889"/>
      <c r="DV106" s="887">
        <f>SUM(DV107:DY108)</f>
        <v>0</v>
      </c>
      <c r="DW106" s="888"/>
      <c r="DX106" s="888"/>
      <c r="DY106" s="889"/>
      <c r="DZ106" s="887">
        <f>SUM(DZ107:EC108)</f>
        <v>0</v>
      </c>
      <c r="EA106" s="888"/>
      <c r="EB106" s="888"/>
      <c r="EC106" s="889"/>
      <c r="ED106" s="887">
        <f>SUM(ED107:EG108)</f>
        <v>0</v>
      </c>
      <c r="EE106" s="888"/>
      <c r="EF106" s="888"/>
      <c r="EG106" s="889"/>
      <c r="EH106" s="887">
        <f>SUM(EH107:EK108)</f>
        <v>0</v>
      </c>
      <c r="EI106" s="888"/>
      <c r="EJ106" s="888"/>
      <c r="EK106" s="889"/>
      <c r="EL106" s="887">
        <f>SUM(EL107:EO108)</f>
        <v>0</v>
      </c>
      <c r="EM106" s="888"/>
      <c r="EN106" s="888"/>
      <c r="EO106" s="889"/>
      <c r="EP106" s="887">
        <f>SUM(EP107:ES108)</f>
        <v>0</v>
      </c>
      <c r="EQ106" s="888"/>
      <c r="ER106" s="888"/>
      <c r="ES106" s="889"/>
      <c r="ET106" s="887">
        <f>SUM(ET107:EW108)</f>
        <v>0</v>
      </c>
      <c r="EU106" s="888"/>
      <c r="EV106" s="888"/>
      <c r="EW106" s="889"/>
      <c r="EX106" s="887">
        <f>SUM(EX107:FA108)</f>
        <v>0</v>
      </c>
      <c r="EY106" s="888"/>
      <c r="EZ106" s="888"/>
      <c r="FA106" s="889"/>
      <c r="FB106" s="887">
        <f>SUM(FB107:FE108)</f>
        <v>0</v>
      </c>
      <c r="FC106" s="888"/>
      <c r="FD106" s="888"/>
      <c r="FE106" s="889"/>
      <c r="FF106" s="887">
        <f>SUM(FF107:FI108)</f>
        <v>0</v>
      </c>
      <c r="FG106" s="888"/>
      <c r="FH106" s="888"/>
      <c r="FI106" s="889"/>
      <c r="FJ106" s="887">
        <f>SUM(FJ107:FM108)</f>
        <v>0</v>
      </c>
      <c r="FK106" s="888"/>
      <c r="FL106" s="888"/>
      <c r="FM106" s="889"/>
      <c r="FN106" s="887">
        <f>SUM(FN107:FQ108)</f>
        <v>0</v>
      </c>
      <c r="FO106" s="888"/>
      <c r="FP106" s="888"/>
      <c r="FQ106" s="889"/>
      <c r="FR106" s="887">
        <f>SUM(FR107:FU108)</f>
        <v>0</v>
      </c>
      <c r="FS106" s="888"/>
      <c r="FT106" s="888"/>
      <c r="FU106" s="889"/>
      <c r="FV106" s="887">
        <f>SUM(FV107:FY108)</f>
        <v>0</v>
      </c>
      <c r="FW106" s="888"/>
      <c r="FX106" s="888"/>
      <c r="FY106" s="889"/>
      <c r="FZ106" s="887">
        <f>SUM(FZ107:GC108)</f>
        <v>0</v>
      </c>
      <c r="GA106" s="888"/>
      <c r="GB106" s="888"/>
      <c r="GC106" s="889"/>
      <c r="GD106" s="887">
        <f>SUM(GD107:GG108)</f>
        <v>0</v>
      </c>
      <c r="GE106" s="888"/>
      <c r="GF106" s="888"/>
      <c r="GG106" s="889"/>
      <c r="GH106" s="887">
        <f>SUM(GH107:GK108)</f>
        <v>0</v>
      </c>
      <c r="GI106" s="888"/>
      <c r="GJ106" s="888"/>
      <c r="GK106" s="889"/>
      <c r="GL106" s="887">
        <f>SUM(GL107:GO108)</f>
        <v>0</v>
      </c>
      <c r="GM106" s="888"/>
      <c r="GN106" s="888"/>
      <c r="GO106" s="889"/>
      <c r="GP106" s="887">
        <f>SUM(GP107:GS108)</f>
        <v>0</v>
      </c>
      <c r="GQ106" s="888"/>
      <c r="GR106" s="888"/>
      <c r="GS106" s="889"/>
      <c r="GT106" s="887">
        <f>SUM(GT107:GW108)</f>
        <v>0</v>
      </c>
      <c r="GU106" s="888"/>
      <c r="GV106" s="888"/>
      <c r="GW106" s="889"/>
      <c r="GX106" s="887">
        <f>SUM(GX107:HA108)</f>
        <v>0</v>
      </c>
      <c r="GY106" s="888"/>
      <c r="GZ106" s="888"/>
      <c r="HA106" s="889"/>
      <c r="HB106" s="887">
        <f>SUM(HB107:HE108)</f>
        <v>0</v>
      </c>
      <c r="HC106" s="888"/>
      <c r="HD106" s="888"/>
      <c r="HE106" s="889"/>
      <c r="HF106" s="887">
        <f>SUM(HF107:HI108)</f>
        <v>0</v>
      </c>
      <c r="HG106" s="888"/>
      <c r="HH106" s="888"/>
      <c r="HI106" s="889"/>
      <c r="HJ106" s="887">
        <f>SUM(HJ107:HM108)</f>
        <v>0</v>
      </c>
      <c r="HK106" s="888"/>
      <c r="HL106" s="888"/>
      <c r="HM106" s="889"/>
      <c r="HN106" s="887">
        <f>SUM(HN107:HQ108)</f>
        <v>0</v>
      </c>
      <c r="HO106" s="888"/>
      <c r="HP106" s="888"/>
      <c r="HQ106" s="889"/>
      <c r="HR106" s="887">
        <f>SUM(HR107:HU108)</f>
        <v>0</v>
      </c>
      <c r="HS106" s="888"/>
      <c r="HT106" s="888"/>
      <c r="HU106" s="889"/>
      <c r="HV106" s="887">
        <f>SUM(HV107:HY108)</f>
        <v>0</v>
      </c>
      <c r="HW106" s="888"/>
      <c r="HX106" s="888"/>
      <c r="HY106" s="889"/>
      <c r="HZ106" s="887">
        <f>SUM(HZ107:IC108)</f>
        <v>0</v>
      </c>
      <c r="IA106" s="888"/>
      <c r="IB106" s="888"/>
      <c r="IC106" s="889"/>
      <c r="ID106" s="887">
        <f>SUM(ID107:IG108)</f>
        <v>0</v>
      </c>
      <c r="IE106" s="888"/>
      <c r="IF106" s="888"/>
      <c r="IG106" s="889"/>
      <c r="IH106" s="887">
        <f>SUM(IH107:IK108)</f>
        <v>0</v>
      </c>
      <c r="II106" s="888"/>
      <c r="IJ106" s="888"/>
      <c r="IK106" s="889"/>
      <c r="IL106" s="887">
        <f>SUM(IL107:IO108)</f>
        <v>0</v>
      </c>
      <c r="IM106" s="888"/>
      <c r="IN106" s="888"/>
      <c r="IO106" s="889"/>
      <c r="IP106" s="887">
        <f>SUM(IP107:IS108)</f>
        <v>0</v>
      </c>
      <c r="IQ106" s="888"/>
      <c r="IR106" s="888"/>
      <c r="IS106" s="889"/>
      <c r="IT106" s="887">
        <f>SUM(IT107:IW108)</f>
        <v>0</v>
      </c>
      <c r="IU106" s="888"/>
      <c r="IV106" s="888"/>
      <c r="IW106" s="889"/>
      <c r="IX106" s="887">
        <f>SUM(IX107:JA108)</f>
        <v>0</v>
      </c>
      <c r="IY106" s="888"/>
      <c r="IZ106" s="888"/>
      <c r="JA106" s="889"/>
      <c r="JB106" s="887">
        <f>SUM(JB107:JE108)</f>
        <v>0</v>
      </c>
      <c r="JC106" s="888"/>
      <c r="JD106" s="888"/>
      <c r="JE106" s="889"/>
      <c r="JF106" s="887">
        <f>SUM(JF107:JI108)</f>
        <v>0</v>
      </c>
      <c r="JG106" s="888"/>
      <c r="JH106" s="888"/>
      <c r="JI106" s="889"/>
      <c r="JJ106" s="887">
        <f>SUM(JJ107:JM108)</f>
        <v>0</v>
      </c>
      <c r="JK106" s="888"/>
      <c r="JL106" s="888"/>
      <c r="JM106" s="889"/>
      <c r="JN106" s="887">
        <f>SUM(JN107:JQ108)</f>
        <v>0</v>
      </c>
      <c r="JO106" s="888"/>
      <c r="JP106" s="888"/>
      <c r="JQ106" s="889"/>
      <c r="JR106" s="887">
        <f>SUM(JR107:JU108)</f>
        <v>0</v>
      </c>
      <c r="JS106" s="888"/>
      <c r="JT106" s="888"/>
      <c r="JU106" s="889"/>
      <c r="JV106" s="887">
        <f>SUM(JV107:JY108)</f>
        <v>0</v>
      </c>
      <c r="JW106" s="888"/>
      <c r="JX106" s="888"/>
      <c r="JY106" s="889"/>
      <c r="JZ106" s="887">
        <f>SUM(JZ107:KC108)</f>
        <v>0</v>
      </c>
      <c r="KA106" s="888"/>
      <c r="KB106" s="888"/>
      <c r="KC106" s="889"/>
      <c r="KD106" s="887">
        <f>SUM(KD107:KG108)</f>
        <v>0</v>
      </c>
      <c r="KE106" s="888"/>
      <c r="KF106" s="888"/>
      <c r="KG106" s="889"/>
      <c r="KH106" s="887">
        <f>SUM(KH107:KK108)</f>
        <v>0</v>
      </c>
      <c r="KI106" s="888"/>
      <c r="KJ106" s="888"/>
      <c r="KK106" s="889"/>
      <c r="KL106" s="887">
        <f>SUM(KL107:KO108)</f>
        <v>0</v>
      </c>
      <c r="KM106" s="888"/>
      <c r="KN106" s="888"/>
      <c r="KO106" s="889"/>
      <c r="KP106" s="887">
        <f>SUM(KP107:KS108)</f>
        <v>0</v>
      </c>
      <c r="KQ106" s="888"/>
      <c r="KR106" s="888"/>
      <c r="KS106" s="889"/>
      <c r="KT106" s="887">
        <f>SUM(KT107:KW108)</f>
        <v>0</v>
      </c>
      <c r="KU106" s="888"/>
      <c r="KV106" s="888"/>
      <c r="KW106" s="889"/>
      <c r="KX106" s="887">
        <f>SUM(KX107:LA108)</f>
        <v>0</v>
      </c>
      <c r="KY106" s="888"/>
      <c r="KZ106" s="888"/>
      <c r="LA106" s="889"/>
      <c r="LB106" s="887">
        <f>SUM(LB107:LE108)</f>
        <v>0</v>
      </c>
      <c r="LC106" s="888"/>
      <c r="LD106" s="888"/>
      <c r="LE106" s="889"/>
      <c r="LF106" s="887">
        <f>SUM(LF107:LI108)</f>
        <v>0</v>
      </c>
      <c r="LG106" s="888"/>
      <c r="LH106" s="888"/>
      <c r="LI106" s="889"/>
      <c r="LJ106" s="887">
        <f>SUM(LJ107:LM108)</f>
        <v>0</v>
      </c>
      <c r="LK106" s="888"/>
      <c r="LL106" s="888"/>
      <c r="LM106" s="889"/>
    </row>
    <row r="107" spans="1:325">
      <c r="A107" s="310"/>
      <c r="B107" s="375" t="s">
        <v>579</v>
      </c>
      <c r="C107" s="376" t="s">
        <v>588</v>
      </c>
      <c r="D107" s="379">
        <f t="shared" si="21"/>
        <v>0</v>
      </c>
      <c r="E107" s="374">
        <f ca="1">IFERROR(D107/$D$95,"")</f>
        <v>0</v>
      </c>
      <c r="F107" s="886"/>
      <c r="G107" s="877"/>
      <c r="H107" s="877"/>
      <c r="I107" s="878"/>
      <c r="J107" s="885"/>
      <c r="K107" s="877"/>
      <c r="L107" s="877"/>
      <c r="M107" s="878"/>
      <c r="N107" s="885"/>
      <c r="O107" s="877"/>
      <c r="P107" s="877"/>
      <c r="Q107" s="878"/>
      <c r="R107" s="885"/>
      <c r="S107" s="877"/>
      <c r="T107" s="877"/>
      <c r="U107" s="878"/>
      <c r="V107" s="885"/>
      <c r="W107" s="877"/>
      <c r="X107" s="877"/>
      <c r="Y107" s="878"/>
      <c r="Z107" s="885"/>
      <c r="AA107" s="877"/>
      <c r="AB107" s="877"/>
      <c r="AC107" s="878"/>
      <c r="AD107" s="885"/>
      <c r="AE107" s="877"/>
      <c r="AF107" s="877"/>
      <c r="AG107" s="878"/>
      <c r="AH107" s="885"/>
      <c r="AI107" s="877"/>
      <c r="AJ107" s="877"/>
      <c r="AK107" s="878"/>
      <c r="AL107" s="885"/>
      <c r="AM107" s="877"/>
      <c r="AN107" s="877"/>
      <c r="AO107" s="878"/>
      <c r="AP107" s="885"/>
      <c r="AQ107" s="877"/>
      <c r="AR107" s="877"/>
      <c r="AS107" s="878"/>
      <c r="AT107" s="885"/>
      <c r="AU107" s="877"/>
      <c r="AV107" s="877"/>
      <c r="AW107" s="878"/>
      <c r="AX107" s="885"/>
      <c r="AY107" s="877"/>
      <c r="AZ107" s="877"/>
      <c r="BA107" s="878"/>
      <c r="BB107" s="885"/>
      <c r="BC107" s="877"/>
      <c r="BD107" s="877"/>
      <c r="BE107" s="878"/>
      <c r="BF107" s="885"/>
      <c r="BG107" s="877"/>
      <c r="BH107" s="877"/>
      <c r="BI107" s="878"/>
      <c r="BJ107" s="885"/>
      <c r="BK107" s="877"/>
      <c r="BL107" s="877"/>
      <c r="BM107" s="878"/>
      <c r="BN107" s="885"/>
      <c r="BO107" s="877"/>
      <c r="BP107" s="877"/>
      <c r="BQ107" s="878"/>
      <c r="BR107" s="885"/>
      <c r="BS107" s="877"/>
      <c r="BT107" s="877"/>
      <c r="BU107" s="878"/>
      <c r="BV107" s="885"/>
      <c r="BW107" s="877"/>
      <c r="BX107" s="877"/>
      <c r="BY107" s="878"/>
      <c r="BZ107" s="885"/>
      <c r="CA107" s="877"/>
      <c r="CB107" s="877"/>
      <c r="CC107" s="878"/>
      <c r="CD107" s="885"/>
      <c r="CE107" s="877"/>
      <c r="CF107" s="877"/>
      <c r="CG107" s="878"/>
      <c r="CH107" s="885"/>
      <c r="CI107" s="877"/>
      <c r="CJ107" s="877"/>
      <c r="CK107" s="878"/>
      <c r="CL107" s="885"/>
      <c r="CM107" s="877"/>
      <c r="CN107" s="877"/>
      <c r="CO107" s="878"/>
      <c r="CP107" s="885"/>
      <c r="CQ107" s="877"/>
      <c r="CR107" s="877"/>
      <c r="CS107" s="878"/>
      <c r="CT107" s="885"/>
      <c r="CU107" s="877"/>
      <c r="CV107" s="877"/>
      <c r="CW107" s="878"/>
      <c r="CX107" s="885"/>
      <c r="CY107" s="877"/>
      <c r="CZ107" s="877"/>
      <c r="DA107" s="878"/>
      <c r="DB107" s="885"/>
      <c r="DC107" s="877"/>
      <c r="DD107" s="877"/>
      <c r="DE107" s="878"/>
      <c r="DF107" s="885"/>
      <c r="DG107" s="877"/>
      <c r="DH107" s="877"/>
      <c r="DI107" s="878"/>
      <c r="DJ107" s="885"/>
      <c r="DK107" s="877"/>
      <c r="DL107" s="877"/>
      <c r="DM107" s="878"/>
      <c r="DN107" s="885"/>
      <c r="DO107" s="877"/>
      <c r="DP107" s="877"/>
      <c r="DQ107" s="878"/>
      <c r="DR107" s="885"/>
      <c r="DS107" s="877"/>
      <c r="DT107" s="877"/>
      <c r="DU107" s="878"/>
      <c r="DV107" s="885"/>
      <c r="DW107" s="877"/>
      <c r="DX107" s="877"/>
      <c r="DY107" s="878"/>
      <c r="DZ107" s="885"/>
      <c r="EA107" s="877"/>
      <c r="EB107" s="877"/>
      <c r="EC107" s="878"/>
      <c r="ED107" s="885"/>
      <c r="EE107" s="877"/>
      <c r="EF107" s="877"/>
      <c r="EG107" s="878"/>
      <c r="EH107" s="885"/>
      <c r="EI107" s="877"/>
      <c r="EJ107" s="877"/>
      <c r="EK107" s="878"/>
      <c r="EL107" s="885"/>
      <c r="EM107" s="877"/>
      <c r="EN107" s="877"/>
      <c r="EO107" s="878"/>
      <c r="EP107" s="885"/>
      <c r="EQ107" s="877"/>
      <c r="ER107" s="877"/>
      <c r="ES107" s="878"/>
      <c r="ET107" s="885"/>
      <c r="EU107" s="877"/>
      <c r="EV107" s="877"/>
      <c r="EW107" s="878"/>
      <c r="EX107" s="885"/>
      <c r="EY107" s="877"/>
      <c r="EZ107" s="877"/>
      <c r="FA107" s="878"/>
      <c r="FB107" s="885"/>
      <c r="FC107" s="877"/>
      <c r="FD107" s="877"/>
      <c r="FE107" s="878"/>
      <c r="FF107" s="885"/>
      <c r="FG107" s="877"/>
      <c r="FH107" s="877"/>
      <c r="FI107" s="878"/>
      <c r="FJ107" s="885"/>
      <c r="FK107" s="877"/>
      <c r="FL107" s="877"/>
      <c r="FM107" s="878"/>
      <c r="FN107" s="885"/>
      <c r="FO107" s="877"/>
      <c r="FP107" s="877"/>
      <c r="FQ107" s="878"/>
      <c r="FR107" s="885"/>
      <c r="FS107" s="877"/>
      <c r="FT107" s="877"/>
      <c r="FU107" s="878"/>
      <c r="FV107" s="885"/>
      <c r="FW107" s="877"/>
      <c r="FX107" s="877"/>
      <c r="FY107" s="878"/>
      <c r="FZ107" s="885"/>
      <c r="GA107" s="877"/>
      <c r="GB107" s="877"/>
      <c r="GC107" s="878"/>
      <c r="GD107" s="885"/>
      <c r="GE107" s="877"/>
      <c r="GF107" s="877"/>
      <c r="GG107" s="878"/>
      <c r="GH107" s="885"/>
      <c r="GI107" s="877"/>
      <c r="GJ107" s="877"/>
      <c r="GK107" s="878"/>
      <c r="GL107" s="885"/>
      <c r="GM107" s="877"/>
      <c r="GN107" s="877"/>
      <c r="GO107" s="878"/>
      <c r="GP107" s="885"/>
      <c r="GQ107" s="877"/>
      <c r="GR107" s="877"/>
      <c r="GS107" s="878"/>
      <c r="GT107" s="885"/>
      <c r="GU107" s="877"/>
      <c r="GV107" s="877"/>
      <c r="GW107" s="878"/>
      <c r="GX107" s="885"/>
      <c r="GY107" s="877"/>
      <c r="GZ107" s="877"/>
      <c r="HA107" s="878"/>
      <c r="HB107" s="885"/>
      <c r="HC107" s="877"/>
      <c r="HD107" s="877"/>
      <c r="HE107" s="878"/>
      <c r="HF107" s="885"/>
      <c r="HG107" s="877"/>
      <c r="HH107" s="877"/>
      <c r="HI107" s="878"/>
      <c r="HJ107" s="885"/>
      <c r="HK107" s="877"/>
      <c r="HL107" s="877"/>
      <c r="HM107" s="878"/>
      <c r="HN107" s="885"/>
      <c r="HO107" s="877"/>
      <c r="HP107" s="877"/>
      <c r="HQ107" s="878"/>
      <c r="HR107" s="885"/>
      <c r="HS107" s="877"/>
      <c r="HT107" s="877"/>
      <c r="HU107" s="878"/>
      <c r="HV107" s="885"/>
      <c r="HW107" s="877"/>
      <c r="HX107" s="877"/>
      <c r="HY107" s="878"/>
      <c r="HZ107" s="885"/>
      <c r="IA107" s="877"/>
      <c r="IB107" s="877"/>
      <c r="IC107" s="878"/>
      <c r="ID107" s="885"/>
      <c r="IE107" s="877"/>
      <c r="IF107" s="877"/>
      <c r="IG107" s="878"/>
      <c r="IH107" s="885"/>
      <c r="II107" s="877"/>
      <c r="IJ107" s="877"/>
      <c r="IK107" s="878"/>
      <c r="IL107" s="885"/>
      <c r="IM107" s="877"/>
      <c r="IN107" s="877"/>
      <c r="IO107" s="878"/>
      <c r="IP107" s="885"/>
      <c r="IQ107" s="877"/>
      <c r="IR107" s="877"/>
      <c r="IS107" s="878"/>
      <c r="IT107" s="885"/>
      <c r="IU107" s="877"/>
      <c r="IV107" s="877"/>
      <c r="IW107" s="878"/>
      <c r="IX107" s="885"/>
      <c r="IY107" s="877"/>
      <c r="IZ107" s="877"/>
      <c r="JA107" s="878"/>
      <c r="JB107" s="885"/>
      <c r="JC107" s="877"/>
      <c r="JD107" s="877"/>
      <c r="JE107" s="878"/>
      <c r="JF107" s="885"/>
      <c r="JG107" s="877"/>
      <c r="JH107" s="877"/>
      <c r="JI107" s="878"/>
      <c r="JJ107" s="885"/>
      <c r="JK107" s="877"/>
      <c r="JL107" s="877"/>
      <c r="JM107" s="878"/>
      <c r="JN107" s="885"/>
      <c r="JO107" s="877"/>
      <c r="JP107" s="877"/>
      <c r="JQ107" s="878"/>
      <c r="JR107" s="885"/>
      <c r="JS107" s="877"/>
      <c r="JT107" s="877"/>
      <c r="JU107" s="878"/>
      <c r="JV107" s="885"/>
      <c r="JW107" s="877"/>
      <c r="JX107" s="877"/>
      <c r="JY107" s="878"/>
      <c r="JZ107" s="885"/>
      <c r="KA107" s="877"/>
      <c r="KB107" s="877"/>
      <c r="KC107" s="878"/>
      <c r="KD107" s="885"/>
      <c r="KE107" s="877"/>
      <c r="KF107" s="877"/>
      <c r="KG107" s="878"/>
      <c r="KH107" s="885"/>
      <c r="KI107" s="877"/>
      <c r="KJ107" s="877"/>
      <c r="KK107" s="878"/>
      <c r="KL107" s="885"/>
      <c r="KM107" s="877"/>
      <c r="KN107" s="877"/>
      <c r="KO107" s="878"/>
      <c r="KP107" s="885"/>
      <c r="KQ107" s="877"/>
      <c r="KR107" s="877"/>
      <c r="KS107" s="878"/>
      <c r="KT107" s="885"/>
      <c r="KU107" s="877"/>
      <c r="KV107" s="877"/>
      <c r="KW107" s="878"/>
      <c r="KX107" s="885"/>
      <c r="KY107" s="877"/>
      <c r="KZ107" s="877"/>
      <c r="LA107" s="878"/>
      <c r="LB107" s="885"/>
      <c r="LC107" s="877"/>
      <c r="LD107" s="877"/>
      <c r="LE107" s="878"/>
      <c r="LF107" s="885"/>
      <c r="LG107" s="877"/>
      <c r="LH107" s="877"/>
      <c r="LI107" s="878"/>
      <c r="LJ107" s="885"/>
      <c r="LK107" s="877"/>
      <c r="LL107" s="877"/>
      <c r="LM107" s="878"/>
    </row>
    <row r="108" spans="1:325">
      <c r="A108" s="310"/>
      <c r="B108" s="375" t="s">
        <v>580</v>
      </c>
      <c r="C108" s="376" t="s">
        <v>588</v>
      </c>
      <c r="D108" s="379">
        <f t="shared" si="21"/>
        <v>0</v>
      </c>
      <c r="E108" s="374">
        <f ca="1">IFERROR(D108/$D$95,"")</f>
        <v>0</v>
      </c>
      <c r="F108" s="886"/>
      <c r="G108" s="877"/>
      <c r="H108" s="877"/>
      <c r="I108" s="878"/>
      <c r="J108" s="885"/>
      <c r="K108" s="877"/>
      <c r="L108" s="877"/>
      <c r="M108" s="878"/>
      <c r="N108" s="885"/>
      <c r="O108" s="877"/>
      <c r="P108" s="877"/>
      <c r="Q108" s="878"/>
      <c r="R108" s="885"/>
      <c r="S108" s="877"/>
      <c r="T108" s="877"/>
      <c r="U108" s="878"/>
      <c r="V108" s="885"/>
      <c r="W108" s="877"/>
      <c r="X108" s="877"/>
      <c r="Y108" s="878"/>
      <c r="Z108" s="885"/>
      <c r="AA108" s="877"/>
      <c r="AB108" s="877"/>
      <c r="AC108" s="878"/>
      <c r="AD108" s="885"/>
      <c r="AE108" s="877"/>
      <c r="AF108" s="877"/>
      <c r="AG108" s="878"/>
      <c r="AH108" s="885"/>
      <c r="AI108" s="877"/>
      <c r="AJ108" s="877"/>
      <c r="AK108" s="878"/>
      <c r="AL108" s="885"/>
      <c r="AM108" s="877"/>
      <c r="AN108" s="877"/>
      <c r="AO108" s="878"/>
      <c r="AP108" s="885"/>
      <c r="AQ108" s="877"/>
      <c r="AR108" s="877"/>
      <c r="AS108" s="878"/>
      <c r="AT108" s="885"/>
      <c r="AU108" s="877"/>
      <c r="AV108" s="877"/>
      <c r="AW108" s="878"/>
      <c r="AX108" s="885"/>
      <c r="AY108" s="877"/>
      <c r="AZ108" s="877"/>
      <c r="BA108" s="878"/>
      <c r="BB108" s="885"/>
      <c r="BC108" s="877"/>
      <c r="BD108" s="877"/>
      <c r="BE108" s="878"/>
      <c r="BF108" s="885"/>
      <c r="BG108" s="877"/>
      <c r="BH108" s="877"/>
      <c r="BI108" s="878"/>
      <c r="BJ108" s="885"/>
      <c r="BK108" s="877"/>
      <c r="BL108" s="877"/>
      <c r="BM108" s="878"/>
      <c r="BN108" s="885"/>
      <c r="BO108" s="877"/>
      <c r="BP108" s="877"/>
      <c r="BQ108" s="878"/>
      <c r="BR108" s="885"/>
      <c r="BS108" s="877"/>
      <c r="BT108" s="877"/>
      <c r="BU108" s="878"/>
      <c r="BV108" s="885"/>
      <c r="BW108" s="877"/>
      <c r="BX108" s="877"/>
      <c r="BY108" s="878"/>
      <c r="BZ108" s="885"/>
      <c r="CA108" s="877"/>
      <c r="CB108" s="877"/>
      <c r="CC108" s="878"/>
      <c r="CD108" s="885"/>
      <c r="CE108" s="877"/>
      <c r="CF108" s="877"/>
      <c r="CG108" s="878"/>
      <c r="CH108" s="885"/>
      <c r="CI108" s="877"/>
      <c r="CJ108" s="877"/>
      <c r="CK108" s="878"/>
      <c r="CL108" s="885"/>
      <c r="CM108" s="877"/>
      <c r="CN108" s="877"/>
      <c r="CO108" s="878"/>
      <c r="CP108" s="885"/>
      <c r="CQ108" s="877"/>
      <c r="CR108" s="877"/>
      <c r="CS108" s="878"/>
      <c r="CT108" s="885"/>
      <c r="CU108" s="877"/>
      <c r="CV108" s="877"/>
      <c r="CW108" s="878"/>
      <c r="CX108" s="885"/>
      <c r="CY108" s="877"/>
      <c r="CZ108" s="877"/>
      <c r="DA108" s="878"/>
      <c r="DB108" s="885"/>
      <c r="DC108" s="877"/>
      <c r="DD108" s="877"/>
      <c r="DE108" s="878"/>
      <c r="DF108" s="885"/>
      <c r="DG108" s="877"/>
      <c r="DH108" s="877"/>
      <c r="DI108" s="878"/>
      <c r="DJ108" s="885"/>
      <c r="DK108" s="877"/>
      <c r="DL108" s="877"/>
      <c r="DM108" s="878"/>
      <c r="DN108" s="885"/>
      <c r="DO108" s="877"/>
      <c r="DP108" s="877"/>
      <c r="DQ108" s="878"/>
      <c r="DR108" s="885"/>
      <c r="DS108" s="877"/>
      <c r="DT108" s="877"/>
      <c r="DU108" s="878"/>
      <c r="DV108" s="885"/>
      <c r="DW108" s="877"/>
      <c r="DX108" s="877"/>
      <c r="DY108" s="878"/>
      <c r="DZ108" s="885"/>
      <c r="EA108" s="877"/>
      <c r="EB108" s="877"/>
      <c r="EC108" s="878"/>
      <c r="ED108" s="885"/>
      <c r="EE108" s="877"/>
      <c r="EF108" s="877"/>
      <c r="EG108" s="878"/>
      <c r="EH108" s="885"/>
      <c r="EI108" s="877"/>
      <c r="EJ108" s="877"/>
      <c r="EK108" s="878"/>
      <c r="EL108" s="885"/>
      <c r="EM108" s="877"/>
      <c r="EN108" s="877"/>
      <c r="EO108" s="878"/>
      <c r="EP108" s="885"/>
      <c r="EQ108" s="877"/>
      <c r="ER108" s="877"/>
      <c r="ES108" s="878"/>
      <c r="ET108" s="885"/>
      <c r="EU108" s="877"/>
      <c r="EV108" s="877"/>
      <c r="EW108" s="878"/>
      <c r="EX108" s="885"/>
      <c r="EY108" s="877"/>
      <c r="EZ108" s="877"/>
      <c r="FA108" s="878"/>
      <c r="FB108" s="885"/>
      <c r="FC108" s="877"/>
      <c r="FD108" s="877"/>
      <c r="FE108" s="878"/>
      <c r="FF108" s="885"/>
      <c r="FG108" s="877"/>
      <c r="FH108" s="877"/>
      <c r="FI108" s="878"/>
      <c r="FJ108" s="885"/>
      <c r="FK108" s="877"/>
      <c r="FL108" s="877"/>
      <c r="FM108" s="878"/>
      <c r="FN108" s="885"/>
      <c r="FO108" s="877"/>
      <c r="FP108" s="877"/>
      <c r="FQ108" s="878"/>
      <c r="FR108" s="885"/>
      <c r="FS108" s="877"/>
      <c r="FT108" s="877"/>
      <c r="FU108" s="878"/>
      <c r="FV108" s="885"/>
      <c r="FW108" s="877"/>
      <c r="FX108" s="877"/>
      <c r="FY108" s="878"/>
      <c r="FZ108" s="885"/>
      <c r="GA108" s="877"/>
      <c r="GB108" s="877"/>
      <c r="GC108" s="878"/>
      <c r="GD108" s="885"/>
      <c r="GE108" s="877"/>
      <c r="GF108" s="877"/>
      <c r="GG108" s="878"/>
      <c r="GH108" s="885"/>
      <c r="GI108" s="877"/>
      <c r="GJ108" s="877"/>
      <c r="GK108" s="878"/>
      <c r="GL108" s="885"/>
      <c r="GM108" s="877"/>
      <c r="GN108" s="877"/>
      <c r="GO108" s="878"/>
      <c r="GP108" s="885"/>
      <c r="GQ108" s="877"/>
      <c r="GR108" s="877"/>
      <c r="GS108" s="878"/>
      <c r="GT108" s="885"/>
      <c r="GU108" s="877"/>
      <c r="GV108" s="877"/>
      <c r="GW108" s="878"/>
      <c r="GX108" s="885"/>
      <c r="GY108" s="877"/>
      <c r="GZ108" s="877"/>
      <c r="HA108" s="878"/>
      <c r="HB108" s="885"/>
      <c r="HC108" s="877"/>
      <c r="HD108" s="877"/>
      <c r="HE108" s="878"/>
      <c r="HF108" s="885"/>
      <c r="HG108" s="877"/>
      <c r="HH108" s="877"/>
      <c r="HI108" s="878"/>
      <c r="HJ108" s="885"/>
      <c r="HK108" s="877"/>
      <c r="HL108" s="877"/>
      <c r="HM108" s="878"/>
      <c r="HN108" s="885"/>
      <c r="HO108" s="877"/>
      <c r="HP108" s="877"/>
      <c r="HQ108" s="878"/>
      <c r="HR108" s="885"/>
      <c r="HS108" s="877"/>
      <c r="HT108" s="877"/>
      <c r="HU108" s="878"/>
      <c r="HV108" s="885"/>
      <c r="HW108" s="877"/>
      <c r="HX108" s="877"/>
      <c r="HY108" s="878"/>
      <c r="HZ108" s="885"/>
      <c r="IA108" s="877"/>
      <c r="IB108" s="877"/>
      <c r="IC108" s="878"/>
      <c r="ID108" s="885"/>
      <c r="IE108" s="877"/>
      <c r="IF108" s="877"/>
      <c r="IG108" s="878"/>
      <c r="IH108" s="885"/>
      <c r="II108" s="877"/>
      <c r="IJ108" s="877"/>
      <c r="IK108" s="878"/>
      <c r="IL108" s="885"/>
      <c r="IM108" s="877"/>
      <c r="IN108" s="877"/>
      <c r="IO108" s="878"/>
      <c r="IP108" s="885"/>
      <c r="IQ108" s="877"/>
      <c r="IR108" s="877"/>
      <c r="IS108" s="878"/>
      <c r="IT108" s="885"/>
      <c r="IU108" s="877"/>
      <c r="IV108" s="877"/>
      <c r="IW108" s="878"/>
      <c r="IX108" s="885"/>
      <c r="IY108" s="877"/>
      <c r="IZ108" s="877"/>
      <c r="JA108" s="878"/>
      <c r="JB108" s="885"/>
      <c r="JC108" s="877"/>
      <c r="JD108" s="877"/>
      <c r="JE108" s="878"/>
      <c r="JF108" s="885"/>
      <c r="JG108" s="877"/>
      <c r="JH108" s="877"/>
      <c r="JI108" s="878"/>
      <c r="JJ108" s="885"/>
      <c r="JK108" s="877"/>
      <c r="JL108" s="877"/>
      <c r="JM108" s="878"/>
      <c r="JN108" s="885"/>
      <c r="JO108" s="877"/>
      <c r="JP108" s="877"/>
      <c r="JQ108" s="878"/>
      <c r="JR108" s="885"/>
      <c r="JS108" s="877"/>
      <c r="JT108" s="877"/>
      <c r="JU108" s="878"/>
      <c r="JV108" s="885"/>
      <c r="JW108" s="877"/>
      <c r="JX108" s="877"/>
      <c r="JY108" s="878"/>
      <c r="JZ108" s="885"/>
      <c r="KA108" s="877"/>
      <c r="KB108" s="877"/>
      <c r="KC108" s="878"/>
      <c r="KD108" s="885"/>
      <c r="KE108" s="877"/>
      <c r="KF108" s="877"/>
      <c r="KG108" s="878"/>
      <c r="KH108" s="885"/>
      <c r="KI108" s="877"/>
      <c r="KJ108" s="877"/>
      <c r="KK108" s="878"/>
      <c r="KL108" s="885"/>
      <c r="KM108" s="877"/>
      <c r="KN108" s="877"/>
      <c r="KO108" s="878"/>
      <c r="KP108" s="885"/>
      <c r="KQ108" s="877"/>
      <c r="KR108" s="877"/>
      <c r="KS108" s="878"/>
      <c r="KT108" s="885"/>
      <c r="KU108" s="877"/>
      <c r="KV108" s="877"/>
      <c r="KW108" s="878"/>
      <c r="KX108" s="885"/>
      <c r="KY108" s="877"/>
      <c r="KZ108" s="877"/>
      <c r="LA108" s="878"/>
      <c r="LB108" s="885"/>
      <c r="LC108" s="877"/>
      <c r="LD108" s="877"/>
      <c r="LE108" s="878"/>
      <c r="LF108" s="885"/>
      <c r="LG108" s="877"/>
      <c r="LH108" s="877"/>
      <c r="LI108" s="878"/>
      <c r="LJ108" s="885"/>
      <c r="LK108" s="877"/>
      <c r="LL108" s="877"/>
      <c r="LM108" s="878"/>
    </row>
    <row r="109" spans="1:325">
      <c r="A109" s="310" t="s">
        <v>548</v>
      </c>
      <c r="B109" s="372" t="s">
        <v>581</v>
      </c>
      <c r="C109" s="377" t="s">
        <v>552</v>
      </c>
      <c r="D109" s="366">
        <f t="shared" si="21"/>
        <v>0</v>
      </c>
      <c r="E109" s="374">
        <f ca="1">SUM(E110:E111)</f>
        <v>0</v>
      </c>
      <c r="F109" s="890">
        <f>SUM(F110:I112)</f>
        <v>0</v>
      </c>
      <c r="G109" s="888"/>
      <c r="H109" s="888"/>
      <c r="I109" s="889"/>
      <c r="J109" s="887">
        <f>SUM(J110:M112)</f>
        <v>0</v>
      </c>
      <c r="K109" s="888"/>
      <c r="L109" s="888"/>
      <c r="M109" s="889"/>
      <c r="N109" s="887">
        <f>SUM(N110:Q112)</f>
        <v>0</v>
      </c>
      <c r="O109" s="888"/>
      <c r="P109" s="888"/>
      <c r="Q109" s="889"/>
      <c r="R109" s="887">
        <f>SUM(R110:U112)</f>
        <v>0</v>
      </c>
      <c r="S109" s="888"/>
      <c r="T109" s="888"/>
      <c r="U109" s="889"/>
      <c r="V109" s="887">
        <f>SUM(V110:Y112)</f>
        <v>0</v>
      </c>
      <c r="W109" s="888"/>
      <c r="X109" s="888"/>
      <c r="Y109" s="889"/>
      <c r="Z109" s="887">
        <f>SUM(Z110:AC112)</f>
        <v>0</v>
      </c>
      <c r="AA109" s="888"/>
      <c r="AB109" s="888"/>
      <c r="AC109" s="889"/>
      <c r="AD109" s="887">
        <f>SUM(AD110:AG112)</f>
        <v>0</v>
      </c>
      <c r="AE109" s="888"/>
      <c r="AF109" s="888"/>
      <c r="AG109" s="889"/>
      <c r="AH109" s="887">
        <f>SUM(AH110:AK112)</f>
        <v>0</v>
      </c>
      <c r="AI109" s="888"/>
      <c r="AJ109" s="888"/>
      <c r="AK109" s="889"/>
      <c r="AL109" s="887">
        <f>SUM(AL110:AO112)</f>
        <v>0</v>
      </c>
      <c r="AM109" s="888"/>
      <c r="AN109" s="888"/>
      <c r="AO109" s="889"/>
      <c r="AP109" s="887">
        <f>SUM(AP110:AS112)</f>
        <v>0</v>
      </c>
      <c r="AQ109" s="888"/>
      <c r="AR109" s="888"/>
      <c r="AS109" s="889"/>
      <c r="AT109" s="887">
        <f>SUM(AT110:AW112)</f>
        <v>0</v>
      </c>
      <c r="AU109" s="888"/>
      <c r="AV109" s="888"/>
      <c r="AW109" s="889"/>
      <c r="AX109" s="887">
        <f>SUM(AX110:BA112)</f>
        <v>0</v>
      </c>
      <c r="AY109" s="888"/>
      <c r="AZ109" s="888"/>
      <c r="BA109" s="889"/>
      <c r="BB109" s="887">
        <f>SUM(BB110:BE112)</f>
        <v>0</v>
      </c>
      <c r="BC109" s="888"/>
      <c r="BD109" s="888"/>
      <c r="BE109" s="889"/>
      <c r="BF109" s="887">
        <f>SUM(BF110:BI112)</f>
        <v>0</v>
      </c>
      <c r="BG109" s="888"/>
      <c r="BH109" s="888"/>
      <c r="BI109" s="889"/>
      <c r="BJ109" s="887">
        <f>SUM(BJ110:BM112)</f>
        <v>0</v>
      </c>
      <c r="BK109" s="888"/>
      <c r="BL109" s="888"/>
      <c r="BM109" s="889"/>
      <c r="BN109" s="887">
        <f>SUM(BN110:BQ112)</f>
        <v>0</v>
      </c>
      <c r="BO109" s="888"/>
      <c r="BP109" s="888"/>
      <c r="BQ109" s="889"/>
      <c r="BR109" s="887">
        <f>SUM(BR110:BU112)</f>
        <v>0</v>
      </c>
      <c r="BS109" s="888"/>
      <c r="BT109" s="888"/>
      <c r="BU109" s="889"/>
      <c r="BV109" s="887">
        <f>SUM(BV110:BY112)</f>
        <v>0</v>
      </c>
      <c r="BW109" s="888"/>
      <c r="BX109" s="888"/>
      <c r="BY109" s="889"/>
      <c r="BZ109" s="887">
        <f>SUM(BZ110:CC112)</f>
        <v>0</v>
      </c>
      <c r="CA109" s="888"/>
      <c r="CB109" s="888"/>
      <c r="CC109" s="889"/>
      <c r="CD109" s="887">
        <f>SUM(CD110:CG112)</f>
        <v>0</v>
      </c>
      <c r="CE109" s="888"/>
      <c r="CF109" s="888"/>
      <c r="CG109" s="889"/>
      <c r="CH109" s="887">
        <f>SUM(CH110:CK112)</f>
        <v>0</v>
      </c>
      <c r="CI109" s="888"/>
      <c r="CJ109" s="888"/>
      <c r="CK109" s="889"/>
      <c r="CL109" s="887">
        <f>SUM(CL110:CO112)</f>
        <v>0</v>
      </c>
      <c r="CM109" s="888"/>
      <c r="CN109" s="888"/>
      <c r="CO109" s="889"/>
      <c r="CP109" s="887">
        <f>SUM(CP110:CS112)</f>
        <v>0</v>
      </c>
      <c r="CQ109" s="888"/>
      <c r="CR109" s="888"/>
      <c r="CS109" s="889"/>
      <c r="CT109" s="887">
        <f>SUM(CT110:CW112)</f>
        <v>0</v>
      </c>
      <c r="CU109" s="888"/>
      <c r="CV109" s="888"/>
      <c r="CW109" s="889"/>
      <c r="CX109" s="887">
        <f>SUM(CX110:DA112)</f>
        <v>0</v>
      </c>
      <c r="CY109" s="888"/>
      <c r="CZ109" s="888"/>
      <c r="DA109" s="889"/>
      <c r="DB109" s="887">
        <f>SUM(DB110:DE112)</f>
        <v>0</v>
      </c>
      <c r="DC109" s="888"/>
      <c r="DD109" s="888"/>
      <c r="DE109" s="889"/>
      <c r="DF109" s="887">
        <f>SUM(DF110:DI112)</f>
        <v>0</v>
      </c>
      <c r="DG109" s="888"/>
      <c r="DH109" s="888"/>
      <c r="DI109" s="889"/>
      <c r="DJ109" s="887">
        <f>SUM(DJ110:DM112)</f>
        <v>0</v>
      </c>
      <c r="DK109" s="888"/>
      <c r="DL109" s="888"/>
      <c r="DM109" s="889"/>
      <c r="DN109" s="887">
        <f>SUM(DN110:DQ112)</f>
        <v>0</v>
      </c>
      <c r="DO109" s="888"/>
      <c r="DP109" s="888"/>
      <c r="DQ109" s="889"/>
      <c r="DR109" s="887">
        <f>SUM(DR110:DU112)</f>
        <v>0</v>
      </c>
      <c r="DS109" s="888"/>
      <c r="DT109" s="888"/>
      <c r="DU109" s="889"/>
      <c r="DV109" s="887">
        <f>SUM(DV110:DY112)</f>
        <v>0</v>
      </c>
      <c r="DW109" s="888"/>
      <c r="DX109" s="888"/>
      <c r="DY109" s="889"/>
      <c r="DZ109" s="887">
        <f>SUM(DZ110:EC112)</f>
        <v>0</v>
      </c>
      <c r="EA109" s="888"/>
      <c r="EB109" s="888"/>
      <c r="EC109" s="889"/>
      <c r="ED109" s="887">
        <f>SUM(ED110:EG112)</f>
        <v>0</v>
      </c>
      <c r="EE109" s="888"/>
      <c r="EF109" s="888"/>
      <c r="EG109" s="889"/>
      <c r="EH109" s="887">
        <f>SUM(EH110:EK112)</f>
        <v>0</v>
      </c>
      <c r="EI109" s="888"/>
      <c r="EJ109" s="888"/>
      <c r="EK109" s="889"/>
      <c r="EL109" s="887">
        <f>SUM(EL110:EO112)</f>
        <v>0</v>
      </c>
      <c r="EM109" s="888"/>
      <c r="EN109" s="888"/>
      <c r="EO109" s="889"/>
      <c r="EP109" s="887">
        <f>SUM(EP110:ES112)</f>
        <v>0</v>
      </c>
      <c r="EQ109" s="888"/>
      <c r="ER109" s="888"/>
      <c r="ES109" s="889"/>
      <c r="ET109" s="887">
        <f>SUM(ET110:EW112)</f>
        <v>0</v>
      </c>
      <c r="EU109" s="888"/>
      <c r="EV109" s="888"/>
      <c r="EW109" s="889"/>
      <c r="EX109" s="887">
        <f>SUM(EX110:FA112)</f>
        <v>0</v>
      </c>
      <c r="EY109" s="888"/>
      <c r="EZ109" s="888"/>
      <c r="FA109" s="889"/>
      <c r="FB109" s="887">
        <f>SUM(FB110:FE112)</f>
        <v>0</v>
      </c>
      <c r="FC109" s="888"/>
      <c r="FD109" s="888"/>
      <c r="FE109" s="889"/>
      <c r="FF109" s="887">
        <f>SUM(FF110:FI112)</f>
        <v>0</v>
      </c>
      <c r="FG109" s="888"/>
      <c r="FH109" s="888"/>
      <c r="FI109" s="889"/>
      <c r="FJ109" s="887">
        <f>SUM(FJ110:FM112)</f>
        <v>0</v>
      </c>
      <c r="FK109" s="888"/>
      <c r="FL109" s="888"/>
      <c r="FM109" s="889"/>
      <c r="FN109" s="887">
        <f>SUM(FN110:FQ112)</f>
        <v>0</v>
      </c>
      <c r="FO109" s="888"/>
      <c r="FP109" s="888"/>
      <c r="FQ109" s="889"/>
      <c r="FR109" s="887">
        <f>SUM(FR110:FU112)</f>
        <v>0</v>
      </c>
      <c r="FS109" s="888"/>
      <c r="FT109" s="888"/>
      <c r="FU109" s="889"/>
      <c r="FV109" s="887">
        <f>SUM(FV110:FY112)</f>
        <v>0</v>
      </c>
      <c r="FW109" s="888"/>
      <c r="FX109" s="888"/>
      <c r="FY109" s="889"/>
      <c r="FZ109" s="887">
        <f>SUM(FZ110:GC112)</f>
        <v>0</v>
      </c>
      <c r="GA109" s="888"/>
      <c r="GB109" s="888"/>
      <c r="GC109" s="889"/>
      <c r="GD109" s="887">
        <f>SUM(GD110:GG112)</f>
        <v>0</v>
      </c>
      <c r="GE109" s="888"/>
      <c r="GF109" s="888"/>
      <c r="GG109" s="889"/>
      <c r="GH109" s="887">
        <f>SUM(GH110:GK112)</f>
        <v>0</v>
      </c>
      <c r="GI109" s="888"/>
      <c r="GJ109" s="888"/>
      <c r="GK109" s="889"/>
      <c r="GL109" s="887">
        <f>SUM(GL110:GO112)</f>
        <v>0</v>
      </c>
      <c r="GM109" s="888"/>
      <c r="GN109" s="888"/>
      <c r="GO109" s="889"/>
      <c r="GP109" s="887">
        <f>SUM(GP110:GS112)</f>
        <v>0</v>
      </c>
      <c r="GQ109" s="888"/>
      <c r="GR109" s="888"/>
      <c r="GS109" s="889"/>
      <c r="GT109" s="887">
        <f>SUM(GT110:GW112)</f>
        <v>0</v>
      </c>
      <c r="GU109" s="888"/>
      <c r="GV109" s="888"/>
      <c r="GW109" s="889"/>
      <c r="GX109" s="887">
        <f>SUM(GX110:HA112)</f>
        <v>0</v>
      </c>
      <c r="GY109" s="888"/>
      <c r="GZ109" s="888"/>
      <c r="HA109" s="889"/>
      <c r="HB109" s="887">
        <f>SUM(HB110:HE112)</f>
        <v>0</v>
      </c>
      <c r="HC109" s="888"/>
      <c r="HD109" s="888"/>
      <c r="HE109" s="889"/>
      <c r="HF109" s="887">
        <f>SUM(HF110:HI112)</f>
        <v>0</v>
      </c>
      <c r="HG109" s="888"/>
      <c r="HH109" s="888"/>
      <c r="HI109" s="889"/>
      <c r="HJ109" s="887">
        <f>SUM(HJ110:HM112)</f>
        <v>0</v>
      </c>
      <c r="HK109" s="888"/>
      <c r="HL109" s="888"/>
      <c r="HM109" s="889"/>
      <c r="HN109" s="887">
        <f>SUM(HN110:HQ112)</f>
        <v>0</v>
      </c>
      <c r="HO109" s="888"/>
      <c r="HP109" s="888"/>
      <c r="HQ109" s="889"/>
      <c r="HR109" s="887">
        <f>SUM(HR110:HU112)</f>
        <v>0</v>
      </c>
      <c r="HS109" s="888"/>
      <c r="HT109" s="888"/>
      <c r="HU109" s="889"/>
      <c r="HV109" s="887">
        <f>SUM(HV110:HY112)</f>
        <v>0</v>
      </c>
      <c r="HW109" s="888"/>
      <c r="HX109" s="888"/>
      <c r="HY109" s="889"/>
      <c r="HZ109" s="887">
        <f>SUM(HZ110:IC112)</f>
        <v>0</v>
      </c>
      <c r="IA109" s="888"/>
      <c r="IB109" s="888"/>
      <c r="IC109" s="889"/>
      <c r="ID109" s="887">
        <f>SUM(ID110:IG112)</f>
        <v>0</v>
      </c>
      <c r="IE109" s="888"/>
      <c r="IF109" s="888"/>
      <c r="IG109" s="889"/>
      <c r="IH109" s="887">
        <f>SUM(IH110:IK112)</f>
        <v>0</v>
      </c>
      <c r="II109" s="888"/>
      <c r="IJ109" s="888"/>
      <c r="IK109" s="889"/>
      <c r="IL109" s="887">
        <f>SUM(IL110:IO112)</f>
        <v>0</v>
      </c>
      <c r="IM109" s="888"/>
      <c r="IN109" s="888"/>
      <c r="IO109" s="889"/>
      <c r="IP109" s="887">
        <f>SUM(IP110:IS112)</f>
        <v>0</v>
      </c>
      <c r="IQ109" s="888"/>
      <c r="IR109" s="888"/>
      <c r="IS109" s="889"/>
      <c r="IT109" s="887">
        <f>SUM(IT110:IW112)</f>
        <v>0</v>
      </c>
      <c r="IU109" s="888"/>
      <c r="IV109" s="888"/>
      <c r="IW109" s="889"/>
      <c r="IX109" s="887">
        <f>SUM(IX110:JA112)</f>
        <v>0</v>
      </c>
      <c r="IY109" s="888"/>
      <c r="IZ109" s="888"/>
      <c r="JA109" s="889"/>
      <c r="JB109" s="887">
        <f>SUM(JB110:JE112)</f>
        <v>0</v>
      </c>
      <c r="JC109" s="888"/>
      <c r="JD109" s="888"/>
      <c r="JE109" s="889"/>
      <c r="JF109" s="887">
        <f>SUM(JF110:JI112)</f>
        <v>0</v>
      </c>
      <c r="JG109" s="888"/>
      <c r="JH109" s="888"/>
      <c r="JI109" s="889"/>
      <c r="JJ109" s="887">
        <f>SUM(JJ110:JM112)</f>
        <v>0</v>
      </c>
      <c r="JK109" s="888"/>
      <c r="JL109" s="888"/>
      <c r="JM109" s="889"/>
      <c r="JN109" s="887">
        <f>SUM(JN110:JQ112)</f>
        <v>0</v>
      </c>
      <c r="JO109" s="888"/>
      <c r="JP109" s="888"/>
      <c r="JQ109" s="889"/>
      <c r="JR109" s="887">
        <f>SUM(JR110:JU112)</f>
        <v>0</v>
      </c>
      <c r="JS109" s="888"/>
      <c r="JT109" s="888"/>
      <c r="JU109" s="889"/>
      <c r="JV109" s="887">
        <f>SUM(JV110:JY112)</f>
        <v>0</v>
      </c>
      <c r="JW109" s="888"/>
      <c r="JX109" s="888"/>
      <c r="JY109" s="889"/>
      <c r="JZ109" s="887">
        <f>SUM(JZ110:KC112)</f>
        <v>0</v>
      </c>
      <c r="KA109" s="888"/>
      <c r="KB109" s="888"/>
      <c r="KC109" s="889"/>
      <c r="KD109" s="887">
        <f>SUM(KD110:KG112)</f>
        <v>0</v>
      </c>
      <c r="KE109" s="888"/>
      <c r="KF109" s="888"/>
      <c r="KG109" s="889"/>
      <c r="KH109" s="887">
        <f>SUM(KH110:KK112)</f>
        <v>0</v>
      </c>
      <c r="KI109" s="888"/>
      <c r="KJ109" s="888"/>
      <c r="KK109" s="889"/>
      <c r="KL109" s="887">
        <f>SUM(KL110:KO112)</f>
        <v>0</v>
      </c>
      <c r="KM109" s="888"/>
      <c r="KN109" s="888"/>
      <c r="KO109" s="889"/>
      <c r="KP109" s="887">
        <f>SUM(KP110:KS112)</f>
        <v>0</v>
      </c>
      <c r="KQ109" s="888"/>
      <c r="KR109" s="888"/>
      <c r="KS109" s="889"/>
      <c r="KT109" s="887">
        <f>SUM(KT110:KW112)</f>
        <v>0</v>
      </c>
      <c r="KU109" s="888"/>
      <c r="KV109" s="888"/>
      <c r="KW109" s="889"/>
      <c r="KX109" s="887">
        <f>SUM(KX110:LA112)</f>
        <v>0</v>
      </c>
      <c r="KY109" s="888"/>
      <c r="KZ109" s="888"/>
      <c r="LA109" s="889"/>
      <c r="LB109" s="887">
        <f>SUM(LB110:LE112)</f>
        <v>0</v>
      </c>
      <c r="LC109" s="888"/>
      <c r="LD109" s="888"/>
      <c r="LE109" s="889"/>
      <c r="LF109" s="887">
        <f>SUM(LF110:LI112)</f>
        <v>0</v>
      </c>
      <c r="LG109" s="888"/>
      <c r="LH109" s="888"/>
      <c r="LI109" s="889"/>
      <c r="LJ109" s="887">
        <f>SUM(LJ110:LM112)</f>
        <v>0</v>
      </c>
      <c r="LK109" s="888"/>
      <c r="LL109" s="888"/>
      <c r="LM109" s="889"/>
    </row>
    <row r="110" spans="1:325">
      <c r="A110" s="310" t="s">
        <v>446</v>
      </c>
      <c r="B110" s="375" t="s">
        <v>582</v>
      </c>
      <c r="C110" s="378" t="s">
        <v>439</v>
      </c>
      <c r="D110" s="379">
        <f t="shared" si="21"/>
        <v>0</v>
      </c>
      <c r="E110" s="374">
        <f ca="1">IFERROR(D110/$D$95,"")</f>
        <v>0</v>
      </c>
      <c r="F110" s="886"/>
      <c r="G110" s="877"/>
      <c r="H110" s="877"/>
      <c r="I110" s="878"/>
      <c r="J110" s="885"/>
      <c r="K110" s="877"/>
      <c r="L110" s="877"/>
      <c r="M110" s="878"/>
      <c r="N110" s="885"/>
      <c r="O110" s="877"/>
      <c r="P110" s="877"/>
      <c r="Q110" s="878"/>
      <c r="R110" s="885"/>
      <c r="S110" s="877"/>
      <c r="T110" s="877"/>
      <c r="U110" s="878"/>
      <c r="V110" s="885"/>
      <c r="W110" s="877"/>
      <c r="X110" s="877"/>
      <c r="Y110" s="878"/>
      <c r="Z110" s="885"/>
      <c r="AA110" s="877"/>
      <c r="AB110" s="877"/>
      <c r="AC110" s="878"/>
      <c r="AD110" s="885"/>
      <c r="AE110" s="877"/>
      <c r="AF110" s="877"/>
      <c r="AG110" s="878"/>
      <c r="AH110" s="885"/>
      <c r="AI110" s="877"/>
      <c r="AJ110" s="877"/>
      <c r="AK110" s="878"/>
      <c r="AL110" s="885"/>
      <c r="AM110" s="877"/>
      <c r="AN110" s="877"/>
      <c r="AO110" s="878"/>
      <c r="AP110" s="885"/>
      <c r="AQ110" s="877"/>
      <c r="AR110" s="877"/>
      <c r="AS110" s="878"/>
      <c r="AT110" s="885"/>
      <c r="AU110" s="877"/>
      <c r="AV110" s="877"/>
      <c r="AW110" s="878"/>
      <c r="AX110" s="885"/>
      <c r="AY110" s="877"/>
      <c r="AZ110" s="877"/>
      <c r="BA110" s="878"/>
      <c r="BB110" s="885"/>
      <c r="BC110" s="877"/>
      <c r="BD110" s="877"/>
      <c r="BE110" s="878"/>
      <c r="BF110" s="885"/>
      <c r="BG110" s="877"/>
      <c r="BH110" s="877"/>
      <c r="BI110" s="878"/>
      <c r="BJ110" s="885"/>
      <c r="BK110" s="877"/>
      <c r="BL110" s="877"/>
      <c r="BM110" s="878"/>
      <c r="BN110" s="885"/>
      <c r="BO110" s="877"/>
      <c r="BP110" s="877"/>
      <c r="BQ110" s="878"/>
      <c r="BR110" s="885"/>
      <c r="BS110" s="877"/>
      <c r="BT110" s="877"/>
      <c r="BU110" s="878"/>
      <c r="BV110" s="885"/>
      <c r="BW110" s="877"/>
      <c r="BX110" s="877"/>
      <c r="BY110" s="878"/>
      <c r="BZ110" s="885"/>
      <c r="CA110" s="877"/>
      <c r="CB110" s="877"/>
      <c r="CC110" s="878"/>
      <c r="CD110" s="885"/>
      <c r="CE110" s="877"/>
      <c r="CF110" s="877"/>
      <c r="CG110" s="878"/>
      <c r="CH110" s="885"/>
      <c r="CI110" s="877"/>
      <c r="CJ110" s="877"/>
      <c r="CK110" s="878"/>
      <c r="CL110" s="885"/>
      <c r="CM110" s="877"/>
      <c r="CN110" s="877"/>
      <c r="CO110" s="878"/>
      <c r="CP110" s="885"/>
      <c r="CQ110" s="877"/>
      <c r="CR110" s="877"/>
      <c r="CS110" s="878"/>
      <c r="CT110" s="885"/>
      <c r="CU110" s="877"/>
      <c r="CV110" s="877"/>
      <c r="CW110" s="878"/>
      <c r="CX110" s="885"/>
      <c r="CY110" s="877"/>
      <c r="CZ110" s="877"/>
      <c r="DA110" s="878"/>
      <c r="DB110" s="885"/>
      <c r="DC110" s="877"/>
      <c r="DD110" s="877"/>
      <c r="DE110" s="878"/>
      <c r="DF110" s="885"/>
      <c r="DG110" s="877"/>
      <c r="DH110" s="877"/>
      <c r="DI110" s="878"/>
      <c r="DJ110" s="885"/>
      <c r="DK110" s="877"/>
      <c r="DL110" s="877"/>
      <c r="DM110" s="878"/>
      <c r="DN110" s="885"/>
      <c r="DO110" s="877"/>
      <c r="DP110" s="877"/>
      <c r="DQ110" s="878"/>
      <c r="DR110" s="885"/>
      <c r="DS110" s="877"/>
      <c r="DT110" s="877"/>
      <c r="DU110" s="878"/>
      <c r="DV110" s="885"/>
      <c r="DW110" s="877"/>
      <c r="DX110" s="877"/>
      <c r="DY110" s="878"/>
      <c r="DZ110" s="885"/>
      <c r="EA110" s="877"/>
      <c r="EB110" s="877"/>
      <c r="EC110" s="878"/>
      <c r="ED110" s="885"/>
      <c r="EE110" s="877"/>
      <c r="EF110" s="877"/>
      <c r="EG110" s="878"/>
      <c r="EH110" s="885"/>
      <c r="EI110" s="877"/>
      <c r="EJ110" s="877"/>
      <c r="EK110" s="878"/>
      <c r="EL110" s="885"/>
      <c r="EM110" s="877"/>
      <c r="EN110" s="877"/>
      <c r="EO110" s="878"/>
      <c r="EP110" s="885"/>
      <c r="EQ110" s="877"/>
      <c r="ER110" s="877"/>
      <c r="ES110" s="878"/>
      <c r="ET110" s="885"/>
      <c r="EU110" s="877"/>
      <c r="EV110" s="877"/>
      <c r="EW110" s="878"/>
      <c r="EX110" s="885"/>
      <c r="EY110" s="877"/>
      <c r="EZ110" s="877"/>
      <c r="FA110" s="878"/>
      <c r="FB110" s="885"/>
      <c r="FC110" s="877"/>
      <c r="FD110" s="877"/>
      <c r="FE110" s="878"/>
      <c r="FF110" s="885"/>
      <c r="FG110" s="877"/>
      <c r="FH110" s="877"/>
      <c r="FI110" s="878"/>
      <c r="FJ110" s="885"/>
      <c r="FK110" s="877"/>
      <c r="FL110" s="877"/>
      <c r="FM110" s="878"/>
      <c r="FN110" s="885"/>
      <c r="FO110" s="877"/>
      <c r="FP110" s="877"/>
      <c r="FQ110" s="878"/>
      <c r="FR110" s="885"/>
      <c r="FS110" s="877"/>
      <c r="FT110" s="877"/>
      <c r="FU110" s="878"/>
      <c r="FV110" s="885"/>
      <c r="FW110" s="877"/>
      <c r="FX110" s="877"/>
      <c r="FY110" s="878"/>
      <c r="FZ110" s="885"/>
      <c r="GA110" s="877"/>
      <c r="GB110" s="877"/>
      <c r="GC110" s="878"/>
      <c r="GD110" s="885"/>
      <c r="GE110" s="877"/>
      <c r="GF110" s="877"/>
      <c r="GG110" s="878"/>
      <c r="GH110" s="885"/>
      <c r="GI110" s="877"/>
      <c r="GJ110" s="877"/>
      <c r="GK110" s="878"/>
      <c r="GL110" s="885"/>
      <c r="GM110" s="877"/>
      <c r="GN110" s="877"/>
      <c r="GO110" s="878"/>
      <c r="GP110" s="885"/>
      <c r="GQ110" s="877"/>
      <c r="GR110" s="877"/>
      <c r="GS110" s="878"/>
      <c r="GT110" s="885"/>
      <c r="GU110" s="877"/>
      <c r="GV110" s="877"/>
      <c r="GW110" s="878"/>
      <c r="GX110" s="885"/>
      <c r="GY110" s="877"/>
      <c r="GZ110" s="877"/>
      <c r="HA110" s="878"/>
      <c r="HB110" s="885"/>
      <c r="HC110" s="877"/>
      <c r="HD110" s="877"/>
      <c r="HE110" s="878"/>
      <c r="HF110" s="885"/>
      <c r="HG110" s="877"/>
      <c r="HH110" s="877"/>
      <c r="HI110" s="878"/>
      <c r="HJ110" s="885"/>
      <c r="HK110" s="877"/>
      <c r="HL110" s="877"/>
      <c r="HM110" s="878"/>
      <c r="HN110" s="885"/>
      <c r="HO110" s="877"/>
      <c r="HP110" s="877"/>
      <c r="HQ110" s="878"/>
      <c r="HR110" s="885"/>
      <c r="HS110" s="877"/>
      <c r="HT110" s="877"/>
      <c r="HU110" s="878"/>
      <c r="HV110" s="885"/>
      <c r="HW110" s="877"/>
      <c r="HX110" s="877"/>
      <c r="HY110" s="878"/>
      <c r="HZ110" s="885"/>
      <c r="IA110" s="877"/>
      <c r="IB110" s="877"/>
      <c r="IC110" s="878"/>
      <c r="ID110" s="885"/>
      <c r="IE110" s="877"/>
      <c r="IF110" s="877"/>
      <c r="IG110" s="878"/>
      <c r="IH110" s="885"/>
      <c r="II110" s="877"/>
      <c r="IJ110" s="877"/>
      <c r="IK110" s="878"/>
      <c r="IL110" s="885"/>
      <c r="IM110" s="877"/>
      <c r="IN110" s="877"/>
      <c r="IO110" s="878"/>
      <c r="IP110" s="885"/>
      <c r="IQ110" s="877"/>
      <c r="IR110" s="877"/>
      <c r="IS110" s="878"/>
      <c r="IT110" s="885"/>
      <c r="IU110" s="877"/>
      <c r="IV110" s="877"/>
      <c r="IW110" s="878"/>
      <c r="IX110" s="885"/>
      <c r="IY110" s="877"/>
      <c r="IZ110" s="877"/>
      <c r="JA110" s="878"/>
      <c r="JB110" s="885"/>
      <c r="JC110" s="877"/>
      <c r="JD110" s="877"/>
      <c r="JE110" s="878"/>
      <c r="JF110" s="885"/>
      <c r="JG110" s="877"/>
      <c r="JH110" s="877"/>
      <c r="JI110" s="878"/>
      <c r="JJ110" s="885"/>
      <c r="JK110" s="877"/>
      <c r="JL110" s="877"/>
      <c r="JM110" s="878"/>
      <c r="JN110" s="885"/>
      <c r="JO110" s="877"/>
      <c r="JP110" s="877"/>
      <c r="JQ110" s="878"/>
      <c r="JR110" s="885"/>
      <c r="JS110" s="877"/>
      <c r="JT110" s="877"/>
      <c r="JU110" s="878"/>
      <c r="JV110" s="885"/>
      <c r="JW110" s="877"/>
      <c r="JX110" s="877"/>
      <c r="JY110" s="878"/>
      <c r="JZ110" s="885"/>
      <c r="KA110" s="877"/>
      <c r="KB110" s="877"/>
      <c r="KC110" s="878"/>
      <c r="KD110" s="885"/>
      <c r="KE110" s="877"/>
      <c r="KF110" s="877"/>
      <c r="KG110" s="878"/>
      <c r="KH110" s="885"/>
      <c r="KI110" s="877"/>
      <c r="KJ110" s="877"/>
      <c r="KK110" s="878"/>
      <c r="KL110" s="885"/>
      <c r="KM110" s="877"/>
      <c r="KN110" s="877"/>
      <c r="KO110" s="878"/>
      <c r="KP110" s="885"/>
      <c r="KQ110" s="877"/>
      <c r="KR110" s="877"/>
      <c r="KS110" s="878"/>
      <c r="KT110" s="885"/>
      <c r="KU110" s="877"/>
      <c r="KV110" s="877"/>
      <c r="KW110" s="878"/>
      <c r="KX110" s="885"/>
      <c r="KY110" s="877"/>
      <c r="KZ110" s="877"/>
      <c r="LA110" s="878"/>
      <c r="LB110" s="885"/>
      <c r="LC110" s="877"/>
      <c r="LD110" s="877"/>
      <c r="LE110" s="878"/>
      <c r="LF110" s="885"/>
      <c r="LG110" s="877"/>
      <c r="LH110" s="877"/>
      <c r="LI110" s="878"/>
      <c r="LJ110" s="885"/>
      <c r="LK110" s="877"/>
      <c r="LL110" s="877"/>
      <c r="LM110" s="878"/>
    </row>
    <row r="111" spans="1:325">
      <c r="A111" s="310"/>
      <c r="B111" s="375" t="s">
        <v>583</v>
      </c>
      <c r="C111" s="378" t="s">
        <v>438</v>
      </c>
      <c r="D111" s="379">
        <f t="shared" si="21"/>
        <v>0</v>
      </c>
      <c r="E111" s="374">
        <f ca="1">IFERROR(D111/$D$95,"")</f>
        <v>0</v>
      </c>
      <c r="F111" s="886"/>
      <c r="G111" s="877"/>
      <c r="H111" s="877"/>
      <c r="I111" s="878"/>
      <c r="J111" s="885"/>
      <c r="K111" s="877"/>
      <c r="L111" s="877"/>
      <c r="M111" s="878"/>
      <c r="N111" s="885"/>
      <c r="O111" s="877"/>
      <c r="P111" s="877"/>
      <c r="Q111" s="878"/>
      <c r="R111" s="885"/>
      <c r="S111" s="877"/>
      <c r="T111" s="877"/>
      <c r="U111" s="878"/>
      <c r="V111" s="885"/>
      <c r="W111" s="877"/>
      <c r="X111" s="877"/>
      <c r="Y111" s="878"/>
      <c r="Z111" s="885"/>
      <c r="AA111" s="877"/>
      <c r="AB111" s="877"/>
      <c r="AC111" s="878"/>
      <c r="AD111" s="885"/>
      <c r="AE111" s="877"/>
      <c r="AF111" s="877"/>
      <c r="AG111" s="878"/>
      <c r="AH111" s="885"/>
      <c r="AI111" s="877"/>
      <c r="AJ111" s="877"/>
      <c r="AK111" s="878"/>
      <c r="AL111" s="885"/>
      <c r="AM111" s="877"/>
      <c r="AN111" s="877"/>
      <c r="AO111" s="878"/>
      <c r="AP111" s="885"/>
      <c r="AQ111" s="877"/>
      <c r="AR111" s="877"/>
      <c r="AS111" s="878"/>
      <c r="AT111" s="885"/>
      <c r="AU111" s="877"/>
      <c r="AV111" s="877"/>
      <c r="AW111" s="878"/>
      <c r="AX111" s="885"/>
      <c r="AY111" s="877"/>
      <c r="AZ111" s="877"/>
      <c r="BA111" s="878"/>
      <c r="BB111" s="885"/>
      <c r="BC111" s="877"/>
      <c r="BD111" s="877"/>
      <c r="BE111" s="878"/>
      <c r="BF111" s="885"/>
      <c r="BG111" s="877"/>
      <c r="BH111" s="877"/>
      <c r="BI111" s="878"/>
      <c r="BJ111" s="885"/>
      <c r="BK111" s="877"/>
      <c r="BL111" s="877"/>
      <c r="BM111" s="878"/>
      <c r="BN111" s="885"/>
      <c r="BO111" s="877"/>
      <c r="BP111" s="877"/>
      <c r="BQ111" s="878"/>
      <c r="BR111" s="885"/>
      <c r="BS111" s="877"/>
      <c r="BT111" s="877"/>
      <c r="BU111" s="878"/>
      <c r="BV111" s="885"/>
      <c r="BW111" s="877"/>
      <c r="BX111" s="877"/>
      <c r="BY111" s="878"/>
      <c r="BZ111" s="885"/>
      <c r="CA111" s="877"/>
      <c r="CB111" s="877"/>
      <c r="CC111" s="878"/>
      <c r="CD111" s="885"/>
      <c r="CE111" s="877"/>
      <c r="CF111" s="877"/>
      <c r="CG111" s="878"/>
      <c r="CH111" s="885"/>
      <c r="CI111" s="877"/>
      <c r="CJ111" s="877"/>
      <c r="CK111" s="878"/>
      <c r="CL111" s="885"/>
      <c r="CM111" s="877"/>
      <c r="CN111" s="877"/>
      <c r="CO111" s="878"/>
      <c r="CP111" s="885"/>
      <c r="CQ111" s="877"/>
      <c r="CR111" s="877"/>
      <c r="CS111" s="878"/>
      <c r="CT111" s="885"/>
      <c r="CU111" s="877"/>
      <c r="CV111" s="877"/>
      <c r="CW111" s="878"/>
      <c r="CX111" s="885"/>
      <c r="CY111" s="877"/>
      <c r="CZ111" s="877"/>
      <c r="DA111" s="878"/>
      <c r="DB111" s="885"/>
      <c r="DC111" s="877"/>
      <c r="DD111" s="877"/>
      <c r="DE111" s="878"/>
      <c r="DF111" s="885"/>
      <c r="DG111" s="877"/>
      <c r="DH111" s="877"/>
      <c r="DI111" s="878"/>
      <c r="DJ111" s="885"/>
      <c r="DK111" s="877"/>
      <c r="DL111" s="877"/>
      <c r="DM111" s="878"/>
      <c r="DN111" s="885"/>
      <c r="DO111" s="877"/>
      <c r="DP111" s="877"/>
      <c r="DQ111" s="878"/>
      <c r="DR111" s="885"/>
      <c r="DS111" s="877"/>
      <c r="DT111" s="877"/>
      <c r="DU111" s="878"/>
      <c r="DV111" s="885"/>
      <c r="DW111" s="877"/>
      <c r="DX111" s="877"/>
      <c r="DY111" s="878"/>
      <c r="DZ111" s="885"/>
      <c r="EA111" s="877"/>
      <c r="EB111" s="877"/>
      <c r="EC111" s="878"/>
      <c r="ED111" s="885"/>
      <c r="EE111" s="877"/>
      <c r="EF111" s="877"/>
      <c r="EG111" s="878"/>
      <c r="EH111" s="885"/>
      <c r="EI111" s="877"/>
      <c r="EJ111" s="877"/>
      <c r="EK111" s="878"/>
      <c r="EL111" s="885"/>
      <c r="EM111" s="877"/>
      <c r="EN111" s="877"/>
      <c r="EO111" s="878"/>
      <c r="EP111" s="885"/>
      <c r="EQ111" s="877"/>
      <c r="ER111" s="877"/>
      <c r="ES111" s="878"/>
      <c r="ET111" s="885"/>
      <c r="EU111" s="877"/>
      <c r="EV111" s="877"/>
      <c r="EW111" s="878"/>
      <c r="EX111" s="885"/>
      <c r="EY111" s="877"/>
      <c r="EZ111" s="877"/>
      <c r="FA111" s="878"/>
      <c r="FB111" s="885"/>
      <c r="FC111" s="877"/>
      <c r="FD111" s="877"/>
      <c r="FE111" s="878"/>
      <c r="FF111" s="885"/>
      <c r="FG111" s="877"/>
      <c r="FH111" s="877"/>
      <c r="FI111" s="878"/>
      <c r="FJ111" s="885"/>
      <c r="FK111" s="877"/>
      <c r="FL111" s="877"/>
      <c r="FM111" s="878"/>
      <c r="FN111" s="885"/>
      <c r="FO111" s="877"/>
      <c r="FP111" s="877"/>
      <c r="FQ111" s="878"/>
      <c r="FR111" s="885"/>
      <c r="FS111" s="877"/>
      <c r="FT111" s="877"/>
      <c r="FU111" s="878"/>
      <c r="FV111" s="885"/>
      <c r="FW111" s="877"/>
      <c r="FX111" s="877"/>
      <c r="FY111" s="878"/>
      <c r="FZ111" s="885"/>
      <c r="GA111" s="877"/>
      <c r="GB111" s="877"/>
      <c r="GC111" s="878"/>
      <c r="GD111" s="885"/>
      <c r="GE111" s="877"/>
      <c r="GF111" s="877"/>
      <c r="GG111" s="878"/>
      <c r="GH111" s="885"/>
      <c r="GI111" s="877"/>
      <c r="GJ111" s="877"/>
      <c r="GK111" s="878"/>
      <c r="GL111" s="885"/>
      <c r="GM111" s="877"/>
      <c r="GN111" s="877"/>
      <c r="GO111" s="878"/>
      <c r="GP111" s="885"/>
      <c r="GQ111" s="877"/>
      <c r="GR111" s="877"/>
      <c r="GS111" s="878"/>
      <c r="GT111" s="885"/>
      <c r="GU111" s="877"/>
      <c r="GV111" s="877"/>
      <c r="GW111" s="878"/>
      <c r="GX111" s="885"/>
      <c r="GY111" s="877"/>
      <c r="GZ111" s="877"/>
      <c r="HA111" s="878"/>
      <c r="HB111" s="885"/>
      <c r="HC111" s="877"/>
      <c r="HD111" s="877"/>
      <c r="HE111" s="878"/>
      <c r="HF111" s="885"/>
      <c r="HG111" s="877"/>
      <c r="HH111" s="877"/>
      <c r="HI111" s="878"/>
      <c r="HJ111" s="885"/>
      <c r="HK111" s="877"/>
      <c r="HL111" s="877"/>
      <c r="HM111" s="878"/>
      <c r="HN111" s="885"/>
      <c r="HO111" s="877"/>
      <c r="HP111" s="877"/>
      <c r="HQ111" s="878"/>
      <c r="HR111" s="885"/>
      <c r="HS111" s="877"/>
      <c r="HT111" s="877"/>
      <c r="HU111" s="878"/>
      <c r="HV111" s="885"/>
      <c r="HW111" s="877"/>
      <c r="HX111" s="877"/>
      <c r="HY111" s="878"/>
      <c r="HZ111" s="885"/>
      <c r="IA111" s="877"/>
      <c r="IB111" s="877"/>
      <c r="IC111" s="878"/>
      <c r="ID111" s="885"/>
      <c r="IE111" s="877"/>
      <c r="IF111" s="877"/>
      <c r="IG111" s="878"/>
      <c r="IH111" s="885"/>
      <c r="II111" s="877"/>
      <c r="IJ111" s="877"/>
      <c r="IK111" s="878"/>
      <c r="IL111" s="885"/>
      <c r="IM111" s="877"/>
      <c r="IN111" s="877"/>
      <c r="IO111" s="878"/>
      <c r="IP111" s="885"/>
      <c r="IQ111" s="877"/>
      <c r="IR111" s="877"/>
      <c r="IS111" s="878"/>
      <c r="IT111" s="885"/>
      <c r="IU111" s="877"/>
      <c r="IV111" s="877"/>
      <c r="IW111" s="878"/>
      <c r="IX111" s="885"/>
      <c r="IY111" s="877"/>
      <c r="IZ111" s="877"/>
      <c r="JA111" s="878"/>
      <c r="JB111" s="885"/>
      <c r="JC111" s="877"/>
      <c r="JD111" s="877"/>
      <c r="JE111" s="878"/>
      <c r="JF111" s="885"/>
      <c r="JG111" s="877"/>
      <c r="JH111" s="877"/>
      <c r="JI111" s="878"/>
      <c r="JJ111" s="885"/>
      <c r="JK111" s="877"/>
      <c r="JL111" s="877"/>
      <c r="JM111" s="878"/>
      <c r="JN111" s="885"/>
      <c r="JO111" s="877"/>
      <c r="JP111" s="877"/>
      <c r="JQ111" s="878"/>
      <c r="JR111" s="885"/>
      <c r="JS111" s="877"/>
      <c r="JT111" s="877"/>
      <c r="JU111" s="878"/>
      <c r="JV111" s="885"/>
      <c r="JW111" s="877"/>
      <c r="JX111" s="877"/>
      <c r="JY111" s="878"/>
      <c r="JZ111" s="885"/>
      <c r="KA111" s="877"/>
      <c r="KB111" s="877"/>
      <c r="KC111" s="878"/>
      <c r="KD111" s="885"/>
      <c r="KE111" s="877"/>
      <c r="KF111" s="877"/>
      <c r="KG111" s="878"/>
      <c r="KH111" s="885"/>
      <c r="KI111" s="877"/>
      <c r="KJ111" s="877"/>
      <c r="KK111" s="878"/>
      <c r="KL111" s="885"/>
      <c r="KM111" s="877"/>
      <c r="KN111" s="877"/>
      <c r="KO111" s="878"/>
      <c r="KP111" s="885"/>
      <c r="KQ111" s="877"/>
      <c r="KR111" s="877"/>
      <c r="KS111" s="878"/>
      <c r="KT111" s="885"/>
      <c r="KU111" s="877"/>
      <c r="KV111" s="877"/>
      <c r="KW111" s="878"/>
      <c r="KX111" s="885"/>
      <c r="KY111" s="877"/>
      <c r="KZ111" s="877"/>
      <c r="LA111" s="878"/>
      <c r="LB111" s="885"/>
      <c r="LC111" s="877"/>
      <c r="LD111" s="877"/>
      <c r="LE111" s="878"/>
      <c r="LF111" s="885"/>
      <c r="LG111" s="877"/>
      <c r="LH111" s="877"/>
      <c r="LI111" s="878"/>
      <c r="LJ111" s="885"/>
      <c r="LK111" s="877"/>
      <c r="LL111" s="877"/>
      <c r="LM111" s="878"/>
    </row>
    <row r="112" spans="1:325">
      <c r="A112" s="310"/>
      <c r="B112" s="375" t="s">
        <v>584</v>
      </c>
      <c r="C112" s="378" t="s">
        <v>553</v>
      </c>
      <c r="D112" s="379">
        <f t="shared" si="21"/>
        <v>0</v>
      </c>
      <c r="E112" s="374">
        <f ca="1">IFERROR(D112/$D$95,"")</f>
        <v>0</v>
      </c>
      <c r="F112" s="886"/>
      <c r="G112" s="877"/>
      <c r="H112" s="877"/>
      <c r="I112" s="878"/>
      <c r="J112" s="885"/>
      <c r="K112" s="877"/>
      <c r="L112" s="877"/>
      <c r="M112" s="878"/>
      <c r="N112" s="885"/>
      <c r="O112" s="877"/>
      <c r="P112" s="877"/>
      <c r="Q112" s="878"/>
      <c r="R112" s="885"/>
      <c r="S112" s="877"/>
      <c r="T112" s="877"/>
      <c r="U112" s="878"/>
      <c r="V112" s="885"/>
      <c r="W112" s="877"/>
      <c r="X112" s="877"/>
      <c r="Y112" s="878"/>
      <c r="Z112" s="885"/>
      <c r="AA112" s="877"/>
      <c r="AB112" s="877"/>
      <c r="AC112" s="878"/>
      <c r="AD112" s="885"/>
      <c r="AE112" s="877"/>
      <c r="AF112" s="877"/>
      <c r="AG112" s="878"/>
      <c r="AH112" s="885"/>
      <c r="AI112" s="877"/>
      <c r="AJ112" s="877"/>
      <c r="AK112" s="878"/>
      <c r="AL112" s="885"/>
      <c r="AM112" s="877"/>
      <c r="AN112" s="877"/>
      <c r="AO112" s="878"/>
      <c r="AP112" s="885"/>
      <c r="AQ112" s="877"/>
      <c r="AR112" s="877"/>
      <c r="AS112" s="878"/>
      <c r="AT112" s="885"/>
      <c r="AU112" s="877"/>
      <c r="AV112" s="877"/>
      <c r="AW112" s="878"/>
      <c r="AX112" s="885"/>
      <c r="AY112" s="877"/>
      <c r="AZ112" s="877"/>
      <c r="BA112" s="878"/>
      <c r="BB112" s="885"/>
      <c r="BC112" s="877"/>
      <c r="BD112" s="877"/>
      <c r="BE112" s="878"/>
      <c r="BF112" s="885"/>
      <c r="BG112" s="877"/>
      <c r="BH112" s="877"/>
      <c r="BI112" s="878"/>
      <c r="BJ112" s="885"/>
      <c r="BK112" s="877"/>
      <c r="BL112" s="877"/>
      <c r="BM112" s="878"/>
      <c r="BN112" s="885"/>
      <c r="BO112" s="877"/>
      <c r="BP112" s="877"/>
      <c r="BQ112" s="878"/>
      <c r="BR112" s="885"/>
      <c r="BS112" s="877"/>
      <c r="BT112" s="877"/>
      <c r="BU112" s="878"/>
      <c r="BV112" s="885"/>
      <c r="BW112" s="877"/>
      <c r="BX112" s="877"/>
      <c r="BY112" s="878"/>
      <c r="BZ112" s="885"/>
      <c r="CA112" s="877"/>
      <c r="CB112" s="877"/>
      <c r="CC112" s="878"/>
      <c r="CD112" s="885"/>
      <c r="CE112" s="877"/>
      <c r="CF112" s="877"/>
      <c r="CG112" s="878"/>
      <c r="CH112" s="885"/>
      <c r="CI112" s="877"/>
      <c r="CJ112" s="877"/>
      <c r="CK112" s="878"/>
      <c r="CL112" s="885"/>
      <c r="CM112" s="877"/>
      <c r="CN112" s="877"/>
      <c r="CO112" s="878"/>
      <c r="CP112" s="885"/>
      <c r="CQ112" s="877"/>
      <c r="CR112" s="877"/>
      <c r="CS112" s="878"/>
      <c r="CT112" s="885"/>
      <c r="CU112" s="877"/>
      <c r="CV112" s="877"/>
      <c r="CW112" s="878"/>
      <c r="CX112" s="885"/>
      <c r="CY112" s="877"/>
      <c r="CZ112" s="877"/>
      <c r="DA112" s="878"/>
      <c r="DB112" s="885"/>
      <c r="DC112" s="877"/>
      <c r="DD112" s="877"/>
      <c r="DE112" s="878"/>
      <c r="DF112" s="885"/>
      <c r="DG112" s="877"/>
      <c r="DH112" s="877"/>
      <c r="DI112" s="878"/>
      <c r="DJ112" s="885"/>
      <c r="DK112" s="877"/>
      <c r="DL112" s="877"/>
      <c r="DM112" s="878"/>
      <c r="DN112" s="885"/>
      <c r="DO112" s="877"/>
      <c r="DP112" s="877"/>
      <c r="DQ112" s="878"/>
      <c r="DR112" s="885"/>
      <c r="DS112" s="877"/>
      <c r="DT112" s="877"/>
      <c r="DU112" s="878"/>
      <c r="DV112" s="885"/>
      <c r="DW112" s="877"/>
      <c r="DX112" s="877"/>
      <c r="DY112" s="878"/>
      <c r="DZ112" s="885"/>
      <c r="EA112" s="877"/>
      <c r="EB112" s="877"/>
      <c r="EC112" s="878"/>
      <c r="ED112" s="885"/>
      <c r="EE112" s="877"/>
      <c r="EF112" s="877"/>
      <c r="EG112" s="878"/>
      <c r="EH112" s="885"/>
      <c r="EI112" s="877"/>
      <c r="EJ112" s="877"/>
      <c r="EK112" s="878"/>
      <c r="EL112" s="885"/>
      <c r="EM112" s="877"/>
      <c r="EN112" s="877"/>
      <c r="EO112" s="878"/>
      <c r="EP112" s="885"/>
      <c r="EQ112" s="877"/>
      <c r="ER112" s="877"/>
      <c r="ES112" s="878"/>
      <c r="ET112" s="885"/>
      <c r="EU112" s="877"/>
      <c r="EV112" s="877"/>
      <c r="EW112" s="878"/>
      <c r="EX112" s="885"/>
      <c r="EY112" s="877"/>
      <c r="EZ112" s="877"/>
      <c r="FA112" s="878"/>
      <c r="FB112" s="885"/>
      <c r="FC112" s="877"/>
      <c r="FD112" s="877"/>
      <c r="FE112" s="878"/>
      <c r="FF112" s="885"/>
      <c r="FG112" s="877"/>
      <c r="FH112" s="877"/>
      <c r="FI112" s="878"/>
      <c r="FJ112" s="885"/>
      <c r="FK112" s="877"/>
      <c r="FL112" s="877"/>
      <c r="FM112" s="878"/>
      <c r="FN112" s="885"/>
      <c r="FO112" s="877"/>
      <c r="FP112" s="877"/>
      <c r="FQ112" s="878"/>
      <c r="FR112" s="885"/>
      <c r="FS112" s="877"/>
      <c r="FT112" s="877"/>
      <c r="FU112" s="878"/>
      <c r="FV112" s="885"/>
      <c r="FW112" s="877"/>
      <c r="FX112" s="877"/>
      <c r="FY112" s="878"/>
      <c r="FZ112" s="885"/>
      <c r="GA112" s="877"/>
      <c r="GB112" s="877"/>
      <c r="GC112" s="878"/>
      <c r="GD112" s="885"/>
      <c r="GE112" s="877"/>
      <c r="GF112" s="877"/>
      <c r="GG112" s="878"/>
      <c r="GH112" s="885"/>
      <c r="GI112" s="877"/>
      <c r="GJ112" s="877"/>
      <c r="GK112" s="878"/>
      <c r="GL112" s="885"/>
      <c r="GM112" s="877"/>
      <c r="GN112" s="877"/>
      <c r="GO112" s="878"/>
      <c r="GP112" s="885"/>
      <c r="GQ112" s="877"/>
      <c r="GR112" s="877"/>
      <c r="GS112" s="878"/>
      <c r="GT112" s="885"/>
      <c r="GU112" s="877"/>
      <c r="GV112" s="877"/>
      <c r="GW112" s="878"/>
      <c r="GX112" s="885"/>
      <c r="GY112" s="877"/>
      <c r="GZ112" s="877"/>
      <c r="HA112" s="878"/>
      <c r="HB112" s="885"/>
      <c r="HC112" s="877"/>
      <c r="HD112" s="877"/>
      <c r="HE112" s="878"/>
      <c r="HF112" s="885"/>
      <c r="HG112" s="877"/>
      <c r="HH112" s="877"/>
      <c r="HI112" s="878"/>
      <c r="HJ112" s="885"/>
      <c r="HK112" s="877"/>
      <c r="HL112" s="877"/>
      <c r="HM112" s="878"/>
      <c r="HN112" s="885"/>
      <c r="HO112" s="877"/>
      <c r="HP112" s="877"/>
      <c r="HQ112" s="878"/>
      <c r="HR112" s="885"/>
      <c r="HS112" s="877"/>
      <c r="HT112" s="877"/>
      <c r="HU112" s="878"/>
      <c r="HV112" s="885"/>
      <c r="HW112" s="877"/>
      <c r="HX112" s="877"/>
      <c r="HY112" s="878"/>
      <c r="HZ112" s="885"/>
      <c r="IA112" s="877"/>
      <c r="IB112" s="877"/>
      <c r="IC112" s="878"/>
      <c r="ID112" s="885"/>
      <c r="IE112" s="877"/>
      <c r="IF112" s="877"/>
      <c r="IG112" s="878"/>
      <c r="IH112" s="885"/>
      <c r="II112" s="877"/>
      <c r="IJ112" s="877"/>
      <c r="IK112" s="878"/>
      <c r="IL112" s="885"/>
      <c r="IM112" s="877"/>
      <c r="IN112" s="877"/>
      <c r="IO112" s="878"/>
      <c r="IP112" s="885"/>
      <c r="IQ112" s="877"/>
      <c r="IR112" s="877"/>
      <c r="IS112" s="878"/>
      <c r="IT112" s="885"/>
      <c r="IU112" s="877"/>
      <c r="IV112" s="877"/>
      <c r="IW112" s="878"/>
      <c r="IX112" s="885"/>
      <c r="IY112" s="877"/>
      <c r="IZ112" s="877"/>
      <c r="JA112" s="878"/>
      <c r="JB112" s="885"/>
      <c r="JC112" s="877"/>
      <c r="JD112" s="877"/>
      <c r="JE112" s="878"/>
      <c r="JF112" s="885"/>
      <c r="JG112" s="877"/>
      <c r="JH112" s="877"/>
      <c r="JI112" s="878"/>
      <c r="JJ112" s="885"/>
      <c r="JK112" s="877"/>
      <c r="JL112" s="877"/>
      <c r="JM112" s="878"/>
      <c r="JN112" s="885"/>
      <c r="JO112" s="877"/>
      <c r="JP112" s="877"/>
      <c r="JQ112" s="878"/>
      <c r="JR112" s="885"/>
      <c r="JS112" s="877"/>
      <c r="JT112" s="877"/>
      <c r="JU112" s="878"/>
      <c r="JV112" s="885"/>
      <c r="JW112" s="877"/>
      <c r="JX112" s="877"/>
      <c r="JY112" s="878"/>
      <c r="JZ112" s="885"/>
      <c r="KA112" s="877"/>
      <c r="KB112" s="877"/>
      <c r="KC112" s="878"/>
      <c r="KD112" s="885"/>
      <c r="KE112" s="877"/>
      <c r="KF112" s="877"/>
      <c r="KG112" s="878"/>
      <c r="KH112" s="885"/>
      <c r="KI112" s="877"/>
      <c r="KJ112" s="877"/>
      <c r="KK112" s="878"/>
      <c r="KL112" s="885"/>
      <c r="KM112" s="877"/>
      <c r="KN112" s="877"/>
      <c r="KO112" s="878"/>
      <c r="KP112" s="885"/>
      <c r="KQ112" s="877"/>
      <c r="KR112" s="877"/>
      <c r="KS112" s="878"/>
      <c r="KT112" s="885"/>
      <c r="KU112" s="877"/>
      <c r="KV112" s="877"/>
      <c r="KW112" s="878"/>
      <c r="KX112" s="885"/>
      <c r="KY112" s="877"/>
      <c r="KZ112" s="877"/>
      <c r="LA112" s="878"/>
      <c r="LB112" s="885"/>
      <c r="LC112" s="877"/>
      <c r="LD112" s="877"/>
      <c r="LE112" s="878"/>
      <c r="LF112" s="885"/>
      <c r="LG112" s="877"/>
      <c r="LH112" s="877"/>
      <c r="LI112" s="878"/>
      <c r="LJ112" s="885"/>
      <c r="LK112" s="877"/>
      <c r="LL112" s="877"/>
      <c r="LM112" s="878"/>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6 J96 N96 R96 V96 AL96 BB96 BR96 CH96 CX96 DN96 ED96 ET96 FJ96 FZ96 GP96 HF96 HV96 IL96 JB96 JR96 KH96 KX96 Z96 AP96 BF96 BV96 CL96 DB96 DR96 EH96 EX96 FN96 GD96 GT96 HJ96 HZ96 IP96 JF96 JV96 KL96 LB96 AD96 AT96 BJ96 BZ96 CP96 DF96 DV96 EL96 FB96 FR96 GH96 GX96 HN96 ID96 IT96 JJ96 JZ96 KP96 LF96 AH96 AX96 BN96 CD96 CT96 DJ96 DZ96 EP96 FF96 FV96 GL96 HB96 HR96 IH96 IX96 JN96 KD96 KT96 LJ96">
    <cfRule type="cellIs" dxfId="1" priority="12" operator="notEqual">
      <formula>F$95</formula>
    </cfRule>
  </conditionalFormatting>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0" priority="9" operator="notEqual">
      <formula>F$88</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38100</xdr:colOff>
                    <xdr:row>2</xdr:row>
                    <xdr:rowOff>190500</xdr:rowOff>
                  </from>
                  <to>
                    <xdr:col>3</xdr:col>
                    <xdr:colOff>1188720</xdr:colOff>
                    <xdr:row>4</xdr:row>
                    <xdr:rowOff>76200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76200</xdr:colOff>
                    <xdr:row>3</xdr:row>
                    <xdr:rowOff>0</xdr:rowOff>
                  </from>
                  <to>
                    <xdr:col>4</xdr:col>
                    <xdr:colOff>617220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76200</xdr:colOff>
                    <xdr:row>8</xdr:row>
                    <xdr:rowOff>7620</xdr:rowOff>
                  </from>
                  <to>
                    <xdr:col>4</xdr:col>
                    <xdr:colOff>617220</xdr:colOff>
                    <xdr:row>8</xdr:row>
                    <xdr:rowOff>236220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76200</xdr:colOff>
                    <xdr:row>30</xdr:row>
                    <xdr:rowOff>236220</xdr:rowOff>
                  </from>
                  <to>
                    <xdr:col>4</xdr:col>
                    <xdr:colOff>617220</xdr:colOff>
                    <xdr:row>31</xdr:row>
                    <xdr:rowOff>190500</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83820</xdr:colOff>
                    <xdr:row>81</xdr:row>
                    <xdr:rowOff>7620</xdr:rowOff>
                  </from>
                  <to>
                    <xdr:col>4</xdr:col>
                    <xdr:colOff>632460</xdr:colOff>
                    <xdr:row>82</xdr:row>
                    <xdr:rowOff>7620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7033260</xdr:colOff>
                    <xdr:row>93</xdr:row>
                    <xdr:rowOff>99060</xdr:rowOff>
                  </from>
                  <to>
                    <xdr:col>2</xdr:col>
                    <xdr:colOff>7383780</xdr:colOff>
                    <xdr:row>93</xdr:row>
                    <xdr:rowOff>411480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83820</xdr:colOff>
                    <xdr:row>90</xdr:row>
                    <xdr:rowOff>7620</xdr:rowOff>
                  </from>
                  <to>
                    <xdr:col>4</xdr:col>
                    <xdr:colOff>647700</xdr:colOff>
                    <xdr:row>90</xdr:row>
                    <xdr:rowOff>228600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03"/>
  <dimension ref="A1:G22"/>
  <sheetViews>
    <sheetView showGridLines="0" showRowColHeaders="0" workbookViewId="0"/>
  </sheetViews>
  <sheetFormatPr defaultRowHeight="14.4"/>
  <cols>
    <col min="1" max="1" width="3.6640625" customWidth="1"/>
    <col min="2" max="2" width="12.5546875" customWidth="1"/>
    <col min="3" max="3" width="16.109375" customWidth="1"/>
    <col min="4" max="4" width="13.109375" bestFit="1" customWidth="1"/>
    <col min="5" max="5" width="11.5546875" bestFit="1" customWidth="1"/>
    <col min="6" max="6" width="12.5546875" customWidth="1"/>
    <col min="7" max="7" width="16.109375" customWidth="1"/>
    <col min="8" max="53" width="11.5546875" bestFit="1" customWidth="1"/>
  </cols>
  <sheetData>
    <row r="1" spans="1:7" ht="9" customHeight="1">
      <c r="A1" t="s">
        <v>531</v>
      </c>
    </row>
    <row r="2" spans="1:7">
      <c r="B2" s="169" t="s">
        <v>526</v>
      </c>
      <c r="C2" t="s">
        <v>525</v>
      </c>
      <c r="F2" s="169" t="s">
        <v>526</v>
      </c>
      <c r="G2" t="s">
        <v>525</v>
      </c>
    </row>
    <row r="4" spans="1:7">
      <c r="B4" s="169" t="s">
        <v>170</v>
      </c>
      <c r="F4" s="169" t="s">
        <v>170</v>
      </c>
      <c r="G4" s="169"/>
    </row>
    <row r="5" spans="1:7">
      <c r="B5" s="84" t="s">
        <v>287</v>
      </c>
      <c r="F5" s="84" t="s">
        <v>377</v>
      </c>
    </row>
    <row r="6" spans="1:7">
      <c r="B6" s="84" t="s">
        <v>317</v>
      </c>
      <c r="F6" s="84" t="s">
        <v>378</v>
      </c>
    </row>
    <row r="7" spans="1:7">
      <c r="B7" s="84" t="s">
        <v>318</v>
      </c>
      <c r="F7" s="84" t="s">
        <v>171</v>
      </c>
    </row>
    <row r="8" spans="1:7">
      <c r="B8" s="84" t="s">
        <v>319</v>
      </c>
    </row>
    <row r="9" spans="1:7">
      <c r="B9" s="84" t="s">
        <v>320</v>
      </c>
    </row>
    <row r="10" spans="1:7">
      <c r="B10" s="84" t="s">
        <v>321</v>
      </c>
    </row>
    <row r="11" spans="1:7">
      <c r="B11" s="84" t="s">
        <v>322</v>
      </c>
    </row>
    <row r="12" spans="1:7">
      <c r="B12" s="84" t="s">
        <v>323</v>
      </c>
    </row>
    <row r="13" spans="1:7">
      <c r="B13" s="84" t="s">
        <v>327</v>
      </c>
    </row>
    <row r="14" spans="1:7">
      <c r="B14" s="84" t="s">
        <v>337</v>
      </c>
    </row>
    <row r="15" spans="1:7">
      <c r="B15" s="84" t="s">
        <v>338</v>
      </c>
    </row>
    <row r="16" spans="1:7">
      <c r="B16" s="84" t="s">
        <v>339</v>
      </c>
    </row>
    <row r="17" spans="2:2">
      <c r="B17" s="84" t="s">
        <v>340</v>
      </c>
    </row>
    <row r="18" spans="2:2">
      <c r="B18" s="84" t="s">
        <v>341</v>
      </c>
    </row>
    <row r="19" spans="2:2">
      <c r="B19" s="84" t="s">
        <v>342</v>
      </c>
    </row>
    <row r="20" spans="2:2">
      <c r="B20" s="84" t="s">
        <v>343</v>
      </c>
    </row>
    <row r="21" spans="2:2">
      <c r="B21" s="84" t="s">
        <v>344</v>
      </c>
    </row>
    <row r="22" spans="2:2">
      <c r="B22" s="84" t="s">
        <v>171</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09375" defaultRowHeight="14.4"/>
  <cols>
    <col min="1" max="1" width="94.6640625" customWidth="1"/>
    <col min="2" max="2" width="17.88671875" customWidth="1"/>
    <col min="3" max="3" width="10.88671875" customWidth="1"/>
    <col min="4" max="4" width="15.109375" bestFit="1" customWidth="1"/>
    <col min="5" max="5" width="6.109375" customWidth="1"/>
    <col min="6" max="6" width="72.109375" customWidth="1"/>
    <col min="7" max="7" width="17.88671875" customWidth="1"/>
  </cols>
  <sheetData>
    <row r="1" spans="1:7" ht="9" customHeight="1">
      <c r="A1" s="169" t="s">
        <v>179</v>
      </c>
      <c r="B1" t="s">
        <v>525</v>
      </c>
      <c r="D1" s="21" t="s">
        <v>169</v>
      </c>
      <c r="F1" s="169" t="s">
        <v>179</v>
      </c>
      <c r="G1" t="s">
        <v>525</v>
      </c>
    </row>
    <row r="2" spans="1:7">
      <c r="A2" s="169" t="s">
        <v>178</v>
      </c>
      <c r="B2" t="s">
        <v>56</v>
      </c>
      <c r="D2" t="str">
        <f>IF(Data1!$H2&lt;&gt;"",CONCATENATE("[",Data1!$H2,"]"),"")</f>
        <v>[15]</v>
      </c>
      <c r="F2" s="169" t="s">
        <v>178</v>
      </c>
      <c r="G2" t="s">
        <v>180</v>
      </c>
    </row>
    <row r="3" spans="1:7">
      <c r="D3" t="str">
        <f>IF(Data1!$H3&lt;&gt;"",CONCATENATE("[",Data1!$H3,"]"),"")</f>
        <v>[5]</v>
      </c>
    </row>
    <row r="4" spans="1:7">
      <c r="A4" s="169" t="s">
        <v>170</v>
      </c>
      <c r="D4" t="str">
        <f>IF(Data1!$H4&lt;&gt;"",CONCATENATE("[",Data1!$H4,"]"),"")</f>
        <v>[8]</v>
      </c>
      <c r="F4" s="169" t="s">
        <v>170</v>
      </c>
    </row>
    <row r="5" spans="1:7">
      <c r="A5" s="84" t="s">
        <v>117</v>
      </c>
      <c r="D5" t="str">
        <f>IF(Data1!$H5&lt;&gt;"",CONCATENATE("[",Data1!$H5,"]"),"")</f>
        <v>[11]</v>
      </c>
      <c r="F5" s="84" t="s">
        <v>90</v>
      </c>
    </row>
    <row r="6" spans="1:7">
      <c r="A6" s="84" t="s">
        <v>119</v>
      </c>
      <c r="D6" t="str">
        <f>IF(Data1!$H6&lt;&gt;"",CONCATENATE("[",Data1!$H6,"]"),"")</f>
        <v>[13]</v>
      </c>
      <c r="F6" s="84" t="s">
        <v>139</v>
      </c>
    </row>
    <row r="7" spans="1:7">
      <c r="A7" s="84" t="s">
        <v>116</v>
      </c>
      <c r="D7" t="str">
        <f>IF(Data1!$H7&lt;&gt;"",CONCATENATE("[",Data1!$H7,"]"),"")</f>
        <v/>
      </c>
      <c r="F7" s="84" t="s">
        <v>108</v>
      </c>
    </row>
    <row r="8" spans="1:7">
      <c r="A8" s="84" t="s">
        <v>133</v>
      </c>
      <c r="D8" t="str">
        <f>IF(Data1!$H8&lt;&gt;"",CONCATENATE("[",Data1!$H8,"]"),"")</f>
        <v/>
      </c>
      <c r="F8" s="84" t="s">
        <v>171</v>
      </c>
    </row>
    <row r="9" spans="1:7">
      <c r="A9" s="84" t="s">
        <v>132</v>
      </c>
      <c r="D9" t="str">
        <f>IF(Data1!$H9&lt;&gt;"",CONCATENATE("[",Data1!$H9,"]"),"")</f>
        <v/>
      </c>
    </row>
    <row r="10" spans="1:7">
      <c r="A10" s="84" t="s">
        <v>120</v>
      </c>
      <c r="D10" t="str">
        <f>IF(Data1!$H10&lt;&gt;"",CONCATENATE("[",Data1!$H10,"]"),"")</f>
        <v/>
      </c>
    </row>
    <row r="11" spans="1:7">
      <c r="A11" s="84" t="s">
        <v>115</v>
      </c>
      <c r="D11" t="str">
        <f>IF(Data1!$H11&lt;&gt;"",CONCATENATE("[",Data1!$H11,"]"),"")</f>
        <v/>
      </c>
    </row>
    <row r="12" spans="1:7">
      <c r="A12" s="84" t="s">
        <v>112</v>
      </c>
      <c r="D12" t="str">
        <f>IF(Data1!$H12&lt;&gt;"",CONCATENATE("[",Data1!$H12,"]"),"")</f>
        <v/>
      </c>
    </row>
    <row r="13" spans="1:7">
      <c r="A13" s="84" t="s">
        <v>99</v>
      </c>
      <c r="D13" t="str">
        <f>IF(Data1!$H13&lt;&gt;"",CONCATENATE("[",Data1!$H13,"]"),"")</f>
        <v/>
      </c>
    </row>
    <row r="14" spans="1:7">
      <c r="A14" s="84" t="s">
        <v>111</v>
      </c>
      <c r="D14" t="str">
        <f>IF(Data1!$H14&lt;&gt;"",CONCATENATE("[",Data1!$H14,"]"),"")</f>
        <v/>
      </c>
    </row>
    <row r="15" spans="1:7">
      <c r="A15" s="84" t="s">
        <v>110</v>
      </c>
      <c r="D15" t="str">
        <f>IF(Data1!$H15&lt;&gt;"",CONCATENATE("[",Data1!$H15,"]"),"")</f>
        <v/>
      </c>
    </row>
    <row r="16" spans="1:7">
      <c r="A16" s="84" t="s">
        <v>122</v>
      </c>
      <c r="D16" t="str">
        <f>IF(Data1!$H16&lt;&gt;"",CONCATENATE("[",Data1!$H16,"]"),"")</f>
        <v/>
      </c>
    </row>
    <row r="17" spans="1:4">
      <c r="A17" s="84" t="s">
        <v>121</v>
      </c>
      <c r="D17" t="str">
        <f>IF(Data1!$H17&lt;&gt;"",CONCATENATE("[",Data1!$H17,"]"),"")</f>
        <v/>
      </c>
    </row>
    <row r="18" spans="1:4">
      <c r="A18" s="84" t="s">
        <v>118</v>
      </c>
      <c r="D18" t="str">
        <f>IF(Data1!$H18&lt;&gt;"",CONCATENATE("[",Data1!$H18,"]"),"")</f>
        <v/>
      </c>
    </row>
    <row r="19" spans="1:4" ht="15.6">
      <c r="A19" s="84" t="s">
        <v>137</v>
      </c>
      <c r="C19" s="22"/>
      <c r="D19" t="str">
        <f>IF(Data1!$H19&lt;&gt;"",CONCATENATE("[",Data1!$H19,"]"),"")</f>
        <v/>
      </c>
    </row>
    <row r="20" spans="1:4" ht="15.6">
      <c r="A20" s="84" t="s">
        <v>138</v>
      </c>
      <c r="C20" s="22"/>
      <c r="D20" t="str">
        <f>IF(Data1!$H20&lt;&gt;"",CONCATENATE("[",Data1!$H20,"]"),"")</f>
        <v/>
      </c>
    </row>
    <row r="21" spans="1:4" ht="15.6">
      <c r="A21" s="84" t="s">
        <v>131</v>
      </c>
      <c r="C21" s="22"/>
      <c r="D21" t="str">
        <f>IF(Data1!$H21&lt;&gt;"",CONCATENATE("[",Data1!$H21,"]"),"")</f>
        <v/>
      </c>
    </row>
    <row r="22" spans="1:4" ht="15.6">
      <c r="A22" s="84" t="s">
        <v>130</v>
      </c>
      <c r="C22" s="22"/>
      <c r="D22" t="str">
        <f>IF(Data1!$H22&lt;&gt;"",CONCATENATE("[",Data1!$H22,"]"),"")</f>
        <v/>
      </c>
    </row>
    <row r="23" spans="1:4" ht="15.6">
      <c r="A23" s="84" t="s">
        <v>114</v>
      </c>
      <c r="C23" s="22"/>
      <c r="D23" t="str">
        <f>IF(Data1!$H23&lt;&gt;"",CONCATENATE("[",Data1!$H23,"]"),"")</f>
        <v/>
      </c>
    </row>
    <row r="24" spans="1:4" ht="15.6">
      <c r="A24" s="84" t="s">
        <v>113</v>
      </c>
      <c r="C24" s="22"/>
      <c r="D24" t="str">
        <f>IF(Data1!$H24&lt;&gt;"",CONCATENATE("[",Data1!$H24,"]"),"")</f>
        <v/>
      </c>
    </row>
    <row r="25" spans="1:4" ht="15.6">
      <c r="A25" s="84" t="s">
        <v>171</v>
      </c>
      <c r="C25" s="22"/>
      <c r="D25" t="str">
        <f>IF(Data1!$H25&lt;&gt;"",CONCATENATE("[",Data1!$H25,"]"),"")</f>
        <v/>
      </c>
    </row>
    <row r="26" spans="1:4" ht="15.6">
      <c r="C26" s="22"/>
      <c r="D26" t="str">
        <f>IF(Data1!$H26&lt;&gt;"",CONCATENATE("[",Data1!$H26,"]"),"")</f>
        <v/>
      </c>
    </row>
    <row r="27" spans="1:4" ht="15.6">
      <c r="C27" s="22"/>
      <c r="D27" t="str">
        <f>IF(Data1!$H27&lt;&gt;"",CONCATENATE("[",Data1!$H27,"]"),"")</f>
        <v/>
      </c>
    </row>
    <row r="28" spans="1:4" ht="15.6">
      <c r="C28" s="22"/>
      <c r="D28" t="str">
        <f>IF(Data1!$H28&lt;&gt;"",CONCATENATE("[",Data1!$H28,"]"),"")</f>
        <v/>
      </c>
    </row>
    <row r="29" spans="1:4" ht="15.6">
      <c r="C29" s="22"/>
      <c r="D29" t="str">
        <f>IF(Data1!$H29&lt;&gt;"",CONCATENATE("[",Data1!$H29,"]"),"")</f>
        <v/>
      </c>
    </row>
    <row r="30" spans="1:4" ht="15.6">
      <c r="C30" s="22"/>
      <c r="D30" t="str">
        <f>IF(Data1!$H30&lt;&gt;"",CONCATENATE("[",Data1!$H30,"]"),"")</f>
        <v/>
      </c>
    </row>
    <row r="31" spans="1:4" ht="15.6">
      <c r="C31" s="22"/>
      <c r="D31" t="str">
        <f>IF(Data1!$H31&lt;&gt;"",CONCATENATE("[",Data1!$H31,"]"),"")</f>
        <v/>
      </c>
    </row>
    <row r="32" spans="1:4" ht="15.6">
      <c r="C32" s="22"/>
      <c r="D32" t="str">
        <f>IF(Data1!$H32&lt;&gt;"",CONCATENATE("[",Data1!$H32,"]"),"")</f>
        <v/>
      </c>
    </row>
    <row r="33" spans="3:4" ht="15.6">
      <c r="C33" s="22"/>
      <c r="D33" t="str">
        <f>IF(Data1!H34&lt;&gt;"",CONCATENATE("[",Data1!H34,"]"),"")</f>
        <v/>
      </c>
    </row>
    <row r="34" spans="3:4" ht="15.6">
      <c r="C34" s="22"/>
      <c r="D34" t="str">
        <f>IF(Data1!H35&lt;&gt;"",CONCATENATE("[",Data1!H35,"]"),"")</f>
        <v/>
      </c>
    </row>
    <row r="35" spans="3:4" ht="15.6">
      <c r="C35" s="22"/>
      <c r="D35" t="str">
        <f>IF(Data1!H36&lt;&gt;"",CONCATENATE("[",Data1!H36,"]"),"")</f>
        <v/>
      </c>
    </row>
    <row r="36" spans="3:4" ht="15.6">
      <c r="C36" s="22"/>
      <c r="D36" t="str">
        <f>IF(Data1!H37&lt;&gt;"",CONCATENATE("[",Data1!H37,"]"),"")</f>
        <v/>
      </c>
    </row>
    <row r="37" spans="3:4" ht="15.6">
      <c r="C37" s="22"/>
    </row>
    <row r="38" spans="3:4" ht="15.6">
      <c r="C38" s="22"/>
    </row>
    <row r="39" spans="3:4" ht="15.6">
      <c r="C39" s="22"/>
    </row>
    <row r="40" spans="3:4" ht="15.6">
      <c r="C40" s="22"/>
    </row>
    <row r="41" spans="3:4" ht="15.6">
      <c r="C41" s="22"/>
    </row>
    <row r="42" spans="3:4" ht="15.6">
      <c r="C42" s="22"/>
    </row>
    <row r="43" spans="3:4" ht="15.6">
      <c r="C43" s="22"/>
    </row>
    <row r="44" spans="3:4" ht="15.6">
      <c r="C44" s="22"/>
    </row>
    <row r="45" spans="3:4" ht="15.6">
      <c r="C45" s="22"/>
    </row>
    <row r="46" spans="3:4" ht="15.6">
      <c r="C46" s="22"/>
    </row>
    <row r="47" spans="3:4" ht="15.6">
      <c r="C47" s="22"/>
    </row>
    <row r="48" spans="3:4" ht="15.6">
      <c r="C48" s="22"/>
    </row>
    <row r="49" spans="3:3" ht="15.6">
      <c r="C49" s="22"/>
    </row>
    <row r="50" spans="3:3" ht="15.6">
      <c r="C50" s="22"/>
    </row>
    <row r="51" spans="3:3" ht="15.6">
      <c r="C51" s="22"/>
    </row>
    <row r="52" spans="3:3" ht="15.6">
      <c r="C52" s="22"/>
    </row>
    <row r="53" spans="3:3" ht="15.6">
      <c r="C53" s="22"/>
    </row>
    <row r="54" spans="3:3" ht="15.6">
      <c r="C54" s="22"/>
    </row>
    <row r="55" spans="3:3" ht="15.6">
      <c r="C55" s="22"/>
    </row>
    <row r="56" spans="3:3" ht="15.6">
      <c r="C56" s="22"/>
    </row>
    <row r="57" spans="3:3" ht="15.6">
      <c r="C57" s="22"/>
    </row>
    <row r="58" spans="3:3" ht="15.6">
      <c r="C58" s="22"/>
    </row>
    <row r="59" spans="3:3" ht="15.6">
      <c r="C59" s="22"/>
    </row>
    <row r="60" spans="3:3" ht="15.6">
      <c r="C60" s="22"/>
    </row>
    <row r="61" spans="3:3" ht="15.6">
      <c r="C61" s="22"/>
    </row>
    <row r="62" spans="3:3" ht="15.6">
      <c r="C62" s="22"/>
    </row>
    <row r="63" spans="3:3" ht="15.6">
      <c r="C63" s="22"/>
    </row>
    <row r="64" spans="3:3" ht="15.6">
      <c r="C64" s="22"/>
    </row>
    <row r="65" spans="3:3" ht="15.6">
      <c r="C65" s="22"/>
    </row>
    <row r="66" spans="3:3" ht="15.6">
      <c r="C66" s="22"/>
    </row>
    <row r="67" spans="3:3" ht="15.6">
      <c r="C67" s="22"/>
    </row>
    <row r="68" spans="3:3" ht="15.6">
      <c r="C68" s="22"/>
    </row>
    <row r="69" spans="3:3" ht="15.6">
      <c r="C69" s="22"/>
    </row>
    <row r="70" spans="3:3" ht="15.6">
      <c r="C70" s="22"/>
    </row>
    <row r="71" spans="3:3" ht="15.6">
      <c r="C71" s="22"/>
    </row>
    <row r="72" spans="3:3" ht="15.6">
      <c r="C72" s="22"/>
    </row>
    <row r="73" spans="3:3" ht="15.6">
      <c r="C73" s="22"/>
    </row>
    <row r="74" spans="3:3" ht="15.6">
      <c r="C74" s="22"/>
    </row>
    <row r="75" spans="3:3" ht="15.6">
      <c r="C75" s="22"/>
    </row>
    <row r="76" spans="3:3" ht="15.6">
      <c r="C76" s="22"/>
    </row>
    <row r="77" spans="3:3" ht="15.6">
      <c r="C77" s="22"/>
    </row>
    <row r="78" spans="3:3" ht="15.6">
      <c r="C78" s="22"/>
    </row>
    <row r="79" spans="3:3" ht="15.6">
      <c r="C79" s="22"/>
    </row>
    <row r="80" spans="3:3" ht="15.6">
      <c r="C80" s="22"/>
    </row>
    <row r="81" spans="2:3" ht="15.6">
      <c r="C81" s="22"/>
    </row>
    <row r="82" spans="2:3" ht="15.6">
      <c r="C82" s="22"/>
    </row>
    <row r="83" spans="2:3" ht="15.6">
      <c r="C83" s="22"/>
    </row>
    <row r="84" spans="2:3" ht="15.6">
      <c r="C84" s="22"/>
    </row>
    <row r="85" spans="2:3" ht="15.6">
      <c r="C85" s="22"/>
    </row>
    <row r="86" spans="2:3" ht="15.6">
      <c r="B86" s="22"/>
      <c r="C86" s="22"/>
    </row>
    <row r="87" spans="2:3" ht="15.6">
      <c r="B87" s="22"/>
      <c r="C87" s="22"/>
    </row>
    <row r="88" spans="2:3" ht="15.6">
      <c r="B88" s="22"/>
      <c r="C88" s="22"/>
    </row>
    <row r="89" spans="2:3" ht="15.6">
      <c r="B89" s="22"/>
      <c r="C89" s="22"/>
    </row>
    <row r="90" spans="2:3" ht="15.6">
      <c r="B90" s="22"/>
      <c r="C90" s="22"/>
    </row>
    <row r="91" spans="2:3" ht="15.6">
      <c r="B91" s="22"/>
      <c r="C91" s="22"/>
    </row>
    <row r="92" spans="2:3" ht="15.6">
      <c r="B92" s="22"/>
      <c r="C92" s="22"/>
    </row>
    <row r="93" spans="2:3" ht="15.6">
      <c r="B93" s="22"/>
      <c r="C93" s="22"/>
    </row>
    <row r="94" spans="2:3" ht="15.6">
      <c r="B94" s="22"/>
      <c r="C94" s="22"/>
    </row>
    <row r="95" spans="2:3" ht="15.6">
      <c r="B95" s="22"/>
      <c r="C95" s="22"/>
    </row>
    <row r="96" spans="2:3" ht="15.6">
      <c r="B96" s="22"/>
      <c r="C96" s="22"/>
    </row>
    <row r="97" spans="2:3" ht="15.6">
      <c r="B97" s="22"/>
      <c r="C97" s="22"/>
    </row>
    <row r="98" spans="2:3" ht="15.6">
      <c r="B98" s="22"/>
      <c r="C98" s="22"/>
    </row>
    <row r="99" spans="2:3" ht="15.6">
      <c r="B99" s="22"/>
      <c r="C99" s="22"/>
    </row>
    <row r="100" spans="2:3" ht="15.6">
      <c r="B100" s="22"/>
      <c r="C100" s="22"/>
    </row>
    <row r="101" spans="2:3" ht="15.6">
      <c r="B101" s="22"/>
      <c r="C101" s="22"/>
    </row>
    <row r="102" spans="2:3" ht="15.6">
      <c r="B102" s="22"/>
      <c r="C102" s="22"/>
    </row>
    <row r="103" spans="2:3" ht="15.6">
      <c r="B103" s="22"/>
      <c r="C103" s="22"/>
    </row>
    <row r="188" spans="1:1" ht="15.6">
      <c r="A188" s="22"/>
    </row>
    <row r="189" spans="1:1" ht="15.6">
      <c r="A189" s="22"/>
    </row>
    <row r="190" spans="1:1" ht="15.6">
      <c r="A190" s="22"/>
    </row>
    <row r="191" spans="1:1" ht="15.6">
      <c r="A191" s="22"/>
    </row>
    <row r="192" spans="1:1" ht="15.6">
      <c r="A192" s="22"/>
    </row>
    <row r="193" spans="1:1" ht="15.6">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opLeftCell="A13" zoomScaleNormal="100" workbookViewId="0">
      <selection activeCell="D33" sqref="D33"/>
    </sheetView>
  </sheetViews>
  <sheetFormatPr defaultColWidth="0" defaultRowHeight="14.4" zeroHeight="1"/>
  <cols>
    <col min="1" max="2" width="3.6640625" customWidth="1"/>
    <col min="3" max="3" width="30.33203125" customWidth="1"/>
    <col min="4" max="4" width="36.109375" customWidth="1"/>
    <col min="5" max="5" width="14" customWidth="1"/>
    <col min="6" max="6" width="61.88671875" customWidth="1"/>
    <col min="7" max="7" width="8.5546875" customWidth="1"/>
    <col min="8" max="8" width="6.5546875" customWidth="1"/>
    <col min="9" max="9" width="6.33203125" customWidth="1"/>
    <col min="10" max="10" width="16.109375" customWidth="1"/>
    <col min="11" max="11" width="3.109375" customWidth="1"/>
    <col min="12" max="20" width="9.109375" hidden="1" customWidth="1"/>
    <col min="21" max="111" width="0" hidden="1" customWidth="1"/>
  </cols>
  <sheetData>
    <row r="1" spans="2:14" ht="9" customHeight="1" thickBot="1"/>
    <row r="2" spans="2:14" ht="66" customHeight="1" thickBot="1">
      <c r="B2" s="737" t="s">
        <v>416</v>
      </c>
      <c r="C2" s="738"/>
      <c r="D2" s="738"/>
      <c r="E2" s="738"/>
      <c r="F2" s="738"/>
      <c r="G2" s="738"/>
      <c r="H2" s="738"/>
      <c r="I2" s="738"/>
      <c r="J2" s="739"/>
      <c r="K2" s="101"/>
      <c r="L2" s="102" t="s">
        <v>207</v>
      </c>
      <c r="M2" s="102"/>
    </row>
    <row r="3" spans="2:14" ht="14.25" customHeight="1">
      <c r="B3" s="104"/>
      <c r="D3" s="103"/>
      <c r="E3" s="103"/>
      <c r="F3" s="103"/>
      <c r="G3" s="103"/>
      <c r="H3" s="103"/>
      <c r="I3" s="103"/>
      <c r="J3" s="105"/>
      <c r="K3" s="103"/>
      <c r="L3" s="103"/>
      <c r="M3" s="103"/>
    </row>
    <row r="4" spans="2:14" ht="19.5" customHeight="1">
      <c r="B4" s="104"/>
      <c r="C4" s="730" t="s">
        <v>244</v>
      </c>
      <c r="D4" s="731"/>
      <c r="E4" s="744" t="s">
        <v>591</v>
      </c>
      <c r="F4" s="744"/>
      <c r="G4" s="106"/>
      <c r="J4" s="107"/>
      <c r="N4" s="20"/>
    </row>
    <row r="5" spans="2:14" ht="14.25" customHeight="1">
      <c r="B5" s="104"/>
      <c r="C5" s="84"/>
      <c r="D5" s="84"/>
      <c r="E5" s="2"/>
      <c r="F5" s="2"/>
      <c r="G5" s="2"/>
      <c r="H5" s="2"/>
      <c r="I5" s="2"/>
      <c r="J5" s="108"/>
      <c r="K5" s="2"/>
      <c r="L5" s="2"/>
      <c r="M5" s="2"/>
      <c r="N5" s="20"/>
    </row>
    <row r="6" spans="2:14" ht="19.5" customHeight="1">
      <c r="B6" s="104"/>
      <c r="C6" s="730" t="s">
        <v>245</v>
      </c>
      <c r="D6" s="731"/>
      <c r="E6" s="745" t="s">
        <v>631</v>
      </c>
      <c r="F6" s="746"/>
      <c r="G6" s="746"/>
      <c r="H6" s="746"/>
      <c r="I6" s="747"/>
      <c r="J6" s="102"/>
      <c r="K6" s="101"/>
      <c r="L6" s="102"/>
      <c r="M6" s="102"/>
      <c r="N6" s="20"/>
    </row>
    <row r="7" spans="2:14" ht="14.25" customHeight="1">
      <c r="B7" s="104"/>
      <c r="C7" s="84"/>
      <c r="D7" s="84"/>
      <c r="J7" s="107"/>
    </row>
    <row r="8" spans="2:14" ht="19.5" customHeight="1">
      <c r="B8" s="104"/>
      <c r="C8" s="740" t="s">
        <v>246</v>
      </c>
      <c r="D8" s="741"/>
      <c r="E8" s="163">
        <v>44763</v>
      </c>
      <c r="J8" s="107"/>
    </row>
    <row r="9" spans="2:14" ht="14.25" customHeight="1">
      <c r="B9" s="104"/>
      <c r="C9" s="84"/>
      <c r="D9" s="84"/>
      <c r="J9" s="107"/>
    </row>
    <row r="10" spans="2:14" ht="19.5" customHeight="1">
      <c r="B10" s="104"/>
      <c r="C10" s="742" t="s">
        <v>247</v>
      </c>
      <c r="D10" s="743"/>
      <c r="E10" s="163">
        <v>44562</v>
      </c>
      <c r="F10" s="20"/>
      <c r="J10" s="107"/>
    </row>
    <row r="11" spans="2:14" ht="14.25" customHeight="1">
      <c r="B11" s="104"/>
      <c r="C11" s="84"/>
      <c r="D11" s="84"/>
      <c r="E11" s="84"/>
      <c r="J11" s="107"/>
    </row>
    <row r="12" spans="2:14" ht="19.5" customHeight="1">
      <c r="B12" s="104"/>
      <c r="C12" s="742" t="s">
        <v>248</v>
      </c>
      <c r="D12" s="743"/>
      <c r="E12" s="313">
        <v>20</v>
      </c>
      <c r="G12" s="20"/>
      <c r="J12" s="107"/>
    </row>
    <row r="13" spans="2:14" ht="14.25" customHeight="1">
      <c r="B13" s="104"/>
      <c r="C13" s="84"/>
      <c r="D13" s="84"/>
      <c r="F13" s="20"/>
      <c r="J13" s="107"/>
    </row>
    <row r="14" spans="2:14" ht="19.5" customHeight="1">
      <c r="B14" s="104"/>
      <c r="C14" s="730" t="s">
        <v>249</v>
      </c>
      <c r="D14" s="748"/>
      <c r="F14" s="20"/>
      <c r="J14" s="107"/>
    </row>
    <row r="15" spans="2:14" ht="14.25" customHeight="1">
      <c r="B15" s="104"/>
      <c r="C15" s="84"/>
      <c r="D15" s="84"/>
      <c r="F15" s="20"/>
      <c r="J15" s="107"/>
    </row>
    <row r="16" spans="2:14" ht="14.25" customHeight="1">
      <c r="B16" s="104"/>
      <c r="C16" s="748" t="s">
        <v>250</v>
      </c>
      <c r="D16" s="748"/>
      <c r="F16" s="20"/>
      <c r="J16" s="107"/>
    </row>
    <row r="17" spans="2:10" ht="14.25" customHeight="1">
      <c r="B17" s="104"/>
      <c r="C17" s="84"/>
      <c r="D17" s="84"/>
      <c r="F17" s="20"/>
      <c r="J17" s="107"/>
    </row>
    <row r="18" spans="2:10" ht="19.5" customHeight="1">
      <c r="B18" s="104"/>
      <c r="C18" s="742" t="s">
        <v>256</v>
      </c>
      <c r="D18" s="749"/>
      <c r="E18" s="109"/>
      <c r="F18" s="20"/>
      <c r="J18" s="107"/>
    </row>
    <row r="19" spans="2:10" ht="14.25" customHeight="1">
      <c r="B19" s="104"/>
      <c r="C19" s="84"/>
      <c r="D19" s="84"/>
      <c r="F19" s="20"/>
      <c r="J19" s="107"/>
    </row>
    <row r="20" spans="2:10" ht="19.5" customHeight="1">
      <c r="B20" s="104"/>
      <c r="C20" s="742" t="s">
        <v>408</v>
      </c>
      <c r="D20" s="749"/>
      <c r="E20" s="9"/>
      <c r="F20" s="20"/>
      <c r="H20" t="s">
        <v>141</v>
      </c>
      <c r="J20" s="107"/>
    </row>
    <row r="21" spans="2:10" ht="14.25" customHeight="1">
      <c r="B21" s="104"/>
      <c r="C21" s="84"/>
      <c r="D21" s="98"/>
      <c r="E21" s="9"/>
      <c r="F21" s="110"/>
      <c r="J21" s="107"/>
    </row>
    <row r="22" spans="2:10" ht="82.5" customHeight="1">
      <c r="B22" s="104"/>
      <c r="C22" s="750" t="s">
        <v>409</v>
      </c>
      <c r="D22" s="750"/>
      <c r="E22" s="9"/>
      <c r="F22" s="20"/>
      <c r="J22" s="107"/>
    </row>
    <row r="23" spans="2:10" ht="14.25" customHeight="1">
      <c r="B23" s="104"/>
      <c r="C23" s="84"/>
      <c r="D23" s="98"/>
      <c r="E23" s="111"/>
      <c r="F23" s="20"/>
      <c r="J23" s="107"/>
    </row>
    <row r="24" spans="2:10" ht="19.5" customHeight="1">
      <c r="B24" s="104"/>
      <c r="C24" s="730" t="s">
        <v>410</v>
      </c>
      <c r="D24" s="731"/>
      <c r="E24" s="751" t="s">
        <v>730</v>
      </c>
      <c r="F24" s="751"/>
      <c r="J24" s="107"/>
    </row>
    <row r="25" spans="2:10" ht="14.25" customHeight="1">
      <c r="B25" s="104"/>
      <c r="C25" s="84"/>
      <c r="D25" s="84"/>
      <c r="J25" s="107"/>
    </row>
    <row r="26" spans="2:10" ht="19.5" customHeight="1">
      <c r="B26" s="104"/>
      <c r="C26" s="730" t="s">
        <v>411</v>
      </c>
      <c r="D26" s="731"/>
      <c r="E26" s="734" t="s">
        <v>731</v>
      </c>
      <c r="F26" s="735"/>
      <c r="J26" s="107"/>
    </row>
    <row r="27" spans="2:10" ht="14.25" customHeight="1">
      <c r="B27" s="104"/>
      <c r="E27" s="20"/>
      <c r="F27" s="20"/>
      <c r="G27" s="16"/>
      <c r="J27" s="107"/>
    </row>
    <row r="28" spans="2:10" ht="42" customHeight="1">
      <c r="B28" s="104"/>
      <c r="C28" s="190" t="s">
        <v>412</v>
      </c>
      <c r="D28" s="732" t="s">
        <v>182</v>
      </c>
      <c r="E28" s="733"/>
      <c r="F28" s="733"/>
      <c r="G28" s="736" t="s">
        <v>186</v>
      </c>
      <c r="H28" s="736"/>
      <c r="J28" s="107"/>
    </row>
    <row r="29" spans="2:10" ht="21.75" customHeight="1">
      <c r="B29" s="104"/>
      <c r="C29" s="100"/>
      <c r="D29" s="625" t="s">
        <v>719</v>
      </c>
      <c r="E29" s="383"/>
      <c r="F29" s="382"/>
      <c r="G29" s="381">
        <v>8</v>
      </c>
      <c r="H29" s="112"/>
      <c r="I29" s="122" t="b">
        <v>1</v>
      </c>
      <c r="J29" s="107"/>
    </row>
    <row r="30" spans="2:10" ht="14.25" customHeight="1">
      <c r="B30" s="104"/>
      <c r="C30" s="5"/>
      <c r="D30" s="103"/>
      <c r="E30" s="97"/>
      <c r="F30" s="94"/>
      <c r="G30" s="113"/>
      <c r="H30" s="112"/>
      <c r="I30" s="92"/>
      <c r="J30" s="107"/>
    </row>
    <row r="31" spans="2:10" ht="21.75" customHeight="1">
      <c r="B31" s="104"/>
      <c r="C31" s="100"/>
      <c r="D31" s="386" t="s">
        <v>713</v>
      </c>
      <c r="E31" s="384"/>
      <c r="F31" s="385"/>
      <c r="G31" s="381">
        <v>8</v>
      </c>
      <c r="H31" s="112"/>
      <c r="I31" s="122" t="b">
        <v>1</v>
      </c>
      <c r="J31" s="107"/>
    </row>
    <row r="32" spans="2:10" ht="14.25" customHeight="1">
      <c r="B32" s="104"/>
      <c r="C32" s="114"/>
      <c r="D32" s="103"/>
      <c r="E32" s="97"/>
      <c r="F32" s="98"/>
      <c r="G32" s="113"/>
      <c r="H32" s="112"/>
      <c r="I32" s="92"/>
      <c r="J32" s="107"/>
    </row>
    <row r="33" spans="2:11" ht="21.75" customHeight="1">
      <c r="B33" s="104"/>
      <c r="C33" s="100"/>
      <c r="D33" s="386" t="s">
        <v>714</v>
      </c>
      <c r="E33" s="384"/>
      <c r="F33" s="385"/>
      <c r="G33" s="381">
        <v>8</v>
      </c>
      <c r="H33" s="112"/>
      <c r="I33" s="122" t="b">
        <v>1</v>
      </c>
      <c r="J33" s="107"/>
    </row>
    <row r="34" spans="2:11" ht="14.25" customHeight="1">
      <c r="B34" s="104"/>
      <c r="C34" s="114"/>
      <c r="D34" s="103"/>
      <c r="E34" s="97"/>
      <c r="F34" s="98"/>
      <c r="G34" s="113"/>
      <c r="H34" s="112"/>
      <c r="I34" s="92"/>
      <c r="J34" s="107"/>
    </row>
    <row r="35" spans="2:11" ht="21.75" customHeight="1">
      <c r="B35" s="104"/>
      <c r="C35" s="100"/>
      <c r="D35" s="123" t="s">
        <v>414</v>
      </c>
      <c r="E35" s="95"/>
      <c r="F35" s="96"/>
      <c r="G35" s="93">
        <v>10</v>
      </c>
      <c r="H35" s="112"/>
      <c r="I35" s="122" t="b">
        <v>0</v>
      </c>
      <c r="J35" s="107"/>
    </row>
    <row r="36" spans="2:11" ht="14.25" customHeight="1">
      <c r="B36" s="104"/>
      <c r="C36" s="114"/>
      <c r="D36" s="103"/>
      <c r="E36" s="99"/>
      <c r="F36" s="98"/>
      <c r="G36" s="113"/>
      <c r="H36" s="112"/>
      <c r="I36" s="92"/>
      <c r="J36" s="107"/>
    </row>
    <row r="37" spans="2:11" ht="21.75" customHeight="1">
      <c r="B37" s="104"/>
      <c r="C37" s="100"/>
      <c r="D37" s="123" t="s">
        <v>414</v>
      </c>
      <c r="E37" s="95"/>
      <c r="F37" s="96"/>
      <c r="G37" s="93">
        <v>10</v>
      </c>
      <c r="H37" s="112"/>
      <c r="I37" s="122" t="b">
        <v>0</v>
      </c>
      <c r="J37" s="107"/>
    </row>
    <row r="38" spans="2:11" ht="14.25" customHeight="1">
      <c r="B38" s="104"/>
      <c r="D38" s="2"/>
      <c r="E38" s="115"/>
      <c r="F38" s="20"/>
      <c r="J38" s="107"/>
    </row>
    <row r="39" spans="2:11" ht="15.75" customHeight="1">
      <c r="B39" s="104"/>
      <c r="C39" s="727" t="s">
        <v>418</v>
      </c>
      <c r="D39" s="728"/>
      <c r="E39" s="48">
        <v>0.04</v>
      </c>
      <c r="F39" s="20"/>
      <c r="J39" s="107"/>
    </row>
    <row r="40" spans="2:11" ht="14.25" customHeight="1">
      <c r="B40" s="104"/>
      <c r="F40" s="20"/>
      <c r="J40" s="107"/>
    </row>
    <row r="41" spans="2:11">
      <c r="B41" s="104"/>
      <c r="C41" s="727" t="s">
        <v>419</v>
      </c>
      <c r="D41" s="728"/>
      <c r="E41" s="48">
        <v>0.05</v>
      </c>
      <c r="F41" s="20"/>
      <c r="J41" s="107"/>
    </row>
    <row r="42" spans="2:11" ht="14.25" customHeight="1">
      <c r="B42" s="104"/>
      <c r="D42" s="2"/>
      <c r="E42" s="111"/>
      <c r="F42" s="20"/>
      <c r="J42" s="107"/>
    </row>
    <row r="43" spans="2:11">
      <c r="B43" s="104"/>
      <c r="C43" s="727" t="s">
        <v>420</v>
      </c>
      <c r="D43" s="728"/>
      <c r="E43" s="48">
        <v>0.03</v>
      </c>
      <c r="F43" s="20"/>
      <c r="J43" s="107"/>
    </row>
    <row r="44" spans="2:11" ht="14.25" customHeight="1">
      <c r="B44" s="104"/>
      <c r="J44" s="107"/>
    </row>
    <row r="45" spans="2:11">
      <c r="B45" s="104"/>
      <c r="C45" s="729" t="s">
        <v>417</v>
      </c>
      <c r="D45" s="729"/>
      <c r="J45" s="107"/>
    </row>
    <row r="46" spans="2:11">
      <c r="B46" s="104"/>
      <c r="J46" s="107"/>
    </row>
    <row r="47" spans="2:11">
      <c r="B47" s="104"/>
      <c r="J47" s="107"/>
    </row>
    <row r="48" spans="2:11" ht="15" thickBot="1">
      <c r="B48" s="104"/>
      <c r="K48" s="104"/>
    </row>
    <row r="49" spans="2:11">
      <c r="B49" s="116"/>
      <c r="C49" s="117"/>
      <c r="D49" s="117"/>
      <c r="E49" s="117"/>
      <c r="F49" s="117"/>
      <c r="G49" s="117"/>
      <c r="H49" s="117"/>
      <c r="I49" s="117"/>
      <c r="J49" s="118"/>
    </row>
    <row r="50" spans="2:11">
      <c r="B50" s="104"/>
      <c r="J50" s="107"/>
    </row>
    <row r="51" spans="2:11">
      <c r="B51" s="104"/>
      <c r="J51" s="107"/>
      <c r="K51" s="104"/>
    </row>
    <row r="52" spans="2:11" ht="15" thickBot="1">
      <c r="B52" s="119"/>
      <c r="C52" s="120"/>
      <c r="D52" s="120"/>
      <c r="E52" s="63" t="str">
        <f>"Copyright " &amp; "©"</f>
        <v>Copyright ©</v>
      </c>
      <c r="F52" s="62" t="str">
        <f ca="1">YEAR(TODAY()) &amp; " Všį Centrinė projektų valdymo agentūra." &amp; " Visos teisės saugomos. "</f>
        <v xml:space="preserve">2023 Všį Centrinė projektų valdymo agentūra. Visos teisės saugomos. </v>
      </c>
      <c r="G52" s="62"/>
      <c r="H52" s="62"/>
      <c r="I52" s="62"/>
      <c r="J52" s="121"/>
      <c r="K52" s="104"/>
    </row>
    <row r="53" spans="2:11">
      <c r="D53" s="117"/>
      <c r="E53" s="117"/>
      <c r="G53" s="117"/>
      <c r="H53" s="117"/>
      <c r="I53" s="117"/>
    </row>
    <row r="106" spans="111:111" hidden="1">
      <c r="DG106" s="64">
        <v>0.05</v>
      </c>
    </row>
  </sheetData>
  <sheetProtection algorithmName="SHA-512" hashValue="TX3zdoIwi/u7DGGd6a5f3MvOqcjiH8GRnE0i1zU4PvSEFHREfOv/Oq8IWWlP1ZDY5e8pGaOoposXQ55J5yFvpQ==" saltValue="N8lysU55kuxJ183Py8zINw==" spinCount="100000" sheet="1" objects="1" scenarios="1"/>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5242560</xdr:colOff>
                    <xdr:row>18</xdr:row>
                    <xdr:rowOff>220980</xdr:rowOff>
                  </from>
                  <to>
                    <xdr:col>5</xdr:col>
                    <xdr:colOff>1280160</xdr:colOff>
                    <xdr:row>20</xdr:row>
                    <xdr:rowOff>0</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30480</xdr:rowOff>
                  </from>
                  <to>
                    <xdr:col>5</xdr:col>
                    <xdr:colOff>1249680</xdr:colOff>
                    <xdr:row>22</xdr:row>
                    <xdr:rowOff>7620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7620</xdr:colOff>
                    <xdr:row>13</xdr:row>
                    <xdr:rowOff>7620</xdr:rowOff>
                  </from>
                  <to>
                    <xdr:col>5</xdr:col>
                    <xdr:colOff>1287780</xdr:colOff>
                    <xdr:row>14</xdr:row>
                    <xdr:rowOff>38100</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7620</xdr:colOff>
                    <xdr:row>17</xdr:row>
                    <xdr:rowOff>30480</xdr:rowOff>
                  </from>
                  <to>
                    <xdr:col>5</xdr:col>
                    <xdr:colOff>175260</xdr:colOff>
                    <xdr:row>17</xdr:row>
                    <xdr:rowOff>297180</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236220</xdr:colOff>
                    <xdr:row>17</xdr:row>
                    <xdr:rowOff>7620</xdr:rowOff>
                  </from>
                  <to>
                    <xdr:col>5</xdr:col>
                    <xdr:colOff>1325880</xdr:colOff>
                    <xdr:row>17</xdr:row>
                    <xdr:rowOff>297180</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175260</xdr:colOff>
                    <xdr:row>10</xdr:row>
                    <xdr:rowOff>220980</xdr:rowOff>
                  </from>
                  <to>
                    <xdr:col>5</xdr:col>
                    <xdr:colOff>1379220</xdr:colOff>
                    <xdr:row>12</xdr:row>
                    <xdr:rowOff>7620</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7620</xdr:colOff>
                    <xdr:row>28</xdr:row>
                    <xdr:rowOff>7620</xdr:rowOff>
                  </from>
                  <to>
                    <xdr:col>7</xdr:col>
                    <xdr:colOff>533400</xdr:colOff>
                    <xdr:row>28</xdr:row>
                    <xdr:rowOff>335280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7620</xdr:colOff>
                    <xdr:row>30</xdr:row>
                    <xdr:rowOff>7620</xdr:rowOff>
                  </from>
                  <to>
                    <xdr:col>7</xdr:col>
                    <xdr:colOff>533400</xdr:colOff>
                    <xdr:row>30</xdr:row>
                    <xdr:rowOff>335280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7620</xdr:colOff>
                    <xdr:row>32</xdr:row>
                    <xdr:rowOff>7620</xdr:rowOff>
                  </from>
                  <to>
                    <xdr:col>7</xdr:col>
                    <xdr:colOff>533400</xdr:colOff>
                    <xdr:row>32</xdr:row>
                    <xdr:rowOff>335280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7620</xdr:colOff>
                    <xdr:row>34</xdr:row>
                    <xdr:rowOff>7620</xdr:rowOff>
                  </from>
                  <to>
                    <xdr:col>7</xdr:col>
                    <xdr:colOff>533400</xdr:colOff>
                    <xdr:row>34</xdr:row>
                    <xdr:rowOff>335280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7620</xdr:colOff>
                    <xdr:row>36</xdr:row>
                    <xdr:rowOff>7620</xdr:rowOff>
                  </from>
                  <to>
                    <xdr:col>7</xdr:col>
                    <xdr:colOff>533400</xdr:colOff>
                    <xdr:row>36</xdr:row>
                    <xdr:rowOff>335280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5326380</xdr:colOff>
                    <xdr:row>44</xdr:row>
                    <xdr:rowOff>198120</xdr:rowOff>
                  </from>
                  <to>
                    <xdr:col>8</xdr:col>
                    <xdr:colOff>30480</xdr:colOff>
                    <xdr:row>47</xdr:row>
                    <xdr:rowOff>30480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441960</xdr:colOff>
                    <xdr:row>28</xdr:row>
                    <xdr:rowOff>38100</xdr:rowOff>
                  </from>
                  <to>
                    <xdr:col>2</xdr:col>
                    <xdr:colOff>1508760</xdr:colOff>
                    <xdr:row>29</xdr:row>
                    <xdr:rowOff>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426720</xdr:colOff>
                    <xdr:row>30</xdr:row>
                    <xdr:rowOff>38100</xdr:rowOff>
                  </from>
                  <to>
                    <xdr:col>2</xdr:col>
                    <xdr:colOff>1508760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441960</xdr:colOff>
                    <xdr:row>32</xdr:row>
                    <xdr:rowOff>38100</xdr:rowOff>
                  </from>
                  <to>
                    <xdr:col>2</xdr:col>
                    <xdr:colOff>1485900</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426720</xdr:colOff>
                    <xdr:row>34</xdr:row>
                    <xdr:rowOff>7620</xdr:rowOff>
                  </from>
                  <to>
                    <xdr:col>2</xdr:col>
                    <xdr:colOff>1470660</xdr:colOff>
                    <xdr:row>35</xdr:row>
                    <xdr:rowOff>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419100</xdr:colOff>
                    <xdr:row>36</xdr:row>
                    <xdr:rowOff>38100</xdr:rowOff>
                  </from>
                  <to>
                    <xdr:col>2</xdr:col>
                    <xdr:colOff>1485900</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7620</xdr:colOff>
                    <xdr:row>14</xdr:row>
                    <xdr:rowOff>198120</xdr:rowOff>
                  </from>
                  <to>
                    <xdr:col>5</xdr:col>
                    <xdr:colOff>518160</xdr:colOff>
                    <xdr:row>16</xdr:row>
                    <xdr:rowOff>106680</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7620</xdr:colOff>
                    <xdr:row>9</xdr:row>
                    <xdr:rowOff>7620</xdr:rowOff>
                  </from>
                  <to>
                    <xdr:col>9</xdr:col>
                    <xdr:colOff>518160</xdr:colOff>
                    <xdr:row>9</xdr:row>
                    <xdr:rowOff>289560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7620</xdr:colOff>
                    <xdr:row>13</xdr:row>
                    <xdr:rowOff>7620</xdr:rowOff>
                  </from>
                  <to>
                    <xdr:col>9</xdr:col>
                    <xdr:colOff>518160</xdr:colOff>
                    <xdr:row>13</xdr:row>
                    <xdr:rowOff>289560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7620</xdr:rowOff>
                  </from>
                  <to>
                    <xdr:col>9</xdr:col>
                    <xdr:colOff>518160</xdr:colOff>
                    <xdr:row>17</xdr:row>
                    <xdr:rowOff>289560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198120</xdr:rowOff>
                  </from>
                  <to>
                    <xdr:col>9</xdr:col>
                    <xdr:colOff>518160</xdr:colOff>
                    <xdr:row>41</xdr:row>
                    <xdr:rowOff>7620</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152400</xdr:rowOff>
                  </from>
                  <to>
                    <xdr:col>9</xdr:col>
                    <xdr:colOff>937260</xdr:colOff>
                    <xdr:row>51</xdr:row>
                    <xdr:rowOff>175260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7620</xdr:colOff>
                    <xdr:row>21</xdr:row>
                    <xdr:rowOff>457200</xdr:rowOff>
                  </from>
                  <to>
                    <xdr:col>9</xdr:col>
                    <xdr:colOff>518160</xdr:colOff>
                    <xdr:row>21</xdr:row>
                    <xdr:rowOff>723900</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7620</xdr:colOff>
                    <xdr:row>15</xdr:row>
                    <xdr:rowOff>7620</xdr:rowOff>
                  </from>
                  <to>
                    <xdr:col>9</xdr:col>
                    <xdr:colOff>518160</xdr:colOff>
                    <xdr:row>16</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showGridLines="0" showRowColHeaders="0" zoomScale="90" zoomScaleNormal="90" workbookViewId="0">
      <pane xSplit="7" ySplit="6" topLeftCell="H110" activePane="bottomRight" state="frozenSplit"/>
      <selection pane="topRight" activeCell="G1" sqref="G1"/>
      <selection pane="bottomLeft" activeCell="A18" sqref="A18"/>
      <selection pane="bottomRight" activeCell="H71" sqref="H71"/>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6" width="16.33203125" bestFit="1" customWidth="1"/>
    <col min="7" max="7" width="16.33203125" customWidth="1"/>
    <col min="8" max="28" width="13.6640625" customWidth="1"/>
    <col min="29" max="107" width="13.6640625" hidden="1" customWidth="1"/>
    <col min="108" max="108" width="9.109375" customWidth="1"/>
    <col min="109" max="109" width="9.109375" style="46" hidden="1" customWidth="1"/>
    <col min="110" max="111" width="9.109375" hidden="1" customWidth="1"/>
    <col min="112" max="112" width="13.6640625" hidden="1" customWidth="1"/>
    <col min="113" max="114" width="0" hidden="1" customWidth="1"/>
  </cols>
  <sheetData>
    <row r="1" spans="1:112" ht="9" customHeight="1"/>
    <row r="2" spans="1:112" ht="14.4">
      <c r="B2" s="18" t="s">
        <v>160</v>
      </c>
      <c r="C2"/>
    </row>
    <row r="3" spans="1:112" ht="14.4">
      <c r="B3" s="180" t="str">
        <f>IF(INDEX(A1_pav,1,1)=0,"",INDEX(A1_pav,1,1))</f>
        <v xml:space="preserve">Politinės/ekonominės svarbos scenarijus
</v>
      </c>
      <c r="C3" s="181"/>
      <c r="D3" s="181"/>
      <c r="E3" s="182"/>
      <c r="F3" s="179"/>
      <c r="G3" s="2"/>
    </row>
    <row r="4" spans="1:112" ht="15" customHeight="1">
      <c r="B4" s="128"/>
      <c r="C4" s="128"/>
      <c r="D4" s="9"/>
      <c r="E4" s="191"/>
      <c r="F4" s="9"/>
    </row>
    <row r="5" spans="1:112" ht="14.4">
      <c r="B5" s="18" t="s">
        <v>206</v>
      </c>
      <c r="C5" s="128"/>
      <c r="F5" s="752" t="s">
        <v>32</v>
      </c>
      <c r="G5" s="753"/>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7">
        <f>SUM(DE7:DE117)</f>
        <v>0</v>
      </c>
      <c r="DF6" s="47">
        <f>SUM(DF7:DF117)</f>
        <v>866</v>
      </c>
      <c r="DG6" s="25" t="s">
        <v>231</v>
      </c>
      <c r="DH6" s="25" t="s">
        <v>253</v>
      </c>
    </row>
    <row r="7" spans="1:112" ht="15" customHeight="1">
      <c r="B7" s="5" t="s">
        <v>17</v>
      </c>
      <c r="C7" s="15" t="s">
        <v>39</v>
      </c>
      <c r="D7" s="5"/>
      <c r="E7" s="5"/>
      <c r="F7" s="35">
        <f>F8+F9+F89-F100+F111</f>
        <v>133624892.96759719</v>
      </c>
      <c r="G7" s="35">
        <f>SUMIF($H$5:$DC$5,"&lt;="&amp;PAL,$H7:$DC7)</f>
        <v>198829806.24019569</v>
      </c>
      <c r="H7" s="35">
        <f>H8+H9+H89-H100-H111</f>
        <v>1708000</v>
      </c>
      <c r="I7" s="35">
        <f t="shared" ref="I7:BT7" si="4">I8+I9+I89-I100-I111</f>
        <v>4900980.7675320003</v>
      </c>
      <c r="J7" s="35">
        <f t="shared" si="4"/>
        <v>7587358.9378861329</v>
      </c>
      <c r="K7" s="35">
        <f t="shared" si="4"/>
        <v>10781120.3630432</v>
      </c>
      <c r="L7" s="35">
        <f t="shared" si="4"/>
        <v>10183520.3630432</v>
      </c>
      <c r="M7" s="35">
        <f t="shared" si="4"/>
        <v>10203520.3630432</v>
      </c>
      <c r="N7" s="35">
        <f t="shared" si="4"/>
        <v>10183020.3630432</v>
      </c>
      <c r="O7" s="35">
        <f t="shared" si="4"/>
        <v>10183020.3630432</v>
      </c>
      <c r="P7" s="35">
        <f t="shared" si="4"/>
        <v>10183020.3630432</v>
      </c>
      <c r="Q7" s="35">
        <f t="shared" si="4"/>
        <v>10183020.3630432</v>
      </c>
      <c r="R7" s="35">
        <f t="shared" si="4"/>
        <v>10303020.3630432</v>
      </c>
      <c r="S7" s="35">
        <f t="shared" si="4"/>
        <v>10423020.3630432</v>
      </c>
      <c r="T7" s="35">
        <f t="shared" si="4"/>
        <v>10303020.3630432</v>
      </c>
      <c r="U7" s="35">
        <f t="shared" si="4"/>
        <v>10423020.3630432</v>
      </c>
      <c r="V7" s="35">
        <f t="shared" si="4"/>
        <v>10183020.3630432</v>
      </c>
      <c r="W7" s="35">
        <f t="shared" si="4"/>
        <v>10183020.3630432</v>
      </c>
      <c r="X7" s="35">
        <f t="shared" si="4"/>
        <v>10183020.3630432</v>
      </c>
      <c r="Y7" s="35">
        <f t="shared" si="4"/>
        <v>10183020.3630432</v>
      </c>
      <c r="Z7" s="35">
        <f t="shared" si="4"/>
        <v>10183020.3630432</v>
      </c>
      <c r="AA7" s="35">
        <f t="shared" si="4"/>
        <v>10183020.3630432</v>
      </c>
      <c r="AB7" s="35">
        <f t="shared" si="4"/>
        <v>10183020.3630432</v>
      </c>
      <c r="AC7" s="35">
        <f t="shared" si="4"/>
        <v>2329431.8160736002</v>
      </c>
      <c r="AD7" s="35">
        <f t="shared" si="4"/>
        <v>2329431.8160736002</v>
      </c>
      <c r="AE7" s="35">
        <f t="shared" si="4"/>
        <v>2329431.8160736002</v>
      </c>
      <c r="AF7" s="35">
        <f t="shared" si="4"/>
        <v>2329431.8160736002</v>
      </c>
      <c r="AG7" s="35">
        <f t="shared" si="4"/>
        <v>2329431.8160736002</v>
      </c>
      <c r="AH7" s="35">
        <f t="shared" si="4"/>
        <v>2329431.8160736002</v>
      </c>
      <c r="AI7" s="35">
        <f t="shared" si="4"/>
        <v>2329431.8160736002</v>
      </c>
      <c r="AJ7" s="35">
        <f t="shared" si="4"/>
        <v>2329431.8160736002</v>
      </c>
      <c r="AK7" s="35">
        <f t="shared" si="4"/>
        <v>2329431.8160736002</v>
      </c>
      <c r="AL7" s="35">
        <f t="shared" si="4"/>
        <v>2329431.8160736002</v>
      </c>
      <c r="AM7" s="35">
        <f t="shared" si="4"/>
        <v>2329431.8160736002</v>
      </c>
      <c r="AN7" s="35">
        <f t="shared" si="4"/>
        <v>2329431.8160736002</v>
      </c>
      <c r="AO7" s="35">
        <f t="shared" si="4"/>
        <v>2329431.8160736002</v>
      </c>
      <c r="AP7" s="35">
        <f t="shared" si="4"/>
        <v>2329431.8160736002</v>
      </c>
      <c r="AQ7" s="35">
        <f t="shared" si="4"/>
        <v>2329431.8160736002</v>
      </c>
      <c r="AR7" s="35">
        <f t="shared" si="4"/>
        <v>2329431.8160736002</v>
      </c>
      <c r="AS7" s="35">
        <f t="shared" si="4"/>
        <v>2329431.8160736002</v>
      </c>
      <c r="AT7" s="35">
        <f t="shared" si="4"/>
        <v>2329431.8160736002</v>
      </c>
      <c r="AU7" s="35">
        <f t="shared" si="4"/>
        <v>2329431.8160736002</v>
      </c>
      <c r="AV7" s="35">
        <f t="shared" si="4"/>
        <v>2329431.8160736002</v>
      </c>
      <c r="AW7" s="35">
        <f t="shared" si="4"/>
        <v>2329431.8160736002</v>
      </c>
      <c r="AX7" s="35">
        <f t="shared" si="4"/>
        <v>2329431.8160736002</v>
      </c>
      <c r="AY7" s="35">
        <f t="shared" si="4"/>
        <v>2329431.8160736002</v>
      </c>
      <c r="AZ7" s="35">
        <f t="shared" si="4"/>
        <v>2329431.8160736002</v>
      </c>
      <c r="BA7" s="35">
        <f t="shared" si="4"/>
        <v>2329431.8160736002</v>
      </c>
      <c r="BB7" s="35">
        <f t="shared" si="4"/>
        <v>2329431.8160736002</v>
      </c>
      <c r="BC7" s="35">
        <f t="shared" si="4"/>
        <v>2329431.8160736002</v>
      </c>
      <c r="BD7" s="35">
        <f t="shared" si="4"/>
        <v>2329431.8160736002</v>
      </c>
      <c r="BE7" s="35">
        <f t="shared" si="4"/>
        <v>2329431.8160736002</v>
      </c>
      <c r="BF7" s="35">
        <f t="shared" si="4"/>
        <v>2329431.8160736002</v>
      </c>
      <c r="BG7" s="35">
        <f t="shared" si="4"/>
        <v>2329431.8160736002</v>
      </c>
      <c r="BH7" s="35">
        <f t="shared" si="4"/>
        <v>2329431.8160736002</v>
      </c>
      <c r="BI7" s="35">
        <f t="shared" si="4"/>
        <v>2329431.8160736002</v>
      </c>
      <c r="BJ7" s="35">
        <f t="shared" si="4"/>
        <v>2329431.8160736002</v>
      </c>
      <c r="BK7" s="35">
        <f t="shared" si="4"/>
        <v>2329431.8160736002</v>
      </c>
      <c r="BL7" s="35">
        <f t="shared" si="4"/>
        <v>2329431.8160736002</v>
      </c>
      <c r="BM7" s="35">
        <f t="shared" si="4"/>
        <v>2329431.8160736002</v>
      </c>
      <c r="BN7" s="35">
        <f t="shared" si="4"/>
        <v>2329431.8160736002</v>
      </c>
      <c r="BO7" s="35">
        <f t="shared" si="4"/>
        <v>2329431.8160736002</v>
      </c>
      <c r="BP7" s="35">
        <f t="shared" si="4"/>
        <v>2329431.8160736002</v>
      </c>
      <c r="BQ7" s="35">
        <f t="shared" si="4"/>
        <v>2329431.8160736002</v>
      </c>
      <c r="BR7" s="35">
        <f t="shared" si="4"/>
        <v>2329431.8160736002</v>
      </c>
      <c r="BS7" s="35">
        <f t="shared" si="4"/>
        <v>2329431.8160736002</v>
      </c>
      <c r="BT7" s="35">
        <f t="shared" si="4"/>
        <v>2329431.8160736002</v>
      </c>
      <c r="BU7" s="35">
        <f t="shared" ref="BU7:DC7" si="5">BU8+BU9+BU89-BU100-BU111</f>
        <v>2329431.8160736002</v>
      </c>
      <c r="BV7" s="35">
        <f t="shared" si="5"/>
        <v>2329431.8160736002</v>
      </c>
      <c r="BW7" s="35">
        <f t="shared" si="5"/>
        <v>2329431.8160736002</v>
      </c>
      <c r="BX7" s="35">
        <f t="shared" si="5"/>
        <v>2329431.8160736002</v>
      </c>
      <c r="BY7" s="35">
        <f t="shared" si="5"/>
        <v>2329431.8160736002</v>
      </c>
      <c r="BZ7" s="35">
        <f t="shared" si="5"/>
        <v>2329431.8160736002</v>
      </c>
      <c r="CA7" s="35">
        <f t="shared" si="5"/>
        <v>2329431.8160736002</v>
      </c>
      <c r="CB7" s="35">
        <f t="shared" si="5"/>
        <v>2329431.8160736002</v>
      </c>
      <c r="CC7" s="35">
        <f t="shared" si="5"/>
        <v>2329431.8160736002</v>
      </c>
      <c r="CD7" s="35">
        <f t="shared" si="5"/>
        <v>2329431.8160736002</v>
      </c>
      <c r="CE7" s="35">
        <f t="shared" si="5"/>
        <v>2329431.8160736002</v>
      </c>
      <c r="CF7" s="35">
        <f t="shared" si="5"/>
        <v>2329431.8160736002</v>
      </c>
      <c r="CG7" s="35">
        <f t="shared" si="5"/>
        <v>2329431.8160736002</v>
      </c>
      <c r="CH7" s="35">
        <f t="shared" si="5"/>
        <v>2329431.8160736002</v>
      </c>
      <c r="CI7" s="35">
        <f t="shared" si="5"/>
        <v>2329431.8160736002</v>
      </c>
      <c r="CJ7" s="35">
        <f t="shared" si="5"/>
        <v>2329431.8160736002</v>
      </c>
      <c r="CK7" s="35">
        <f t="shared" si="5"/>
        <v>2329431.8160736002</v>
      </c>
      <c r="CL7" s="35">
        <f t="shared" si="5"/>
        <v>2329431.8160736002</v>
      </c>
      <c r="CM7" s="35">
        <f t="shared" si="5"/>
        <v>2329431.8160736002</v>
      </c>
      <c r="CN7" s="35">
        <f t="shared" si="5"/>
        <v>2329431.8160736002</v>
      </c>
      <c r="CO7" s="35">
        <f t="shared" si="5"/>
        <v>2329431.8160736002</v>
      </c>
      <c r="CP7" s="35">
        <f t="shared" si="5"/>
        <v>2329431.8160736002</v>
      </c>
      <c r="CQ7" s="35">
        <f t="shared" si="5"/>
        <v>2329431.8160736002</v>
      </c>
      <c r="CR7" s="35">
        <f t="shared" si="5"/>
        <v>2329431.8160736002</v>
      </c>
      <c r="CS7" s="35">
        <f t="shared" si="5"/>
        <v>2329431.8160736002</v>
      </c>
      <c r="CT7" s="35">
        <f t="shared" si="5"/>
        <v>2329431.8160736002</v>
      </c>
      <c r="CU7" s="35">
        <f t="shared" si="5"/>
        <v>2329431.8160736002</v>
      </c>
      <c r="CV7" s="35">
        <f t="shared" si="5"/>
        <v>2329431.8160736002</v>
      </c>
      <c r="CW7" s="35">
        <f t="shared" si="5"/>
        <v>2329431.8160736002</v>
      </c>
      <c r="CX7" s="35">
        <f t="shared" si="5"/>
        <v>2329431.8160736002</v>
      </c>
      <c r="CY7" s="35">
        <f t="shared" si="5"/>
        <v>2329431.8160736002</v>
      </c>
      <c r="CZ7" s="35">
        <f t="shared" si="5"/>
        <v>2329431.8160736002</v>
      </c>
      <c r="DA7" s="35">
        <f t="shared" si="5"/>
        <v>2329431.8160736002</v>
      </c>
      <c r="DB7" s="35">
        <f t="shared" si="5"/>
        <v>2329431.8160736002</v>
      </c>
      <c r="DC7" s="35">
        <f t="shared" si="5"/>
        <v>2329431.8160736002</v>
      </c>
      <c r="DF7" s="46">
        <f t="shared" ref="DF7:DF12" si="6">COUNTIF($H7:$DC7,"&lt;&gt;0")</f>
        <v>100</v>
      </c>
    </row>
    <row r="8" spans="1:112" ht="15" customHeight="1">
      <c r="B8" s="5" t="s">
        <v>19</v>
      </c>
      <c r="C8" s="15" t="s">
        <v>158</v>
      </c>
      <c r="D8" s="15"/>
      <c r="E8" s="3"/>
      <c r="F8" s="11">
        <f>SUM(F20,F31,F42,F54,F65,F76,F87)</f>
        <v>456056.55045621062</v>
      </c>
      <c r="G8" s="35">
        <f>SUMIF($H$5:$DC$5,"&lt;="&amp;PAL,$H8:$DC8)</f>
        <v>720000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120000</v>
      </c>
      <c r="S8" s="11">
        <f t="shared" si="7"/>
        <v>240000</v>
      </c>
      <c r="T8" s="11">
        <f t="shared" si="7"/>
        <v>120000</v>
      </c>
      <c r="U8" s="11">
        <f t="shared" si="7"/>
        <v>240000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6">
        <f t="shared" si="6"/>
        <v>4</v>
      </c>
    </row>
    <row r="9" spans="1:112" ht="15" customHeight="1">
      <c r="B9" s="36" t="s">
        <v>20</v>
      </c>
      <c r="C9" s="160" t="s">
        <v>4</v>
      </c>
      <c r="D9" s="7"/>
      <c r="E9" s="7"/>
      <c r="F9" s="8">
        <f>F10+F44+F78-F8</f>
        <v>11882277.062591683</v>
      </c>
      <c r="G9" s="35">
        <f>SUMIF($H$5:$DC$5,"&lt;="&amp;PAL,$H9:$DC9)</f>
        <v>12740940.4630432</v>
      </c>
      <c r="H9" s="8">
        <f t="shared" ref="H9:AM9" si="9">H10+H44+H78-H8</f>
        <v>1730000</v>
      </c>
      <c r="I9" s="8">
        <f t="shared" si="9"/>
        <v>3387980.7675319999</v>
      </c>
      <c r="J9" s="8">
        <f t="shared" si="9"/>
        <v>3377730.2703541331</v>
      </c>
      <c r="K9" s="8">
        <f t="shared" si="9"/>
        <v>4210729.4251570664</v>
      </c>
      <c r="L9" s="8">
        <f t="shared" si="9"/>
        <v>5000</v>
      </c>
      <c r="M9" s="8">
        <f t="shared" si="9"/>
        <v>25000</v>
      </c>
      <c r="N9" s="8">
        <f t="shared" si="9"/>
        <v>4500</v>
      </c>
      <c r="O9" s="8">
        <f t="shared" si="9"/>
        <v>0</v>
      </c>
      <c r="P9" s="8">
        <f t="shared" si="9"/>
        <v>0</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CZ10+CZ44+CZ78-CZ8</f>
        <v>0</v>
      </c>
      <c r="DA9" s="8">
        <f>DA10+DA44+DA78-DA8</f>
        <v>0</v>
      </c>
      <c r="DB9" s="8">
        <f>DB10+DB44+DB78-DB8</f>
        <v>0</v>
      </c>
      <c r="DC9" s="8">
        <f>DC10+DC44+DC78-DC8</f>
        <v>0</v>
      </c>
      <c r="DF9" s="46">
        <f t="shared" si="6"/>
        <v>7</v>
      </c>
    </row>
    <row r="10" spans="1:112" ht="14.4">
      <c r="B10" s="37" t="s">
        <v>21</v>
      </c>
      <c r="C10" s="161" t="s">
        <v>432</v>
      </c>
      <c r="D10" s="3"/>
      <c r="E10" s="3"/>
      <c r="F10" s="11">
        <f>F11+F22+F33</f>
        <v>0</v>
      </c>
      <c r="G10" s="35">
        <f>SUMIF($H$5:$DC$5,"&lt;="&amp;PAL,$H10:$DC10)</f>
        <v>0</v>
      </c>
      <c r="H10" s="11">
        <f>H11+H22+H33</f>
        <v>0</v>
      </c>
      <c r="I10" s="11">
        <f t="shared" ref="I10:BT10" si="12">I11+I22+I33</f>
        <v>0</v>
      </c>
      <c r="J10" s="11">
        <f t="shared" si="12"/>
        <v>0</v>
      </c>
      <c r="K10" s="11">
        <f t="shared" si="12"/>
        <v>0</v>
      </c>
      <c r="L10" s="11">
        <f t="shared" si="12"/>
        <v>0</v>
      </c>
      <c r="M10" s="11">
        <f t="shared" si="12"/>
        <v>0</v>
      </c>
      <c r="N10" s="11">
        <f t="shared" si="12"/>
        <v>0</v>
      </c>
      <c r="O10" s="11">
        <f t="shared" si="12"/>
        <v>0</v>
      </c>
      <c r="P10" s="11">
        <f t="shared" si="12"/>
        <v>0</v>
      </c>
      <c r="Q10" s="11">
        <f t="shared" si="12"/>
        <v>0</v>
      </c>
      <c r="R10" s="11">
        <f t="shared" si="12"/>
        <v>0</v>
      </c>
      <c r="S10" s="11">
        <f t="shared" si="12"/>
        <v>0</v>
      </c>
      <c r="T10" s="11">
        <f t="shared" si="12"/>
        <v>0</v>
      </c>
      <c r="U10" s="11">
        <f t="shared" si="12"/>
        <v>0</v>
      </c>
      <c r="V10" s="11">
        <f t="shared" si="12"/>
        <v>0</v>
      </c>
      <c r="W10" s="11">
        <f t="shared" si="12"/>
        <v>0</v>
      </c>
      <c r="X10" s="11">
        <f t="shared" si="12"/>
        <v>0</v>
      </c>
      <c r="Y10" s="11">
        <f t="shared" si="12"/>
        <v>0</v>
      </c>
      <c r="Z10" s="11">
        <f t="shared" si="12"/>
        <v>0</v>
      </c>
      <c r="AA10" s="11">
        <f t="shared" si="12"/>
        <v>0</v>
      </c>
      <c r="AB10" s="11">
        <f t="shared" si="12"/>
        <v>0</v>
      </c>
      <c r="AC10" s="11">
        <f t="shared" si="12"/>
        <v>0</v>
      </c>
      <c r="AD10" s="11">
        <f t="shared" si="12"/>
        <v>0</v>
      </c>
      <c r="AE10" s="11">
        <f t="shared" si="12"/>
        <v>0</v>
      </c>
      <c r="AF10" s="11">
        <f t="shared" si="12"/>
        <v>0</v>
      </c>
      <c r="AG10" s="11">
        <f t="shared" si="12"/>
        <v>0</v>
      </c>
      <c r="AH10" s="11">
        <f t="shared" si="12"/>
        <v>0</v>
      </c>
      <c r="AI10" s="11">
        <f t="shared" si="12"/>
        <v>0</v>
      </c>
      <c r="AJ10" s="11">
        <f t="shared" si="12"/>
        <v>0</v>
      </c>
      <c r="AK10" s="11">
        <f t="shared" si="12"/>
        <v>0</v>
      </c>
      <c r="AL10" s="11">
        <f t="shared" si="12"/>
        <v>0</v>
      </c>
      <c r="AM10" s="11">
        <f t="shared" si="12"/>
        <v>0</v>
      </c>
      <c r="AN10" s="11">
        <f t="shared" si="12"/>
        <v>0</v>
      </c>
      <c r="AO10" s="11">
        <f t="shared" si="12"/>
        <v>0</v>
      </c>
      <c r="AP10" s="11">
        <f t="shared" si="12"/>
        <v>0</v>
      </c>
      <c r="AQ10" s="11">
        <f t="shared" si="12"/>
        <v>0</v>
      </c>
      <c r="AR10" s="11">
        <f t="shared" si="12"/>
        <v>0</v>
      </c>
      <c r="AS10" s="11">
        <f t="shared" si="12"/>
        <v>0</v>
      </c>
      <c r="AT10" s="11">
        <f t="shared" si="12"/>
        <v>0</v>
      </c>
      <c r="AU10" s="11">
        <f t="shared" si="12"/>
        <v>0</v>
      </c>
      <c r="AV10" s="11">
        <f t="shared" si="12"/>
        <v>0</v>
      </c>
      <c r="AW10" s="11">
        <f t="shared" si="12"/>
        <v>0</v>
      </c>
      <c r="AX10" s="11">
        <f t="shared" si="12"/>
        <v>0</v>
      </c>
      <c r="AY10" s="11">
        <f t="shared" si="12"/>
        <v>0</v>
      </c>
      <c r="AZ10" s="11">
        <f t="shared" si="12"/>
        <v>0</v>
      </c>
      <c r="BA10" s="11">
        <f t="shared" si="12"/>
        <v>0</v>
      </c>
      <c r="BB10" s="11">
        <f t="shared" si="12"/>
        <v>0</v>
      </c>
      <c r="BC10" s="11">
        <f t="shared" si="12"/>
        <v>0</v>
      </c>
      <c r="BD10" s="11">
        <f t="shared" si="12"/>
        <v>0</v>
      </c>
      <c r="BE10" s="11">
        <f t="shared" si="12"/>
        <v>0</v>
      </c>
      <c r="BF10" s="11">
        <f t="shared" si="12"/>
        <v>0</v>
      </c>
      <c r="BG10" s="11">
        <f t="shared" si="12"/>
        <v>0</v>
      </c>
      <c r="BH10" s="11">
        <f t="shared" si="12"/>
        <v>0</v>
      </c>
      <c r="BI10" s="11">
        <f t="shared" si="12"/>
        <v>0</v>
      </c>
      <c r="BJ10" s="11">
        <f t="shared" si="12"/>
        <v>0</v>
      </c>
      <c r="BK10" s="11">
        <f t="shared" si="12"/>
        <v>0</v>
      </c>
      <c r="BL10" s="11">
        <f t="shared" si="12"/>
        <v>0</v>
      </c>
      <c r="BM10" s="11">
        <f t="shared" si="12"/>
        <v>0</v>
      </c>
      <c r="BN10" s="11">
        <f t="shared" si="12"/>
        <v>0</v>
      </c>
      <c r="BO10" s="11">
        <f t="shared" si="12"/>
        <v>0</v>
      </c>
      <c r="BP10" s="11">
        <f t="shared" si="12"/>
        <v>0</v>
      </c>
      <c r="BQ10" s="11">
        <f t="shared" si="12"/>
        <v>0</v>
      </c>
      <c r="BR10" s="11">
        <f t="shared" si="12"/>
        <v>0</v>
      </c>
      <c r="BS10" s="11">
        <f t="shared" si="12"/>
        <v>0</v>
      </c>
      <c r="BT10" s="11">
        <f t="shared" si="12"/>
        <v>0</v>
      </c>
      <c r="BU10" s="11">
        <f t="shared" ref="BU10:DC10" si="13">BU11+BU22+BU33</f>
        <v>0</v>
      </c>
      <c r="BV10" s="11">
        <f t="shared" si="13"/>
        <v>0</v>
      </c>
      <c r="BW10" s="11">
        <f t="shared" si="13"/>
        <v>0</v>
      </c>
      <c r="BX10" s="11">
        <f t="shared" si="13"/>
        <v>0</v>
      </c>
      <c r="BY10" s="11">
        <f t="shared" si="13"/>
        <v>0</v>
      </c>
      <c r="BZ10" s="11">
        <f t="shared" si="13"/>
        <v>0</v>
      </c>
      <c r="CA10" s="11">
        <f t="shared" si="13"/>
        <v>0</v>
      </c>
      <c r="CB10" s="11">
        <f t="shared" si="13"/>
        <v>0</v>
      </c>
      <c r="CC10" s="11">
        <f t="shared" si="13"/>
        <v>0</v>
      </c>
      <c r="CD10" s="11">
        <f t="shared" si="13"/>
        <v>0</v>
      </c>
      <c r="CE10" s="11">
        <f t="shared" si="13"/>
        <v>0</v>
      </c>
      <c r="CF10" s="11">
        <f t="shared" si="13"/>
        <v>0</v>
      </c>
      <c r="CG10" s="11">
        <f t="shared" si="13"/>
        <v>0</v>
      </c>
      <c r="CH10" s="11">
        <f t="shared" si="13"/>
        <v>0</v>
      </c>
      <c r="CI10" s="11">
        <f t="shared" si="13"/>
        <v>0</v>
      </c>
      <c r="CJ10" s="11">
        <f t="shared" si="13"/>
        <v>0</v>
      </c>
      <c r="CK10" s="11">
        <f t="shared" si="13"/>
        <v>0</v>
      </c>
      <c r="CL10" s="11">
        <f t="shared" si="13"/>
        <v>0</v>
      </c>
      <c r="CM10" s="11">
        <f t="shared" si="13"/>
        <v>0</v>
      </c>
      <c r="CN10" s="11">
        <f t="shared" si="13"/>
        <v>0</v>
      </c>
      <c r="CO10" s="11">
        <f t="shared" si="13"/>
        <v>0</v>
      </c>
      <c r="CP10" s="11">
        <f t="shared" si="13"/>
        <v>0</v>
      </c>
      <c r="CQ10" s="11">
        <f t="shared" si="13"/>
        <v>0</v>
      </c>
      <c r="CR10" s="11">
        <f t="shared" si="13"/>
        <v>0</v>
      </c>
      <c r="CS10" s="11">
        <f t="shared" si="13"/>
        <v>0</v>
      </c>
      <c r="CT10" s="11">
        <f t="shared" si="13"/>
        <v>0</v>
      </c>
      <c r="CU10" s="11">
        <f t="shared" si="13"/>
        <v>0</v>
      </c>
      <c r="CV10" s="11">
        <f t="shared" si="13"/>
        <v>0</v>
      </c>
      <c r="CW10" s="11">
        <f t="shared" si="13"/>
        <v>0</v>
      </c>
      <c r="CX10" s="11">
        <f t="shared" si="13"/>
        <v>0</v>
      </c>
      <c r="CY10" s="11">
        <f t="shared" si="13"/>
        <v>0</v>
      </c>
      <c r="CZ10" s="11">
        <f t="shared" si="13"/>
        <v>0</v>
      </c>
      <c r="DA10" s="11">
        <f t="shared" si="13"/>
        <v>0</v>
      </c>
      <c r="DB10" s="11">
        <f t="shared" si="13"/>
        <v>0</v>
      </c>
      <c r="DC10" s="11">
        <f t="shared" si="13"/>
        <v>0</v>
      </c>
      <c r="DF10" s="46">
        <f t="shared" si="6"/>
        <v>0</v>
      </c>
    </row>
    <row r="11" spans="1:112" ht="14.4">
      <c r="B11" s="5" t="s">
        <v>153</v>
      </c>
      <c r="C11" s="15" t="s">
        <v>433</v>
      </c>
      <c r="D11" s="3"/>
      <c r="E11" s="3"/>
      <c r="F11" s="11">
        <f>SUM(F12:F19)+F20</f>
        <v>0</v>
      </c>
      <c r="G11" s="35">
        <f>SUMIF($H$5:$DC$5,"&lt;="&amp;PAL,$H11:$DC11)</f>
        <v>0</v>
      </c>
      <c r="H11" s="11">
        <f>SUM(H12:H19)+H20</f>
        <v>0</v>
      </c>
      <c r="I11" s="11">
        <f t="shared" ref="I11:BT11" si="14">SUM(I12:I19)+I20</f>
        <v>0</v>
      </c>
      <c r="J11" s="11">
        <f t="shared" si="14"/>
        <v>0</v>
      </c>
      <c r="K11" s="11">
        <f t="shared" si="14"/>
        <v>0</v>
      </c>
      <c r="L11" s="11">
        <f t="shared" si="14"/>
        <v>0</v>
      </c>
      <c r="M11" s="11">
        <f t="shared" si="14"/>
        <v>0</v>
      </c>
      <c r="N11" s="11">
        <f t="shared" si="14"/>
        <v>0</v>
      </c>
      <c r="O11" s="11">
        <f t="shared" si="14"/>
        <v>0</v>
      </c>
      <c r="P11" s="11">
        <f t="shared" si="14"/>
        <v>0</v>
      </c>
      <c r="Q11" s="11">
        <f t="shared" si="14"/>
        <v>0</v>
      </c>
      <c r="R11" s="11">
        <f t="shared" si="14"/>
        <v>0</v>
      </c>
      <c r="S11" s="11">
        <f t="shared" si="14"/>
        <v>0</v>
      </c>
      <c r="T11" s="11">
        <f t="shared" si="14"/>
        <v>0</v>
      </c>
      <c r="U11" s="11">
        <f t="shared" si="14"/>
        <v>0</v>
      </c>
      <c r="V11" s="11">
        <f t="shared" si="14"/>
        <v>0</v>
      </c>
      <c r="W11" s="11">
        <f t="shared" si="14"/>
        <v>0</v>
      </c>
      <c r="X11" s="11">
        <f t="shared" si="14"/>
        <v>0</v>
      </c>
      <c r="Y11" s="11">
        <f t="shared" si="14"/>
        <v>0</v>
      </c>
      <c r="Z11" s="11">
        <f t="shared" si="14"/>
        <v>0</v>
      </c>
      <c r="AA11" s="11">
        <f t="shared" si="14"/>
        <v>0</v>
      </c>
      <c r="AB11" s="11">
        <f t="shared" si="14"/>
        <v>0</v>
      </c>
      <c r="AC11" s="11">
        <f t="shared" si="14"/>
        <v>0</v>
      </c>
      <c r="AD11" s="11">
        <f t="shared" si="14"/>
        <v>0</v>
      </c>
      <c r="AE11" s="11">
        <f t="shared" si="14"/>
        <v>0</v>
      </c>
      <c r="AF11" s="11">
        <f t="shared" si="14"/>
        <v>0</v>
      </c>
      <c r="AG11" s="11">
        <f t="shared" si="14"/>
        <v>0</v>
      </c>
      <c r="AH11" s="11">
        <f t="shared" si="14"/>
        <v>0</v>
      </c>
      <c r="AI11" s="11">
        <f t="shared" si="14"/>
        <v>0</v>
      </c>
      <c r="AJ11" s="11">
        <f t="shared" si="14"/>
        <v>0</v>
      </c>
      <c r="AK11" s="11">
        <f t="shared" si="14"/>
        <v>0</v>
      </c>
      <c r="AL11" s="11">
        <f t="shared" si="14"/>
        <v>0</v>
      </c>
      <c r="AM11" s="11">
        <f t="shared" si="14"/>
        <v>0</v>
      </c>
      <c r="AN11" s="11">
        <f t="shared" si="14"/>
        <v>0</v>
      </c>
      <c r="AO11" s="11">
        <f t="shared" si="14"/>
        <v>0</v>
      </c>
      <c r="AP11" s="11">
        <f t="shared" si="14"/>
        <v>0</v>
      </c>
      <c r="AQ11" s="11">
        <f t="shared" si="14"/>
        <v>0</v>
      </c>
      <c r="AR11" s="11">
        <f t="shared" si="14"/>
        <v>0</v>
      </c>
      <c r="AS11" s="11">
        <f t="shared" si="14"/>
        <v>0</v>
      </c>
      <c r="AT11" s="11">
        <f t="shared" si="14"/>
        <v>0</v>
      </c>
      <c r="AU11" s="11">
        <f t="shared" si="14"/>
        <v>0</v>
      </c>
      <c r="AV11" s="11">
        <f t="shared" si="14"/>
        <v>0</v>
      </c>
      <c r="AW11" s="11">
        <f t="shared" si="14"/>
        <v>0</v>
      </c>
      <c r="AX11" s="11">
        <f t="shared" si="14"/>
        <v>0</v>
      </c>
      <c r="AY11" s="11">
        <f t="shared" si="14"/>
        <v>0</v>
      </c>
      <c r="AZ11" s="11">
        <f t="shared" si="14"/>
        <v>0</v>
      </c>
      <c r="BA11" s="11">
        <f t="shared" si="14"/>
        <v>0</v>
      </c>
      <c r="BB11" s="11">
        <f t="shared" si="14"/>
        <v>0</v>
      </c>
      <c r="BC11" s="11">
        <f t="shared" si="14"/>
        <v>0</v>
      </c>
      <c r="BD11" s="11">
        <f t="shared" si="14"/>
        <v>0</v>
      </c>
      <c r="BE11" s="11">
        <f t="shared" si="14"/>
        <v>0</v>
      </c>
      <c r="BF11" s="11">
        <f t="shared" si="14"/>
        <v>0</v>
      </c>
      <c r="BG11" s="11">
        <f t="shared" si="14"/>
        <v>0</v>
      </c>
      <c r="BH11" s="11">
        <f t="shared" si="14"/>
        <v>0</v>
      </c>
      <c r="BI11" s="11">
        <f t="shared" si="14"/>
        <v>0</v>
      </c>
      <c r="BJ11" s="11">
        <f t="shared" si="14"/>
        <v>0</v>
      </c>
      <c r="BK11" s="11">
        <f t="shared" si="14"/>
        <v>0</v>
      </c>
      <c r="BL11" s="11">
        <f t="shared" si="14"/>
        <v>0</v>
      </c>
      <c r="BM11" s="11">
        <f t="shared" si="14"/>
        <v>0</v>
      </c>
      <c r="BN11" s="11">
        <f t="shared" si="14"/>
        <v>0</v>
      </c>
      <c r="BO11" s="11">
        <f t="shared" si="14"/>
        <v>0</v>
      </c>
      <c r="BP11" s="11">
        <f t="shared" si="14"/>
        <v>0</v>
      </c>
      <c r="BQ11" s="11">
        <f t="shared" si="14"/>
        <v>0</v>
      </c>
      <c r="BR11" s="11">
        <f t="shared" si="14"/>
        <v>0</v>
      </c>
      <c r="BS11" s="11">
        <f t="shared" si="14"/>
        <v>0</v>
      </c>
      <c r="BT11" s="11">
        <f t="shared" si="14"/>
        <v>0</v>
      </c>
      <c r="BU11" s="11">
        <f t="shared" ref="BU11:DC11" si="15">SUM(BU12:BU19)+BU20</f>
        <v>0</v>
      </c>
      <c r="BV11" s="11">
        <f t="shared" si="15"/>
        <v>0</v>
      </c>
      <c r="BW11" s="11">
        <f t="shared" si="15"/>
        <v>0</v>
      </c>
      <c r="BX11" s="11">
        <f t="shared" si="15"/>
        <v>0</v>
      </c>
      <c r="BY11" s="11">
        <f t="shared" si="15"/>
        <v>0</v>
      </c>
      <c r="BZ11" s="11">
        <f t="shared" si="15"/>
        <v>0</v>
      </c>
      <c r="CA11" s="11">
        <f t="shared" si="15"/>
        <v>0</v>
      </c>
      <c r="CB11" s="11">
        <f t="shared" si="15"/>
        <v>0</v>
      </c>
      <c r="CC11" s="11">
        <f t="shared" si="15"/>
        <v>0</v>
      </c>
      <c r="CD11" s="11">
        <f t="shared" si="15"/>
        <v>0</v>
      </c>
      <c r="CE11" s="11">
        <f t="shared" si="15"/>
        <v>0</v>
      </c>
      <c r="CF11" s="11">
        <f t="shared" si="15"/>
        <v>0</v>
      </c>
      <c r="CG11" s="11">
        <f t="shared" si="15"/>
        <v>0</v>
      </c>
      <c r="CH11" s="11">
        <f t="shared" si="15"/>
        <v>0</v>
      </c>
      <c r="CI11" s="11">
        <f t="shared" si="15"/>
        <v>0</v>
      </c>
      <c r="CJ11" s="11">
        <f t="shared" si="15"/>
        <v>0</v>
      </c>
      <c r="CK11" s="11">
        <f t="shared" si="15"/>
        <v>0</v>
      </c>
      <c r="CL11" s="11">
        <f t="shared" si="15"/>
        <v>0</v>
      </c>
      <c r="CM11" s="11">
        <f t="shared" si="15"/>
        <v>0</v>
      </c>
      <c r="CN11" s="11">
        <f t="shared" si="15"/>
        <v>0</v>
      </c>
      <c r="CO11" s="11">
        <f t="shared" si="15"/>
        <v>0</v>
      </c>
      <c r="CP11" s="11">
        <f t="shared" si="15"/>
        <v>0</v>
      </c>
      <c r="CQ11" s="11">
        <f t="shared" si="15"/>
        <v>0</v>
      </c>
      <c r="CR11" s="11">
        <f t="shared" si="15"/>
        <v>0</v>
      </c>
      <c r="CS11" s="11">
        <f t="shared" si="15"/>
        <v>0</v>
      </c>
      <c r="CT11" s="11">
        <f t="shared" si="15"/>
        <v>0</v>
      </c>
      <c r="CU11" s="11">
        <f t="shared" si="15"/>
        <v>0</v>
      </c>
      <c r="CV11" s="11">
        <f t="shared" si="15"/>
        <v>0</v>
      </c>
      <c r="CW11" s="11">
        <f t="shared" si="15"/>
        <v>0</v>
      </c>
      <c r="CX11" s="11">
        <f t="shared" si="15"/>
        <v>0</v>
      </c>
      <c r="CY11" s="11">
        <f t="shared" si="15"/>
        <v>0</v>
      </c>
      <c r="CZ11" s="11">
        <f t="shared" si="15"/>
        <v>0</v>
      </c>
      <c r="DA11" s="11">
        <f t="shared" si="15"/>
        <v>0</v>
      </c>
      <c r="DB11" s="11">
        <f t="shared" si="15"/>
        <v>0</v>
      </c>
      <c r="DC11" s="11">
        <f t="shared" si="15"/>
        <v>0</v>
      </c>
      <c r="DF11" s="46">
        <f t="shared" si="6"/>
        <v>0</v>
      </c>
    </row>
    <row r="12" spans="1:112" ht="43.2" hidden="1">
      <c r="A12" s="124">
        <v>0</v>
      </c>
      <c r="B12" s="5" t="str">
        <f>$B$11&amp;"1."</f>
        <v>D.1.1.</v>
      </c>
      <c r="C12" s="164" t="s">
        <v>592</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6"/>
        <v>0</v>
      </c>
      <c r="DG12">
        <f t="shared" ref="DG12:DG21" si="16">IF(ISNUMBER(E12),E12*100,0)</f>
        <v>21</v>
      </c>
      <c r="DH12">
        <v>0</v>
      </c>
    </row>
    <row r="13" spans="1:112" ht="14.4"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7">COUNTBLANK(H13:DC13)</f>
        <v>0</v>
      </c>
      <c r="DF13" s="46">
        <f t="shared" ref="DF13:DF76" si="18">COUNTIF($H13:$DC13,"&lt;&gt;0")</f>
        <v>0</v>
      </c>
      <c r="DG13">
        <f t="shared" si="16"/>
        <v>21</v>
      </c>
      <c r="DH13">
        <v>0</v>
      </c>
    </row>
    <row r="14" spans="1:112" ht="14.4"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7"/>
        <v>0</v>
      </c>
      <c r="DF14" s="46">
        <f t="shared" si="18"/>
        <v>0</v>
      </c>
      <c r="DG14">
        <f t="shared" si="16"/>
        <v>21</v>
      </c>
      <c r="DH14">
        <v>0</v>
      </c>
    </row>
    <row r="15" spans="1:112" ht="15" hidden="1" customHeight="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7"/>
        <v>0</v>
      </c>
      <c r="DF15" s="46">
        <f t="shared" si="18"/>
        <v>0</v>
      </c>
      <c r="DG15">
        <f t="shared" si="16"/>
        <v>21</v>
      </c>
      <c r="DH15">
        <v>0</v>
      </c>
    </row>
    <row r="16" spans="1:112" ht="15" hidden="1" customHeight="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7"/>
        <v>0</v>
      </c>
      <c r="DF16" s="46">
        <f t="shared" si="18"/>
        <v>0</v>
      </c>
      <c r="DG16">
        <f t="shared" si="16"/>
        <v>21</v>
      </c>
      <c r="DH16">
        <v>0</v>
      </c>
    </row>
    <row r="17" spans="1:112" ht="15" hidden="1" customHeight="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7"/>
        <v>0</v>
      </c>
      <c r="DF17" s="46">
        <f t="shared" si="18"/>
        <v>0</v>
      </c>
      <c r="DG17">
        <f t="shared" si="16"/>
        <v>21</v>
      </c>
      <c r="DH17">
        <v>0</v>
      </c>
    </row>
    <row r="18" spans="1:112" ht="15" hidden="1" customHeight="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7"/>
        <v>0</v>
      </c>
      <c r="DF18" s="46">
        <f t="shared" si="18"/>
        <v>0</v>
      </c>
      <c r="DG18">
        <f t="shared" si="16"/>
        <v>21</v>
      </c>
      <c r="DH18">
        <v>0</v>
      </c>
    </row>
    <row r="19" spans="1:112" ht="15" hidden="1" customHeight="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7"/>
        <v>0</v>
      </c>
      <c r="DF19" s="46">
        <f t="shared" si="18"/>
        <v>0</v>
      </c>
      <c r="DG19">
        <f t="shared" si="16"/>
        <v>21</v>
      </c>
      <c r="DH19">
        <v>0</v>
      </c>
    </row>
    <row r="20" spans="1:112" ht="15" hidden="1" customHeight="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7"/>
        <v>0</v>
      </c>
      <c r="DF20" s="46">
        <f t="shared" si="18"/>
        <v>0</v>
      </c>
      <c r="DG20">
        <f t="shared" si="16"/>
        <v>21</v>
      </c>
      <c r="DH20">
        <v>0</v>
      </c>
    </row>
    <row r="21" spans="1:112" ht="15" hidden="1" customHeight="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6">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7"/>
        <v>0</v>
      </c>
      <c r="DF21" s="46">
        <f t="shared" si="18"/>
        <v>0</v>
      </c>
      <c r="DG21">
        <f t="shared" si="16"/>
        <v>21</v>
      </c>
      <c r="DH21">
        <f>DG21/(100+DG21)</f>
        <v>0.17355371900826447</v>
      </c>
    </row>
    <row r="22" spans="1:112" ht="14.4">
      <c r="A22" s="124">
        <v>10</v>
      </c>
      <c r="B22" s="5" t="s">
        <v>22</v>
      </c>
      <c r="C22" s="15" t="s">
        <v>434</v>
      </c>
      <c r="D22" s="3"/>
      <c r="E22" s="3"/>
      <c r="F22" s="11">
        <f>SUM(F23:F30)+F31</f>
        <v>0</v>
      </c>
      <c r="G22" s="35">
        <f>SUMIF($H$5:$DC$5,"&lt;="&amp;PAL,$H22:$DC22)</f>
        <v>0</v>
      </c>
      <c r="H22" s="11">
        <f>SUM(H23:H30)+H31</f>
        <v>0</v>
      </c>
      <c r="I22" s="11">
        <f t="shared" ref="I22:BT22" si="19">SUM(I23:I30)+I31</f>
        <v>0</v>
      </c>
      <c r="J22" s="11">
        <f t="shared" si="19"/>
        <v>0</v>
      </c>
      <c r="K22" s="11">
        <f t="shared" si="19"/>
        <v>0</v>
      </c>
      <c r="L22" s="11">
        <f t="shared" si="19"/>
        <v>0</v>
      </c>
      <c r="M22" s="11">
        <f t="shared" si="19"/>
        <v>0</v>
      </c>
      <c r="N22" s="11">
        <f t="shared" si="19"/>
        <v>0</v>
      </c>
      <c r="O22" s="11">
        <f t="shared" si="19"/>
        <v>0</v>
      </c>
      <c r="P22" s="11">
        <f t="shared" si="19"/>
        <v>0</v>
      </c>
      <c r="Q22" s="11">
        <f t="shared" si="19"/>
        <v>0</v>
      </c>
      <c r="R22" s="11">
        <f t="shared" si="19"/>
        <v>0</v>
      </c>
      <c r="S22" s="11">
        <f t="shared" si="19"/>
        <v>0</v>
      </c>
      <c r="T22" s="11">
        <f t="shared" si="19"/>
        <v>0</v>
      </c>
      <c r="U22" s="11">
        <f t="shared" si="19"/>
        <v>0</v>
      </c>
      <c r="V22" s="11">
        <f t="shared" si="19"/>
        <v>0</v>
      </c>
      <c r="W22" s="11">
        <f t="shared" si="19"/>
        <v>0</v>
      </c>
      <c r="X22" s="11">
        <f t="shared" si="19"/>
        <v>0</v>
      </c>
      <c r="Y22" s="11">
        <f t="shared" si="19"/>
        <v>0</v>
      </c>
      <c r="Z22" s="11">
        <f t="shared" si="19"/>
        <v>0</v>
      </c>
      <c r="AA22" s="11">
        <f t="shared" si="19"/>
        <v>0</v>
      </c>
      <c r="AB22" s="11">
        <f t="shared" si="19"/>
        <v>0</v>
      </c>
      <c r="AC22" s="11">
        <f t="shared" si="19"/>
        <v>0</v>
      </c>
      <c r="AD22" s="11">
        <f t="shared" si="19"/>
        <v>0</v>
      </c>
      <c r="AE22" s="11">
        <f t="shared" si="19"/>
        <v>0</v>
      </c>
      <c r="AF22" s="11">
        <f t="shared" si="19"/>
        <v>0</v>
      </c>
      <c r="AG22" s="11">
        <f t="shared" si="19"/>
        <v>0</v>
      </c>
      <c r="AH22" s="11">
        <f t="shared" si="19"/>
        <v>0</v>
      </c>
      <c r="AI22" s="11">
        <f t="shared" si="19"/>
        <v>0</v>
      </c>
      <c r="AJ22" s="11">
        <f t="shared" si="19"/>
        <v>0</v>
      </c>
      <c r="AK22" s="11">
        <f t="shared" si="19"/>
        <v>0</v>
      </c>
      <c r="AL22" s="11">
        <f t="shared" si="19"/>
        <v>0</v>
      </c>
      <c r="AM22" s="11">
        <f t="shared" si="19"/>
        <v>0</v>
      </c>
      <c r="AN22" s="11">
        <f t="shared" si="19"/>
        <v>0</v>
      </c>
      <c r="AO22" s="11">
        <f t="shared" si="19"/>
        <v>0</v>
      </c>
      <c r="AP22" s="11">
        <f t="shared" si="19"/>
        <v>0</v>
      </c>
      <c r="AQ22" s="11">
        <f t="shared" si="19"/>
        <v>0</v>
      </c>
      <c r="AR22" s="11">
        <f t="shared" si="19"/>
        <v>0</v>
      </c>
      <c r="AS22" s="11">
        <f t="shared" si="19"/>
        <v>0</v>
      </c>
      <c r="AT22" s="11">
        <f t="shared" si="19"/>
        <v>0</v>
      </c>
      <c r="AU22" s="11">
        <f t="shared" si="19"/>
        <v>0</v>
      </c>
      <c r="AV22" s="11">
        <f t="shared" si="19"/>
        <v>0</v>
      </c>
      <c r="AW22" s="11">
        <f t="shared" si="19"/>
        <v>0</v>
      </c>
      <c r="AX22" s="11">
        <f t="shared" si="19"/>
        <v>0</v>
      </c>
      <c r="AY22" s="11">
        <f t="shared" si="19"/>
        <v>0</v>
      </c>
      <c r="AZ22" s="11">
        <f t="shared" si="19"/>
        <v>0</v>
      </c>
      <c r="BA22" s="11">
        <f t="shared" si="19"/>
        <v>0</v>
      </c>
      <c r="BB22" s="11">
        <f t="shared" si="19"/>
        <v>0</v>
      </c>
      <c r="BC22" s="11">
        <f t="shared" si="19"/>
        <v>0</v>
      </c>
      <c r="BD22" s="11">
        <f t="shared" si="19"/>
        <v>0</v>
      </c>
      <c r="BE22" s="11">
        <f t="shared" si="19"/>
        <v>0</v>
      </c>
      <c r="BF22" s="11">
        <f t="shared" si="19"/>
        <v>0</v>
      </c>
      <c r="BG22" s="11">
        <f t="shared" si="19"/>
        <v>0</v>
      </c>
      <c r="BH22" s="11">
        <f t="shared" si="19"/>
        <v>0</v>
      </c>
      <c r="BI22" s="11">
        <f t="shared" si="19"/>
        <v>0</v>
      </c>
      <c r="BJ22" s="11">
        <f t="shared" si="19"/>
        <v>0</v>
      </c>
      <c r="BK22" s="11">
        <f t="shared" si="19"/>
        <v>0</v>
      </c>
      <c r="BL22" s="11">
        <f t="shared" si="19"/>
        <v>0</v>
      </c>
      <c r="BM22" s="11">
        <f t="shared" si="19"/>
        <v>0</v>
      </c>
      <c r="BN22" s="11">
        <f t="shared" si="19"/>
        <v>0</v>
      </c>
      <c r="BO22" s="11">
        <f t="shared" si="19"/>
        <v>0</v>
      </c>
      <c r="BP22" s="11">
        <f t="shared" si="19"/>
        <v>0</v>
      </c>
      <c r="BQ22" s="11">
        <f t="shared" si="19"/>
        <v>0</v>
      </c>
      <c r="BR22" s="11">
        <f t="shared" si="19"/>
        <v>0</v>
      </c>
      <c r="BS22" s="11">
        <f t="shared" si="19"/>
        <v>0</v>
      </c>
      <c r="BT22" s="11">
        <f t="shared" si="19"/>
        <v>0</v>
      </c>
      <c r="BU22" s="11">
        <f t="shared" ref="BU22:DC22" si="20">SUM(BU23:BU30)+BU31</f>
        <v>0</v>
      </c>
      <c r="BV22" s="11">
        <f t="shared" si="20"/>
        <v>0</v>
      </c>
      <c r="BW22" s="11">
        <f t="shared" si="20"/>
        <v>0</v>
      </c>
      <c r="BX22" s="11">
        <f t="shared" si="20"/>
        <v>0</v>
      </c>
      <c r="BY22" s="11">
        <f t="shared" si="20"/>
        <v>0</v>
      </c>
      <c r="BZ22" s="11">
        <f t="shared" si="20"/>
        <v>0</v>
      </c>
      <c r="CA22" s="11">
        <f t="shared" si="20"/>
        <v>0</v>
      </c>
      <c r="CB22" s="11">
        <f t="shared" si="20"/>
        <v>0</v>
      </c>
      <c r="CC22" s="11">
        <f t="shared" si="20"/>
        <v>0</v>
      </c>
      <c r="CD22" s="11">
        <f t="shared" si="20"/>
        <v>0</v>
      </c>
      <c r="CE22" s="11">
        <f t="shared" si="20"/>
        <v>0</v>
      </c>
      <c r="CF22" s="11">
        <f t="shared" si="20"/>
        <v>0</v>
      </c>
      <c r="CG22" s="11">
        <f t="shared" si="20"/>
        <v>0</v>
      </c>
      <c r="CH22" s="11">
        <f t="shared" si="20"/>
        <v>0</v>
      </c>
      <c r="CI22" s="11">
        <f t="shared" si="20"/>
        <v>0</v>
      </c>
      <c r="CJ22" s="11">
        <f t="shared" si="20"/>
        <v>0</v>
      </c>
      <c r="CK22" s="11">
        <f t="shared" si="20"/>
        <v>0</v>
      </c>
      <c r="CL22" s="11">
        <f t="shared" si="20"/>
        <v>0</v>
      </c>
      <c r="CM22" s="11">
        <f t="shared" si="20"/>
        <v>0</v>
      </c>
      <c r="CN22" s="11">
        <f t="shared" si="20"/>
        <v>0</v>
      </c>
      <c r="CO22" s="11">
        <f t="shared" si="20"/>
        <v>0</v>
      </c>
      <c r="CP22" s="11">
        <f t="shared" si="20"/>
        <v>0</v>
      </c>
      <c r="CQ22" s="11">
        <f t="shared" si="20"/>
        <v>0</v>
      </c>
      <c r="CR22" s="11">
        <f t="shared" si="20"/>
        <v>0</v>
      </c>
      <c r="CS22" s="11">
        <f t="shared" si="20"/>
        <v>0</v>
      </c>
      <c r="CT22" s="11">
        <f t="shared" si="20"/>
        <v>0</v>
      </c>
      <c r="CU22" s="11">
        <f t="shared" si="20"/>
        <v>0</v>
      </c>
      <c r="CV22" s="11">
        <f t="shared" si="20"/>
        <v>0</v>
      </c>
      <c r="CW22" s="11">
        <f t="shared" si="20"/>
        <v>0</v>
      </c>
      <c r="CX22" s="11">
        <f t="shared" si="20"/>
        <v>0</v>
      </c>
      <c r="CY22" s="11">
        <f t="shared" si="20"/>
        <v>0</v>
      </c>
      <c r="CZ22" s="11">
        <f t="shared" si="20"/>
        <v>0</v>
      </c>
      <c r="DA22" s="11">
        <f t="shared" si="20"/>
        <v>0</v>
      </c>
      <c r="DB22" s="11">
        <f t="shared" si="20"/>
        <v>0</v>
      </c>
      <c r="DC22" s="11">
        <f t="shared" si="20"/>
        <v>0</v>
      </c>
      <c r="DF22" s="46">
        <f t="shared" si="18"/>
        <v>0</v>
      </c>
    </row>
    <row r="23" spans="1:112" ht="14.4"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8"/>
        <v>0</v>
      </c>
      <c r="DG23">
        <f t="shared" ref="DG23:DG32" si="21">IF(ISNUMBER(E23),E23*100,0)</f>
        <v>21</v>
      </c>
      <c r="DH23">
        <v>0</v>
      </c>
    </row>
    <row r="24" spans="1:112" ht="15" hidden="1" customHeight="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2">COUNTBLANK(H24:DC24)</f>
        <v>0</v>
      </c>
      <c r="DF24" s="46">
        <f t="shared" si="18"/>
        <v>0</v>
      </c>
      <c r="DG24">
        <f t="shared" si="21"/>
        <v>21</v>
      </c>
      <c r="DH24">
        <v>0</v>
      </c>
    </row>
    <row r="25" spans="1:112" ht="14.4"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2"/>
        <v>0</v>
      </c>
      <c r="DF25" s="46">
        <f t="shared" si="18"/>
        <v>0</v>
      </c>
      <c r="DG25">
        <f t="shared" si="21"/>
        <v>21</v>
      </c>
      <c r="DH25">
        <v>0</v>
      </c>
    </row>
    <row r="26" spans="1:112" ht="14.4"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2"/>
        <v>0</v>
      </c>
      <c r="DF26" s="46">
        <f t="shared" si="18"/>
        <v>0</v>
      </c>
      <c r="DG26">
        <f t="shared" si="21"/>
        <v>21</v>
      </c>
      <c r="DH26">
        <v>0</v>
      </c>
    </row>
    <row r="27" spans="1:112" ht="15" hidden="1" customHeight="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2"/>
        <v>0</v>
      </c>
      <c r="DF27" s="46">
        <f t="shared" si="18"/>
        <v>0</v>
      </c>
      <c r="DG27">
        <f t="shared" si="21"/>
        <v>21</v>
      </c>
      <c r="DH27">
        <v>0</v>
      </c>
    </row>
    <row r="28" spans="1:112" ht="15" hidden="1" customHeight="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2"/>
        <v>0</v>
      </c>
      <c r="DF28" s="46">
        <f t="shared" si="18"/>
        <v>0</v>
      </c>
      <c r="DG28">
        <f t="shared" si="21"/>
        <v>21</v>
      </c>
      <c r="DH28">
        <v>0</v>
      </c>
    </row>
    <row r="29" spans="1:112" ht="15" hidden="1" customHeight="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2"/>
        <v>0</v>
      </c>
      <c r="DF29" s="46">
        <f t="shared" si="18"/>
        <v>0</v>
      </c>
      <c r="DG29">
        <f t="shared" si="21"/>
        <v>21</v>
      </c>
      <c r="DH29">
        <v>0</v>
      </c>
    </row>
    <row r="30" spans="1:112" ht="15" hidden="1" customHeight="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2"/>
        <v>0</v>
      </c>
      <c r="DF30" s="46">
        <f t="shared" si="18"/>
        <v>0</v>
      </c>
      <c r="DG30">
        <f t="shared" si="21"/>
        <v>21</v>
      </c>
      <c r="DH30">
        <v>0</v>
      </c>
    </row>
    <row r="31" spans="1:112" ht="15" hidden="1" customHeight="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2"/>
        <v>0</v>
      </c>
      <c r="DF31" s="46">
        <f t="shared" si="18"/>
        <v>0</v>
      </c>
      <c r="DG31">
        <f t="shared" si="21"/>
        <v>21</v>
      </c>
      <c r="DH31">
        <v>0</v>
      </c>
    </row>
    <row r="32" spans="1:112" ht="15" hidden="1" customHeight="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6">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2"/>
        <v>0</v>
      </c>
      <c r="DF32" s="46">
        <f t="shared" si="18"/>
        <v>0</v>
      </c>
      <c r="DG32">
        <f t="shared" si="21"/>
        <v>21</v>
      </c>
      <c r="DH32">
        <f>DG32/(100+DG32)</f>
        <v>0.17355371900826447</v>
      </c>
    </row>
    <row r="33" spans="1:112" ht="15" customHeight="1">
      <c r="A33" s="124">
        <v>21</v>
      </c>
      <c r="B33" s="37" t="s">
        <v>23</v>
      </c>
      <c r="C33" s="15" t="s">
        <v>1</v>
      </c>
      <c r="D33" s="3"/>
      <c r="E33" s="3"/>
      <c r="F33" s="11">
        <f>SUM(F34:F41)+F42</f>
        <v>0</v>
      </c>
      <c r="G33" s="35">
        <f>SUMIF($H$5:$DC$5,"&lt;="&amp;PAL,$H33:$DC33)</f>
        <v>0</v>
      </c>
      <c r="H33" s="11">
        <f>SUM(H34:H41)+H42</f>
        <v>0</v>
      </c>
      <c r="I33" s="11">
        <f t="shared" ref="I33:BT33" si="23">SUM(I34:I41)+I42</f>
        <v>0</v>
      </c>
      <c r="J33" s="11">
        <f t="shared" si="23"/>
        <v>0</v>
      </c>
      <c r="K33" s="11">
        <f t="shared" si="23"/>
        <v>0</v>
      </c>
      <c r="L33" s="11">
        <f t="shared" si="23"/>
        <v>0</v>
      </c>
      <c r="M33" s="11">
        <f t="shared" si="23"/>
        <v>0</v>
      </c>
      <c r="N33" s="11">
        <f t="shared" si="23"/>
        <v>0</v>
      </c>
      <c r="O33" s="11">
        <f t="shared" si="23"/>
        <v>0</v>
      </c>
      <c r="P33" s="11">
        <f t="shared" si="23"/>
        <v>0</v>
      </c>
      <c r="Q33" s="11">
        <f t="shared" si="23"/>
        <v>0</v>
      </c>
      <c r="R33" s="11">
        <f t="shared" si="23"/>
        <v>0</v>
      </c>
      <c r="S33" s="11">
        <f t="shared" si="23"/>
        <v>0</v>
      </c>
      <c r="T33" s="11">
        <f t="shared" si="23"/>
        <v>0</v>
      </c>
      <c r="U33" s="11">
        <f t="shared" si="23"/>
        <v>0</v>
      </c>
      <c r="V33" s="11">
        <f t="shared" si="23"/>
        <v>0</v>
      </c>
      <c r="W33" s="11">
        <f t="shared" si="23"/>
        <v>0</v>
      </c>
      <c r="X33" s="11">
        <f t="shared" si="23"/>
        <v>0</v>
      </c>
      <c r="Y33" s="11">
        <f t="shared" si="23"/>
        <v>0</v>
      </c>
      <c r="Z33" s="11">
        <f t="shared" si="23"/>
        <v>0</v>
      </c>
      <c r="AA33" s="11">
        <f t="shared" si="23"/>
        <v>0</v>
      </c>
      <c r="AB33" s="11">
        <f t="shared" si="23"/>
        <v>0</v>
      </c>
      <c r="AC33" s="11">
        <f t="shared" si="23"/>
        <v>0</v>
      </c>
      <c r="AD33" s="11">
        <f t="shared" si="23"/>
        <v>0</v>
      </c>
      <c r="AE33" s="11">
        <f t="shared" si="23"/>
        <v>0</v>
      </c>
      <c r="AF33" s="11">
        <f t="shared" si="23"/>
        <v>0</v>
      </c>
      <c r="AG33" s="11">
        <f t="shared" si="23"/>
        <v>0</v>
      </c>
      <c r="AH33" s="11">
        <f t="shared" si="23"/>
        <v>0</v>
      </c>
      <c r="AI33" s="11">
        <f t="shared" si="23"/>
        <v>0</v>
      </c>
      <c r="AJ33" s="11">
        <f t="shared" si="23"/>
        <v>0</v>
      </c>
      <c r="AK33" s="11">
        <f t="shared" si="23"/>
        <v>0</v>
      </c>
      <c r="AL33" s="11">
        <f t="shared" si="23"/>
        <v>0</v>
      </c>
      <c r="AM33" s="11">
        <f t="shared" si="23"/>
        <v>0</v>
      </c>
      <c r="AN33" s="11">
        <f t="shared" si="23"/>
        <v>0</v>
      </c>
      <c r="AO33" s="11">
        <f t="shared" si="23"/>
        <v>0</v>
      </c>
      <c r="AP33" s="11">
        <f t="shared" si="23"/>
        <v>0</v>
      </c>
      <c r="AQ33" s="11">
        <f t="shared" si="23"/>
        <v>0</v>
      </c>
      <c r="AR33" s="11">
        <f t="shared" si="23"/>
        <v>0</v>
      </c>
      <c r="AS33" s="11">
        <f t="shared" si="23"/>
        <v>0</v>
      </c>
      <c r="AT33" s="11">
        <f t="shared" si="23"/>
        <v>0</v>
      </c>
      <c r="AU33" s="11">
        <f t="shared" si="23"/>
        <v>0</v>
      </c>
      <c r="AV33" s="11">
        <f t="shared" si="23"/>
        <v>0</v>
      </c>
      <c r="AW33" s="11">
        <f t="shared" si="23"/>
        <v>0</v>
      </c>
      <c r="AX33" s="11">
        <f t="shared" si="23"/>
        <v>0</v>
      </c>
      <c r="AY33" s="11">
        <f t="shared" si="23"/>
        <v>0</v>
      </c>
      <c r="AZ33" s="11">
        <f t="shared" si="23"/>
        <v>0</v>
      </c>
      <c r="BA33" s="11">
        <f t="shared" si="23"/>
        <v>0</v>
      </c>
      <c r="BB33" s="11">
        <f t="shared" si="23"/>
        <v>0</v>
      </c>
      <c r="BC33" s="11">
        <f t="shared" si="23"/>
        <v>0</v>
      </c>
      <c r="BD33" s="11">
        <f t="shared" si="23"/>
        <v>0</v>
      </c>
      <c r="BE33" s="11">
        <f t="shared" si="23"/>
        <v>0</v>
      </c>
      <c r="BF33" s="11">
        <f t="shared" si="23"/>
        <v>0</v>
      </c>
      <c r="BG33" s="11">
        <f t="shared" si="23"/>
        <v>0</v>
      </c>
      <c r="BH33" s="11">
        <f t="shared" si="23"/>
        <v>0</v>
      </c>
      <c r="BI33" s="11">
        <f t="shared" si="23"/>
        <v>0</v>
      </c>
      <c r="BJ33" s="11">
        <f t="shared" si="23"/>
        <v>0</v>
      </c>
      <c r="BK33" s="11">
        <f t="shared" si="23"/>
        <v>0</v>
      </c>
      <c r="BL33" s="11">
        <f t="shared" si="23"/>
        <v>0</v>
      </c>
      <c r="BM33" s="11">
        <f t="shared" si="23"/>
        <v>0</v>
      </c>
      <c r="BN33" s="11">
        <f t="shared" si="23"/>
        <v>0</v>
      </c>
      <c r="BO33" s="11">
        <f t="shared" si="23"/>
        <v>0</v>
      </c>
      <c r="BP33" s="11">
        <f t="shared" si="23"/>
        <v>0</v>
      </c>
      <c r="BQ33" s="11">
        <f t="shared" si="23"/>
        <v>0</v>
      </c>
      <c r="BR33" s="11">
        <f t="shared" si="23"/>
        <v>0</v>
      </c>
      <c r="BS33" s="11">
        <f t="shared" si="23"/>
        <v>0</v>
      </c>
      <c r="BT33" s="11">
        <f t="shared" si="23"/>
        <v>0</v>
      </c>
      <c r="BU33" s="11">
        <f t="shared" ref="BU33:DC33" si="24">SUM(BU34:BU41)+BU42</f>
        <v>0</v>
      </c>
      <c r="BV33" s="11">
        <f t="shared" si="24"/>
        <v>0</v>
      </c>
      <c r="BW33" s="11">
        <f t="shared" si="24"/>
        <v>0</v>
      </c>
      <c r="BX33" s="11">
        <f t="shared" si="24"/>
        <v>0</v>
      </c>
      <c r="BY33" s="11">
        <f t="shared" si="24"/>
        <v>0</v>
      </c>
      <c r="BZ33" s="11">
        <f t="shared" si="24"/>
        <v>0</v>
      </c>
      <c r="CA33" s="11">
        <f t="shared" si="24"/>
        <v>0</v>
      </c>
      <c r="CB33" s="11">
        <f t="shared" si="24"/>
        <v>0</v>
      </c>
      <c r="CC33" s="11">
        <f t="shared" si="24"/>
        <v>0</v>
      </c>
      <c r="CD33" s="11">
        <f t="shared" si="24"/>
        <v>0</v>
      </c>
      <c r="CE33" s="11">
        <f t="shared" si="24"/>
        <v>0</v>
      </c>
      <c r="CF33" s="11">
        <f t="shared" si="24"/>
        <v>0</v>
      </c>
      <c r="CG33" s="11">
        <f t="shared" si="24"/>
        <v>0</v>
      </c>
      <c r="CH33" s="11">
        <f t="shared" si="24"/>
        <v>0</v>
      </c>
      <c r="CI33" s="11">
        <f t="shared" si="24"/>
        <v>0</v>
      </c>
      <c r="CJ33" s="11">
        <f t="shared" si="24"/>
        <v>0</v>
      </c>
      <c r="CK33" s="11">
        <f t="shared" si="24"/>
        <v>0</v>
      </c>
      <c r="CL33" s="11">
        <f t="shared" si="24"/>
        <v>0</v>
      </c>
      <c r="CM33" s="11">
        <f t="shared" si="24"/>
        <v>0</v>
      </c>
      <c r="CN33" s="11">
        <f t="shared" si="24"/>
        <v>0</v>
      </c>
      <c r="CO33" s="11">
        <f t="shared" si="24"/>
        <v>0</v>
      </c>
      <c r="CP33" s="11">
        <f t="shared" si="24"/>
        <v>0</v>
      </c>
      <c r="CQ33" s="11">
        <f t="shared" si="24"/>
        <v>0</v>
      </c>
      <c r="CR33" s="11">
        <f t="shared" si="24"/>
        <v>0</v>
      </c>
      <c r="CS33" s="11">
        <f t="shared" si="24"/>
        <v>0</v>
      </c>
      <c r="CT33" s="11">
        <f t="shared" si="24"/>
        <v>0</v>
      </c>
      <c r="CU33" s="11">
        <f t="shared" si="24"/>
        <v>0</v>
      </c>
      <c r="CV33" s="11">
        <f t="shared" si="24"/>
        <v>0</v>
      </c>
      <c r="CW33" s="11">
        <f t="shared" si="24"/>
        <v>0</v>
      </c>
      <c r="CX33" s="11">
        <f t="shared" si="24"/>
        <v>0</v>
      </c>
      <c r="CY33" s="11">
        <f t="shared" si="24"/>
        <v>0</v>
      </c>
      <c r="CZ33" s="11">
        <f t="shared" si="24"/>
        <v>0</v>
      </c>
      <c r="DA33" s="11">
        <f t="shared" si="24"/>
        <v>0</v>
      </c>
      <c r="DB33" s="11">
        <f t="shared" si="24"/>
        <v>0</v>
      </c>
      <c r="DC33" s="11">
        <f t="shared" si="24"/>
        <v>0</v>
      </c>
      <c r="DF33" s="46">
        <f t="shared" si="18"/>
        <v>0</v>
      </c>
    </row>
    <row r="34" spans="1:112" ht="14.4"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8"/>
        <v>0</v>
      </c>
      <c r="DG34">
        <f t="shared" ref="DG34:DG43" si="25">IF(ISNUMBER(E34),E34*100,0)</f>
        <v>21</v>
      </c>
      <c r="DH34">
        <v>0</v>
      </c>
    </row>
    <row r="35" spans="1:112" ht="14.4"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6">COUNTBLANK(H35:DC35)</f>
        <v>0</v>
      </c>
      <c r="DF35" s="46">
        <f t="shared" si="18"/>
        <v>0</v>
      </c>
      <c r="DG35">
        <f t="shared" si="25"/>
        <v>21</v>
      </c>
      <c r="DH35">
        <v>0</v>
      </c>
    </row>
    <row r="36" spans="1:112" ht="15" hidden="1" customHeight="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6"/>
        <v>0</v>
      </c>
      <c r="DF36" s="46">
        <f t="shared" si="18"/>
        <v>0</v>
      </c>
      <c r="DG36">
        <f t="shared" si="25"/>
        <v>21</v>
      </c>
      <c r="DH36">
        <v>0</v>
      </c>
    </row>
    <row r="37" spans="1:112" ht="14.4"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6"/>
        <v>0</v>
      </c>
      <c r="DF37" s="46">
        <f t="shared" si="18"/>
        <v>0</v>
      </c>
      <c r="DG37">
        <f t="shared" si="25"/>
        <v>21</v>
      </c>
      <c r="DH37">
        <v>0</v>
      </c>
    </row>
    <row r="38" spans="1:112" ht="15" hidden="1" customHeight="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6"/>
        <v>0</v>
      </c>
      <c r="DF38" s="46">
        <f t="shared" si="18"/>
        <v>0</v>
      </c>
      <c r="DG38">
        <f t="shared" si="25"/>
        <v>21</v>
      </c>
      <c r="DH38">
        <v>0</v>
      </c>
    </row>
    <row r="39" spans="1:112" ht="15" hidden="1" customHeight="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6"/>
        <v>0</v>
      </c>
      <c r="DF39" s="46">
        <f t="shared" si="18"/>
        <v>0</v>
      </c>
      <c r="DG39">
        <f t="shared" si="25"/>
        <v>21</v>
      </c>
      <c r="DH39">
        <v>0</v>
      </c>
    </row>
    <row r="40" spans="1:112" ht="15" hidden="1" customHeight="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6"/>
        <v>0</v>
      </c>
      <c r="DF40" s="46">
        <f t="shared" si="18"/>
        <v>0</v>
      </c>
      <c r="DG40">
        <f t="shared" si="25"/>
        <v>21</v>
      </c>
      <c r="DH40">
        <v>0</v>
      </c>
    </row>
    <row r="41" spans="1:112" ht="15" hidden="1" customHeight="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6"/>
        <v>0</v>
      </c>
      <c r="DF41" s="46">
        <f t="shared" si="18"/>
        <v>0</v>
      </c>
      <c r="DG41">
        <f t="shared" si="25"/>
        <v>21</v>
      </c>
      <c r="DH41">
        <v>0</v>
      </c>
    </row>
    <row r="42" spans="1:112" ht="15" hidden="1" customHeight="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6"/>
        <v>0</v>
      </c>
      <c r="DF42" s="46">
        <f t="shared" si="18"/>
        <v>0</v>
      </c>
      <c r="DG42">
        <f t="shared" si="25"/>
        <v>21</v>
      </c>
      <c r="DH42">
        <v>0</v>
      </c>
    </row>
    <row r="43" spans="1:112" ht="15" hidden="1" customHeight="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6">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6"/>
        <v>0</v>
      </c>
      <c r="DF43" s="46">
        <f t="shared" si="18"/>
        <v>0</v>
      </c>
      <c r="DG43">
        <f t="shared" si="25"/>
        <v>21</v>
      </c>
      <c r="DH43">
        <f>DG43/(100+DG43)</f>
        <v>0.17355371900826447</v>
      </c>
    </row>
    <row r="44" spans="1:112" ht="14.4">
      <c r="A44" s="124">
        <v>32</v>
      </c>
      <c r="B44" s="37" t="s">
        <v>24</v>
      </c>
      <c r="C44" s="161" t="s">
        <v>435</v>
      </c>
      <c r="D44" s="3"/>
      <c r="E44" s="3"/>
      <c r="F44" s="11">
        <f>F45+F56+F67</f>
        <v>12338333.613047894</v>
      </c>
      <c r="G44" s="35">
        <f>SUMIF($H$5:$DC$5,"&lt;="&amp;PAL,$H44:$DC44)</f>
        <v>13460940.4630432</v>
      </c>
      <c r="H44" s="11">
        <f>H45+H56+H67</f>
        <v>1730000</v>
      </c>
      <c r="I44" s="11">
        <f t="shared" ref="I44:BT44" si="27">I45+I56+I67</f>
        <v>3387980.7675319999</v>
      </c>
      <c r="J44" s="11">
        <f t="shared" si="27"/>
        <v>3377730.2703541331</v>
      </c>
      <c r="K44" s="11">
        <f t="shared" si="27"/>
        <v>4210729.4251570664</v>
      </c>
      <c r="L44" s="11">
        <f t="shared" si="27"/>
        <v>5000</v>
      </c>
      <c r="M44" s="11">
        <f t="shared" si="27"/>
        <v>25000</v>
      </c>
      <c r="N44" s="11">
        <f t="shared" si="27"/>
        <v>4500</v>
      </c>
      <c r="O44" s="11">
        <f t="shared" si="27"/>
        <v>0</v>
      </c>
      <c r="P44" s="11">
        <f t="shared" si="27"/>
        <v>0</v>
      </c>
      <c r="Q44" s="11">
        <f t="shared" si="27"/>
        <v>0</v>
      </c>
      <c r="R44" s="11">
        <f t="shared" si="27"/>
        <v>120000</v>
      </c>
      <c r="S44" s="11">
        <f t="shared" si="27"/>
        <v>240000</v>
      </c>
      <c r="T44" s="11">
        <f t="shared" si="27"/>
        <v>120000</v>
      </c>
      <c r="U44" s="11">
        <f t="shared" si="27"/>
        <v>240000</v>
      </c>
      <c r="V44" s="11">
        <f t="shared" si="27"/>
        <v>0</v>
      </c>
      <c r="W44" s="11">
        <f t="shared" si="27"/>
        <v>0</v>
      </c>
      <c r="X44" s="11">
        <f t="shared" si="27"/>
        <v>0</v>
      </c>
      <c r="Y44" s="11">
        <f t="shared" si="27"/>
        <v>0</v>
      </c>
      <c r="Z44" s="11">
        <f t="shared" si="27"/>
        <v>0</v>
      </c>
      <c r="AA44" s="11">
        <f t="shared" si="27"/>
        <v>0</v>
      </c>
      <c r="AB44" s="11">
        <f t="shared" si="27"/>
        <v>0</v>
      </c>
      <c r="AC44" s="11">
        <f t="shared" si="27"/>
        <v>0</v>
      </c>
      <c r="AD44" s="11">
        <f t="shared" si="27"/>
        <v>0</v>
      </c>
      <c r="AE44" s="11">
        <f t="shared" si="27"/>
        <v>0</v>
      </c>
      <c r="AF44" s="11">
        <f t="shared" si="27"/>
        <v>0</v>
      </c>
      <c r="AG44" s="11">
        <f t="shared" si="27"/>
        <v>0</v>
      </c>
      <c r="AH44" s="11">
        <f t="shared" si="27"/>
        <v>0</v>
      </c>
      <c r="AI44" s="11">
        <f t="shared" si="27"/>
        <v>0</v>
      </c>
      <c r="AJ44" s="11">
        <f t="shared" si="27"/>
        <v>0</v>
      </c>
      <c r="AK44" s="11">
        <f t="shared" si="27"/>
        <v>0</v>
      </c>
      <c r="AL44" s="11">
        <f t="shared" si="27"/>
        <v>0</v>
      </c>
      <c r="AM44" s="11">
        <f t="shared" si="27"/>
        <v>0</v>
      </c>
      <c r="AN44" s="11">
        <f t="shared" si="27"/>
        <v>0</v>
      </c>
      <c r="AO44" s="11">
        <f t="shared" si="27"/>
        <v>0</v>
      </c>
      <c r="AP44" s="11">
        <f t="shared" si="27"/>
        <v>0</v>
      </c>
      <c r="AQ44" s="11">
        <f t="shared" si="27"/>
        <v>0</v>
      </c>
      <c r="AR44" s="11">
        <f t="shared" si="27"/>
        <v>0</v>
      </c>
      <c r="AS44" s="11">
        <f t="shared" si="27"/>
        <v>0</v>
      </c>
      <c r="AT44" s="11">
        <f t="shared" si="27"/>
        <v>0</v>
      </c>
      <c r="AU44" s="11">
        <f t="shared" si="27"/>
        <v>0</v>
      </c>
      <c r="AV44" s="11">
        <f t="shared" si="27"/>
        <v>0</v>
      </c>
      <c r="AW44" s="11">
        <f t="shared" si="27"/>
        <v>0</v>
      </c>
      <c r="AX44" s="11">
        <f t="shared" si="27"/>
        <v>0</v>
      </c>
      <c r="AY44" s="11">
        <f t="shared" si="27"/>
        <v>0</v>
      </c>
      <c r="AZ44" s="11">
        <f t="shared" si="27"/>
        <v>0</v>
      </c>
      <c r="BA44" s="11">
        <f t="shared" si="27"/>
        <v>0</v>
      </c>
      <c r="BB44" s="11">
        <f t="shared" si="27"/>
        <v>0</v>
      </c>
      <c r="BC44" s="11">
        <f t="shared" si="27"/>
        <v>0</v>
      </c>
      <c r="BD44" s="11">
        <f t="shared" si="27"/>
        <v>0</v>
      </c>
      <c r="BE44" s="11">
        <f t="shared" si="27"/>
        <v>0</v>
      </c>
      <c r="BF44" s="11">
        <f t="shared" si="27"/>
        <v>0</v>
      </c>
      <c r="BG44" s="11">
        <f t="shared" si="27"/>
        <v>0</v>
      </c>
      <c r="BH44" s="11">
        <f t="shared" si="27"/>
        <v>0</v>
      </c>
      <c r="BI44" s="11">
        <f t="shared" si="27"/>
        <v>0</v>
      </c>
      <c r="BJ44" s="11">
        <f t="shared" si="27"/>
        <v>0</v>
      </c>
      <c r="BK44" s="11">
        <f t="shared" si="27"/>
        <v>0</v>
      </c>
      <c r="BL44" s="11">
        <f t="shared" si="27"/>
        <v>0</v>
      </c>
      <c r="BM44" s="11">
        <f t="shared" si="27"/>
        <v>0</v>
      </c>
      <c r="BN44" s="11">
        <f t="shared" si="27"/>
        <v>0</v>
      </c>
      <c r="BO44" s="11">
        <f t="shared" si="27"/>
        <v>0</v>
      </c>
      <c r="BP44" s="11">
        <f t="shared" si="27"/>
        <v>0</v>
      </c>
      <c r="BQ44" s="11">
        <f t="shared" si="27"/>
        <v>0</v>
      </c>
      <c r="BR44" s="11">
        <f t="shared" si="27"/>
        <v>0</v>
      </c>
      <c r="BS44" s="11">
        <f t="shared" si="27"/>
        <v>0</v>
      </c>
      <c r="BT44" s="11">
        <f t="shared" si="27"/>
        <v>0</v>
      </c>
      <c r="BU44" s="11">
        <f t="shared" ref="BU44:DC44" si="28">BU45+BU56+BU67</f>
        <v>0</v>
      </c>
      <c r="BV44" s="11">
        <f t="shared" si="28"/>
        <v>0</v>
      </c>
      <c r="BW44" s="11">
        <f t="shared" si="28"/>
        <v>0</v>
      </c>
      <c r="BX44" s="11">
        <f t="shared" si="28"/>
        <v>0</v>
      </c>
      <c r="BY44" s="11">
        <f t="shared" si="28"/>
        <v>0</v>
      </c>
      <c r="BZ44" s="11">
        <f t="shared" si="28"/>
        <v>0</v>
      </c>
      <c r="CA44" s="11">
        <f t="shared" si="28"/>
        <v>0</v>
      </c>
      <c r="CB44" s="11">
        <f t="shared" si="28"/>
        <v>0</v>
      </c>
      <c r="CC44" s="11">
        <f t="shared" si="28"/>
        <v>0</v>
      </c>
      <c r="CD44" s="11">
        <f t="shared" si="28"/>
        <v>0</v>
      </c>
      <c r="CE44" s="11">
        <f t="shared" si="28"/>
        <v>0</v>
      </c>
      <c r="CF44" s="11">
        <f t="shared" si="28"/>
        <v>0</v>
      </c>
      <c r="CG44" s="11">
        <f t="shared" si="28"/>
        <v>0</v>
      </c>
      <c r="CH44" s="11">
        <f t="shared" si="28"/>
        <v>0</v>
      </c>
      <c r="CI44" s="11">
        <f t="shared" si="28"/>
        <v>0</v>
      </c>
      <c r="CJ44" s="11">
        <f t="shared" si="28"/>
        <v>0</v>
      </c>
      <c r="CK44" s="11">
        <f t="shared" si="28"/>
        <v>0</v>
      </c>
      <c r="CL44" s="11">
        <f t="shared" si="28"/>
        <v>0</v>
      </c>
      <c r="CM44" s="11">
        <f t="shared" si="28"/>
        <v>0</v>
      </c>
      <c r="CN44" s="11">
        <f t="shared" si="28"/>
        <v>0</v>
      </c>
      <c r="CO44" s="11">
        <f t="shared" si="28"/>
        <v>0</v>
      </c>
      <c r="CP44" s="11">
        <f t="shared" si="28"/>
        <v>0</v>
      </c>
      <c r="CQ44" s="11">
        <f t="shared" si="28"/>
        <v>0</v>
      </c>
      <c r="CR44" s="11">
        <f t="shared" si="28"/>
        <v>0</v>
      </c>
      <c r="CS44" s="11">
        <f t="shared" si="28"/>
        <v>0</v>
      </c>
      <c r="CT44" s="11">
        <f t="shared" si="28"/>
        <v>0</v>
      </c>
      <c r="CU44" s="11">
        <f t="shared" si="28"/>
        <v>0</v>
      </c>
      <c r="CV44" s="11">
        <f t="shared" si="28"/>
        <v>0</v>
      </c>
      <c r="CW44" s="11">
        <f t="shared" si="28"/>
        <v>0</v>
      </c>
      <c r="CX44" s="11">
        <f t="shared" si="28"/>
        <v>0</v>
      </c>
      <c r="CY44" s="11">
        <f t="shared" si="28"/>
        <v>0</v>
      </c>
      <c r="CZ44" s="11">
        <f t="shared" si="28"/>
        <v>0</v>
      </c>
      <c r="DA44" s="11">
        <f t="shared" si="28"/>
        <v>0</v>
      </c>
      <c r="DB44" s="11">
        <f t="shared" si="28"/>
        <v>0</v>
      </c>
      <c r="DC44" s="11">
        <f t="shared" si="28"/>
        <v>0</v>
      </c>
      <c r="DF44" s="46">
        <f t="shared" si="18"/>
        <v>11</v>
      </c>
    </row>
    <row r="45" spans="1:112" ht="15" customHeight="1">
      <c r="A45" s="124">
        <v>33</v>
      </c>
      <c r="B45" s="37" t="s">
        <v>35</v>
      </c>
      <c r="C45" s="15" t="s">
        <v>2</v>
      </c>
      <c r="D45" s="3"/>
      <c r="E45" s="3"/>
      <c r="F45" s="11">
        <f>SUM(F46:F53)+F54</f>
        <v>9549283.3938790597</v>
      </c>
      <c r="G45" s="35">
        <f>SUMIF($H$5:$DC$5,"&lt;="&amp;PAL,$H45:$DC45)</f>
        <v>10400800</v>
      </c>
      <c r="H45" s="11">
        <f>SUM(H46:H53)+H54</f>
        <v>1730000</v>
      </c>
      <c r="I45" s="11">
        <f t="shared" ref="I45:BT45" si="29">SUM(I46:I53)+I54</f>
        <v>3170500</v>
      </c>
      <c r="J45" s="11">
        <f t="shared" si="29"/>
        <v>1827900</v>
      </c>
      <c r="K45" s="11">
        <f t="shared" si="29"/>
        <v>2952399.9999999995</v>
      </c>
      <c r="L45" s="11">
        <f t="shared" si="29"/>
        <v>0</v>
      </c>
      <c r="M45" s="11">
        <f t="shared" si="29"/>
        <v>0</v>
      </c>
      <c r="N45" s="11">
        <f t="shared" si="29"/>
        <v>0</v>
      </c>
      <c r="O45" s="11">
        <f t="shared" si="29"/>
        <v>0</v>
      </c>
      <c r="P45" s="11">
        <f t="shared" si="29"/>
        <v>0</v>
      </c>
      <c r="Q45" s="11">
        <f t="shared" si="29"/>
        <v>0</v>
      </c>
      <c r="R45" s="11">
        <f t="shared" si="29"/>
        <v>120000</v>
      </c>
      <c r="S45" s="11">
        <f t="shared" si="29"/>
        <v>240000</v>
      </c>
      <c r="T45" s="11">
        <f t="shared" si="29"/>
        <v>120000</v>
      </c>
      <c r="U45" s="11">
        <f t="shared" si="29"/>
        <v>240000</v>
      </c>
      <c r="V45" s="11">
        <f t="shared" si="29"/>
        <v>0</v>
      </c>
      <c r="W45" s="11">
        <f t="shared" si="29"/>
        <v>0</v>
      </c>
      <c r="X45" s="11">
        <f t="shared" si="29"/>
        <v>0</v>
      </c>
      <c r="Y45" s="11">
        <f t="shared" si="29"/>
        <v>0</v>
      </c>
      <c r="Z45" s="11">
        <f t="shared" si="29"/>
        <v>0</v>
      </c>
      <c r="AA45" s="11">
        <f t="shared" si="29"/>
        <v>0</v>
      </c>
      <c r="AB45" s="11">
        <f t="shared" si="29"/>
        <v>0</v>
      </c>
      <c r="AC45" s="11">
        <f t="shared" si="29"/>
        <v>0</v>
      </c>
      <c r="AD45" s="11">
        <f t="shared" si="29"/>
        <v>0</v>
      </c>
      <c r="AE45" s="11">
        <f t="shared" si="29"/>
        <v>0</v>
      </c>
      <c r="AF45" s="11">
        <f t="shared" si="29"/>
        <v>0</v>
      </c>
      <c r="AG45" s="11">
        <f t="shared" si="29"/>
        <v>0</v>
      </c>
      <c r="AH45" s="11">
        <f t="shared" si="29"/>
        <v>0</v>
      </c>
      <c r="AI45" s="11">
        <f t="shared" si="29"/>
        <v>0</v>
      </c>
      <c r="AJ45" s="11">
        <f t="shared" si="29"/>
        <v>0</v>
      </c>
      <c r="AK45" s="11">
        <f t="shared" si="29"/>
        <v>0</v>
      </c>
      <c r="AL45" s="11">
        <f t="shared" si="29"/>
        <v>0</v>
      </c>
      <c r="AM45" s="11">
        <f t="shared" si="29"/>
        <v>0</v>
      </c>
      <c r="AN45" s="11">
        <f t="shared" si="29"/>
        <v>0</v>
      </c>
      <c r="AO45" s="11">
        <f t="shared" si="29"/>
        <v>0</v>
      </c>
      <c r="AP45" s="11">
        <f t="shared" si="29"/>
        <v>0</v>
      </c>
      <c r="AQ45" s="11">
        <f t="shared" si="29"/>
        <v>0</v>
      </c>
      <c r="AR45" s="11">
        <f t="shared" si="29"/>
        <v>0</v>
      </c>
      <c r="AS45" s="11">
        <f t="shared" si="29"/>
        <v>0</v>
      </c>
      <c r="AT45" s="11">
        <f t="shared" si="29"/>
        <v>0</v>
      </c>
      <c r="AU45" s="11">
        <f t="shared" si="29"/>
        <v>0</v>
      </c>
      <c r="AV45" s="11">
        <f t="shared" si="29"/>
        <v>0</v>
      </c>
      <c r="AW45" s="11">
        <f t="shared" si="29"/>
        <v>0</v>
      </c>
      <c r="AX45" s="11">
        <f t="shared" si="29"/>
        <v>0</v>
      </c>
      <c r="AY45" s="11">
        <f t="shared" si="29"/>
        <v>0</v>
      </c>
      <c r="AZ45" s="11">
        <f t="shared" si="29"/>
        <v>0</v>
      </c>
      <c r="BA45" s="11">
        <f t="shared" si="29"/>
        <v>0</v>
      </c>
      <c r="BB45" s="11">
        <f t="shared" si="29"/>
        <v>0</v>
      </c>
      <c r="BC45" s="11">
        <f t="shared" si="29"/>
        <v>0</v>
      </c>
      <c r="BD45" s="11">
        <f t="shared" si="29"/>
        <v>0</v>
      </c>
      <c r="BE45" s="11">
        <f t="shared" si="29"/>
        <v>0</v>
      </c>
      <c r="BF45" s="11">
        <f t="shared" si="29"/>
        <v>0</v>
      </c>
      <c r="BG45" s="11">
        <f t="shared" si="29"/>
        <v>0</v>
      </c>
      <c r="BH45" s="11">
        <f t="shared" si="29"/>
        <v>0</v>
      </c>
      <c r="BI45" s="11">
        <f t="shared" si="29"/>
        <v>0</v>
      </c>
      <c r="BJ45" s="11">
        <f t="shared" si="29"/>
        <v>0</v>
      </c>
      <c r="BK45" s="11">
        <f t="shared" si="29"/>
        <v>0</v>
      </c>
      <c r="BL45" s="11">
        <f t="shared" si="29"/>
        <v>0</v>
      </c>
      <c r="BM45" s="11">
        <f t="shared" si="29"/>
        <v>0</v>
      </c>
      <c r="BN45" s="11">
        <f t="shared" si="29"/>
        <v>0</v>
      </c>
      <c r="BO45" s="11">
        <f t="shared" si="29"/>
        <v>0</v>
      </c>
      <c r="BP45" s="11">
        <f t="shared" si="29"/>
        <v>0</v>
      </c>
      <c r="BQ45" s="11">
        <f t="shared" si="29"/>
        <v>0</v>
      </c>
      <c r="BR45" s="11">
        <f t="shared" si="29"/>
        <v>0</v>
      </c>
      <c r="BS45" s="11">
        <f t="shared" si="29"/>
        <v>0</v>
      </c>
      <c r="BT45" s="11">
        <f t="shared" si="29"/>
        <v>0</v>
      </c>
      <c r="BU45" s="11">
        <f t="shared" ref="BU45:DC45" si="30">SUM(BU46:BU53)+BU54</f>
        <v>0</v>
      </c>
      <c r="BV45" s="11">
        <f t="shared" si="30"/>
        <v>0</v>
      </c>
      <c r="BW45" s="11">
        <f t="shared" si="30"/>
        <v>0</v>
      </c>
      <c r="BX45" s="11">
        <f t="shared" si="30"/>
        <v>0</v>
      </c>
      <c r="BY45" s="11">
        <f t="shared" si="30"/>
        <v>0</v>
      </c>
      <c r="BZ45" s="11">
        <f t="shared" si="30"/>
        <v>0</v>
      </c>
      <c r="CA45" s="11">
        <f t="shared" si="30"/>
        <v>0</v>
      </c>
      <c r="CB45" s="11">
        <f t="shared" si="30"/>
        <v>0</v>
      </c>
      <c r="CC45" s="11">
        <f t="shared" si="30"/>
        <v>0</v>
      </c>
      <c r="CD45" s="11">
        <f t="shared" si="30"/>
        <v>0</v>
      </c>
      <c r="CE45" s="11">
        <f t="shared" si="30"/>
        <v>0</v>
      </c>
      <c r="CF45" s="11">
        <f t="shared" si="30"/>
        <v>0</v>
      </c>
      <c r="CG45" s="11">
        <f t="shared" si="30"/>
        <v>0</v>
      </c>
      <c r="CH45" s="11">
        <f t="shared" si="30"/>
        <v>0</v>
      </c>
      <c r="CI45" s="11">
        <f t="shared" si="30"/>
        <v>0</v>
      </c>
      <c r="CJ45" s="11">
        <f t="shared" si="30"/>
        <v>0</v>
      </c>
      <c r="CK45" s="11">
        <f t="shared" si="30"/>
        <v>0</v>
      </c>
      <c r="CL45" s="11">
        <f t="shared" si="30"/>
        <v>0</v>
      </c>
      <c r="CM45" s="11">
        <f t="shared" si="30"/>
        <v>0</v>
      </c>
      <c r="CN45" s="11">
        <f t="shared" si="30"/>
        <v>0</v>
      </c>
      <c r="CO45" s="11">
        <f t="shared" si="30"/>
        <v>0</v>
      </c>
      <c r="CP45" s="11">
        <f t="shared" si="30"/>
        <v>0</v>
      </c>
      <c r="CQ45" s="11">
        <f t="shared" si="30"/>
        <v>0</v>
      </c>
      <c r="CR45" s="11">
        <f t="shared" si="30"/>
        <v>0</v>
      </c>
      <c r="CS45" s="11">
        <f t="shared" si="30"/>
        <v>0</v>
      </c>
      <c r="CT45" s="11">
        <f t="shared" si="30"/>
        <v>0</v>
      </c>
      <c r="CU45" s="11">
        <f t="shared" si="30"/>
        <v>0</v>
      </c>
      <c r="CV45" s="11">
        <f t="shared" si="30"/>
        <v>0</v>
      </c>
      <c r="CW45" s="11">
        <f t="shared" si="30"/>
        <v>0</v>
      </c>
      <c r="CX45" s="11">
        <f t="shared" si="30"/>
        <v>0</v>
      </c>
      <c r="CY45" s="11">
        <f t="shared" si="30"/>
        <v>0</v>
      </c>
      <c r="CZ45" s="11">
        <f t="shared" si="30"/>
        <v>0</v>
      </c>
      <c r="DA45" s="11">
        <f t="shared" si="30"/>
        <v>0</v>
      </c>
      <c r="DB45" s="11">
        <f t="shared" si="30"/>
        <v>0</v>
      </c>
      <c r="DC45" s="11">
        <f t="shared" si="30"/>
        <v>0</v>
      </c>
      <c r="DF45" s="46">
        <f t="shared" si="18"/>
        <v>8</v>
      </c>
    </row>
    <row r="46" spans="1:112" ht="14.4">
      <c r="A46" s="124">
        <v>34</v>
      </c>
      <c r="B46" s="5" t="str">
        <f>$B$45&amp;"1."</f>
        <v>E.1.1.</v>
      </c>
      <c r="C46" s="164" t="s">
        <v>628</v>
      </c>
      <c r="D46" s="6"/>
      <c r="E46" s="192">
        <v>0</v>
      </c>
      <c r="F46" s="35">
        <f>H46+NPV(FD,I46:INDEX(I46:DC46,PAL))</f>
        <v>1730000</v>
      </c>
      <c r="G46" s="35">
        <f>SUMIF($H$5:$DC$5,"&lt;="&amp;PAL,$H46:$DC46)</f>
        <v>1730000</v>
      </c>
      <c r="H46" s="38">
        <f>+Prielaidos!AJ171*1000</f>
        <v>1730000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8"/>
        <v>1</v>
      </c>
      <c r="DG46">
        <f t="shared" ref="DG46:DG55" si="31">IF(ISNUMBER(E46),E46*100,0)</f>
        <v>0</v>
      </c>
      <c r="DH46">
        <v>0</v>
      </c>
    </row>
    <row r="47" spans="1:112" ht="28.8">
      <c r="A47" s="124">
        <v>35</v>
      </c>
      <c r="B47" s="5" t="str">
        <f>$B$45&amp;"2."</f>
        <v>E.1.2.</v>
      </c>
      <c r="C47" s="164" t="s">
        <v>788</v>
      </c>
      <c r="D47" s="6"/>
      <c r="E47" s="192">
        <v>0</v>
      </c>
      <c r="F47" s="35">
        <f>H47+NPV(FD,I47:INDEX(I47:DC47,PAL))</f>
        <v>6807710.7988165673</v>
      </c>
      <c r="G47" s="35">
        <f>SUMIF($H$5:$DC$5,"&lt;="&amp;PAL,$H47:$DC47)</f>
        <v>7350800</v>
      </c>
      <c r="H47" s="38">
        <v>0</v>
      </c>
      <c r="I47" s="38">
        <f>(Prielaidos!AJ56+Prielaidos!AJ123)*1000</f>
        <v>3120500</v>
      </c>
      <c r="J47" s="38">
        <f>+Prielaidos!AJ90*1000</f>
        <v>1307900</v>
      </c>
      <c r="K47" s="38">
        <f>+(Prielaidos!AJ139+Prielaidos!AJ155)*1000</f>
        <v>2922399.9999999995</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2">COUNTBLANK(H47:DC47)</f>
        <v>0</v>
      </c>
      <c r="DF47" s="46">
        <f t="shared" si="18"/>
        <v>3</v>
      </c>
      <c r="DG47">
        <f t="shared" si="31"/>
        <v>0</v>
      </c>
      <c r="DH47">
        <v>0</v>
      </c>
    </row>
    <row r="48" spans="1:112" ht="28.8">
      <c r="A48" s="124">
        <v>36</v>
      </c>
      <c r="B48" s="5" t="str">
        <f>$B$45&amp;"3."</f>
        <v>E.1.3.</v>
      </c>
      <c r="C48" s="164" t="s">
        <v>623</v>
      </c>
      <c r="D48" s="6"/>
      <c r="E48" s="192">
        <v>0.21</v>
      </c>
      <c r="F48" s="35">
        <f>H48+NPV(FD,I48:INDEX(I48:DC48,PAL))</f>
        <v>555516.04460628121</v>
      </c>
      <c r="G48" s="35">
        <f>SUMIF($H$5:$DC$5,"&lt;="&amp;PAL,$H48:$DC48)</f>
        <v>600000</v>
      </c>
      <c r="H48" s="38">
        <v>0</v>
      </c>
      <c r="I48" s="38">
        <f>+Prielaidos!F9</f>
        <v>50000</v>
      </c>
      <c r="J48" s="38">
        <f>+Prielaidos!G9</f>
        <v>520000</v>
      </c>
      <c r="K48" s="38">
        <f>+Prielaidos!H9</f>
        <v>30000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2"/>
        <v>0</v>
      </c>
      <c r="DF48" s="46">
        <f t="shared" si="18"/>
        <v>3</v>
      </c>
      <c r="DG48">
        <f t="shared" si="31"/>
        <v>21</v>
      </c>
      <c r="DH48">
        <v>0</v>
      </c>
    </row>
    <row r="49" spans="1:112" ht="14.4">
      <c r="A49" s="124">
        <v>37</v>
      </c>
      <c r="B49" s="5" t="str">
        <f>$B$45&amp;"4."</f>
        <v>E.1.4.</v>
      </c>
      <c r="C49" s="164"/>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2"/>
        <v>0</v>
      </c>
      <c r="DF49" s="46">
        <f t="shared" si="18"/>
        <v>0</v>
      </c>
      <c r="DG49">
        <f t="shared" si="31"/>
        <v>21</v>
      </c>
      <c r="DH49">
        <v>0</v>
      </c>
    </row>
    <row r="50" spans="1:112" ht="14.4">
      <c r="A50" s="124">
        <v>38</v>
      </c>
      <c r="B50" s="5" t="str">
        <f>$B$45&amp;"5."</f>
        <v>E.1.5.</v>
      </c>
      <c r="C50" s="164"/>
      <c r="D50" s="6"/>
      <c r="E50" s="192">
        <v>0</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2"/>
        <v>0</v>
      </c>
      <c r="DF50" s="46">
        <f t="shared" si="18"/>
        <v>0</v>
      </c>
      <c r="DG50">
        <f t="shared" si="31"/>
        <v>0</v>
      </c>
      <c r="DH50">
        <v>0</v>
      </c>
    </row>
    <row r="51" spans="1:112" ht="14.4">
      <c r="A51" s="124">
        <v>39</v>
      </c>
      <c r="B51" s="5" t="str">
        <f>$B$45&amp;"6."</f>
        <v>E.1.6.</v>
      </c>
      <c r="C51" s="164"/>
      <c r="D51" s="6"/>
      <c r="E51" s="192">
        <v>0</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2"/>
        <v>0</v>
      </c>
      <c r="DF51" s="46">
        <f t="shared" si="18"/>
        <v>0</v>
      </c>
      <c r="DG51">
        <f t="shared" si="31"/>
        <v>0</v>
      </c>
      <c r="DH51">
        <v>0</v>
      </c>
    </row>
    <row r="52" spans="1:112" ht="14.4">
      <c r="A52" s="124">
        <v>40</v>
      </c>
      <c r="B52" s="5" t="str">
        <f>$B$45&amp;"7."</f>
        <v>E.1.7.</v>
      </c>
      <c r="C52" s="164"/>
      <c r="D52" s="6"/>
      <c r="E52" s="192">
        <v>0</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2"/>
        <v>0</v>
      </c>
      <c r="DF52" s="46">
        <f t="shared" si="18"/>
        <v>0</v>
      </c>
      <c r="DG52">
        <f t="shared" si="31"/>
        <v>0</v>
      </c>
      <c r="DH52">
        <v>0</v>
      </c>
    </row>
    <row r="53" spans="1:112" ht="15" customHeight="1">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2"/>
        <v>0</v>
      </c>
      <c r="DF53" s="46">
        <f t="shared" si="18"/>
        <v>0</v>
      </c>
      <c r="DG53">
        <f t="shared" si="31"/>
        <v>21</v>
      </c>
      <c r="DH53">
        <v>0</v>
      </c>
    </row>
    <row r="54" spans="1:112" ht="15" customHeight="1">
      <c r="A54" s="124">
        <v>42</v>
      </c>
      <c r="B54" s="5" t="str">
        <f>$B$45&amp;"9."</f>
        <v>E.1.9.</v>
      </c>
      <c r="C54" s="17" t="s">
        <v>155</v>
      </c>
      <c r="D54" s="5"/>
      <c r="E54" s="192">
        <v>0.21</v>
      </c>
      <c r="F54" s="35">
        <f>H54+NPV(FD,I54:INDEX(I54:DC54,PAL))</f>
        <v>456056.55045621062</v>
      </c>
      <c r="G54" s="35">
        <f>SUMIF($H$5:$DC$5,"&lt;="&amp;PAL,$H54:$DC54)</f>
        <v>720000</v>
      </c>
      <c r="H54" s="165">
        <v>0</v>
      </c>
      <c r="I54" s="165">
        <v>0</v>
      </c>
      <c r="J54" s="165">
        <v>0</v>
      </c>
      <c r="K54" s="165">
        <v>0</v>
      </c>
      <c r="L54" s="165">
        <v>0</v>
      </c>
      <c r="M54" s="165">
        <v>0</v>
      </c>
      <c r="N54" s="165">
        <v>0</v>
      </c>
      <c r="O54" s="165">
        <v>0</v>
      </c>
      <c r="P54" s="165">
        <v>0</v>
      </c>
      <c r="Q54" s="166">
        <v>0</v>
      </c>
      <c r="R54" s="166">
        <f>+Prielaidos!$C$161*2</f>
        <v>120000</v>
      </c>
      <c r="S54" s="166">
        <f>+Prielaidos!$C$161*4</f>
        <v>240000</v>
      </c>
      <c r="T54" s="166">
        <f>+Prielaidos!$C$161*2</f>
        <v>120000</v>
      </c>
      <c r="U54" s="166">
        <f>+Prielaidos!$C$161*4</f>
        <v>240000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2"/>
        <v>0</v>
      </c>
      <c r="DF54" s="46">
        <f t="shared" si="18"/>
        <v>4</v>
      </c>
      <c r="DG54">
        <f t="shared" si="31"/>
        <v>21</v>
      </c>
      <c r="DH54">
        <v>0</v>
      </c>
    </row>
    <row r="55" spans="1:112" ht="15" customHeight="1">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6">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2"/>
        <v>0</v>
      </c>
      <c r="DF55" s="46">
        <f t="shared" si="18"/>
        <v>0</v>
      </c>
      <c r="DG55">
        <f t="shared" si="31"/>
        <v>21</v>
      </c>
      <c r="DH55">
        <f>DG55/(100+DG55)</f>
        <v>0.17355371900826447</v>
      </c>
    </row>
    <row r="56" spans="1:112" ht="15" customHeight="1">
      <c r="A56" s="124">
        <v>44</v>
      </c>
      <c r="B56" s="37" t="s">
        <v>36</v>
      </c>
      <c r="C56" s="15" t="s">
        <v>0</v>
      </c>
      <c r="D56" s="3"/>
      <c r="E56" s="3"/>
      <c r="F56" s="11">
        <f>SUM(F57:F64)+F65</f>
        <v>29267.18041748699</v>
      </c>
      <c r="G56" s="35">
        <f>SUMIF($H$5:$DC$5,"&lt;="&amp;PAL,$H56:$DC56)</f>
        <v>35000</v>
      </c>
      <c r="H56" s="11">
        <f>SUM(H57:H64)+H65</f>
        <v>0</v>
      </c>
      <c r="I56" s="11">
        <f t="shared" ref="I56:BT56" si="33">SUM(I57:I64)+I65</f>
        <v>0</v>
      </c>
      <c r="J56" s="11">
        <f t="shared" si="33"/>
        <v>0</v>
      </c>
      <c r="K56" s="11">
        <f t="shared" si="33"/>
        <v>5000</v>
      </c>
      <c r="L56" s="11">
        <f t="shared" si="33"/>
        <v>5000</v>
      </c>
      <c r="M56" s="11">
        <f t="shared" si="33"/>
        <v>25000</v>
      </c>
      <c r="N56" s="11">
        <f t="shared" si="33"/>
        <v>0</v>
      </c>
      <c r="O56" s="11">
        <f t="shared" si="33"/>
        <v>0</v>
      </c>
      <c r="P56" s="11">
        <f t="shared" si="33"/>
        <v>0</v>
      </c>
      <c r="Q56" s="11">
        <f t="shared" si="33"/>
        <v>0</v>
      </c>
      <c r="R56" s="11">
        <f t="shared" si="33"/>
        <v>0</v>
      </c>
      <c r="S56" s="11">
        <f t="shared" si="33"/>
        <v>0</v>
      </c>
      <c r="T56" s="11">
        <f t="shared" si="33"/>
        <v>0</v>
      </c>
      <c r="U56" s="11">
        <f t="shared" si="33"/>
        <v>0</v>
      </c>
      <c r="V56" s="11">
        <f t="shared" si="33"/>
        <v>0</v>
      </c>
      <c r="W56" s="11">
        <f t="shared" si="33"/>
        <v>0</v>
      </c>
      <c r="X56" s="11">
        <f t="shared" si="33"/>
        <v>0</v>
      </c>
      <c r="Y56" s="11">
        <f t="shared" si="33"/>
        <v>0</v>
      </c>
      <c r="Z56" s="11">
        <f t="shared" si="33"/>
        <v>0</v>
      </c>
      <c r="AA56" s="11">
        <f t="shared" si="33"/>
        <v>0</v>
      </c>
      <c r="AB56" s="11">
        <f t="shared" si="33"/>
        <v>0</v>
      </c>
      <c r="AC56" s="11">
        <f t="shared" si="33"/>
        <v>0</v>
      </c>
      <c r="AD56" s="11">
        <f t="shared" si="33"/>
        <v>0</v>
      </c>
      <c r="AE56" s="11">
        <f t="shared" si="33"/>
        <v>0</v>
      </c>
      <c r="AF56" s="11">
        <f t="shared" si="33"/>
        <v>0</v>
      </c>
      <c r="AG56" s="11">
        <f t="shared" si="33"/>
        <v>0</v>
      </c>
      <c r="AH56" s="11">
        <f t="shared" si="33"/>
        <v>0</v>
      </c>
      <c r="AI56" s="11">
        <f t="shared" si="33"/>
        <v>0</v>
      </c>
      <c r="AJ56" s="11">
        <f t="shared" si="33"/>
        <v>0</v>
      </c>
      <c r="AK56" s="11">
        <f t="shared" si="33"/>
        <v>0</v>
      </c>
      <c r="AL56" s="11">
        <f t="shared" si="33"/>
        <v>0</v>
      </c>
      <c r="AM56" s="11">
        <f t="shared" si="33"/>
        <v>0</v>
      </c>
      <c r="AN56" s="11">
        <f t="shared" si="33"/>
        <v>0</v>
      </c>
      <c r="AO56" s="11">
        <f t="shared" si="33"/>
        <v>0</v>
      </c>
      <c r="AP56" s="11">
        <f t="shared" si="33"/>
        <v>0</v>
      </c>
      <c r="AQ56" s="11">
        <f t="shared" si="33"/>
        <v>0</v>
      </c>
      <c r="AR56" s="11">
        <f t="shared" si="33"/>
        <v>0</v>
      </c>
      <c r="AS56" s="11">
        <f t="shared" si="33"/>
        <v>0</v>
      </c>
      <c r="AT56" s="11">
        <f t="shared" si="33"/>
        <v>0</v>
      </c>
      <c r="AU56" s="11">
        <f t="shared" si="33"/>
        <v>0</v>
      </c>
      <c r="AV56" s="11">
        <f t="shared" si="33"/>
        <v>0</v>
      </c>
      <c r="AW56" s="11">
        <f t="shared" si="33"/>
        <v>0</v>
      </c>
      <c r="AX56" s="11">
        <f t="shared" si="33"/>
        <v>0</v>
      </c>
      <c r="AY56" s="11">
        <f t="shared" si="33"/>
        <v>0</v>
      </c>
      <c r="AZ56" s="11">
        <f t="shared" si="33"/>
        <v>0</v>
      </c>
      <c r="BA56" s="11">
        <f t="shared" si="33"/>
        <v>0</v>
      </c>
      <c r="BB56" s="11">
        <f t="shared" si="33"/>
        <v>0</v>
      </c>
      <c r="BC56" s="11">
        <f t="shared" si="33"/>
        <v>0</v>
      </c>
      <c r="BD56" s="11">
        <f t="shared" si="33"/>
        <v>0</v>
      </c>
      <c r="BE56" s="11">
        <f t="shared" si="33"/>
        <v>0</v>
      </c>
      <c r="BF56" s="11">
        <f t="shared" si="33"/>
        <v>0</v>
      </c>
      <c r="BG56" s="11">
        <f t="shared" si="33"/>
        <v>0</v>
      </c>
      <c r="BH56" s="11">
        <f t="shared" si="33"/>
        <v>0</v>
      </c>
      <c r="BI56" s="11">
        <f t="shared" si="33"/>
        <v>0</v>
      </c>
      <c r="BJ56" s="11">
        <f t="shared" si="33"/>
        <v>0</v>
      </c>
      <c r="BK56" s="11">
        <f t="shared" si="33"/>
        <v>0</v>
      </c>
      <c r="BL56" s="11">
        <f t="shared" si="33"/>
        <v>0</v>
      </c>
      <c r="BM56" s="11">
        <f t="shared" si="33"/>
        <v>0</v>
      </c>
      <c r="BN56" s="11">
        <f t="shared" si="33"/>
        <v>0</v>
      </c>
      <c r="BO56" s="11">
        <f t="shared" si="33"/>
        <v>0</v>
      </c>
      <c r="BP56" s="11">
        <f t="shared" si="33"/>
        <v>0</v>
      </c>
      <c r="BQ56" s="11">
        <f t="shared" si="33"/>
        <v>0</v>
      </c>
      <c r="BR56" s="11">
        <f t="shared" si="33"/>
        <v>0</v>
      </c>
      <c r="BS56" s="11">
        <f t="shared" si="33"/>
        <v>0</v>
      </c>
      <c r="BT56" s="11">
        <f t="shared" si="33"/>
        <v>0</v>
      </c>
      <c r="BU56" s="11">
        <f t="shared" ref="BU56:DC56" si="34">SUM(BU57:BU64)+BU65</f>
        <v>0</v>
      </c>
      <c r="BV56" s="11">
        <f t="shared" si="34"/>
        <v>0</v>
      </c>
      <c r="BW56" s="11">
        <f t="shared" si="34"/>
        <v>0</v>
      </c>
      <c r="BX56" s="11">
        <f t="shared" si="34"/>
        <v>0</v>
      </c>
      <c r="BY56" s="11">
        <f t="shared" si="34"/>
        <v>0</v>
      </c>
      <c r="BZ56" s="11">
        <f t="shared" si="34"/>
        <v>0</v>
      </c>
      <c r="CA56" s="11">
        <f t="shared" si="34"/>
        <v>0</v>
      </c>
      <c r="CB56" s="11">
        <f t="shared" si="34"/>
        <v>0</v>
      </c>
      <c r="CC56" s="11">
        <f t="shared" si="34"/>
        <v>0</v>
      </c>
      <c r="CD56" s="11">
        <f t="shared" si="34"/>
        <v>0</v>
      </c>
      <c r="CE56" s="11">
        <f t="shared" si="34"/>
        <v>0</v>
      </c>
      <c r="CF56" s="11">
        <f t="shared" si="34"/>
        <v>0</v>
      </c>
      <c r="CG56" s="11">
        <f t="shared" si="34"/>
        <v>0</v>
      </c>
      <c r="CH56" s="11">
        <f t="shared" si="34"/>
        <v>0</v>
      </c>
      <c r="CI56" s="11">
        <f t="shared" si="34"/>
        <v>0</v>
      </c>
      <c r="CJ56" s="11">
        <f t="shared" si="34"/>
        <v>0</v>
      </c>
      <c r="CK56" s="11">
        <f t="shared" si="34"/>
        <v>0</v>
      </c>
      <c r="CL56" s="11">
        <f t="shared" si="34"/>
        <v>0</v>
      </c>
      <c r="CM56" s="11">
        <f t="shared" si="34"/>
        <v>0</v>
      </c>
      <c r="CN56" s="11">
        <f t="shared" si="34"/>
        <v>0</v>
      </c>
      <c r="CO56" s="11">
        <f t="shared" si="34"/>
        <v>0</v>
      </c>
      <c r="CP56" s="11">
        <f t="shared" si="34"/>
        <v>0</v>
      </c>
      <c r="CQ56" s="11">
        <f t="shared" si="34"/>
        <v>0</v>
      </c>
      <c r="CR56" s="11">
        <f t="shared" si="34"/>
        <v>0</v>
      </c>
      <c r="CS56" s="11">
        <f t="shared" si="34"/>
        <v>0</v>
      </c>
      <c r="CT56" s="11">
        <f t="shared" si="34"/>
        <v>0</v>
      </c>
      <c r="CU56" s="11">
        <f t="shared" si="34"/>
        <v>0</v>
      </c>
      <c r="CV56" s="11">
        <f t="shared" si="34"/>
        <v>0</v>
      </c>
      <c r="CW56" s="11">
        <f t="shared" si="34"/>
        <v>0</v>
      </c>
      <c r="CX56" s="11">
        <f t="shared" si="34"/>
        <v>0</v>
      </c>
      <c r="CY56" s="11">
        <f t="shared" si="34"/>
        <v>0</v>
      </c>
      <c r="CZ56" s="11">
        <f t="shared" si="34"/>
        <v>0</v>
      </c>
      <c r="DA56" s="11">
        <f t="shared" si="34"/>
        <v>0</v>
      </c>
      <c r="DB56" s="11">
        <f t="shared" si="34"/>
        <v>0</v>
      </c>
      <c r="DC56" s="11">
        <f t="shared" si="34"/>
        <v>0</v>
      </c>
      <c r="DF56" s="46">
        <f t="shared" si="18"/>
        <v>3</v>
      </c>
    </row>
    <row r="57" spans="1:112" ht="28.8">
      <c r="A57" s="124">
        <v>45</v>
      </c>
      <c r="B57" s="5" t="str">
        <f>$B$56&amp;"1."</f>
        <v>E.2.1.</v>
      </c>
      <c r="C57" s="164" t="s">
        <v>809</v>
      </c>
      <c r="D57" s="6"/>
      <c r="E57" s="192">
        <v>0.21</v>
      </c>
      <c r="F57" s="35">
        <f>H57+NPV(FD,I57:INDEX(I57:DC57,PAL))</f>
        <v>29267.18041748699</v>
      </c>
      <c r="G57" s="35">
        <f>SUMIF($H$5:$DC$5,"&lt;="&amp;PAL,$H57:$DC57)</f>
        <v>35000</v>
      </c>
      <c r="H57" s="38">
        <v>0</v>
      </c>
      <c r="I57" s="38">
        <v>0</v>
      </c>
      <c r="J57" s="38">
        <v>0</v>
      </c>
      <c r="K57" s="38">
        <f>+Prielaidos!F12</f>
        <v>5000</v>
      </c>
      <c r="L57" s="38">
        <f>+Prielaidos!G12</f>
        <v>5000</v>
      </c>
      <c r="M57" s="38">
        <f>+Prielaidos!H12</f>
        <v>25000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8"/>
        <v>3</v>
      </c>
      <c r="DG57">
        <f t="shared" ref="DG57:DG66" si="35">IF(ISNUMBER(E57),E57*100,0)</f>
        <v>21</v>
      </c>
      <c r="DH57">
        <v>0</v>
      </c>
    </row>
    <row r="58" spans="1:112" ht="15" customHeight="1">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6">COUNTBLANK(H58:DC58)</f>
        <v>0</v>
      </c>
      <c r="DF58" s="46">
        <f t="shared" si="18"/>
        <v>0</v>
      </c>
      <c r="DG58">
        <f t="shared" si="35"/>
        <v>21</v>
      </c>
      <c r="DH58">
        <v>0</v>
      </c>
    </row>
    <row r="59" spans="1:112" ht="15" customHeight="1">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6"/>
        <v>0</v>
      </c>
      <c r="DF59" s="46">
        <f t="shared" si="18"/>
        <v>0</v>
      </c>
      <c r="DG59">
        <f t="shared" si="35"/>
        <v>21</v>
      </c>
      <c r="DH59">
        <v>0</v>
      </c>
    </row>
    <row r="60" spans="1:112" ht="15" customHeight="1">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6"/>
        <v>0</v>
      </c>
      <c r="DF60" s="46">
        <f t="shared" si="18"/>
        <v>0</v>
      </c>
      <c r="DG60">
        <f t="shared" si="35"/>
        <v>21</v>
      </c>
      <c r="DH60">
        <v>0</v>
      </c>
    </row>
    <row r="61" spans="1:112" ht="15" customHeight="1">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6"/>
        <v>0</v>
      </c>
      <c r="DF61" s="46">
        <f t="shared" si="18"/>
        <v>0</v>
      </c>
      <c r="DG61">
        <f t="shared" si="35"/>
        <v>21</v>
      </c>
      <c r="DH61">
        <v>0</v>
      </c>
    </row>
    <row r="62" spans="1:112" ht="15" customHeight="1">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6"/>
        <v>0</v>
      </c>
      <c r="DF62" s="46">
        <f t="shared" si="18"/>
        <v>0</v>
      </c>
      <c r="DG62">
        <f t="shared" si="35"/>
        <v>21</v>
      </c>
      <c r="DH62">
        <v>0</v>
      </c>
    </row>
    <row r="63" spans="1:112" ht="15" customHeight="1">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6"/>
        <v>0</v>
      </c>
      <c r="DF63" s="46">
        <f t="shared" si="18"/>
        <v>0</v>
      </c>
      <c r="DG63">
        <f t="shared" si="35"/>
        <v>21</v>
      </c>
      <c r="DH63">
        <v>0</v>
      </c>
    </row>
    <row r="64" spans="1:112" ht="15" customHeight="1">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6"/>
        <v>0</v>
      </c>
      <c r="DF64" s="46">
        <f t="shared" si="18"/>
        <v>0</v>
      </c>
      <c r="DG64">
        <f t="shared" si="35"/>
        <v>21</v>
      </c>
      <c r="DH64">
        <v>0</v>
      </c>
    </row>
    <row r="65" spans="1:112" ht="15" customHeight="1">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6"/>
        <v>0</v>
      </c>
      <c r="DF65" s="46">
        <f t="shared" si="18"/>
        <v>0</v>
      </c>
      <c r="DG65">
        <f t="shared" si="35"/>
        <v>21</v>
      </c>
      <c r="DH65">
        <v>0</v>
      </c>
    </row>
    <row r="66" spans="1:112" ht="15" customHeight="1">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6">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6"/>
        <v>0</v>
      </c>
      <c r="DF66" s="46">
        <f t="shared" si="18"/>
        <v>0</v>
      </c>
      <c r="DG66">
        <f t="shared" si="35"/>
        <v>21</v>
      </c>
      <c r="DH66">
        <f>DG66/(100+DG66)</f>
        <v>0.17355371900826447</v>
      </c>
    </row>
    <row r="67" spans="1:112" ht="15" customHeight="1">
      <c r="A67" s="124">
        <v>55</v>
      </c>
      <c r="B67" s="5" t="s">
        <v>37</v>
      </c>
      <c r="C67" s="15" t="s">
        <v>208</v>
      </c>
      <c r="D67" s="3"/>
      <c r="E67" s="3"/>
      <c r="F67" s="11">
        <f>SUM(F68:F75)+F76</f>
        <v>2759783.0387513479</v>
      </c>
      <c r="G67" s="35">
        <f>SUMIF($H$5:$DC$5,"&lt;="&amp;PAL,$H67:$DC67)</f>
        <v>3025140.4630431999</v>
      </c>
      <c r="H67" s="11">
        <f>SUM(H68:H75)+H76</f>
        <v>0</v>
      </c>
      <c r="I67" s="11">
        <f t="shared" ref="I67:BT67" si="37">SUM(I68:I75)+I76</f>
        <v>217480.76753200003</v>
      </c>
      <c r="J67" s="11">
        <f t="shared" si="37"/>
        <v>1549830.2703541333</v>
      </c>
      <c r="K67" s="11">
        <f t="shared" si="37"/>
        <v>1253329.4251570667</v>
      </c>
      <c r="L67" s="11">
        <f t="shared" si="37"/>
        <v>0</v>
      </c>
      <c r="M67" s="11">
        <f t="shared" si="37"/>
        <v>0</v>
      </c>
      <c r="N67" s="11">
        <f t="shared" si="37"/>
        <v>4500</v>
      </c>
      <c r="O67" s="11">
        <f t="shared" si="37"/>
        <v>0</v>
      </c>
      <c r="P67" s="11">
        <f t="shared" si="37"/>
        <v>0</v>
      </c>
      <c r="Q67" s="11">
        <f t="shared" si="37"/>
        <v>0</v>
      </c>
      <c r="R67" s="11">
        <f t="shared" si="37"/>
        <v>0</v>
      </c>
      <c r="S67" s="11">
        <f t="shared" si="37"/>
        <v>0</v>
      </c>
      <c r="T67" s="11">
        <f t="shared" si="37"/>
        <v>0</v>
      </c>
      <c r="U67" s="11">
        <f t="shared" si="37"/>
        <v>0</v>
      </c>
      <c r="V67" s="11">
        <f t="shared" si="37"/>
        <v>0</v>
      </c>
      <c r="W67" s="11">
        <f t="shared" si="37"/>
        <v>0</v>
      </c>
      <c r="X67" s="11">
        <f t="shared" si="37"/>
        <v>0</v>
      </c>
      <c r="Y67" s="11">
        <f t="shared" si="37"/>
        <v>0</v>
      </c>
      <c r="Z67" s="11">
        <f t="shared" si="37"/>
        <v>0</v>
      </c>
      <c r="AA67" s="11">
        <f t="shared" si="37"/>
        <v>0</v>
      </c>
      <c r="AB67" s="11">
        <f t="shared" si="37"/>
        <v>0</v>
      </c>
      <c r="AC67" s="11">
        <f t="shared" si="37"/>
        <v>0</v>
      </c>
      <c r="AD67" s="11">
        <f t="shared" si="37"/>
        <v>0</v>
      </c>
      <c r="AE67" s="11">
        <f t="shared" si="37"/>
        <v>0</v>
      </c>
      <c r="AF67" s="11">
        <f t="shared" si="37"/>
        <v>0</v>
      </c>
      <c r="AG67" s="11">
        <f t="shared" si="37"/>
        <v>0</v>
      </c>
      <c r="AH67" s="11">
        <f t="shared" si="37"/>
        <v>0</v>
      </c>
      <c r="AI67" s="11">
        <f t="shared" si="37"/>
        <v>0</v>
      </c>
      <c r="AJ67" s="11">
        <f t="shared" si="37"/>
        <v>0</v>
      </c>
      <c r="AK67" s="11">
        <f t="shared" si="37"/>
        <v>0</v>
      </c>
      <c r="AL67" s="11">
        <f t="shared" si="37"/>
        <v>0</v>
      </c>
      <c r="AM67" s="11">
        <f t="shared" si="37"/>
        <v>0</v>
      </c>
      <c r="AN67" s="11">
        <f t="shared" si="37"/>
        <v>0</v>
      </c>
      <c r="AO67" s="11">
        <f t="shared" si="37"/>
        <v>0</v>
      </c>
      <c r="AP67" s="11">
        <f t="shared" si="37"/>
        <v>0</v>
      </c>
      <c r="AQ67" s="11">
        <f t="shared" si="37"/>
        <v>0</v>
      </c>
      <c r="AR67" s="11">
        <f t="shared" si="37"/>
        <v>0</v>
      </c>
      <c r="AS67" s="11">
        <f t="shared" si="37"/>
        <v>0</v>
      </c>
      <c r="AT67" s="11">
        <f t="shared" si="37"/>
        <v>0</v>
      </c>
      <c r="AU67" s="11">
        <f t="shared" si="37"/>
        <v>0</v>
      </c>
      <c r="AV67" s="11">
        <f t="shared" si="37"/>
        <v>0</v>
      </c>
      <c r="AW67" s="11">
        <f t="shared" si="37"/>
        <v>0</v>
      </c>
      <c r="AX67" s="11">
        <f t="shared" si="37"/>
        <v>0</v>
      </c>
      <c r="AY67" s="11">
        <f t="shared" si="37"/>
        <v>0</v>
      </c>
      <c r="AZ67" s="11">
        <f t="shared" si="37"/>
        <v>0</v>
      </c>
      <c r="BA67" s="11">
        <f t="shared" si="37"/>
        <v>0</v>
      </c>
      <c r="BB67" s="11">
        <f t="shared" si="37"/>
        <v>0</v>
      </c>
      <c r="BC67" s="11">
        <f t="shared" si="37"/>
        <v>0</v>
      </c>
      <c r="BD67" s="11">
        <f t="shared" si="37"/>
        <v>0</v>
      </c>
      <c r="BE67" s="11">
        <f t="shared" si="37"/>
        <v>0</v>
      </c>
      <c r="BF67" s="11">
        <f t="shared" si="37"/>
        <v>0</v>
      </c>
      <c r="BG67" s="11">
        <f t="shared" si="37"/>
        <v>0</v>
      </c>
      <c r="BH67" s="11">
        <f t="shared" si="37"/>
        <v>0</v>
      </c>
      <c r="BI67" s="11">
        <f t="shared" si="37"/>
        <v>0</v>
      </c>
      <c r="BJ67" s="11">
        <f t="shared" si="37"/>
        <v>0</v>
      </c>
      <c r="BK67" s="11">
        <f t="shared" si="37"/>
        <v>0</v>
      </c>
      <c r="BL67" s="11">
        <f t="shared" si="37"/>
        <v>0</v>
      </c>
      <c r="BM67" s="11">
        <f t="shared" si="37"/>
        <v>0</v>
      </c>
      <c r="BN67" s="11">
        <f t="shared" si="37"/>
        <v>0</v>
      </c>
      <c r="BO67" s="11">
        <f t="shared" si="37"/>
        <v>0</v>
      </c>
      <c r="BP67" s="11">
        <f t="shared" si="37"/>
        <v>0</v>
      </c>
      <c r="BQ67" s="11">
        <f t="shared" si="37"/>
        <v>0</v>
      </c>
      <c r="BR67" s="11">
        <f t="shared" si="37"/>
        <v>0</v>
      </c>
      <c r="BS67" s="11">
        <f t="shared" si="37"/>
        <v>0</v>
      </c>
      <c r="BT67" s="11">
        <f t="shared" si="37"/>
        <v>0</v>
      </c>
      <c r="BU67" s="11">
        <f t="shared" ref="BU67:DC67" si="38">SUM(BU68:BU75)+BU76</f>
        <v>0</v>
      </c>
      <c r="BV67" s="11">
        <f t="shared" si="38"/>
        <v>0</v>
      </c>
      <c r="BW67" s="11">
        <f t="shared" si="38"/>
        <v>0</v>
      </c>
      <c r="BX67" s="11">
        <f t="shared" si="38"/>
        <v>0</v>
      </c>
      <c r="BY67" s="11">
        <f t="shared" si="38"/>
        <v>0</v>
      </c>
      <c r="BZ67" s="11">
        <f t="shared" si="38"/>
        <v>0</v>
      </c>
      <c r="CA67" s="11">
        <f t="shared" si="38"/>
        <v>0</v>
      </c>
      <c r="CB67" s="11">
        <f t="shared" si="38"/>
        <v>0</v>
      </c>
      <c r="CC67" s="11">
        <f t="shared" si="38"/>
        <v>0</v>
      </c>
      <c r="CD67" s="11">
        <f t="shared" si="38"/>
        <v>0</v>
      </c>
      <c r="CE67" s="11">
        <f t="shared" si="38"/>
        <v>0</v>
      </c>
      <c r="CF67" s="11">
        <f t="shared" si="38"/>
        <v>0</v>
      </c>
      <c r="CG67" s="11">
        <f t="shared" si="38"/>
        <v>0</v>
      </c>
      <c r="CH67" s="11">
        <f t="shared" si="38"/>
        <v>0</v>
      </c>
      <c r="CI67" s="11">
        <f t="shared" si="38"/>
        <v>0</v>
      </c>
      <c r="CJ67" s="11">
        <f t="shared" si="38"/>
        <v>0</v>
      </c>
      <c r="CK67" s="11">
        <f t="shared" si="38"/>
        <v>0</v>
      </c>
      <c r="CL67" s="11">
        <f t="shared" si="38"/>
        <v>0</v>
      </c>
      <c r="CM67" s="11">
        <f t="shared" si="38"/>
        <v>0</v>
      </c>
      <c r="CN67" s="11">
        <f t="shared" si="38"/>
        <v>0</v>
      </c>
      <c r="CO67" s="11">
        <f t="shared" si="38"/>
        <v>0</v>
      </c>
      <c r="CP67" s="11">
        <f t="shared" si="38"/>
        <v>0</v>
      </c>
      <c r="CQ67" s="11">
        <f t="shared" si="38"/>
        <v>0</v>
      </c>
      <c r="CR67" s="11">
        <f t="shared" si="38"/>
        <v>0</v>
      </c>
      <c r="CS67" s="11">
        <f t="shared" si="38"/>
        <v>0</v>
      </c>
      <c r="CT67" s="11">
        <f t="shared" si="38"/>
        <v>0</v>
      </c>
      <c r="CU67" s="11">
        <f t="shared" si="38"/>
        <v>0</v>
      </c>
      <c r="CV67" s="11">
        <f t="shared" si="38"/>
        <v>0</v>
      </c>
      <c r="CW67" s="11">
        <f t="shared" si="38"/>
        <v>0</v>
      </c>
      <c r="CX67" s="11">
        <f t="shared" si="38"/>
        <v>0</v>
      </c>
      <c r="CY67" s="11">
        <f t="shared" si="38"/>
        <v>0</v>
      </c>
      <c r="CZ67" s="11">
        <f t="shared" si="38"/>
        <v>0</v>
      </c>
      <c r="DA67" s="11">
        <f t="shared" si="38"/>
        <v>0</v>
      </c>
      <c r="DB67" s="11">
        <f t="shared" si="38"/>
        <v>0</v>
      </c>
      <c r="DC67" s="11">
        <f t="shared" si="38"/>
        <v>0</v>
      </c>
      <c r="DF67" s="46">
        <f t="shared" si="18"/>
        <v>4</v>
      </c>
    </row>
    <row r="68" spans="1:112" ht="14.4">
      <c r="A68" s="124">
        <v>56</v>
      </c>
      <c r="B68" s="5" t="str">
        <f>$B$67&amp;"1."</f>
        <v>E.3.1.</v>
      </c>
      <c r="C68" s="164" t="s">
        <v>626</v>
      </c>
      <c r="D68" s="6"/>
      <c r="E68" s="192">
        <v>0</v>
      </c>
      <c r="F68" s="35">
        <f>H68+NPV(FD,I68:INDEX(I68:DC68,PAL))</f>
        <v>2040549.0925728057</v>
      </c>
      <c r="G68" s="35">
        <f>SUMIF($H$5:$DC$5,"&lt;="&amp;PAL,$H68:$DC68)</f>
        <v>2229976.3974496</v>
      </c>
      <c r="H68" s="38">
        <f>+Prielaidos!AF30</f>
        <v>0</v>
      </c>
      <c r="I68" s="38">
        <f>+Prielaidos!AG30</f>
        <v>217480.76753200003</v>
      </c>
      <c r="J68" s="38">
        <f>+Prielaidos!AH30+Prielaidos!T229</f>
        <v>1190434.6596901333</v>
      </c>
      <c r="K68" s="38">
        <f>+Prielaidos!AI30+Prielaidos!U230</f>
        <v>822060.97022746666</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8"/>
        <v>3</v>
      </c>
      <c r="DG68">
        <f t="shared" ref="DG68:DG77" si="39">IF(ISNUMBER(E68),E68*100,0)</f>
        <v>0</v>
      </c>
      <c r="DH68">
        <v>0</v>
      </c>
    </row>
    <row r="69" spans="1:112" ht="14.4">
      <c r="A69" s="124">
        <v>57</v>
      </c>
      <c r="B69" s="5" t="str">
        <f>$B$67&amp;"2."</f>
        <v>E.3.2.</v>
      </c>
      <c r="C69" s="164" t="s">
        <v>624</v>
      </c>
      <c r="D69" s="6"/>
      <c r="E69" s="192">
        <v>0</v>
      </c>
      <c r="F69" s="35">
        <f>H69+NPV(FD,I69:INDEX(I69:DC69,PAL))</f>
        <v>693185.92293838179</v>
      </c>
      <c r="G69" s="35">
        <f>SUMIF($H$5:$DC$5,"&lt;="&amp;PAL,$H69:$DC69)</f>
        <v>766164.06559360004</v>
      </c>
      <c r="H69" s="38">
        <f>+Prielaidos!AF41</f>
        <v>0</v>
      </c>
      <c r="I69" s="38">
        <f>+Prielaidos!AG41</f>
        <v>0</v>
      </c>
      <c r="J69" s="38">
        <f>+Prielaidos!AH41</f>
        <v>339395.61066400004</v>
      </c>
      <c r="K69" s="38">
        <f>+Prielaidos!AI41</f>
        <v>426768.4549296</v>
      </c>
      <c r="L69" s="38">
        <f>+Prielaidos!AJ41</f>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40">COUNTBLANK(H69:DC69)</f>
        <v>0</v>
      </c>
      <c r="DF69" s="46">
        <f t="shared" si="18"/>
        <v>2</v>
      </c>
      <c r="DG69">
        <f t="shared" si="39"/>
        <v>0</v>
      </c>
      <c r="DH69">
        <v>0</v>
      </c>
    </row>
    <row r="70" spans="1:112" ht="28.8">
      <c r="A70" s="124">
        <v>58</v>
      </c>
      <c r="B70" s="5" t="str">
        <f>$B$67&amp;"3."</f>
        <v>E.3.3.</v>
      </c>
      <c r="C70" s="164" t="s">
        <v>811</v>
      </c>
      <c r="D70" s="6"/>
      <c r="E70" s="192">
        <v>0</v>
      </c>
      <c r="F70" s="35">
        <f>H70+NPV(FD,I70:INDEX(I70:DC70,PAL))</f>
        <v>18491.124260355027</v>
      </c>
      <c r="G70" s="35">
        <f>SUMIF($H$5:$DC$5,"&lt;="&amp;PAL,$H70:$DC70)</f>
        <v>20000</v>
      </c>
      <c r="H70" s="38">
        <v>0</v>
      </c>
      <c r="I70" s="38">
        <v>0</v>
      </c>
      <c r="J70" s="38">
        <f>+Prielaidos!E14</f>
        <v>20000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40"/>
        <v>0</v>
      </c>
      <c r="DF70" s="46">
        <f t="shared" si="18"/>
        <v>1</v>
      </c>
      <c r="DG70">
        <f t="shared" si="39"/>
        <v>0</v>
      </c>
      <c r="DH70">
        <v>0</v>
      </c>
    </row>
    <row r="71" spans="1:112" ht="14.4">
      <c r="A71" s="124">
        <v>59</v>
      </c>
      <c r="B71" s="5" t="str">
        <f>$B$67&amp;"4."</f>
        <v>E.3.4.</v>
      </c>
      <c r="C71" s="164" t="s">
        <v>810</v>
      </c>
      <c r="D71" s="6"/>
      <c r="E71" s="192">
        <v>0</v>
      </c>
      <c r="F71" s="35">
        <f>H71+NPV(FD,I71:INDEX(I71:DC71,PAL))</f>
        <v>7556.8989798047714</v>
      </c>
      <c r="G71" s="35">
        <f>SUMIF($H$5:$DC$5,"&lt;="&amp;PAL,$H71:$DC71)</f>
        <v>9000</v>
      </c>
      <c r="H71" s="38">
        <v>0</v>
      </c>
      <c r="I71" s="38">
        <v>0</v>
      </c>
      <c r="J71" s="38">
        <v>0</v>
      </c>
      <c r="K71" s="38">
        <f>+Prielaidos!H6*3*3</f>
        <v>4500</v>
      </c>
      <c r="L71" s="38">
        <v>0</v>
      </c>
      <c r="M71" s="38">
        <v>0</v>
      </c>
      <c r="N71" s="38">
        <f>+Prielaidos!H6*3*3</f>
        <v>4500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COUNTBLANK(H71:DC71)</f>
        <v>0</v>
      </c>
      <c r="DF71" s="46">
        <f>COUNTIF($H71:$DC71,"&lt;&gt;0")</f>
        <v>2</v>
      </c>
      <c r="DG71">
        <f t="shared" si="39"/>
        <v>0</v>
      </c>
      <c r="DH71">
        <v>0</v>
      </c>
    </row>
    <row r="72" spans="1:112" ht="14.4">
      <c r="A72" s="124">
        <v>60</v>
      </c>
      <c r="B72" s="5" t="str">
        <f>$B$67&amp;"5."</f>
        <v>E.3.5.</v>
      </c>
      <c r="C72" s="164"/>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40"/>
        <v>0</v>
      </c>
      <c r="DF72" s="46">
        <f t="shared" si="18"/>
        <v>0</v>
      </c>
      <c r="DG72">
        <f t="shared" si="39"/>
        <v>21</v>
      </c>
      <c r="DH72">
        <v>0</v>
      </c>
    </row>
    <row r="73" spans="1:112" ht="14.4">
      <c r="A73" s="124">
        <v>61</v>
      </c>
      <c r="B73" s="5" t="str">
        <f>$B$67&amp;"6."</f>
        <v>E.3.6.</v>
      </c>
      <c r="C73" s="164"/>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40"/>
        <v>0</v>
      </c>
      <c r="DF73" s="46">
        <f t="shared" si="18"/>
        <v>0</v>
      </c>
      <c r="DG73">
        <f t="shared" si="39"/>
        <v>21</v>
      </c>
      <c r="DH73">
        <v>0</v>
      </c>
    </row>
    <row r="74" spans="1:112" ht="14.4">
      <c r="A74" s="124">
        <v>62</v>
      </c>
      <c r="B74" s="5" t="str">
        <f>$B$67&amp;"7."</f>
        <v>E.3.7.</v>
      </c>
      <c r="C74" s="164"/>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40"/>
        <v>0</v>
      </c>
      <c r="DF74" s="46">
        <f t="shared" si="18"/>
        <v>0</v>
      </c>
      <c r="DG74">
        <f t="shared" si="39"/>
        <v>21</v>
      </c>
      <c r="DH74">
        <v>0</v>
      </c>
    </row>
    <row r="75" spans="1:112" ht="14.4">
      <c r="A75" s="124">
        <v>63</v>
      </c>
      <c r="B75" s="5" t="str">
        <f>$B$67&amp;"8."</f>
        <v>E.3.8.</v>
      </c>
      <c r="C75" s="164"/>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40"/>
        <v>0</v>
      </c>
      <c r="DF75" s="46">
        <f t="shared" si="18"/>
        <v>0</v>
      </c>
      <c r="DG75">
        <f t="shared" si="39"/>
        <v>21</v>
      </c>
      <c r="DH75">
        <v>0</v>
      </c>
    </row>
    <row r="76" spans="1:112" ht="15" customHeight="1">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40"/>
        <v>0</v>
      </c>
      <c r="DF76" s="46">
        <f t="shared" si="18"/>
        <v>0</v>
      </c>
      <c r="DG76">
        <f t="shared" si="39"/>
        <v>21</v>
      </c>
      <c r="DH76">
        <v>0</v>
      </c>
    </row>
    <row r="77" spans="1:112" ht="15" customHeight="1">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6">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40"/>
        <v>0</v>
      </c>
      <c r="DF77" s="46">
        <f t="shared" ref="DF77:DF129" si="41">COUNTIF($H77:$DC77,"&lt;&gt;0")</f>
        <v>0</v>
      </c>
      <c r="DG77">
        <f t="shared" si="39"/>
        <v>21</v>
      </c>
      <c r="DH77">
        <f>DG77/(100+DG77)</f>
        <v>0.17355371900826447</v>
      </c>
    </row>
    <row r="78" spans="1:112" ht="14.4">
      <c r="A78" s="124">
        <v>66</v>
      </c>
      <c r="B78" s="39" t="s">
        <v>25</v>
      </c>
      <c r="C78" s="162" t="s">
        <v>436</v>
      </c>
      <c r="D78" s="4"/>
      <c r="E78" s="4"/>
      <c r="F78" s="35">
        <f>SUM(F79:F87)</f>
        <v>0</v>
      </c>
      <c r="G78" s="35">
        <f>SUMIF($H$5:$DC$5,"&lt;="&amp;PAL,$H78:$DC78)</f>
        <v>0</v>
      </c>
      <c r="H78" s="11">
        <f>SUM(H79:H86)+H87</f>
        <v>0</v>
      </c>
      <c r="I78" s="11">
        <f t="shared" ref="I78:AK78" si="42">SUM(I79:I86)+I87</f>
        <v>0</v>
      </c>
      <c r="J78" s="11">
        <f t="shared" si="42"/>
        <v>0</v>
      </c>
      <c r="K78" s="11">
        <f t="shared" si="42"/>
        <v>0</v>
      </c>
      <c r="L78" s="11">
        <f t="shared" si="42"/>
        <v>0</v>
      </c>
      <c r="M78" s="11">
        <f t="shared" si="42"/>
        <v>0</v>
      </c>
      <c r="N78" s="11">
        <f t="shared" si="42"/>
        <v>0</v>
      </c>
      <c r="O78" s="11">
        <f t="shared" si="42"/>
        <v>0</v>
      </c>
      <c r="P78" s="11">
        <f t="shared" si="42"/>
        <v>0</v>
      </c>
      <c r="Q78" s="11">
        <f t="shared" si="42"/>
        <v>0</v>
      </c>
      <c r="R78" s="11">
        <f t="shared" si="42"/>
        <v>0</v>
      </c>
      <c r="S78" s="11">
        <f t="shared" si="42"/>
        <v>0</v>
      </c>
      <c r="T78" s="11">
        <f t="shared" si="42"/>
        <v>0</v>
      </c>
      <c r="U78" s="11">
        <f t="shared" si="42"/>
        <v>0</v>
      </c>
      <c r="V78" s="11">
        <f t="shared" si="42"/>
        <v>0</v>
      </c>
      <c r="W78" s="11">
        <f t="shared" si="42"/>
        <v>0</v>
      </c>
      <c r="X78" s="11">
        <f t="shared" si="42"/>
        <v>0</v>
      </c>
      <c r="Y78" s="11">
        <f t="shared" si="42"/>
        <v>0</v>
      </c>
      <c r="Z78" s="11">
        <f t="shared" si="42"/>
        <v>0</v>
      </c>
      <c r="AA78" s="11">
        <f t="shared" si="42"/>
        <v>0</v>
      </c>
      <c r="AB78" s="11">
        <f t="shared" si="42"/>
        <v>0</v>
      </c>
      <c r="AC78" s="11">
        <f t="shared" si="42"/>
        <v>0</v>
      </c>
      <c r="AD78" s="11">
        <f t="shared" si="42"/>
        <v>0</v>
      </c>
      <c r="AE78" s="11">
        <f t="shared" si="42"/>
        <v>0</v>
      </c>
      <c r="AF78" s="11">
        <f t="shared" si="42"/>
        <v>0</v>
      </c>
      <c r="AG78" s="11">
        <f t="shared" si="42"/>
        <v>0</v>
      </c>
      <c r="AH78" s="11">
        <f t="shared" si="42"/>
        <v>0</v>
      </c>
      <c r="AI78" s="11">
        <f t="shared" si="42"/>
        <v>0</v>
      </c>
      <c r="AJ78" s="11">
        <f t="shared" si="42"/>
        <v>0</v>
      </c>
      <c r="AK78" s="11">
        <f t="shared" si="42"/>
        <v>0</v>
      </c>
      <c r="AL78" s="11">
        <f t="shared" ref="AL78:BQ78" si="43">SUM(AL79:AL86)+AL87</f>
        <v>0</v>
      </c>
      <c r="AM78" s="11">
        <f t="shared" si="43"/>
        <v>0</v>
      </c>
      <c r="AN78" s="11">
        <f t="shared" si="43"/>
        <v>0</v>
      </c>
      <c r="AO78" s="11">
        <f t="shared" si="43"/>
        <v>0</v>
      </c>
      <c r="AP78" s="11">
        <f t="shared" si="43"/>
        <v>0</v>
      </c>
      <c r="AQ78" s="11">
        <f t="shared" si="43"/>
        <v>0</v>
      </c>
      <c r="AR78" s="11">
        <f t="shared" si="43"/>
        <v>0</v>
      </c>
      <c r="AS78" s="11">
        <f t="shared" si="43"/>
        <v>0</v>
      </c>
      <c r="AT78" s="11">
        <f t="shared" si="43"/>
        <v>0</v>
      </c>
      <c r="AU78" s="11">
        <f t="shared" si="43"/>
        <v>0</v>
      </c>
      <c r="AV78" s="11">
        <f t="shared" si="43"/>
        <v>0</v>
      </c>
      <c r="AW78" s="11">
        <f t="shared" si="43"/>
        <v>0</v>
      </c>
      <c r="AX78" s="11">
        <f t="shared" si="43"/>
        <v>0</v>
      </c>
      <c r="AY78" s="11">
        <f t="shared" si="43"/>
        <v>0</v>
      </c>
      <c r="AZ78" s="11">
        <f t="shared" si="43"/>
        <v>0</v>
      </c>
      <c r="BA78" s="11">
        <f t="shared" si="43"/>
        <v>0</v>
      </c>
      <c r="BB78" s="11">
        <f t="shared" si="43"/>
        <v>0</v>
      </c>
      <c r="BC78" s="11">
        <f t="shared" si="43"/>
        <v>0</v>
      </c>
      <c r="BD78" s="11">
        <f t="shared" si="43"/>
        <v>0</v>
      </c>
      <c r="BE78" s="11">
        <f t="shared" si="43"/>
        <v>0</v>
      </c>
      <c r="BF78" s="11">
        <f t="shared" si="43"/>
        <v>0</v>
      </c>
      <c r="BG78" s="11">
        <f t="shared" si="43"/>
        <v>0</v>
      </c>
      <c r="BH78" s="11">
        <f t="shared" si="43"/>
        <v>0</v>
      </c>
      <c r="BI78" s="11">
        <f t="shared" si="43"/>
        <v>0</v>
      </c>
      <c r="BJ78" s="11">
        <f t="shared" si="43"/>
        <v>0</v>
      </c>
      <c r="BK78" s="11">
        <f t="shared" si="43"/>
        <v>0</v>
      </c>
      <c r="BL78" s="11">
        <f t="shared" si="43"/>
        <v>0</v>
      </c>
      <c r="BM78" s="11">
        <f t="shared" si="43"/>
        <v>0</v>
      </c>
      <c r="BN78" s="11">
        <f t="shared" si="43"/>
        <v>0</v>
      </c>
      <c r="BO78" s="11">
        <f t="shared" si="43"/>
        <v>0</v>
      </c>
      <c r="BP78" s="11">
        <f t="shared" si="43"/>
        <v>0</v>
      </c>
      <c r="BQ78" s="11">
        <f t="shared" si="43"/>
        <v>0</v>
      </c>
      <c r="BR78" s="11">
        <f t="shared" ref="BR78:CW78" si="44">SUM(BR79:BR86)+BR87</f>
        <v>0</v>
      </c>
      <c r="BS78" s="11">
        <f t="shared" si="44"/>
        <v>0</v>
      </c>
      <c r="BT78" s="11">
        <f t="shared" si="44"/>
        <v>0</v>
      </c>
      <c r="BU78" s="11">
        <f t="shared" si="44"/>
        <v>0</v>
      </c>
      <c r="BV78" s="11">
        <f t="shared" si="44"/>
        <v>0</v>
      </c>
      <c r="BW78" s="11">
        <f t="shared" si="44"/>
        <v>0</v>
      </c>
      <c r="BX78" s="11">
        <f t="shared" si="44"/>
        <v>0</v>
      </c>
      <c r="BY78" s="11">
        <f t="shared" si="44"/>
        <v>0</v>
      </c>
      <c r="BZ78" s="11">
        <f t="shared" si="44"/>
        <v>0</v>
      </c>
      <c r="CA78" s="11">
        <f t="shared" si="44"/>
        <v>0</v>
      </c>
      <c r="CB78" s="11">
        <f t="shared" si="44"/>
        <v>0</v>
      </c>
      <c r="CC78" s="11">
        <f t="shared" si="44"/>
        <v>0</v>
      </c>
      <c r="CD78" s="11">
        <f t="shared" si="44"/>
        <v>0</v>
      </c>
      <c r="CE78" s="11">
        <f t="shared" si="44"/>
        <v>0</v>
      </c>
      <c r="CF78" s="11">
        <f t="shared" si="44"/>
        <v>0</v>
      </c>
      <c r="CG78" s="11">
        <f t="shared" si="44"/>
        <v>0</v>
      </c>
      <c r="CH78" s="11">
        <f t="shared" si="44"/>
        <v>0</v>
      </c>
      <c r="CI78" s="11">
        <f t="shared" si="44"/>
        <v>0</v>
      </c>
      <c r="CJ78" s="11">
        <f t="shared" si="44"/>
        <v>0</v>
      </c>
      <c r="CK78" s="11">
        <f t="shared" si="44"/>
        <v>0</v>
      </c>
      <c r="CL78" s="11">
        <f t="shared" si="44"/>
        <v>0</v>
      </c>
      <c r="CM78" s="11">
        <f t="shared" si="44"/>
        <v>0</v>
      </c>
      <c r="CN78" s="11">
        <f t="shared" si="44"/>
        <v>0</v>
      </c>
      <c r="CO78" s="11">
        <f t="shared" si="44"/>
        <v>0</v>
      </c>
      <c r="CP78" s="11">
        <f t="shared" si="44"/>
        <v>0</v>
      </c>
      <c r="CQ78" s="11">
        <f t="shared" si="44"/>
        <v>0</v>
      </c>
      <c r="CR78" s="11">
        <f t="shared" si="44"/>
        <v>0</v>
      </c>
      <c r="CS78" s="11">
        <f t="shared" si="44"/>
        <v>0</v>
      </c>
      <c r="CT78" s="11">
        <f t="shared" si="44"/>
        <v>0</v>
      </c>
      <c r="CU78" s="11">
        <f t="shared" si="44"/>
        <v>0</v>
      </c>
      <c r="CV78" s="11">
        <f t="shared" si="44"/>
        <v>0</v>
      </c>
      <c r="CW78" s="11">
        <f t="shared" si="44"/>
        <v>0</v>
      </c>
      <c r="CX78" s="11">
        <f t="shared" ref="CX78:DC78" si="45">SUM(CX79:CX86)+CX87</f>
        <v>0</v>
      </c>
      <c r="CY78" s="11">
        <f t="shared" si="45"/>
        <v>0</v>
      </c>
      <c r="CZ78" s="11">
        <f t="shared" si="45"/>
        <v>0</v>
      </c>
      <c r="DA78" s="11">
        <f t="shared" si="45"/>
        <v>0</v>
      </c>
      <c r="DB78" s="11">
        <f t="shared" si="45"/>
        <v>0</v>
      </c>
      <c r="DC78" s="11">
        <f t="shared" si="45"/>
        <v>0</v>
      </c>
      <c r="DF78" s="46">
        <f t="shared" si="41"/>
        <v>0</v>
      </c>
    </row>
    <row r="79" spans="1:112" ht="14.4" hidden="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41"/>
        <v>0</v>
      </c>
      <c r="DG79">
        <f t="shared" ref="DG79:DG88" si="46">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7">COUNTBLANK(H80:DC80)</f>
        <v>0</v>
      </c>
      <c r="DF80" s="46">
        <f t="shared" si="41"/>
        <v>0</v>
      </c>
      <c r="DG80">
        <f t="shared" si="46"/>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7"/>
        <v>0</v>
      </c>
      <c r="DF81" s="46">
        <f t="shared" si="41"/>
        <v>0</v>
      </c>
      <c r="DG81">
        <f t="shared" si="46"/>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7"/>
        <v>0</v>
      </c>
      <c r="DF82" s="46">
        <f t="shared" si="41"/>
        <v>0</v>
      </c>
      <c r="DG82">
        <f t="shared" si="46"/>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7"/>
        <v>0</v>
      </c>
      <c r="DF83" s="46">
        <f t="shared" si="41"/>
        <v>0</v>
      </c>
      <c r="DG83">
        <f t="shared" si="46"/>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7"/>
        <v>0</v>
      </c>
      <c r="DF84" s="46">
        <f t="shared" si="41"/>
        <v>0</v>
      </c>
      <c r="DG84">
        <f t="shared" si="46"/>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7"/>
        <v>0</v>
      </c>
      <c r="DF85" s="46">
        <f t="shared" si="41"/>
        <v>0</v>
      </c>
      <c r="DG85">
        <f t="shared" si="46"/>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7"/>
        <v>0</v>
      </c>
      <c r="DF86" s="46">
        <f t="shared" si="41"/>
        <v>0</v>
      </c>
      <c r="DG86">
        <f t="shared" si="46"/>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7"/>
        <v>0</v>
      </c>
      <c r="DF87" s="46">
        <f t="shared" si="41"/>
        <v>0</v>
      </c>
      <c r="DG87">
        <f t="shared" si="46"/>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8">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7"/>
        <v>0</v>
      </c>
      <c r="DF88" s="46">
        <f t="shared" si="41"/>
        <v>0</v>
      </c>
      <c r="DG88">
        <f t="shared" si="46"/>
        <v>21</v>
      </c>
      <c r="DH88">
        <f>DG88/(100+DG88)</f>
        <v>0.17355371900826447</v>
      </c>
    </row>
    <row r="89" spans="1:112" ht="14.25" customHeight="1">
      <c r="A89" s="124">
        <v>77</v>
      </c>
      <c r="B89" s="5" t="s">
        <v>26</v>
      </c>
      <c r="C89" s="15" t="s">
        <v>260</v>
      </c>
      <c r="E89" s="5"/>
      <c r="F89" s="11">
        <f>SUM(F90:F99)</f>
        <v>125466906.89955845</v>
      </c>
      <c r="G89" s="11">
        <f t="shared" ref="G89:BR89" si="48">SUM(G90:G99)</f>
        <v>191640865.77715254</v>
      </c>
      <c r="H89" s="11">
        <f t="shared" si="48"/>
        <v>0</v>
      </c>
      <c r="I89" s="11">
        <f t="shared" si="48"/>
        <v>1632000</v>
      </c>
      <c r="J89" s="11">
        <f t="shared" si="48"/>
        <v>4418628.6675319998</v>
      </c>
      <c r="K89" s="11">
        <f t="shared" si="48"/>
        <v>6899390.9378861338</v>
      </c>
      <c r="L89" s="11">
        <f t="shared" si="48"/>
        <v>10507520.3630432</v>
      </c>
      <c r="M89" s="11">
        <f t="shared" si="48"/>
        <v>10507520.3630432</v>
      </c>
      <c r="N89" s="11">
        <f t="shared" si="48"/>
        <v>10507520.3630432</v>
      </c>
      <c r="O89" s="11">
        <f t="shared" si="48"/>
        <v>10512020.3630432</v>
      </c>
      <c r="P89" s="11">
        <f t="shared" si="48"/>
        <v>10512020.3630432</v>
      </c>
      <c r="Q89" s="11">
        <f t="shared" si="48"/>
        <v>10512020.3630432</v>
      </c>
      <c r="R89" s="11">
        <f t="shared" si="48"/>
        <v>10512020.3630432</v>
      </c>
      <c r="S89" s="11">
        <f t="shared" si="48"/>
        <v>10512020.3630432</v>
      </c>
      <c r="T89" s="11">
        <f t="shared" si="48"/>
        <v>10512020.3630432</v>
      </c>
      <c r="U89" s="11">
        <f t="shared" si="48"/>
        <v>10512020.3630432</v>
      </c>
      <c r="V89" s="11">
        <f t="shared" si="48"/>
        <v>10512020.3630432</v>
      </c>
      <c r="W89" s="11">
        <f t="shared" si="48"/>
        <v>10512020.3630432</v>
      </c>
      <c r="X89" s="11">
        <f t="shared" si="48"/>
        <v>10512020.3630432</v>
      </c>
      <c r="Y89" s="11">
        <f t="shared" si="48"/>
        <v>10512020.3630432</v>
      </c>
      <c r="Z89" s="11">
        <f t="shared" si="48"/>
        <v>10512020.3630432</v>
      </c>
      <c r="AA89" s="11">
        <f t="shared" si="48"/>
        <v>10512020.3630432</v>
      </c>
      <c r="AB89" s="11">
        <f t="shared" si="48"/>
        <v>10512020.3630432</v>
      </c>
      <c r="AC89" s="11">
        <f t="shared" si="48"/>
        <v>2351431.8160736002</v>
      </c>
      <c r="AD89" s="11">
        <f t="shared" si="48"/>
        <v>2351431.8160736002</v>
      </c>
      <c r="AE89" s="11">
        <f t="shared" si="48"/>
        <v>2351431.8160736002</v>
      </c>
      <c r="AF89" s="11">
        <f t="shared" si="48"/>
        <v>2351431.8160736002</v>
      </c>
      <c r="AG89" s="11">
        <f t="shared" si="48"/>
        <v>2351431.8160736002</v>
      </c>
      <c r="AH89" s="11">
        <f t="shared" si="48"/>
        <v>2351431.8160736002</v>
      </c>
      <c r="AI89" s="11">
        <f t="shared" si="48"/>
        <v>2351431.8160736002</v>
      </c>
      <c r="AJ89" s="11">
        <f t="shared" si="48"/>
        <v>2351431.8160736002</v>
      </c>
      <c r="AK89" s="11">
        <f t="shared" si="48"/>
        <v>2351431.8160736002</v>
      </c>
      <c r="AL89" s="11">
        <f t="shared" si="48"/>
        <v>2351431.8160736002</v>
      </c>
      <c r="AM89" s="11">
        <f t="shared" si="48"/>
        <v>2351431.8160736002</v>
      </c>
      <c r="AN89" s="11">
        <f t="shared" si="48"/>
        <v>2351431.8160736002</v>
      </c>
      <c r="AO89" s="11">
        <f t="shared" si="48"/>
        <v>2351431.8160736002</v>
      </c>
      <c r="AP89" s="11">
        <f t="shared" si="48"/>
        <v>2351431.8160736002</v>
      </c>
      <c r="AQ89" s="11">
        <f t="shared" si="48"/>
        <v>2351431.8160736002</v>
      </c>
      <c r="AR89" s="11">
        <f t="shared" si="48"/>
        <v>2351431.8160736002</v>
      </c>
      <c r="AS89" s="11">
        <f t="shared" si="48"/>
        <v>2351431.8160736002</v>
      </c>
      <c r="AT89" s="11">
        <f t="shared" si="48"/>
        <v>2351431.8160736002</v>
      </c>
      <c r="AU89" s="11">
        <f t="shared" si="48"/>
        <v>2351431.8160736002</v>
      </c>
      <c r="AV89" s="11">
        <f t="shared" si="48"/>
        <v>2351431.8160736002</v>
      </c>
      <c r="AW89" s="11">
        <f t="shared" si="48"/>
        <v>2351431.8160736002</v>
      </c>
      <c r="AX89" s="11">
        <f t="shared" si="48"/>
        <v>2351431.8160736002</v>
      </c>
      <c r="AY89" s="11">
        <f t="shared" si="48"/>
        <v>2351431.8160736002</v>
      </c>
      <c r="AZ89" s="11">
        <f t="shared" si="48"/>
        <v>2351431.8160736002</v>
      </c>
      <c r="BA89" s="11">
        <f t="shared" si="48"/>
        <v>2351431.8160736002</v>
      </c>
      <c r="BB89" s="11">
        <f t="shared" si="48"/>
        <v>2351431.8160736002</v>
      </c>
      <c r="BC89" s="11">
        <f t="shared" si="48"/>
        <v>2351431.8160736002</v>
      </c>
      <c r="BD89" s="11">
        <f t="shared" si="48"/>
        <v>2351431.8160736002</v>
      </c>
      <c r="BE89" s="11">
        <f t="shared" si="48"/>
        <v>2351431.8160736002</v>
      </c>
      <c r="BF89" s="11">
        <f t="shared" si="48"/>
        <v>2351431.8160736002</v>
      </c>
      <c r="BG89" s="11">
        <f t="shared" si="48"/>
        <v>2351431.8160736002</v>
      </c>
      <c r="BH89" s="11">
        <f t="shared" si="48"/>
        <v>2351431.8160736002</v>
      </c>
      <c r="BI89" s="11">
        <f t="shared" si="48"/>
        <v>2351431.8160736002</v>
      </c>
      <c r="BJ89" s="11">
        <f t="shared" si="48"/>
        <v>2351431.8160736002</v>
      </c>
      <c r="BK89" s="11">
        <f t="shared" si="48"/>
        <v>2351431.8160736002</v>
      </c>
      <c r="BL89" s="11">
        <f t="shared" si="48"/>
        <v>2351431.8160736002</v>
      </c>
      <c r="BM89" s="11">
        <f t="shared" si="48"/>
        <v>2351431.8160736002</v>
      </c>
      <c r="BN89" s="11">
        <f t="shared" si="48"/>
        <v>2351431.8160736002</v>
      </c>
      <c r="BO89" s="11">
        <f t="shared" si="48"/>
        <v>2351431.8160736002</v>
      </c>
      <c r="BP89" s="11">
        <f t="shared" si="48"/>
        <v>2351431.8160736002</v>
      </c>
      <c r="BQ89" s="11">
        <f t="shared" si="48"/>
        <v>2351431.8160736002</v>
      </c>
      <c r="BR89" s="11">
        <f t="shared" si="48"/>
        <v>2351431.8160736002</v>
      </c>
      <c r="BS89" s="11">
        <f t="shared" ref="BS89:DC89" si="49">SUM(BS90:BS99)</f>
        <v>2351431.8160736002</v>
      </c>
      <c r="BT89" s="11">
        <f t="shared" si="49"/>
        <v>2351431.8160736002</v>
      </c>
      <c r="BU89" s="11">
        <f t="shared" si="49"/>
        <v>2351431.8160736002</v>
      </c>
      <c r="BV89" s="11">
        <f t="shared" si="49"/>
        <v>2351431.8160736002</v>
      </c>
      <c r="BW89" s="11">
        <f t="shared" si="49"/>
        <v>2351431.8160736002</v>
      </c>
      <c r="BX89" s="11">
        <f t="shared" si="49"/>
        <v>2351431.8160736002</v>
      </c>
      <c r="BY89" s="11">
        <f t="shared" si="49"/>
        <v>2351431.8160736002</v>
      </c>
      <c r="BZ89" s="11">
        <f t="shared" si="49"/>
        <v>2351431.8160736002</v>
      </c>
      <c r="CA89" s="11">
        <f t="shared" si="49"/>
        <v>2351431.8160736002</v>
      </c>
      <c r="CB89" s="11">
        <f t="shared" si="49"/>
        <v>2351431.8160736002</v>
      </c>
      <c r="CC89" s="11">
        <f t="shared" si="49"/>
        <v>2351431.8160736002</v>
      </c>
      <c r="CD89" s="11">
        <f t="shared" si="49"/>
        <v>2351431.8160736002</v>
      </c>
      <c r="CE89" s="11">
        <f t="shared" si="49"/>
        <v>2351431.8160736002</v>
      </c>
      <c r="CF89" s="11">
        <f t="shared" si="49"/>
        <v>2351431.8160736002</v>
      </c>
      <c r="CG89" s="11">
        <f t="shared" si="49"/>
        <v>2351431.8160736002</v>
      </c>
      <c r="CH89" s="11">
        <f t="shared" si="49"/>
        <v>2351431.8160736002</v>
      </c>
      <c r="CI89" s="11">
        <f t="shared" si="49"/>
        <v>2351431.8160736002</v>
      </c>
      <c r="CJ89" s="11">
        <f t="shared" si="49"/>
        <v>2351431.8160736002</v>
      </c>
      <c r="CK89" s="11">
        <f t="shared" si="49"/>
        <v>2351431.8160736002</v>
      </c>
      <c r="CL89" s="11">
        <f t="shared" si="49"/>
        <v>2351431.8160736002</v>
      </c>
      <c r="CM89" s="11">
        <f t="shared" si="49"/>
        <v>2351431.8160736002</v>
      </c>
      <c r="CN89" s="11">
        <f t="shared" si="49"/>
        <v>2351431.8160736002</v>
      </c>
      <c r="CO89" s="11">
        <f t="shared" si="49"/>
        <v>2351431.8160736002</v>
      </c>
      <c r="CP89" s="11">
        <f t="shared" si="49"/>
        <v>2351431.8160736002</v>
      </c>
      <c r="CQ89" s="11">
        <f t="shared" si="49"/>
        <v>2351431.8160736002</v>
      </c>
      <c r="CR89" s="11">
        <f t="shared" si="49"/>
        <v>2351431.8160736002</v>
      </c>
      <c r="CS89" s="11">
        <f t="shared" si="49"/>
        <v>2351431.8160736002</v>
      </c>
      <c r="CT89" s="11">
        <f t="shared" si="49"/>
        <v>2351431.8160736002</v>
      </c>
      <c r="CU89" s="11">
        <f t="shared" si="49"/>
        <v>2351431.8160736002</v>
      </c>
      <c r="CV89" s="11">
        <f t="shared" si="49"/>
        <v>2351431.8160736002</v>
      </c>
      <c r="CW89" s="11">
        <f t="shared" si="49"/>
        <v>2351431.8160736002</v>
      </c>
      <c r="CX89" s="11">
        <f t="shared" si="49"/>
        <v>2351431.8160736002</v>
      </c>
      <c r="CY89" s="11">
        <f t="shared" si="49"/>
        <v>2351431.8160736002</v>
      </c>
      <c r="CZ89" s="11">
        <f t="shared" si="49"/>
        <v>2351431.8160736002</v>
      </c>
      <c r="DA89" s="11">
        <f t="shared" si="49"/>
        <v>2351431.8160736002</v>
      </c>
      <c r="DB89" s="11">
        <f t="shared" si="49"/>
        <v>2351431.8160736002</v>
      </c>
      <c r="DC89" s="11">
        <f t="shared" si="49"/>
        <v>2351431.8160736002</v>
      </c>
      <c r="DF89" s="46">
        <f t="shared" si="41"/>
        <v>99</v>
      </c>
    </row>
    <row r="90" spans="1:112" ht="14.4">
      <c r="A90" s="124">
        <v>78</v>
      </c>
      <c r="B90" s="5" t="str">
        <f>$B$89&amp;"1."</f>
        <v>G.1.</v>
      </c>
      <c r="C90" s="164" t="s">
        <v>626</v>
      </c>
      <c r="D90" s="5"/>
      <c r="E90" s="193">
        <v>0</v>
      </c>
      <c r="F90" s="35">
        <f>H90+NPV(FD,I90:INDEX(I90:DC90,PAL))</f>
        <v>24145558.859936103</v>
      </c>
      <c r="G90" s="35">
        <f>SUMIF($H$5:$DC$5,"&lt;="&amp;PAL,$H90:$DC90)</f>
        <v>37346779.051397339</v>
      </c>
      <c r="H90" s="38">
        <v>0</v>
      </c>
      <c r="I90" s="38">
        <f>+Prielaidos!AG31</f>
        <v>0</v>
      </c>
      <c r="J90" s="38">
        <f>+Prielaidos!AH31</f>
        <v>186128.66753199999</v>
      </c>
      <c r="K90" s="38">
        <f>+Prielaidos!AI31+Prielaidos!V229</f>
        <v>1314156.3272221333</v>
      </c>
      <c r="L90" s="38">
        <f>+Prielaidos!$AJ$31+Prielaidos!$Q$228</f>
        <v>2108617.2974496004</v>
      </c>
      <c r="M90" s="38">
        <f>+Prielaidos!$AJ$31+Prielaidos!$Q$228</f>
        <v>2108617.2974496004</v>
      </c>
      <c r="N90" s="38">
        <f>+Prielaidos!$AJ$31+Prielaidos!$Q$228</f>
        <v>2108617.2974496004</v>
      </c>
      <c r="O90" s="38">
        <f>+Prielaidos!$AJ$31+Prielaidos!$Q$228</f>
        <v>2108617.2974496004</v>
      </c>
      <c r="P90" s="38">
        <f>+Prielaidos!$AJ$31+Prielaidos!$Q$228</f>
        <v>2108617.2974496004</v>
      </c>
      <c r="Q90" s="38">
        <f>+Prielaidos!$AJ$31+Prielaidos!$Q$228</f>
        <v>2108617.2974496004</v>
      </c>
      <c r="R90" s="38">
        <f>+Prielaidos!$AJ$31+Prielaidos!$Q$228</f>
        <v>2108617.2974496004</v>
      </c>
      <c r="S90" s="38">
        <f>+Prielaidos!$AJ$31+Prielaidos!$Q$228</f>
        <v>2108617.2974496004</v>
      </c>
      <c r="T90" s="38">
        <f>+Prielaidos!$AJ$31+Prielaidos!$Q$228</f>
        <v>2108617.2974496004</v>
      </c>
      <c r="U90" s="38">
        <f>+Prielaidos!$AJ$31+Prielaidos!$Q$228</f>
        <v>2108617.2974496004</v>
      </c>
      <c r="V90" s="38">
        <f>+Prielaidos!$AJ$31+Prielaidos!$Q$228</f>
        <v>2108617.2974496004</v>
      </c>
      <c r="W90" s="38">
        <f>+Prielaidos!$AJ$31+Prielaidos!$Q$228</f>
        <v>2108617.2974496004</v>
      </c>
      <c r="X90" s="38">
        <f>+Prielaidos!$AJ$31+Prielaidos!$Q$228</f>
        <v>2108617.2974496004</v>
      </c>
      <c r="Y90" s="38">
        <f>+Prielaidos!$AJ$31+Prielaidos!$Q$228</f>
        <v>2108617.2974496004</v>
      </c>
      <c r="Z90" s="38">
        <f>+Prielaidos!$AJ$31+Prielaidos!$Q$228</f>
        <v>2108617.2974496004</v>
      </c>
      <c r="AA90" s="38">
        <f>+Prielaidos!$AJ$31+Prielaidos!$Q$228</f>
        <v>2108617.2974496004</v>
      </c>
      <c r="AB90" s="38">
        <f>+Prielaidos!$AJ$31+Prielaidos!$Q$228</f>
        <v>2108617.2974496004</v>
      </c>
      <c r="AC90" s="38">
        <f>+Prielaidos!$AJ$31</f>
        <v>881431.81607360009</v>
      </c>
      <c r="AD90" s="38">
        <f>+Prielaidos!$AJ$31</f>
        <v>881431.81607360009</v>
      </c>
      <c r="AE90" s="38">
        <f>+Prielaidos!$AJ$31</f>
        <v>881431.81607360009</v>
      </c>
      <c r="AF90" s="38">
        <f>+Prielaidos!$AJ$31</f>
        <v>881431.81607360009</v>
      </c>
      <c r="AG90" s="38">
        <f>+Prielaidos!$AJ$31</f>
        <v>881431.81607360009</v>
      </c>
      <c r="AH90" s="38">
        <f>+Prielaidos!$AJ$31</f>
        <v>881431.81607360009</v>
      </c>
      <c r="AI90" s="38">
        <f>+Prielaidos!$AJ$31</f>
        <v>881431.81607360009</v>
      </c>
      <c r="AJ90" s="38">
        <f>+Prielaidos!$AJ$31</f>
        <v>881431.81607360009</v>
      </c>
      <c r="AK90" s="38">
        <f>+Prielaidos!$AJ$31</f>
        <v>881431.81607360009</v>
      </c>
      <c r="AL90" s="38">
        <f>+Prielaidos!$AJ$31</f>
        <v>881431.81607360009</v>
      </c>
      <c r="AM90" s="38">
        <f>+Prielaidos!$AJ$31</f>
        <v>881431.81607360009</v>
      </c>
      <c r="AN90" s="38">
        <f>+Prielaidos!$AJ$31</f>
        <v>881431.81607360009</v>
      </c>
      <c r="AO90" s="38">
        <f>+Prielaidos!$AJ$31</f>
        <v>881431.81607360009</v>
      </c>
      <c r="AP90" s="38">
        <f>+Prielaidos!$AJ$31</f>
        <v>881431.81607360009</v>
      </c>
      <c r="AQ90" s="38">
        <f>+Prielaidos!$AJ$31</f>
        <v>881431.81607360009</v>
      </c>
      <c r="AR90" s="38">
        <f>+Prielaidos!$AJ$31</f>
        <v>881431.81607360009</v>
      </c>
      <c r="AS90" s="38">
        <f>+Prielaidos!$AJ$31</f>
        <v>881431.81607360009</v>
      </c>
      <c r="AT90" s="38">
        <f>+Prielaidos!$AJ$31</f>
        <v>881431.81607360009</v>
      </c>
      <c r="AU90" s="38">
        <f>+Prielaidos!$AJ$31</f>
        <v>881431.81607360009</v>
      </c>
      <c r="AV90" s="38">
        <f>+Prielaidos!$AJ$31</f>
        <v>881431.81607360009</v>
      </c>
      <c r="AW90" s="38">
        <f>+Prielaidos!$AJ$31</f>
        <v>881431.81607360009</v>
      </c>
      <c r="AX90" s="38">
        <f>+Prielaidos!$AJ$31</f>
        <v>881431.81607360009</v>
      </c>
      <c r="AY90" s="38">
        <f>+Prielaidos!$AJ$31</f>
        <v>881431.81607360009</v>
      </c>
      <c r="AZ90" s="38">
        <f>+Prielaidos!$AJ$31</f>
        <v>881431.81607360009</v>
      </c>
      <c r="BA90" s="38">
        <f>+Prielaidos!$AJ$31</f>
        <v>881431.81607360009</v>
      </c>
      <c r="BB90" s="38">
        <f>+Prielaidos!$AJ$31</f>
        <v>881431.81607360009</v>
      </c>
      <c r="BC90" s="38">
        <f>+Prielaidos!$AJ$31</f>
        <v>881431.81607360009</v>
      </c>
      <c r="BD90" s="38">
        <f>+Prielaidos!$AJ$31</f>
        <v>881431.81607360009</v>
      </c>
      <c r="BE90" s="38">
        <f>+Prielaidos!$AJ$31</f>
        <v>881431.81607360009</v>
      </c>
      <c r="BF90" s="38">
        <f>+Prielaidos!$AJ$31</f>
        <v>881431.81607360009</v>
      </c>
      <c r="BG90" s="38">
        <f>+Prielaidos!$AJ$31</f>
        <v>881431.81607360009</v>
      </c>
      <c r="BH90" s="38">
        <f>+Prielaidos!$AJ$31</f>
        <v>881431.81607360009</v>
      </c>
      <c r="BI90" s="38">
        <f>+Prielaidos!$AJ$31</f>
        <v>881431.81607360009</v>
      </c>
      <c r="BJ90" s="38">
        <f>+Prielaidos!$AJ$31</f>
        <v>881431.81607360009</v>
      </c>
      <c r="BK90" s="38">
        <f>+Prielaidos!$AJ$31</f>
        <v>881431.81607360009</v>
      </c>
      <c r="BL90" s="38">
        <f>+Prielaidos!$AJ$31</f>
        <v>881431.81607360009</v>
      </c>
      <c r="BM90" s="38">
        <f>+Prielaidos!$AJ$31</f>
        <v>881431.81607360009</v>
      </c>
      <c r="BN90" s="38">
        <f>+Prielaidos!$AJ$31</f>
        <v>881431.81607360009</v>
      </c>
      <c r="BO90" s="38">
        <f>+Prielaidos!$AJ$31</f>
        <v>881431.81607360009</v>
      </c>
      <c r="BP90" s="38">
        <f>+Prielaidos!$AJ$31</f>
        <v>881431.81607360009</v>
      </c>
      <c r="BQ90" s="38">
        <f>+Prielaidos!$AJ$31</f>
        <v>881431.81607360009</v>
      </c>
      <c r="BR90" s="38">
        <f>+Prielaidos!$AJ$31</f>
        <v>881431.81607360009</v>
      </c>
      <c r="BS90" s="38">
        <f>+Prielaidos!$AJ$31</f>
        <v>881431.81607360009</v>
      </c>
      <c r="BT90" s="38">
        <f>+Prielaidos!$AJ$31</f>
        <v>881431.81607360009</v>
      </c>
      <c r="BU90" s="38">
        <f>+Prielaidos!$AJ$31</f>
        <v>881431.81607360009</v>
      </c>
      <c r="BV90" s="38">
        <f>+Prielaidos!$AJ$31</f>
        <v>881431.81607360009</v>
      </c>
      <c r="BW90" s="38">
        <f>+Prielaidos!$AJ$31</f>
        <v>881431.81607360009</v>
      </c>
      <c r="BX90" s="38">
        <f>+Prielaidos!$AJ$31</f>
        <v>881431.81607360009</v>
      </c>
      <c r="BY90" s="38">
        <f>+Prielaidos!$AJ$31</f>
        <v>881431.81607360009</v>
      </c>
      <c r="BZ90" s="38">
        <f>+Prielaidos!$AJ$31</f>
        <v>881431.81607360009</v>
      </c>
      <c r="CA90" s="38">
        <f>+Prielaidos!$AJ$31</f>
        <v>881431.81607360009</v>
      </c>
      <c r="CB90" s="38">
        <f>+Prielaidos!$AJ$31</f>
        <v>881431.81607360009</v>
      </c>
      <c r="CC90" s="38">
        <f>+Prielaidos!$AJ$31</f>
        <v>881431.81607360009</v>
      </c>
      <c r="CD90" s="38">
        <f>+Prielaidos!$AJ$31</f>
        <v>881431.81607360009</v>
      </c>
      <c r="CE90" s="38">
        <f>+Prielaidos!$AJ$31</f>
        <v>881431.81607360009</v>
      </c>
      <c r="CF90" s="38">
        <f>+Prielaidos!$AJ$31</f>
        <v>881431.81607360009</v>
      </c>
      <c r="CG90" s="38">
        <f>+Prielaidos!$AJ$31</f>
        <v>881431.81607360009</v>
      </c>
      <c r="CH90" s="38">
        <f>+Prielaidos!$AJ$31</f>
        <v>881431.81607360009</v>
      </c>
      <c r="CI90" s="38">
        <f>+Prielaidos!$AJ$31</f>
        <v>881431.81607360009</v>
      </c>
      <c r="CJ90" s="38">
        <f>+Prielaidos!$AJ$31</f>
        <v>881431.81607360009</v>
      </c>
      <c r="CK90" s="38">
        <f>+Prielaidos!$AJ$31</f>
        <v>881431.81607360009</v>
      </c>
      <c r="CL90" s="38">
        <f>+Prielaidos!$AJ$31</f>
        <v>881431.81607360009</v>
      </c>
      <c r="CM90" s="38">
        <f>+Prielaidos!$AJ$31</f>
        <v>881431.81607360009</v>
      </c>
      <c r="CN90" s="38">
        <f>+Prielaidos!$AJ$31</f>
        <v>881431.81607360009</v>
      </c>
      <c r="CO90" s="38">
        <f>+Prielaidos!$AJ$31</f>
        <v>881431.81607360009</v>
      </c>
      <c r="CP90" s="38">
        <f>+Prielaidos!$AJ$31</f>
        <v>881431.81607360009</v>
      </c>
      <c r="CQ90" s="38">
        <f>+Prielaidos!$AJ$31</f>
        <v>881431.81607360009</v>
      </c>
      <c r="CR90" s="38">
        <f>+Prielaidos!$AJ$31</f>
        <v>881431.81607360009</v>
      </c>
      <c r="CS90" s="38">
        <f>+Prielaidos!$AJ$31</f>
        <v>881431.81607360009</v>
      </c>
      <c r="CT90" s="38">
        <f>+Prielaidos!$AJ$31</f>
        <v>881431.81607360009</v>
      </c>
      <c r="CU90" s="38">
        <f>+Prielaidos!$AJ$31</f>
        <v>881431.81607360009</v>
      </c>
      <c r="CV90" s="38">
        <f>+Prielaidos!$AJ$31</f>
        <v>881431.81607360009</v>
      </c>
      <c r="CW90" s="38">
        <f>+Prielaidos!$AJ$31</f>
        <v>881431.81607360009</v>
      </c>
      <c r="CX90" s="38">
        <f>+Prielaidos!$AJ$31</f>
        <v>881431.81607360009</v>
      </c>
      <c r="CY90" s="38">
        <f>+Prielaidos!$AJ$31</f>
        <v>881431.81607360009</v>
      </c>
      <c r="CZ90" s="38">
        <f>+Prielaidos!$AJ$31</f>
        <v>881431.81607360009</v>
      </c>
      <c r="DA90" s="38">
        <f>+Prielaidos!$AJ$31</f>
        <v>881431.81607360009</v>
      </c>
      <c r="DB90" s="38">
        <f>+Prielaidos!$AJ$31</f>
        <v>881431.81607360009</v>
      </c>
      <c r="DC90" s="38">
        <f>+Prielaidos!$AJ$31</f>
        <v>881431.81607360009</v>
      </c>
      <c r="DE90" s="46">
        <f t="shared" ref="DE90:DE95" si="50">COUNTBLANK(H90:DC90)</f>
        <v>0</v>
      </c>
      <c r="DF90" s="46">
        <f t="shared" si="41"/>
        <v>98</v>
      </c>
      <c r="DG90">
        <f t="shared" ref="DG90:DG110" si="51">IF(ISNUMBER(E90),E90*100,0)</f>
        <v>0</v>
      </c>
    </row>
    <row r="91" spans="1:112" ht="14.4">
      <c r="A91" s="124">
        <v>79</v>
      </c>
      <c r="B91" s="5" t="str">
        <f>$B$89&amp;"2."</f>
        <v>G.2.</v>
      </c>
      <c r="C91" s="164" t="s">
        <v>624</v>
      </c>
      <c r="D91" s="5"/>
      <c r="E91" s="193">
        <v>0</v>
      </c>
      <c r="F91" s="35">
        <f>H91+NPV(FD,I91:INDEX(I91:DC91,PAL))</f>
        <v>8183456.1680627093</v>
      </c>
      <c r="G91" s="35">
        <f>SUMIF($H$5:$DC$5,"&lt;="&amp;PAL,$H91:$DC91)</f>
        <v>12742086.725755204</v>
      </c>
      <c r="H91" s="38">
        <v>0</v>
      </c>
      <c r="I91" s="38">
        <f>+Prielaidos!AG42</f>
        <v>0</v>
      </c>
      <c r="J91" s="38">
        <f>+Prielaidos!AH42</f>
        <v>0</v>
      </c>
      <c r="K91" s="38">
        <f>+Prielaidos!AI42</f>
        <v>304834.61066400004</v>
      </c>
      <c r="L91" s="38">
        <f>+Prielaidos!$AJ$42</f>
        <v>731603.06559360004</v>
      </c>
      <c r="M91" s="38">
        <f>+Prielaidos!$AJ$42</f>
        <v>731603.06559360004</v>
      </c>
      <c r="N91" s="38">
        <f>+Prielaidos!$AJ$42</f>
        <v>731603.06559360004</v>
      </c>
      <c r="O91" s="38">
        <f>+Prielaidos!$AJ$42</f>
        <v>731603.06559360004</v>
      </c>
      <c r="P91" s="38">
        <f>+Prielaidos!$AJ$42</f>
        <v>731603.06559360004</v>
      </c>
      <c r="Q91" s="38">
        <f>+Prielaidos!$AJ$42</f>
        <v>731603.06559360004</v>
      </c>
      <c r="R91" s="38">
        <f>+Prielaidos!$AJ$42</f>
        <v>731603.06559360004</v>
      </c>
      <c r="S91" s="38">
        <f>+Prielaidos!$AJ$42</f>
        <v>731603.06559360004</v>
      </c>
      <c r="T91" s="38">
        <f>+Prielaidos!$AJ$42</f>
        <v>731603.06559360004</v>
      </c>
      <c r="U91" s="38">
        <f>+Prielaidos!$AJ$42</f>
        <v>731603.06559360004</v>
      </c>
      <c r="V91" s="38">
        <f>+Prielaidos!$AJ$42</f>
        <v>731603.06559360004</v>
      </c>
      <c r="W91" s="38">
        <f>+Prielaidos!$AJ$42</f>
        <v>731603.06559360004</v>
      </c>
      <c r="X91" s="38">
        <f>+Prielaidos!$AJ$42</f>
        <v>731603.06559360004</v>
      </c>
      <c r="Y91" s="38">
        <f>+Prielaidos!$AJ$42</f>
        <v>731603.06559360004</v>
      </c>
      <c r="Z91" s="38">
        <f>+Prielaidos!$AJ$42</f>
        <v>731603.06559360004</v>
      </c>
      <c r="AA91" s="38">
        <f>+Prielaidos!$AJ$42</f>
        <v>731603.06559360004</v>
      </c>
      <c r="AB91" s="38">
        <f>+Prielaidos!$AJ$42</f>
        <v>731603.06559360004</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50"/>
        <v>0</v>
      </c>
      <c r="DF91" s="46">
        <f t="shared" si="41"/>
        <v>18</v>
      </c>
      <c r="DG91">
        <f t="shared" si="51"/>
        <v>0</v>
      </c>
    </row>
    <row r="92" spans="1:112" ht="14.4">
      <c r="A92" s="124">
        <v>80</v>
      </c>
      <c r="B92" s="5" t="str">
        <f>$B$89&amp;"3."</f>
        <v>G.3.</v>
      </c>
      <c r="C92" s="164" t="s">
        <v>627</v>
      </c>
      <c r="D92" s="5"/>
      <c r="E92" s="193">
        <v>0</v>
      </c>
      <c r="F92" s="35">
        <f>H92+NPV(FD,I92:INDEX(I92:DC92,PAL))</f>
        <v>252575.75766858441</v>
      </c>
      <c r="G92" s="35">
        <f>SUMIF($H$5:$DC$5,"&lt;="&amp;PAL,$H92:$DC92)</f>
        <v>380000</v>
      </c>
      <c r="H92" s="38">
        <v>0</v>
      </c>
      <c r="I92" s="38">
        <v>0</v>
      </c>
      <c r="J92" s="38">
        <f>+Prielaidos!$E14</f>
        <v>20000</v>
      </c>
      <c r="K92" s="38">
        <f>+Prielaidos!$E14</f>
        <v>20000</v>
      </c>
      <c r="L92" s="38">
        <f>+Prielaidos!$E14</f>
        <v>20000</v>
      </c>
      <c r="M92" s="38">
        <f>+Prielaidos!$E14</f>
        <v>20000</v>
      </c>
      <c r="N92" s="38">
        <f>+Prielaidos!$E14</f>
        <v>20000</v>
      </c>
      <c r="O92" s="38">
        <f>+Prielaidos!$E14</f>
        <v>20000</v>
      </c>
      <c r="P92" s="38">
        <f>+Prielaidos!$E14</f>
        <v>20000</v>
      </c>
      <c r="Q92" s="38">
        <f>+Prielaidos!$E14</f>
        <v>20000</v>
      </c>
      <c r="R92" s="38">
        <f>+Prielaidos!$E14</f>
        <v>20000</v>
      </c>
      <c r="S92" s="38">
        <f>+Prielaidos!$E14</f>
        <v>20000</v>
      </c>
      <c r="T92" s="38">
        <f>+Prielaidos!$E14</f>
        <v>20000</v>
      </c>
      <c r="U92" s="38">
        <f>+Prielaidos!$E14</f>
        <v>20000</v>
      </c>
      <c r="V92" s="38">
        <f>+Prielaidos!$E14</f>
        <v>20000</v>
      </c>
      <c r="W92" s="38">
        <f>+Prielaidos!$E14</f>
        <v>20000</v>
      </c>
      <c r="X92" s="38">
        <f>+Prielaidos!$E14</f>
        <v>20000</v>
      </c>
      <c r="Y92" s="38">
        <f>+Prielaidos!$E14</f>
        <v>20000</v>
      </c>
      <c r="Z92" s="38">
        <f>+Prielaidos!$E14</f>
        <v>20000</v>
      </c>
      <c r="AA92" s="38">
        <f>+Prielaidos!$E14</f>
        <v>20000</v>
      </c>
      <c r="AB92" s="38">
        <f>+Prielaidos!$E14</f>
        <v>20000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50"/>
        <v>0</v>
      </c>
      <c r="DF92" s="46">
        <f t="shared" si="41"/>
        <v>19</v>
      </c>
      <c r="DG92">
        <f t="shared" si="51"/>
        <v>0</v>
      </c>
    </row>
    <row r="93" spans="1:112" ht="14.4">
      <c r="A93" s="124">
        <v>81</v>
      </c>
      <c r="B93" s="5" t="str">
        <f>$B$89&amp;"4."</f>
        <v>G.4.</v>
      </c>
      <c r="C93" s="164" t="s">
        <v>808</v>
      </c>
      <c r="D93" s="5"/>
      <c r="E93" s="193">
        <v>0</v>
      </c>
      <c r="F93" s="35">
        <f>H93+NPV(FD,I93:INDEX(I93:DC93,PAL))</f>
        <v>86235.411599828483</v>
      </c>
      <c r="G93" s="35">
        <f>SUMIF($H$5:$DC$5,"&lt;="&amp;PAL,$H93:$DC93)</f>
        <v>139500</v>
      </c>
      <c r="H93" s="38">
        <v>0</v>
      </c>
      <c r="I93" s="38">
        <v>0</v>
      </c>
      <c r="J93" s="38">
        <v>0</v>
      </c>
      <c r="K93" s="38">
        <v>0</v>
      </c>
      <c r="L93" s="38">
        <f>+Prielaidos!$H6*3*3</f>
        <v>4500</v>
      </c>
      <c r="M93" s="38">
        <f>+Prielaidos!$H6*3*3</f>
        <v>4500</v>
      </c>
      <c r="N93" s="38">
        <f>+Prielaidos!$H6*3*3</f>
        <v>4500</v>
      </c>
      <c r="O93" s="38">
        <f>+Prielaidos!$H6*3*6</f>
        <v>9000</v>
      </c>
      <c r="P93" s="38">
        <f>+Prielaidos!$H6*3*6</f>
        <v>9000</v>
      </c>
      <c r="Q93" s="38">
        <f>+Prielaidos!$H6*3*6</f>
        <v>9000</v>
      </c>
      <c r="R93" s="38">
        <f>+Prielaidos!$H6*3*6</f>
        <v>9000</v>
      </c>
      <c r="S93" s="38">
        <f>+Prielaidos!$H6*3*6</f>
        <v>9000</v>
      </c>
      <c r="T93" s="38">
        <f>+Prielaidos!$H6*3*6</f>
        <v>9000</v>
      </c>
      <c r="U93" s="38">
        <f>+Prielaidos!$H6*3*6</f>
        <v>9000</v>
      </c>
      <c r="V93" s="38">
        <f>+Prielaidos!$H6*3*6</f>
        <v>9000</v>
      </c>
      <c r="W93" s="38">
        <f>+Prielaidos!$H6*3*6</f>
        <v>9000</v>
      </c>
      <c r="X93" s="38">
        <f>+Prielaidos!$H6*3*6</f>
        <v>9000</v>
      </c>
      <c r="Y93" s="38">
        <f>+Prielaidos!$H6*3*6</f>
        <v>9000</v>
      </c>
      <c r="Z93" s="38">
        <f>+Prielaidos!$H6*3*6</f>
        <v>9000</v>
      </c>
      <c r="AA93" s="38">
        <f>+Prielaidos!$H6*3*6</f>
        <v>9000</v>
      </c>
      <c r="AB93" s="38">
        <f>+Prielaidos!$H6*3*6</f>
        <v>9000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50"/>
        <v>0</v>
      </c>
      <c r="DF93" s="46">
        <f t="shared" si="41"/>
        <v>17</v>
      </c>
      <c r="DG93">
        <f t="shared" si="51"/>
        <v>0</v>
      </c>
    </row>
    <row r="94" spans="1:112" ht="14.4">
      <c r="A94" s="124">
        <v>82</v>
      </c>
      <c r="B94" s="5" t="str">
        <f>$B$89&amp;"5."</f>
        <v>G.5.</v>
      </c>
      <c r="C94" s="164" t="s">
        <v>630</v>
      </c>
      <c r="D94" s="5"/>
      <c r="E94" s="193">
        <v>0</v>
      </c>
      <c r="F94" s="35">
        <f>H94+NPV(FD,I94:INDEX(I94:DC94,PAL))</f>
        <v>22179412.594987258</v>
      </c>
      <c r="G94" s="35">
        <f>SUMIF($H$5:$DC$5,"&lt;="&amp;PAL,$H94:$DC94)</f>
        <v>32640000</v>
      </c>
      <c r="H94" s="38">
        <v>0</v>
      </c>
      <c r="I94" s="38">
        <f>+Prielaidos!$AK$165*1000</f>
        <v>1632000</v>
      </c>
      <c r="J94" s="38">
        <f>+Prielaidos!$AK$165*1000</f>
        <v>1632000</v>
      </c>
      <c r="K94" s="38">
        <f>+Prielaidos!$AK$165*1000</f>
        <v>1632000</v>
      </c>
      <c r="L94" s="38">
        <f>+Prielaidos!$AK$165*1000</f>
        <v>1632000</v>
      </c>
      <c r="M94" s="38">
        <f>+Prielaidos!$AK$165*1000</f>
        <v>1632000</v>
      </c>
      <c r="N94" s="38">
        <f>+Prielaidos!$AK$165*1000</f>
        <v>1632000</v>
      </c>
      <c r="O94" s="38">
        <f>+Prielaidos!$AK$165*1000</f>
        <v>1632000</v>
      </c>
      <c r="P94" s="38">
        <f>+Prielaidos!$AK$165*1000</f>
        <v>1632000</v>
      </c>
      <c r="Q94" s="38">
        <f>+Prielaidos!$AK$165*1000</f>
        <v>1632000</v>
      </c>
      <c r="R94" s="38">
        <f>+Prielaidos!$AK$165*1000</f>
        <v>1632000</v>
      </c>
      <c r="S94" s="38">
        <f>+Prielaidos!$AK$165*1000</f>
        <v>1632000</v>
      </c>
      <c r="T94" s="38">
        <f>+Prielaidos!$AK$165*1000</f>
        <v>1632000</v>
      </c>
      <c r="U94" s="38">
        <f>+Prielaidos!$AK$165*1000</f>
        <v>1632000</v>
      </c>
      <c r="V94" s="38">
        <f>+Prielaidos!$AK$165*1000</f>
        <v>1632000</v>
      </c>
      <c r="W94" s="38">
        <f>+Prielaidos!$AK$165*1000</f>
        <v>1632000</v>
      </c>
      <c r="X94" s="38">
        <f>+Prielaidos!$AK$165*1000</f>
        <v>1632000</v>
      </c>
      <c r="Y94" s="38">
        <f>+Prielaidos!$AK$165*1000</f>
        <v>1632000</v>
      </c>
      <c r="Z94" s="38">
        <f>+Prielaidos!$AK$165*1000</f>
        <v>1632000</v>
      </c>
      <c r="AA94" s="38">
        <f>+Prielaidos!$AK$165*1000</f>
        <v>1632000</v>
      </c>
      <c r="AB94" s="38">
        <f>+Prielaidos!$AK$165*1000</f>
        <v>1632000</v>
      </c>
      <c r="AC94" s="38">
        <f>+Prielaidos!$AJ$165*1000</f>
        <v>1470000</v>
      </c>
      <c r="AD94" s="38">
        <f>+Prielaidos!$AJ$165*1000</f>
        <v>1470000</v>
      </c>
      <c r="AE94" s="38">
        <f>+Prielaidos!$AJ$165*1000</f>
        <v>1470000</v>
      </c>
      <c r="AF94" s="38">
        <f>+Prielaidos!$AJ$165*1000</f>
        <v>1470000</v>
      </c>
      <c r="AG94" s="38">
        <f>+Prielaidos!$AJ$165*1000</f>
        <v>1470000</v>
      </c>
      <c r="AH94" s="38">
        <f>+Prielaidos!$AJ$165*1000</f>
        <v>1470000</v>
      </c>
      <c r="AI94" s="38">
        <f>+Prielaidos!$AJ$165*1000</f>
        <v>1470000</v>
      </c>
      <c r="AJ94" s="38">
        <f>+Prielaidos!$AJ$165*1000</f>
        <v>1470000</v>
      </c>
      <c r="AK94" s="38">
        <f>+Prielaidos!$AJ$165*1000</f>
        <v>1470000</v>
      </c>
      <c r="AL94" s="38">
        <f>+Prielaidos!$AJ$165*1000</f>
        <v>1470000</v>
      </c>
      <c r="AM94" s="38">
        <f>+Prielaidos!$AJ$165*1000</f>
        <v>1470000</v>
      </c>
      <c r="AN94" s="38">
        <f>+Prielaidos!$AJ$165*1000</f>
        <v>1470000</v>
      </c>
      <c r="AO94" s="38">
        <f>+Prielaidos!$AJ$165*1000</f>
        <v>1470000</v>
      </c>
      <c r="AP94" s="38">
        <f>+Prielaidos!$AJ$165*1000</f>
        <v>1470000</v>
      </c>
      <c r="AQ94" s="38">
        <f>+Prielaidos!$AJ$165*1000</f>
        <v>1470000</v>
      </c>
      <c r="AR94" s="38">
        <f>+Prielaidos!$AJ$165*1000</f>
        <v>1470000</v>
      </c>
      <c r="AS94" s="38">
        <f>+Prielaidos!$AJ$165*1000</f>
        <v>1470000</v>
      </c>
      <c r="AT94" s="38">
        <f>+Prielaidos!$AJ$165*1000</f>
        <v>1470000</v>
      </c>
      <c r="AU94" s="38">
        <f>+Prielaidos!$AJ$165*1000</f>
        <v>1470000</v>
      </c>
      <c r="AV94" s="38">
        <f>+Prielaidos!$AJ$165*1000</f>
        <v>1470000</v>
      </c>
      <c r="AW94" s="38">
        <f>+Prielaidos!$AJ$165*1000</f>
        <v>1470000</v>
      </c>
      <c r="AX94" s="38">
        <f>+Prielaidos!$AJ$165*1000</f>
        <v>1470000</v>
      </c>
      <c r="AY94" s="38">
        <f>+Prielaidos!$AJ$165*1000</f>
        <v>1470000</v>
      </c>
      <c r="AZ94" s="38">
        <f>+Prielaidos!$AJ$165*1000</f>
        <v>1470000</v>
      </c>
      <c r="BA94" s="38">
        <f>+Prielaidos!$AJ$165*1000</f>
        <v>1470000</v>
      </c>
      <c r="BB94" s="38">
        <f>+Prielaidos!$AJ$165*1000</f>
        <v>1470000</v>
      </c>
      <c r="BC94" s="38">
        <f>+Prielaidos!$AJ$165*1000</f>
        <v>1470000</v>
      </c>
      <c r="BD94" s="38">
        <f>+Prielaidos!$AJ$165*1000</f>
        <v>1470000</v>
      </c>
      <c r="BE94" s="38">
        <f>+Prielaidos!$AJ$165*1000</f>
        <v>1470000</v>
      </c>
      <c r="BF94" s="38">
        <f>+Prielaidos!$AJ$165*1000</f>
        <v>1470000</v>
      </c>
      <c r="BG94" s="38">
        <f>+Prielaidos!$AJ$165*1000</f>
        <v>1470000</v>
      </c>
      <c r="BH94" s="38">
        <f>+Prielaidos!$AJ$165*1000</f>
        <v>1470000</v>
      </c>
      <c r="BI94" s="38">
        <f>+Prielaidos!$AJ$165*1000</f>
        <v>1470000</v>
      </c>
      <c r="BJ94" s="38">
        <f>+Prielaidos!$AJ$165*1000</f>
        <v>1470000</v>
      </c>
      <c r="BK94" s="38">
        <f>+Prielaidos!$AJ$165*1000</f>
        <v>1470000</v>
      </c>
      <c r="BL94" s="38">
        <f>+Prielaidos!$AJ$165*1000</f>
        <v>1470000</v>
      </c>
      <c r="BM94" s="38">
        <f>+Prielaidos!$AJ$165*1000</f>
        <v>1470000</v>
      </c>
      <c r="BN94" s="38">
        <f>+Prielaidos!$AJ$165*1000</f>
        <v>1470000</v>
      </c>
      <c r="BO94" s="38">
        <f>+Prielaidos!$AJ$165*1000</f>
        <v>1470000</v>
      </c>
      <c r="BP94" s="38">
        <f>+Prielaidos!$AJ$165*1000</f>
        <v>1470000</v>
      </c>
      <c r="BQ94" s="38">
        <f>+Prielaidos!$AJ$165*1000</f>
        <v>1470000</v>
      </c>
      <c r="BR94" s="38">
        <f>+Prielaidos!$AJ$165*1000</f>
        <v>1470000</v>
      </c>
      <c r="BS94" s="38">
        <f>+Prielaidos!$AJ$165*1000</f>
        <v>1470000</v>
      </c>
      <c r="BT94" s="38">
        <f>+Prielaidos!$AJ$165*1000</f>
        <v>1470000</v>
      </c>
      <c r="BU94" s="38">
        <f>+Prielaidos!$AJ$165*1000</f>
        <v>1470000</v>
      </c>
      <c r="BV94" s="38">
        <f>+Prielaidos!$AJ$165*1000</f>
        <v>1470000</v>
      </c>
      <c r="BW94" s="38">
        <f>+Prielaidos!$AJ$165*1000</f>
        <v>1470000</v>
      </c>
      <c r="BX94" s="38">
        <f>+Prielaidos!$AJ$165*1000</f>
        <v>1470000</v>
      </c>
      <c r="BY94" s="38">
        <f>+Prielaidos!$AJ$165*1000</f>
        <v>1470000</v>
      </c>
      <c r="BZ94" s="38">
        <f>+Prielaidos!$AJ$165*1000</f>
        <v>1470000</v>
      </c>
      <c r="CA94" s="38">
        <f>+Prielaidos!$AJ$165*1000</f>
        <v>1470000</v>
      </c>
      <c r="CB94" s="38">
        <f>+Prielaidos!$AJ$165*1000</f>
        <v>1470000</v>
      </c>
      <c r="CC94" s="38">
        <f>+Prielaidos!$AJ$165*1000</f>
        <v>1470000</v>
      </c>
      <c r="CD94" s="38">
        <f>+Prielaidos!$AJ$165*1000</f>
        <v>1470000</v>
      </c>
      <c r="CE94" s="38">
        <f>+Prielaidos!$AJ$165*1000</f>
        <v>1470000</v>
      </c>
      <c r="CF94" s="38">
        <f>+Prielaidos!$AJ$165*1000</f>
        <v>1470000</v>
      </c>
      <c r="CG94" s="38">
        <f>+Prielaidos!$AJ$165*1000</f>
        <v>1470000</v>
      </c>
      <c r="CH94" s="38">
        <f>+Prielaidos!$AJ$165*1000</f>
        <v>1470000</v>
      </c>
      <c r="CI94" s="38">
        <f>+Prielaidos!$AJ$165*1000</f>
        <v>1470000</v>
      </c>
      <c r="CJ94" s="38">
        <f>+Prielaidos!$AJ$165*1000</f>
        <v>1470000</v>
      </c>
      <c r="CK94" s="38">
        <f>+Prielaidos!$AJ$165*1000</f>
        <v>1470000</v>
      </c>
      <c r="CL94" s="38">
        <f>+Prielaidos!$AJ$165*1000</f>
        <v>1470000</v>
      </c>
      <c r="CM94" s="38">
        <f>+Prielaidos!$AJ$165*1000</f>
        <v>1470000</v>
      </c>
      <c r="CN94" s="38">
        <f>+Prielaidos!$AJ$165*1000</f>
        <v>1470000</v>
      </c>
      <c r="CO94" s="38">
        <f>+Prielaidos!$AJ$165*1000</f>
        <v>1470000</v>
      </c>
      <c r="CP94" s="38">
        <f>+Prielaidos!$AJ$165*1000</f>
        <v>1470000</v>
      </c>
      <c r="CQ94" s="38">
        <f>+Prielaidos!$AJ$165*1000</f>
        <v>1470000</v>
      </c>
      <c r="CR94" s="38">
        <f>+Prielaidos!$AJ$165*1000</f>
        <v>1470000</v>
      </c>
      <c r="CS94" s="38">
        <f>+Prielaidos!$AJ$165*1000</f>
        <v>1470000</v>
      </c>
      <c r="CT94" s="38">
        <f>+Prielaidos!$AJ$165*1000</f>
        <v>1470000</v>
      </c>
      <c r="CU94" s="38">
        <f>+Prielaidos!$AJ$165*1000</f>
        <v>1470000</v>
      </c>
      <c r="CV94" s="38">
        <f>+Prielaidos!$AJ$165*1000</f>
        <v>1470000</v>
      </c>
      <c r="CW94" s="38">
        <f>+Prielaidos!$AJ$165*1000</f>
        <v>1470000</v>
      </c>
      <c r="CX94" s="38">
        <f>+Prielaidos!$AJ$165*1000</f>
        <v>1470000</v>
      </c>
      <c r="CY94" s="38">
        <f>+Prielaidos!$AJ$165*1000</f>
        <v>1470000</v>
      </c>
      <c r="CZ94" s="38">
        <f>+Prielaidos!$AJ$165*1000</f>
        <v>1470000</v>
      </c>
      <c r="DA94" s="38">
        <f>+Prielaidos!$AJ$165*1000</f>
        <v>1470000</v>
      </c>
      <c r="DB94" s="38">
        <f>+Prielaidos!$AJ$165*1000</f>
        <v>1470000</v>
      </c>
      <c r="DC94" s="38">
        <f>+Prielaidos!$AJ$165*1000</f>
        <v>1470000</v>
      </c>
      <c r="DE94" s="46">
        <f t="shared" si="50"/>
        <v>0</v>
      </c>
      <c r="DF94" s="46">
        <f t="shared" si="41"/>
        <v>99</v>
      </c>
      <c r="DG94">
        <f t="shared" si="51"/>
        <v>0</v>
      </c>
    </row>
    <row r="95" spans="1:112" ht="14.4">
      <c r="A95" s="124">
        <v>83</v>
      </c>
      <c r="B95" s="5" t="str">
        <f>$B$89&amp;"6."</f>
        <v>G.6.</v>
      </c>
      <c r="C95" s="164" t="s">
        <v>725</v>
      </c>
      <c r="D95" s="5"/>
      <c r="E95" s="193">
        <v>0</v>
      </c>
      <c r="F95" s="35">
        <f>H95+NPV(FD,I95:INDEX(I95:DC95,PAL))</f>
        <v>70619668.107303977</v>
      </c>
      <c r="G95" s="35">
        <f>SUMIF($H$5:$DC$5,"&lt;="&amp;PAL,$H95:$DC95)</f>
        <v>108392500</v>
      </c>
      <c r="H95" s="38">
        <v>0</v>
      </c>
      <c r="I95" s="38">
        <v>0</v>
      </c>
      <c r="J95" s="38">
        <f>+(Prielaidos!AJ51+Prielaidos!AJ118)*1000</f>
        <v>2580500</v>
      </c>
      <c r="K95" s="38">
        <f>+J95+Prielaidos!AJ85*1000</f>
        <v>3628400</v>
      </c>
      <c r="L95" s="38">
        <f>+K95+(Prielaidos!AJ134+Prielaidos!AJ150)*1000</f>
        <v>6010800</v>
      </c>
      <c r="M95" s="38">
        <f>+L95</f>
        <v>6010800</v>
      </c>
      <c r="N95" s="38">
        <f>+M95</f>
        <v>6010800</v>
      </c>
      <c r="O95" s="38">
        <f t="shared" ref="O95:AB95" si="52">+N95</f>
        <v>6010800</v>
      </c>
      <c r="P95" s="38">
        <f t="shared" si="52"/>
        <v>6010800</v>
      </c>
      <c r="Q95" s="38">
        <f t="shared" si="52"/>
        <v>6010800</v>
      </c>
      <c r="R95" s="38">
        <f t="shared" si="52"/>
        <v>6010800</v>
      </c>
      <c r="S95" s="38">
        <f t="shared" si="52"/>
        <v>6010800</v>
      </c>
      <c r="T95" s="38">
        <f t="shared" si="52"/>
        <v>6010800</v>
      </c>
      <c r="U95" s="38">
        <f t="shared" si="52"/>
        <v>6010800</v>
      </c>
      <c r="V95" s="38">
        <f t="shared" si="52"/>
        <v>6010800</v>
      </c>
      <c r="W95" s="38">
        <f t="shared" si="52"/>
        <v>6010800</v>
      </c>
      <c r="X95" s="38">
        <f t="shared" si="52"/>
        <v>6010800</v>
      </c>
      <c r="Y95" s="38">
        <f t="shared" si="52"/>
        <v>6010800</v>
      </c>
      <c r="Z95" s="38">
        <f t="shared" si="52"/>
        <v>6010800</v>
      </c>
      <c r="AA95" s="38">
        <f t="shared" si="52"/>
        <v>6010800</v>
      </c>
      <c r="AB95" s="38">
        <f t="shared" si="52"/>
        <v>6010800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50"/>
        <v>0</v>
      </c>
      <c r="DF95" s="46">
        <f t="shared" si="41"/>
        <v>19</v>
      </c>
      <c r="DG95">
        <f t="shared" si="51"/>
        <v>0</v>
      </c>
    </row>
    <row r="96" spans="1:112" ht="14.4">
      <c r="A96" s="124">
        <v>84</v>
      </c>
      <c r="B96" s="5" t="str">
        <f>$B$89&amp;"7."</f>
        <v>G.7.</v>
      </c>
      <c r="C96" s="164"/>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ref="DE96:DE116" si="53">COUNTBLANK(H96:DC96)</f>
        <v>0</v>
      </c>
      <c r="DF96" s="46">
        <f t="shared" si="41"/>
        <v>0</v>
      </c>
      <c r="DG96">
        <f t="shared" si="51"/>
        <v>21</v>
      </c>
    </row>
    <row r="97" spans="1:113" ht="14.4">
      <c r="A97" s="124">
        <v>85</v>
      </c>
      <c r="B97" s="5" t="str">
        <f>$B$89&amp;"8."</f>
        <v>G.8.</v>
      </c>
      <c r="C97" s="164"/>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53"/>
        <v>0</v>
      </c>
      <c r="DF97" s="46">
        <f t="shared" si="41"/>
        <v>0</v>
      </c>
      <c r="DG97">
        <f t="shared" si="51"/>
        <v>21</v>
      </c>
    </row>
    <row r="98" spans="1:113" ht="14.4">
      <c r="A98" s="124">
        <v>86</v>
      </c>
      <c r="B98" s="5" t="str">
        <f>$B$89&amp;"9."</f>
        <v>G.9.</v>
      </c>
      <c r="C98" s="164"/>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53"/>
        <v>0</v>
      </c>
      <c r="DF98" s="46">
        <f t="shared" si="41"/>
        <v>0</v>
      </c>
      <c r="DG98">
        <f t="shared" si="51"/>
        <v>21</v>
      </c>
    </row>
    <row r="99" spans="1:113" ht="14.4">
      <c r="A99" s="124">
        <v>87</v>
      </c>
      <c r="B99" s="5" t="str">
        <f>$B$89&amp;"10."</f>
        <v>G.10.</v>
      </c>
      <c r="C99" s="164"/>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53"/>
        <v>0</v>
      </c>
      <c r="DF99" s="46">
        <f t="shared" si="41"/>
        <v>0</v>
      </c>
      <c r="DG99">
        <f t="shared" si="51"/>
        <v>21</v>
      </c>
    </row>
    <row r="100" spans="1:113" ht="17.25" customHeight="1">
      <c r="A100" s="124">
        <v>88</v>
      </c>
      <c r="B100" s="5" t="s">
        <v>38</v>
      </c>
      <c r="C100" s="15" t="s">
        <v>262</v>
      </c>
      <c r="D100" s="5"/>
      <c r="E100" s="5"/>
      <c r="F100" s="11">
        <f>SUM(F101:F110)</f>
        <v>4180347.5450091604</v>
      </c>
      <c r="G100" s="11">
        <f t="shared" ref="G100:BR100" si="54">SUM(G101:G110)</f>
        <v>6272000</v>
      </c>
      <c r="H100" s="11">
        <f t="shared" si="54"/>
        <v>22000</v>
      </c>
      <c r="I100" s="11">
        <f t="shared" si="54"/>
        <v>119000</v>
      </c>
      <c r="J100" s="11">
        <f t="shared" si="54"/>
        <v>209000</v>
      </c>
      <c r="K100" s="11">
        <f t="shared" si="54"/>
        <v>329000</v>
      </c>
      <c r="L100" s="11">
        <f t="shared" si="54"/>
        <v>329000</v>
      </c>
      <c r="M100" s="11">
        <f t="shared" si="54"/>
        <v>329000</v>
      </c>
      <c r="N100" s="11">
        <f t="shared" si="54"/>
        <v>329000</v>
      </c>
      <c r="O100" s="11">
        <f t="shared" si="54"/>
        <v>329000</v>
      </c>
      <c r="P100" s="11">
        <f t="shared" si="54"/>
        <v>329000</v>
      </c>
      <c r="Q100" s="11">
        <f t="shared" si="54"/>
        <v>329000</v>
      </c>
      <c r="R100" s="11">
        <f t="shared" si="54"/>
        <v>329000</v>
      </c>
      <c r="S100" s="11">
        <f t="shared" si="54"/>
        <v>329000</v>
      </c>
      <c r="T100" s="11">
        <f t="shared" si="54"/>
        <v>329000</v>
      </c>
      <c r="U100" s="11">
        <f t="shared" si="54"/>
        <v>329000</v>
      </c>
      <c r="V100" s="11">
        <f t="shared" si="54"/>
        <v>329000</v>
      </c>
      <c r="W100" s="11">
        <f t="shared" si="54"/>
        <v>329000</v>
      </c>
      <c r="X100" s="11">
        <f t="shared" si="54"/>
        <v>329000</v>
      </c>
      <c r="Y100" s="11">
        <f t="shared" si="54"/>
        <v>329000</v>
      </c>
      <c r="Z100" s="11">
        <f t="shared" si="54"/>
        <v>329000</v>
      </c>
      <c r="AA100" s="11">
        <f t="shared" si="54"/>
        <v>329000</v>
      </c>
      <c r="AB100" s="11">
        <f t="shared" si="54"/>
        <v>329000</v>
      </c>
      <c r="AC100" s="11">
        <f t="shared" si="54"/>
        <v>22000</v>
      </c>
      <c r="AD100" s="11">
        <f t="shared" si="54"/>
        <v>22000</v>
      </c>
      <c r="AE100" s="11">
        <f t="shared" si="54"/>
        <v>22000</v>
      </c>
      <c r="AF100" s="11">
        <f t="shared" si="54"/>
        <v>22000</v>
      </c>
      <c r="AG100" s="11">
        <f t="shared" si="54"/>
        <v>22000</v>
      </c>
      <c r="AH100" s="11">
        <f t="shared" si="54"/>
        <v>22000</v>
      </c>
      <c r="AI100" s="11">
        <f t="shared" si="54"/>
        <v>22000</v>
      </c>
      <c r="AJ100" s="11">
        <f t="shared" si="54"/>
        <v>22000</v>
      </c>
      <c r="AK100" s="11">
        <f t="shared" si="54"/>
        <v>22000</v>
      </c>
      <c r="AL100" s="11">
        <f t="shared" si="54"/>
        <v>22000</v>
      </c>
      <c r="AM100" s="11">
        <f t="shared" si="54"/>
        <v>22000</v>
      </c>
      <c r="AN100" s="11">
        <f t="shared" si="54"/>
        <v>22000</v>
      </c>
      <c r="AO100" s="11">
        <f t="shared" si="54"/>
        <v>22000</v>
      </c>
      <c r="AP100" s="11">
        <f t="shared" si="54"/>
        <v>22000</v>
      </c>
      <c r="AQ100" s="11">
        <f t="shared" si="54"/>
        <v>22000</v>
      </c>
      <c r="AR100" s="11">
        <f t="shared" si="54"/>
        <v>22000</v>
      </c>
      <c r="AS100" s="11">
        <f t="shared" si="54"/>
        <v>22000</v>
      </c>
      <c r="AT100" s="11">
        <f t="shared" si="54"/>
        <v>22000</v>
      </c>
      <c r="AU100" s="11">
        <f t="shared" si="54"/>
        <v>22000</v>
      </c>
      <c r="AV100" s="11">
        <f t="shared" si="54"/>
        <v>22000</v>
      </c>
      <c r="AW100" s="11">
        <f t="shared" si="54"/>
        <v>22000</v>
      </c>
      <c r="AX100" s="11">
        <f t="shared" si="54"/>
        <v>22000</v>
      </c>
      <c r="AY100" s="11">
        <f t="shared" si="54"/>
        <v>22000</v>
      </c>
      <c r="AZ100" s="11">
        <f t="shared" si="54"/>
        <v>22000</v>
      </c>
      <c r="BA100" s="11">
        <f t="shared" si="54"/>
        <v>22000</v>
      </c>
      <c r="BB100" s="11">
        <f t="shared" si="54"/>
        <v>22000</v>
      </c>
      <c r="BC100" s="11">
        <f t="shared" si="54"/>
        <v>22000</v>
      </c>
      <c r="BD100" s="11">
        <f t="shared" si="54"/>
        <v>22000</v>
      </c>
      <c r="BE100" s="11">
        <f t="shared" si="54"/>
        <v>22000</v>
      </c>
      <c r="BF100" s="11">
        <f t="shared" si="54"/>
        <v>22000</v>
      </c>
      <c r="BG100" s="11">
        <f t="shared" si="54"/>
        <v>22000</v>
      </c>
      <c r="BH100" s="11">
        <f t="shared" si="54"/>
        <v>22000</v>
      </c>
      <c r="BI100" s="11">
        <f t="shared" si="54"/>
        <v>22000</v>
      </c>
      <c r="BJ100" s="11">
        <f t="shared" si="54"/>
        <v>22000</v>
      </c>
      <c r="BK100" s="11">
        <f t="shared" si="54"/>
        <v>22000</v>
      </c>
      <c r="BL100" s="11">
        <f t="shared" si="54"/>
        <v>22000</v>
      </c>
      <c r="BM100" s="11">
        <f t="shared" si="54"/>
        <v>22000</v>
      </c>
      <c r="BN100" s="11">
        <f t="shared" si="54"/>
        <v>22000</v>
      </c>
      <c r="BO100" s="11">
        <f t="shared" si="54"/>
        <v>22000</v>
      </c>
      <c r="BP100" s="11">
        <f t="shared" si="54"/>
        <v>22000</v>
      </c>
      <c r="BQ100" s="11">
        <f t="shared" si="54"/>
        <v>22000</v>
      </c>
      <c r="BR100" s="11">
        <f t="shared" si="54"/>
        <v>22000</v>
      </c>
      <c r="BS100" s="11">
        <f t="shared" ref="BS100:DC100" si="55">SUM(BS101:BS110)</f>
        <v>22000</v>
      </c>
      <c r="BT100" s="11">
        <f t="shared" si="55"/>
        <v>22000</v>
      </c>
      <c r="BU100" s="11">
        <f t="shared" si="55"/>
        <v>22000</v>
      </c>
      <c r="BV100" s="11">
        <f t="shared" si="55"/>
        <v>22000</v>
      </c>
      <c r="BW100" s="11">
        <f t="shared" si="55"/>
        <v>22000</v>
      </c>
      <c r="BX100" s="11">
        <f t="shared" si="55"/>
        <v>22000</v>
      </c>
      <c r="BY100" s="11">
        <f t="shared" si="55"/>
        <v>22000</v>
      </c>
      <c r="BZ100" s="11">
        <f t="shared" si="55"/>
        <v>22000</v>
      </c>
      <c r="CA100" s="11">
        <f t="shared" si="55"/>
        <v>22000</v>
      </c>
      <c r="CB100" s="11">
        <f t="shared" si="55"/>
        <v>22000</v>
      </c>
      <c r="CC100" s="11">
        <f t="shared" si="55"/>
        <v>22000</v>
      </c>
      <c r="CD100" s="11">
        <f t="shared" si="55"/>
        <v>22000</v>
      </c>
      <c r="CE100" s="11">
        <f t="shared" si="55"/>
        <v>22000</v>
      </c>
      <c r="CF100" s="11">
        <f t="shared" si="55"/>
        <v>22000</v>
      </c>
      <c r="CG100" s="11">
        <f t="shared" si="55"/>
        <v>22000</v>
      </c>
      <c r="CH100" s="11">
        <f t="shared" si="55"/>
        <v>22000</v>
      </c>
      <c r="CI100" s="11">
        <f t="shared" si="55"/>
        <v>22000</v>
      </c>
      <c r="CJ100" s="11">
        <f t="shared" si="55"/>
        <v>22000</v>
      </c>
      <c r="CK100" s="11">
        <f t="shared" si="55"/>
        <v>22000</v>
      </c>
      <c r="CL100" s="11">
        <f t="shared" si="55"/>
        <v>22000</v>
      </c>
      <c r="CM100" s="11">
        <f t="shared" si="55"/>
        <v>22000</v>
      </c>
      <c r="CN100" s="11">
        <f t="shared" si="55"/>
        <v>22000</v>
      </c>
      <c r="CO100" s="11">
        <f t="shared" si="55"/>
        <v>22000</v>
      </c>
      <c r="CP100" s="11">
        <f t="shared" si="55"/>
        <v>22000</v>
      </c>
      <c r="CQ100" s="11">
        <f t="shared" si="55"/>
        <v>22000</v>
      </c>
      <c r="CR100" s="11">
        <f t="shared" si="55"/>
        <v>22000</v>
      </c>
      <c r="CS100" s="11">
        <f t="shared" si="55"/>
        <v>22000</v>
      </c>
      <c r="CT100" s="11">
        <f t="shared" si="55"/>
        <v>22000</v>
      </c>
      <c r="CU100" s="11">
        <f t="shared" si="55"/>
        <v>22000</v>
      </c>
      <c r="CV100" s="11">
        <f t="shared" si="55"/>
        <v>22000</v>
      </c>
      <c r="CW100" s="11">
        <f t="shared" si="55"/>
        <v>22000</v>
      </c>
      <c r="CX100" s="11">
        <f t="shared" si="55"/>
        <v>22000</v>
      </c>
      <c r="CY100" s="11">
        <f t="shared" si="55"/>
        <v>22000</v>
      </c>
      <c r="CZ100" s="11">
        <f t="shared" si="55"/>
        <v>22000</v>
      </c>
      <c r="DA100" s="11">
        <f t="shared" si="55"/>
        <v>22000</v>
      </c>
      <c r="DB100" s="11">
        <f t="shared" si="55"/>
        <v>22000</v>
      </c>
      <c r="DC100" s="11">
        <f t="shared" si="55"/>
        <v>22000</v>
      </c>
      <c r="DF100" s="46">
        <f t="shared" si="41"/>
        <v>100</v>
      </c>
      <c r="DH100" t="s">
        <v>279</v>
      </c>
    </row>
    <row r="101" spans="1:113" ht="14.4">
      <c r="A101" s="124">
        <v>89</v>
      </c>
      <c r="B101" s="5" t="str">
        <f>$B$100&amp;"1."</f>
        <v>H.1.</v>
      </c>
      <c r="C101" s="164" t="s">
        <v>629</v>
      </c>
      <c r="D101" s="5"/>
      <c r="E101" s="184" t="s">
        <v>255</v>
      </c>
      <c r="F101" s="35">
        <f>H101+NPV(FD,I101:INDEX(I101:DC101,PAL))</f>
        <v>320987.17958928895</v>
      </c>
      <c r="G101" s="35">
        <f>SUMIF($H$5:$DC$5,"&lt;="&amp;PAL,$H101:$DC101)</f>
        <v>462000</v>
      </c>
      <c r="H101" s="38">
        <f>+Prielaidos!$AJ$175*1000</f>
        <v>22000</v>
      </c>
      <c r="I101" s="38">
        <f>+Prielaidos!$AJ$175*1000</f>
        <v>22000</v>
      </c>
      <c r="J101" s="38">
        <f>+Prielaidos!$AJ$175*1000</f>
        <v>22000</v>
      </c>
      <c r="K101" s="38">
        <f>+Prielaidos!$AJ$175*1000</f>
        <v>22000</v>
      </c>
      <c r="L101" s="38">
        <f>+Prielaidos!$AJ$175*1000</f>
        <v>22000</v>
      </c>
      <c r="M101" s="38">
        <f>+Prielaidos!$AJ$175*1000</f>
        <v>22000</v>
      </c>
      <c r="N101" s="38">
        <f>+Prielaidos!$AJ$175*1000</f>
        <v>22000</v>
      </c>
      <c r="O101" s="38">
        <f>+Prielaidos!$AJ$175*1000</f>
        <v>22000</v>
      </c>
      <c r="P101" s="38">
        <f>+Prielaidos!$AJ$175*1000</f>
        <v>22000</v>
      </c>
      <c r="Q101" s="38">
        <f>+Prielaidos!$AJ$175*1000</f>
        <v>22000</v>
      </c>
      <c r="R101" s="38">
        <f>+Prielaidos!$AJ$175*1000</f>
        <v>22000</v>
      </c>
      <c r="S101" s="38">
        <f>+Prielaidos!$AJ$175*1000</f>
        <v>22000</v>
      </c>
      <c r="T101" s="38">
        <f>+Prielaidos!$AJ$175*1000</f>
        <v>22000</v>
      </c>
      <c r="U101" s="38">
        <f>+Prielaidos!$AJ$175*1000</f>
        <v>22000</v>
      </c>
      <c r="V101" s="38">
        <f>+Prielaidos!$AJ$175*1000</f>
        <v>22000</v>
      </c>
      <c r="W101" s="38">
        <f>+Prielaidos!$AJ$175*1000</f>
        <v>22000</v>
      </c>
      <c r="X101" s="38">
        <f>+Prielaidos!$AJ$175*1000</f>
        <v>22000</v>
      </c>
      <c r="Y101" s="38">
        <f>+Prielaidos!$AJ$175*1000</f>
        <v>22000</v>
      </c>
      <c r="Z101" s="38">
        <f>+Prielaidos!$AJ$175*1000</f>
        <v>22000</v>
      </c>
      <c r="AA101" s="38">
        <f>+Prielaidos!$AJ$175*1000</f>
        <v>22000</v>
      </c>
      <c r="AB101" s="38">
        <f>+Prielaidos!$AJ$175*1000</f>
        <v>22000</v>
      </c>
      <c r="AC101" s="38">
        <f>+Prielaidos!$AJ$175*1000</f>
        <v>22000</v>
      </c>
      <c r="AD101" s="38">
        <f>+Prielaidos!$AJ$175*1000</f>
        <v>22000</v>
      </c>
      <c r="AE101" s="38">
        <f>+Prielaidos!$AJ$175*1000</f>
        <v>22000</v>
      </c>
      <c r="AF101" s="38">
        <f>+Prielaidos!$AJ$175*1000</f>
        <v>22000</v>
      </c>
      <c r="AG101" s="38">
        <f>+Prielaidos!$AJ$175*1000</f>
        <v>22000</v>
      </c>
      <c r="AH101" s="38">
        <f>+Prielaidos!$AJ$175*1000</f>
        <v>22000</v>
      </c>
      <c r="AI101" s="38">
        <f>+Prielaidos!$AJ$175*1000</f>
        <v>22000</v>
      </c>
      <c r="AJ101" s="38">
        <f>+Prielaidos!$AJ$175*1000</f>
        <v>22000</v>
      </c>
      <c r="AK101" s="38">
        <f>+Prielaidos!$AJ$175*1000</f>
        <v>22000</v>
      </c>
      <c r="AL101" s="38">
        <f>+Prielaidos!$AJ$175*1000</f>
        <v>22000</v>
      </c>
      <c r="AM101" s="38">
        <f>+Prielaidos!$AJ$175*1000</f>
        <v>22000</v>
      </c>
      <c r="AN101" s="38">
        <f>+Prielaidos!$AJ$175*1000</f>
        <v>22000</v>
      </c>
      <c r="AO101" s="38">
        <f>+Prielaidos!$AJ$175*1000</f>
        <v>22000</v>
      </c>
      <c r="AP101" s="38">
        <f>+Prielaidos!$AJ$175*1000</f>
        <v>22000</v>
      </c>
      <c r="AQ101" s="38">
        <f>+Prielaidos!$AJ$175*1000</f>
        <v>22000</v>
      </c>
      <c r="AR101" s="38">
        <f>+Prielaidos!$AJ$175*1000</f>
        <v>22000</v>
      </c>
      <c r="AS101" s="38">
        <f>+Prielaidos!$AJ$175*1000</f>
        <v>22000</v>
      </c>
      <c r="AT101" s="38">
        <f>+Prielaidos!$AJ$175*1000</f>
        <v>22000</v>
      </c>
      <c r="AU101" s="38">
        <f>+Prielaidos!$AJ$175*1000</f>
        <v>22000</v>
      </c>
      <c r="AV101" s="38">
        <f>+Prielaidos!$AJ$175*1000</f>
        <v>22000</v>
      </c>
      <c r="AW101" s="38">
        <f>+Prielaidos!$AJ$175*1000</f>
        <v>22000</v>
      </c>
      <c r="AX101" s="38">
        <f>+Prielaidos!$AJ$175*1000</f>
        <v>22000</v>
      </c>
      <c r="AY101" s="38">
        <f>+Prielaidos!$AJ$175*1000</f>
        <v>22000</v>
      </c>
      <c r="AZ101" s="38">
        <f>+Prielaidos!$AJ$175*1000</f>
        <v>22000</v>
      </c>
      <c r="BA101" s="38">
        <f>+Prielaidos!$AJ$175*1000</f>
        <v>22000</v>
      </c>
      <c r="BB101" s="38">
        <f>+Prielaidos!$AJ$175*1000</f>
        <v>22000</v>
      </c>
      <c r="BC101" s="38">
        <f>+Prielaidos!$AJ$175*1000</f>
        <v>22000</v>
      </c>
      <c r="BD101" s="38">
        <f>+Prielaidos!$AJ$175*1000</f>
        <v>22000</v>
      </c>
      <c r="BE101" s="38">
        <f>+Prielaidos!$AJ$175*1000</f>
        <v>22000</v>
      </c>
      <c r="BF101" s="38">
        <f>+Prielaidos!$AJ$175*1000</f>
        <v>22000</v>
      </c>
      <c r="BG101" s="38">
        <f>+Prielaidos!$AJ$175*1000</f>
        <v>22000</v>
      </c>
      <c r="BH101" s="38">
        <f>+Prielaidos!$AJ$175*1000</f>
        <v>22000</v>
      </c>
      <c r="BI101" s="38">
        <f>+Prielaidos!$AJ$175*1000</f>
        <v>22000</v>
      </c>
      <c r="BJ101" s="38">
        <f>+Prielaidos!$AJ$175*1000</f>
        <v>22000</v>
      </c>
      <c r="BK101" s="38">
        <f>+Prielaidos!$AJ$175*1000</f>
        <v>22000</v>
      </c>
      <c r="BL101" s="38">
        <f>+Prielaidos!$AJ$175*1000</f>
        <v>22000</v>
      </c>
      <c r="BM101" s="38">
        <f>+Prielaidos!$AJ$175*1000</f>
        <v>22000</v>
      </c>
      <c r="BN101" s="38">
        <f>+Prielaidos!$AJ$175*1000</f>
        <v>22000</v>
      </c>
      <c r="BO101" s="38">
        <f>+Prielaidos!$AJ$175*1000</f>
        <v>22000</v>
      </c>
      <c r="BP101" s="38">
        <f>+Prielaidos!$AJ$175*1000</f>
        <v>22000</v>
      </c>
      <c r="BQ101" s="38">
        <f>+Prielaidos!$AJ$175*1000</f>
        <v>22000</v>
      </c>
      <c r="BR101" s="38">
        <f>+Prielaidos!$AJ$175*1000</f>
        <v>22000</v>
      </c>
      <c r="BS101" s="38">
        <f>+Prielaidos!$AJ$175*1000</f>
        <v>22000</v>
      </c>
      <c r="BT101" s="38">
        <f>+Prielaidos!$AJ$175*1000</f>
        <v>22000</v>
      </c>
      <c r="BU101" s="38">
        <f>+Prielaidos!$AJ$175*1000</f>
        <v>22000</v>
      </c>
      <c r="BV101" s="38">
        <f>+Prielaidos!$AJ$175*1000</f>
        <v>22000</v>
      </c>
      <c r="BW101" s="38">
        <f>+Prielaidos!$AJ$175*1000</f>
        <v>22000</v>
      </c>
      <c r="BX101" s="38">
        <f>+Prielaidos!$AJ$175*1000</f>
        <v>22000</v>
      </c>
      <c r="BY101" s="38">
        <f>+Prielaidos!$AJ$175*1000</f>
        <v>22000</v>
      </c>
      <c r="BZ101" s="38">
        <f>+Prielaidos!$AJ$175*1000</f>
        <v>22000</v>
      </c>
      <c r="CA101" s="38">
        <f>+Prielaidos!$AJ$175*1000</f>
        <v>22000</v>
      </c>
      <c r="CB101" s="38">
        <f>+Prielaidos!$AJ$175*1000</f>
        <v>22000</v>
      </c>
      <c r="CC101" s="38">
        <f>+Prielaidos!$AJ$175*1000</f>
        <v>22000</v>
      </c>
      <c r="CD101" s="38">
        <f>+Prielaidos!$AJ$175*1000</f>
        <v>22000</v>
      </c>
      <c r="CE101" s="38">
        <f>+Prielaidos!$AJ$175*1000</f>
        <v>22000</v>
      </c>
      <c r="CF101" s="38">
        <f>+Prielaidos!$AJ$175*1000</f>
        <v>22000</v>
      </c>
      <c r="CG101" s="38">
        <f>+Prielaidos!$AJ$175*1000</f>
        <v>22000</v>
      </c>
      <c r="CH101" s="38">
        <f>+Prielaidos!$AJ$175*1000</f>
        <v>22000</v>
      </c>
      <c r="CI101" s="38">
        <f>+Prielaidos!$AJ$175*1000</f>
        <v>22000</v>
      </c>
      <c r="CJ101" s="38">
        <f>+Prielaidos!$AJ$175*1000</f>
        <v>22000</v>
      </c>
      <c r="CK101" s="38">
        <f>+Prielaidos!$AJ$175*1000</f>
        <v>22000</v>
      </c>
      <c r="CL101" s="38">
        <f>+Prielaidos!$AJ$175*1000</f>
        <v>22000</v>
      </c>
      <c r="CM101" s="38">
        <f>+Prielaidos!$AJ$175*1000</f>
        <v>22000</v>
      </c>
      <c r="CN101" s="38">
        <f>+Prielaidos!$AJ$175*1000</f>
        <v>22000</v>
      </c>
      <c r="CO101" s="38">
        <f>+Prielaidos!$AJ$175*1000</f>
        <v>22000</v>
      </c>
      <c r="CP101" s="38">
        <f>+Prielaidos!$AJ$175*1000</f>
        <v>22000</v>
      </c>
      <c r="CQ101" s="38">
        <f>+Prielaidos!$AJ$175*1000</f>
        <v>22000</v>
      </c>
      <c r="CR101" s="38">
        <f>+Prielaidos!$AJ$175*1000</f>
        <v>22000</v>
      </c>
      <c r="CS101" s="38">
        <f>+Prielaidos!$AJ$175*1000</f>
        <v>22000</v>
      </c>
      <c r="CT101" s="38">
        <f>+Prielaidos!$AJ$175*1000</f>
        <v>22000</v>
      </c>
      <c r="CU101" s="38">
        <f>+Prielaidos!$AJ$175*1000</f>
        <v>22000</v>
      </c>
      <c r="CV101" s="38">
        <f>+Prielaidos!$AJ$175*1000</f>
        <v>22000</v>
      </c>
      <c r="CW101" s="38">
        <f>+Prielaidos!$AJ$175*1000</f>
        <v>22000</v>
      </c>
      <c r="CX101" s="38">
        <f>+Prielaidos!$AJ$175*1000</f>
        <v>22000</v>
      </c>
      <c r="CY101" s="38">
        <f>+Prielaidos!$AJ$175*1000</f>
        <v>22000</v>
      </c>
      <c r="CZ101" s="38">
        <f>+Prielaidos!$AJ$175*1000</f>
        <v>22000</v>
      </c>
      <c r="DA101" s="38">
        <f>+Prielaidos!$AJ$175*1000</f>
        <v>22000</v>
      </c>
      <c r="DB101" s="38">
        <f>+Prielaidos!$AJ$175*1000</f>
        <v>22000</v>
      </c>
      <c r="DC101" s="38">
        <f>+Prielaidos!$AJ$175*1000</f>
        <v>22000</v>
      </c>
      <c r="DE101" s="46">
        <f>COUNTBLANK(H101:DC101)</f>
        <v>0</v>
      </c>
      <c r="DF101" s="46">
        <f t="shared" si="41"/>
        <v>100</v>
      </c>
      <c r="DG101">
        <f t="shared" si="51"/>
        <v>0</v>
      </c>
    </row>
    <row r="102" spans="1:113" ht="14.4">
      <c r="A102" s="124">
        <v>90</v>
      </c>
      <c r="B102" s="5" t="str">
        <f>$B$100&amp;"2."</f>
        <v>H.2.</v>
      </c>
      <c r="C102" s="164" t="s">
        <v>727</v>
      </c>
      <c r="D102" s="5"/>
      <c r="E102" s="184" t="s">
        <v>255</v>
      </c>
      <c r="F102" s="35">
        <f>H102+NPV(FD,I102:INDEX(I102:DC102,PAL))</f>
        <v>3859360.3654198716</v>
      </c>
      <c r="G102" s="35">
        <f>SUMIF($H$5:$DC$5,"&lt;="&amp;PAL,$H102:$DC102)</f>
        <v>5810000</v>
      </c>
      <c r="H102" s="38">
        <v>0</v>
      </c>
      <c r="I102" s="38">
        <f>+(Prielaidos!AJ125+Prielaidos!AJ58)*1000</f>
        <v>97000</v>
      </c>
      <c r="J102" s="38">
        <f>I102+Prielaidos!AJ92*1000</f>
        <v>187000</v>
      </c>
      <c r="K102" s="38">
        <f>+J102+(Prielaidos!AJ141+Prielaidos!AJ157)*1000</f>
        <v>307000</v>
      </c>
      <c r="L102" s="38">
        <f>+K102</f>
        <v>307000</v>
      </c>
      <c r="M102" s="38">
        <f>+L102</f>
        <v>307000</v>
      </c>
      <c r="N102" s="38">
        <f t="shared" ref="N102:AB102" si="56">+M102</f>
        <v>307000</v>
      </c>
      <c r="O102" s="38">
        <f t="shared" si="56"/>
        <v>307000</v>
      </c>
      <c r="P102" s="38">
        <f t="shared" si="56"/>
        <v>307000</v>
      </c>
      <c r="Q102" s="38">
        <f t="shared" si="56"/>
        <v>307000</v>
      </c>
      <c r="R102" s="38">
        <f t="shared" si="56"/>
        <v>307000</v>
      </c>
      <c r="S102" s="38">
        <f t="shared" si="56"/>
        <v>307000</v>
      </c>
      <c r="T102" s="38">
        <f t="shared" si="56"/>
        <v>307000</v>
      </c>
      <c r="U102" s="38">
        <f t="shared" si="56"/>
        <v>307000</v>
      </c>
      <c r="V102" s="38">
        <f t="shared" si="56"/>
        <v>307000</v>
      </c>
      <c r="W102" s="38">
        <f t="shared" si="56"/>
        <v>307000</v>
      </c>
      <c r="X102" s="38">
        <f t="shared" si="56"/>
        <v>307000</v>
      </c>
      <c r="Y102" s="38">
        <f t="shared" si="56"/>
        <v>307000</v>
      </c>
      <c r="Z102" s="38">
        <f t="shared" si="56"/>
        <v>307000</v>
      </c>
      <c r="AA102" s="38">
        <f t="shared" si="56"/>
        <v>307000</v>
      </c>
      <c r="AB102" s="38">
        <f t="shared" si="56"/>
        <v>307000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41"/>
        <v>20</v>
      </c>
      <c r="DG102">
        <f t="shared" si="51"/>
        <v>0</v>
      </c>
    </row>
    <row r="103" spans="1:113" ht="14.4">
      <c r="A103" s="124">
        <v>91</v>
      </c>
      <c r="B103" s="5" t="str">
        <f>$B$100&amp;"3."</f>
        <v>H.3.</v>
      </c>
      <c r="C103" s="164"/>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41"/>
        <v>0</v>
      </c>
      <c r="DG103">
        <f t="shared" si="51"/>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41"/>
        <v>0</v>
      </c>
      <c r="DG104">
        <f t="shared" si="51"/>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41"/>
        <v>0</v>
      </c>
      <c r="DG105">
        <f t="shared" si="51"/>
        <v>0</v>
      </c>
    </row>
    <row r="106" spans="1:113" ht="14.4">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53"/>
        <v>0</v>
      </c>
      <c r="DF106" s="46">
        <f t="shared" si="41"/>
        <v>0</v>
      </c>
      <c r="DG106">
        <f t="shared" si="51"/>
        <v>0</v>
      </c>
      <c r="DH106">
        <v>1</v>
      </c>
      <c r="DI106" s="64">
        <v>0.21</v>
      </c>
    </row>
    <row r="107" spans="1:113" ht="14.4">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53"/>
        <v>0</v>
      </c>
      <c r="DF107" s="46">
        <f t="shared" si="41"/>
        <v>0</v>
      </c>
      <c r="DG107">
        <f t="shared" si="51"/>
        <v>0</v>
      </c>
      <c r="DH107">
        <v>1</v>
      </c>
      <c r="DI107" s="64">
        <v>0.09</v>
      </c>
    </row>
    <row r="108" spans="1:113" ht="14.4">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53"/>
        <v>0</v>
      </c>
      <c r="DF108" s="46">
        <f t="shared" si="41"/>
        <v>0</v>
      </c>
      <c r="DG108">
        <f t="shared" si="51"/>
        <v>0</v>
      </c>
      <c r="DI108" s="64"/>
    </row>
    <row r="109" spans="1:113" ht="14.4">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53"/>
        <v>0</v>
      </c>
      <c r="DF109" s="46">
        <f t="shared" si="41"/>
        <v>0</v>
      </c>
      <c r="DG109">
        <f t="shared" si="51"/>
        <v>0</v>
      </c>
      <c r="DI109" s="64"/>
    </row>
    <row r="110" spans="1:113" ht="14.4">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53"/>
        <v>0</v>
      </c>
      <c r="DF110" s="46">
        <f t="shared" si="41"/>
        <v>0</v>
      </c>
      <c r="DG110">
        <f t="shared" si="51"/>
        <v>0</v>
      </c>
      <c r="DI110" s="64"/>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41"/>
        <v>0</v>
      </c>
    </row>
    <row r="112" spans="1:113" ht="30" customHeight="1">
      <c r="A112" s="124">
        <v>100</v>
      </c>
      <c r="B112" s="5" t="s">
        <v>150</v>
      </c>
      <c r="C112" s="15" t="s">
        <v>163</v>
      </c>
      <c r="D112" s="15"/>
      <c r="E112" s="3"/>
      <c r="F112" s="11">
        <f>F113+F114-F115</f>
        <v>180641.61392627735</v>
      </c>
      <c r="G112" s="11">
        <f t="shared" ref="G112:BR112" si="57">G113+G114-G115</f>
        <v>235165.28925619836</v>
      </c>
      <c r="H112" s="11">
        <f>H113+H114-H115</f>
        <v>0</v>
      </c>
      <c r="I112" s="11">
        <f t="shared" si="57"/>
        <v>8677.6859504132226</v>
      </c>
      <c r="J112" s="11">
        <f t="shared" si="57"/>
        <v>90247.933884297527</v>
      </c>
      <c r="K112" s="11">
        <f t="shared" si="57"/>
        <v>6074.3801652892562</v>
      </c>
      <c r="L112" s="11">
        <f t="shared" si="57"/>
        <v>867.76859504132233</v>
      </c>
      <c r="M112" s="11">
        <f t="shared" si="57"/>
        <v>4338.8429752066113</v>
      </c>
      <c r="N112" s="11">
        <f t="shared" si="57"/>
        <v>0</v>
      </c>
      <c r="O112" s="11">
        <f t="shared" si="57"/>
        <v>0</v>
      </c>
      <c r="P112" s="11">
        <f t="shared" si="57"/>
        <v>0</v>
      </c>
      <c r="Q112" s="11">
        <f t="shared" si="57"/>
        <v>0</v>
      </c>
      <c r="R112" s="11">
        <f t="shared" si="57"/>
        <v>20826.446280991735</v>
      </c>
      <c r="S112" s="11">
        <f t="shared" si="57"/>
        <v>41652.89256198347</v>
      </c>
      <c r="T112" s="11">
        <f t="shared" si="57"/>
        <v>20826.446280991735</v>
      </c>
      <c r="U112" s="11">
        <f t="shared" si="57"/>
        <v>41652.89256198347</v>
      </c>
      <c r="V112" s="11">
        <f t="shared" si="57"/>
        <v>0</v>
      </c>
      <c r="W112" s="11">
        <f t="shared" si="57"/>
        <v>0</v>
      </c>
      <c r="X112" s="11">
        <f t="shared" si="57"/>
        <v>0</v>
      </c>
      <c r="Y112" s="11">
        <f t="shared" si="57"/>
        <v>0</v>
      </c>
      <c r="Z112" s="11">
        <f t="shared" si="57"/>
        <v>0</v>
      </c>
      <c r="AA112" s="11">
        <f t="shared" si="57"/>
        <v>0</v>
      </c>
      <c r="AB112" s="11">
        <f t="shared" si="57"/>
        <v>0</v>
      </c>
      <c r="AC112" s="11">
        <f t="shared" si="57"/>
        <v>0</v>
      </c>
      <c r="AD112" s="11">
        <f t="shared" si="57"/>
        <v>0</v>
      </c>
      <c r="AE112" s="11">
        <f t="shared" si="57"/>
        <v>0</v>
      </c>
      <c r="AF112" s="11">
        <f t="shared" si="57"/>
        <v>0</v>
      </c>
      <c r="AG112" s="11">
        <f t="shared" si="57"/>
        <v>0</v>
      </c>
      <c r="AH112" s="11">
        <f t="shared" si="57"/>
        <v>0</v>
      </c>
      <c r="AI112" s="11">
        <f t="shared" si="57"/>
        <v>0</v>
      </c>
      <c r="AJ112" s="11">
        <f t="shared" si="57"/>
        <v>0</v>
      </c>
      <c r="AK112" s="11">
        <f t="shared" si="57"/>
        <v>0</v>
      </c>
      <c r="AL112" s="11">
        <f t="shared" si="57"/>
        <v>0</v>
      </c>
      <c r="AM112" s="11">
        <f t="shared" si="57"/>
        <v>0</v>
      </c>
      <c r="AN112" s="11">
        <f t="shared" si="57"/>
        <v>0</v>
      </c>
      <c r="AO112" s="11">
        <f t="shared" si="57"/>
        <v>0</v>
      </c>
      <c r="AP112" s="11">
        <f t="shared" si="57"/>
        <v>0</v>
      </c>
      <c r="AQ112" s="11">
        <f t="shared" si="57"/>
        <v>0</v>
      </c>
      <c r="AR112" s="11">
        <f t="shared" si="57"/>
        <v>0</v>
      </c>
      <c r="AS112" s="11">
        <f t="shared" si="57"/>
        <v>0</v>
      </c>
      <c r="AT112" s="11">
        <f t="shared" si="57"/>
        <v>0</v>
      </c>
      <c r="AU112" s="11">
        <f t="shared" si="57"/>
        <v>0</v>
      </c>
      <c r="AV112" s="11">
        <f t="shared" si="57"/>
        <v>0</v>
      </c>
      <c r="AW112" s="11">
        <f t="shared" si="57"/>
        <v>0</v>
      </c>
      <c r="AX112" s="11">
        <f t="shared" si="57"/>
        <v>0</v>
      </c>
      <c r="AY112" s="11">
        <f t="shared" si="57"/>
        <v>0</v>
      </c>
      <c r="AZ112" s="11">
        <f t="shared" si="57"/>
        <v>0</v>
      </c>
      <c r="BA112" s="11">
        <f t="shared" si="57"/>
        <v>0</v>
      </c>
      <c r="BB112" s="11">
        <f t="shared" si="57"/>
        <v>0</v>
      </c>
      <c r="BC112" s="11">
        <f t="shared" si="57"/>
        <v>0</v>
      </c>
      <c r="BD112" s="11">
        <f t="shared" si="57"/>
        <v>0</v>
      </c>
      <c r="BE112" s="11">
        <f t="shared" si="57"/>
        <v>0</v>
      </c>
      <c r="BF112" s="11">
        <f t="shared" si="57"/>
        <v>0</v>
      </c>
      <c r="BG112" s="11">
        <f t="shared" si="57"/>
        <v>0</v>
      </c>
      <c r="BH112" s="11">
        <f t="shared" si="57"/>
        <v>0</v>
      </c>
      <c r="BI112" s="11">
        <f t="shared" si="57"/>
        <v>0</v>
      </c>
      <c r="BJ112" s="11">
        <f t="shared" si="57"/>
        <v>0</v>
      </c>
      <c r="BK112" s="11">
        <f t="shared" si="57"/>
        <v>0</v>
      </c>
      <c r="BL112" s="11">
        <f t="shared" si="57"/>
        <v>0</v>
      </c>
      <c r="BM112" s="11">
        <f t="shared" si="57"/>
        <v>0</v>
      </c>
      <c r="BN112" s="11">
        <f t="shared" si="57"/>
        <v>0</v>
      </c>
      <c r="BO112" s="11">
        <f t="shared" si="57"/>
        <v>0</v>
      </c>
      <c r="BP112" s="11">
        <f t="shared" si="57"/>
        <v>0</v>
      </c>
      <c r="BQ112" s="11">
        <f t="shared" si="57"/>
        <v>0</v>
      </c>
      <c r="BR112" s="11">
        <f t="shared" si="57"/>
        <v>0</v>
      </c>
      <c r="BS112" s="11">
        <f t="shared" ref="BS112:DC112" si="58">BS113+BS114-BS115</f>
        <v>0</v>
      </c>
      <c r="BT112" s="11">
        <f t="shared" si="58"/>
        <v>0</v>
      </c>
      <c r="BU112" s="11">
        <f t="shared" si="58"/>
        <v>0</v>
      </c>
      <c r="BV112" s="11">
        <f t="shared" si="58"/>
        <v>0</v>
      </c>
      <c r="BW112" s="11">
        <f t="shared" si="58"/>
        <v>0</v>
      </c>
      <c r="BX112" s="11">
        <f t="shared" si="58"/>
        <v>0</v>
      </c>
      <c r="BY112" s="11">
        <f t="shared" si="58"/>
        <v>0</v>
      </c>
      <c r="BZ112" s="11">
        <f t="shared" si="58"/>
        <v>0</v>
      </c>
      <c r="CA112" s="11">
        <f t="shared" si="58"/>
        <v>0</v>
      </c>
      <c r="CB112" s="11">
        <f t="shared" si="58"/>
        <v>0</v>
      </c>
      <c r="CC112" s="11">
        <f t="shared" si="58"/>
        <v>0</v>
      </c>
      <c r="CD112" s="11">
        <f t="shared" si="58"/>
        <v>0</v>
      </c>
      <c r="CE112" s="11">
        <f t="shared" si="58"/>
        <v>0</v>
      </c>
      <c r="CF112" s="11">
        <f t="shared" si="58"/>
        <v>0</v>
      </c>
      <c r="CG112" s="11">
        <f t="shared" si="58"/>
        <v>0</v>
      </c>
      <c r="CH112" s="11">
        <f t="shared" si="58"/>
        <v>0</v>
      </c>
      <c r="CI112" s="11">
        <f t="shared" si="58"/>
        <v>0</v>
      </c>
      <c r="CJ112" s="11">
        <f t="shared" si="58"/>
        <v>0</v>
      </c>
      <c r="CK112" s="11">
        <f t="shared" si="58"/>
        <v>0</v>
      </c>
      <c r="CL112" s="11">
        <f t="shared" si="58"/>
        <v>0</v>
      </c>
      <c r="CM112" s="11">
        <f t="shared" si="58"/>
        <v>0</v>
      </c>
      <c r="CN112" s="11">
        <f t="shared" si="58"/>
        <v>0</v>
      </c>
      <c r="CO112" s="11">
        <f t="shared" si="58"/>
        <v>0</v>
      </c>
      <c r="CP112" s="11">
        <f t="shared" si="58"/>
        <v>0</v>
      </c>
      <c r="CQ112" s="11">
        <f t="shared" si="58"/>
        <v>0</v>
      </c>
      <c r="CR112" s="11">
        <f t="shared" si="58"/>
        <v>0</v>
      </c>
      <c r="CS112" s="11">
        <f t="shared" si="58"/>
        <v>0</v>
      </c>
      <c r="CT112" s="11">
        <f t="shared" si="58"/>
        <v>0</v>
      </c>
      <c r="CU112" s="11">
        <f t="shared" si="58"/>
        <v>0</v>
      </c>
      <c r="CV112" s="11">
        <f t="shared" si="58"/>
        <v>0</v>
      </c>
      <c r="CW112" s="11">
        <f t="shared" si="58"/>
        <v>0</v>
      </c>
      <c r="CX112" s="11">
        <f t="shared" si="58"/>
        <v>0</v>
      </c>
      <c r="CY112" s="11">
        <f t="shared" si="58"/>
        <v>0</v>
      </c>
      <c r="CZ112" s="11">
        <f t="shared" si="58"/>
        <v>0</v>
      </c>
      <c r="DA112" s="11">
        <f t="shared" si="58"/>
        <v>0</v>
      </c>
      <c r="DB112" s="11">
        <f t="shared" si="58"/>
        <v>0</v>
      </c>
      <c r="DC112" s="11">
        <f t="shared" si="58"/>
        <v>0</v>
      </c>
      <c r="DF112" s="46">
        <f t="shared" si="41"/>
        <v>9</v>
      </c>
    </row>
    <row r="113" spans="1:114" ht="15" customHeight="1">
      <c r="A113" s="124">
        <v>101</v>
      </c>
      <c r="B113" s="5" t="s">
        <v>151</v>
      </c>
      <c r="C113" s="24" t="s">
        <v>203</v>
      </c>
      <c r="D113" s="5"/>
      <c r="E113" s="5"/>
      <c r="F113" s="35">
        <f>H113+NPV(FD,I113:INDEX(I113:DC113,PAL))</f>
        <v>180641.61392627735</v>
      </c>
      <c r="G113" s="35">
        <f>SUMIF($H$5:$DC$5,"&lt;="&amp;PAL,$H113:$DC113)</f>
        <v>235165.28925619836</v>
      </c>
      <c r="H113" s="66">
        <f t="shared" ref="H113:AM113" si="59">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9"/>
        <v>8677.6859504132226</v>
      </c>
      <c r="J113" s="66">
        <f t="shared" si="59"/>
        <v>90247.933884297527</v>
      </c>
      <c r="K113" s="66">
        <f t="shared" si="59"/>
        <v>6074.3801652892562</v>
      </c>
      <c r="L113" s="66">
        <f t="shared" si="59"/>
        <v>867.76859504132233</v>
      </c>
      <c r="M113" s="66">
        <f t="shared" si="59"/>
        <v>4338.8429752066113</v>
      </c>
      <c r="N113" s="66">
        <f t="shared" si="59"/>
        <v>0</v>
      </c>
      <c r="O113" s="66">
        <f t="shared" si="59"/>
        <v>0</v>
      </c>
      <c r="P113" s="66">
        <f t="shared" si="59"/>
        <v>0</v>
      </c>
      <c r="Q113" s="66">
        <f t="shared" si="59"/>
        <v>0</v>
      </c>
      <c r="R113" s="66">
        <f t="shared" si="59"/>
        <v>20826.446280991735</v>
      </c>
      <c r="S113" s="66">
        <f t="shared" si="59"/>
        <v>41652.89256198347</v>
      </c>
      <c r="T113" s="66">
        <f t="shared" si="59"/>
        <v>20826.446280991735</v>
      </c>
      <c r="U113" s="66">
        <f t="shared" si="59"/>
        <v>41652.89256198347</v>
      </c>
      <c r="V113" s="66">
        <f t="shared" si="59"/>
        <v>0</v>
      </c>
      <c r="W113" s="66">
        <f t="shared" si="59"/>
        <v>0</v>
      </c>
      <c r="X113" s="66">
        <f t="shared" si="59"/>
        <v>0</v>
      </c>
      <c r="Y113" s="66">
        <f t="shared" si="59"/>
        <v>0</v>
      </c>
      <c r="Z113" s="66">
        <f t="shared" si="59"/>
        <v>0</v>
      </c>
      <c r="AA113" s="66">
        <f t="shared" si="59"/>
        <v>0</v>
      </c>
      <c r="AB113" s="66">
        <f t="shared" si="59"/>
        <v>0</v>
      </c>
      <c r="AC113" s="66">
        <f t="shared" si="59"/>
        <v>0</v>
      </c>
      <c r="AD113" s="66">
        <f t="shared" si="59"/>
        <v>0</v>
      </c>
      <c r="AE113" s="66">
        <f t="shared" si="59"/>
        <v>0</v>
      </c>
      <c r="AF113" s="66">
        <f t="shared" si="59"/>
        <v>0</v>
      </c>
      <c r="AG113" s="66">
        <f t="shared" si="59"/>
        <v>0</v>
      </c>
      <c r="AH113" s="66">
        <f t="shared" si="59"/>
        <v>0</v>
      </c>
      <c r="AI113" s="66">
        <f t="shared" si="59"/>
        <v>0</v>
      </c>
      <c r="AJ113" s="66">
        <f t="shared" si="59"/>
        <v>0</v>
      </c>
      <c r="AK113" s="66">
        <f t="shared" si="59"/>
        <v>0</v>
      </c>
      <c r="AL113" s="66">
        <f t="shared" si="59"/>
        <v>0</v>
      </c>
      <c r="AM113" s="66">
        <f t="shared" si="59"/>
        <v>0</v>
      </c>
      <c r="AN113" s="66">
        <f t="shared" ref="AN113:BS113" si="6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60"/>
        <v>0</v>
      </c>
      <c r="AP113" s="66">
        <f t="shared" si="60"/>
        <v>0</v>
      </c>
      <c r="AQ113" s="66">
        <f t="shared" si="60"/>
        <v>0</v>
      </c>
      <c r="AR113" s="66">
        <f t="shared" si="60"/>
        <v>0</v>
      </c>
      <c r="AS113" s="66">
        <f t="shared" si="60"/>
        <v>0</v>
      </c>
      <c r="AT113" s="66">
        <f t="shared" si="60"/>
        <v>0</v>
      </c>
      <c r="AU113" s="66">
        <f t="shared" si="60"/>
        <v>0</v>
      </c>
      <c r="AV113" s="66">
        <f t="shared" si="60"/>
        <v>0</v>
      </c>
      <c r="AW113" s="66">
        <f t="shared" si="60"/>
        <v>0</v>
      </c>
      <c r="AX113" s="66">
        <f t="shared" si="60"/>
        <v>0</v>
      </c>
      <c r="AY113" s="66">
        <f t="shared" si="60"/>
        <v>0</v>
      </c>
      <c r="AZ113" s="66">
        <f t="shared" si="60"/>
        <v>0</v>
      </c>
      <c r="BA113" s="66">
        <f t="shared" si="60"/>
        <v>0</v>
      </c>
      <c r="BB113" s="66">
        <f t="shared" si="60"/>
        <v>0</v>
      </c>
      <c r="BC113" s="66">
        <f t="shared" si="60"/>
        <v>0</v>
      </c>
      <c r="BD113" s="66">
        <f t="shared" si="60"/>
        <v>0</v>
      </c>
      <c r="BE113" s="66">
        <f t="shared" si="60"/>
        <v>0</v>
      </c>
      <c r="BF113" s="66">
        <f t="shared" si="60"/>
        <v>0</v>
      </c>
      <c r="BG113" s="66">
        <f t="shared" si="60"/>
        <v>0</v>
      </c>
      <c r="BH113" s="66">
        <f t="shared" si="60"/>
        <v>0</v>
      </c>
      <c r="BI113" s="66">
        <f t="shared" si="60"/>
        <v>0</v>
      </c>
      <c r="BJ113" s="66">
        <f t="shared" si="60"/>
        <v>0</v>
      </c>
      <c r="BK113" s="66">
        <f t="shared" si="60"/>
        <v>0</v>
      </c>
      <c r="BL113" s="66">
        <f t="shared" si="60"/>
        <v>0</v>
      </c>
      <c r="BM113" s="66">
        <f t="shared" si="60"/>
        <v>0</v>
      </c>
      <c r="BN113" s="66">
        <f t="shared" si="60"/>
        <v>0</v>
      </c>
      <c r="BO113" s="66">
        <f t="shared" si="60"/>
        <v>0</v>
      </c>
      <c r="BP113" s="66">
        <f t="shared" si="60"/>
        <v>0</v>
      </c>
      <c r="BQ113" s="66">
        <f t="shared" si="60"/>
        <v>0</v>
      </c>
      <c r="BR113" s="66">
        <f t="shared" si="60"/>
        <v>0</v>
      </c>
      <c r="BS113" s="66">
        <f t="shared" si="60"/>
        <v>0</v>
      </c>
      <c r="BT113" s="66">
        <f t="shared" ref="BT113:DC113" si="6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61"/>
        <v>0</v>
      </c>
      <c r="BV113" s="66">
        <f t="shared" si="61"/>
        <v>0</v>
      </c>
      <c r="BW113" s="66">
        <f t="shared" si="61"/>
        <v>0</v>
      </c>
      <c r="BX113" s="66">
        <f t="shared" si="61"/>
        <v>0</v>
      </c>
      <c r="BY113" s="66">
        <f t="shared" si="61"/>
        <v>0</v>
      </c>
      <c r="BZ113" s="66">
        <f t="shared" si="61"/>
        <v>0</v>
      </c>
      <c r="CA113" s="66">
        <f t="shared" si="61"/>
        <v>0</v>
      </c>
      <c r="CB113" s="66">
        <f t="shared" si="61"/>
        <v>0</v>
      </c>
      <c r="CC113" s="66">
        <f t="shared" si="61"/>
        <v>0</v>
      </c>
      <c r="CD113" s="66">
        <f t="shared" si="61"/>
        <v>0</v>
      </c>
      <c r="CE113" s="66">
        <f t="shared" si="61"/>
        <v>0</v>
      </c>
      <c r="CF113" s="66">
        <f t="shared" si="61"/>
        <v>0</v>
      </c>
      <c r="CG113" s="66">
        <f t="shared" si="61"/>
        <v>0</v>
      </c>
      <c r="CH113" s="66">
        <f t="shared" si="61"/>
        <v>0</v>
      </c>
      <c r="CI113" s="66">
        <f t="shared" si="61"/>
        <v>0</v>
      </c>
      <c r="CJ113" s="66">
        <f t="shared" si="61"/>
        <v>0</v>
      </c>
      <c r="CK113" s="66">
        <f t="shared" si="61"/>
        <v>0</v>
      </c>
      <c r="CL113" s="66">
        <f t="shared" si="61"/>
        <v>0</v>
      </c>
      <c r="CM113" s="66">
        <f t="shared" si="61"/>
        <v>0</v>
      </c>
      <c r="CN113" s="66">
        <f t="shared" si="61"/>
        <v>0</v>
      </c>
      <c r="CO113" s="66">
        <f t="shared" si="61"/>
        <v>0</v>
      </c>
      <c r="CP113" s="66">
        <f t="shared" si="61"/>
        <v>0</v>
      </c>
      <c r="CQ113" s="66">
        <f t="shared" si="61"/>
        <v>0</v>
      </c>
      <c r="CR113" s="66">
        <f t="shared" si="61"/>
        <v>0</v>
      </c>
      <c r="CS113" s="66">
        <f t="shared" si="61"/>
        <v>0</v>
      </c>
      <c r="CT113" s="66">
        <f t="shared" si="61"/>
        <v>0</v>
      </c>
      <c r="CU113" s="66">
        <f t="shared" si="61"/>
        <v>0</v>
      </c>
      <c r="CV113" s="66">
        <f t="shared" si="61"/>
        <v>0</v>
      </c>
      <c r="CW113" s="66">
        <f t="shared" si="61"/>
        <v>0</v>
      </c>
      <c r="CX113" s="66">
        <f t="shared" si="61"/>
        <v>0</v>
      </c>
      <c r="CY113" s="66">
        <f t="shared" si="61"/>
        <v>0</v>
      </c>
      <c r="CZ113" s="66">
        <f t="shared" si="61"/>
        <v>0</v>
      </c>
      <c r="DA113" s="66">
        <f t="shared" si="61"/>
        <v>0</v>
      </c>
      <c r="DB113" s="66">
        <f t="shared" si="61"/>
        <v>0</v>
      </c>
      <c r="DC113" s="66">
        <f t="shared" si="61"/>
        <v>0</v>
      </c>
      <c r="DF113" s="46">
        <f t="shared" si="41"/>
        <v>9</v>
      </c>
      <c r="DJ113" s="64"/>
    </row>
    <row r="114" spans="1:114" ht="14.4">
      <c r="A114" s="124">
        <v>102</v>
      </c>
      <c r="B114" s="5" t="s">
        <v>152</v>
      </c>
      <c r="C114" s="24" t="s">
        <v>280</v>
      </c>
      <c r="D114" s="5"/>
      <c r="E114" s="5"/>
      <c r="F114" s="35">
        <f>H114+NPV(FD,I114:INDEX(I114:DC114,PAL))</f>
        <v>0</v>
      </c>
      <c r="G114" s="35">
        <f>SUMIF($H$5:$DC$5,"&lt;="&amp;PAL,$H114:$DC114)</f>
        <v>0</v>
      </c>
      <c r="H114" s="66">
        <f>SUMPRODUCT($DG90:$DG99,H90:H99,1/($DG90:$DG99+100))</f>
        <v>0</v>
      </c>
      <c r="I114" s="66">
        <f t="shared" ref="I114:BT114" si="62">SUMPRODUCT($DG90:$DG99,I90:I99,1/($DG90:$DG99+100))</f>
        <v>0</v>
      </c>
      <c r="J114" s="66">
        <f t="shared" si="62"/>
        <v>0</v>
      </c>
      <c r="K114" s="66">
        <f t="shared" si="62"/>
        <v>0</v>
      </c>
      <c r="L114" s="66">
        <f t="shared" si="62"/>
        <v>0</v>
      </c>
      <c r="M114" s="66">
        <f t="shared" si="62"/>
        <v>0</v>
      </c>
      <c r="N114" s="66">
        <f t="shared" si="62"/>
        <v>0</v>
      </c>
      <c r="O114" s="66">
        <f t="shared" si="62"/>
        <v>0</v>
      </c>
      <c r="P114" s="66">
        <f t="shared" si="62"/>
        <v>0</v>
      </c>
      <c r="Q114" s="66">
        <f t="shared" si="62"/>
        <v>0</v>
      </c>
      <c r="R114" s="66">
        <f t="shared" si="62"/>
        <v>0</v>
      </c>
      <c r="S114" s="66">
        <f t="shared" si="62"/>
        <v>0</v>
      </c>
      <c r="T114" s="66">
        <f t="shared" si="62"/>
        <v>0</v>
      </c>
      <c r="U114" s="66">
        <f t="shared" si="62"/>
        <v>0</v>
      </c>
      <c r="V114" s="66">
        <f t="shared" si="62"/>
        <v>0</v>
      </c>
      <c r="W114" s="66">
        <f t="shared" si="62"/>
        <v>0</v>
      </c>
      <c r="X114" s="66">
        <f t="shared" si="62"/>
        <v>0</v>
      </c>
      <c r="Y114" s="66">
        <f t="shared" si="62"/>
        <v>0</v>
      </c>
      <c r="Z114" s="66">
        <f t="shared" si="62"/>
        <v>0</v>
      </c>
      <c r="AA114" s="66">
        <f t="shared" si="62"/>
        <v>0</v>
      </c>
      <c r="AB114" s="66">
        <f t="shared" si="62"/>
        <v>0</v>
      </c>
      <c r="AC114" s="66">
        <f t="shared" si="62"/>
        <v>0</v>
      </c>
      <c r="AD114" s="66">
        <f t="shared" si="62"/>
        <v>0</v>
      </c>
      <c r="AE114" s="66">
        <f t="shared" si="62"/>
        <v>0</v>
      </c>
      <c r="AF114" s="66">
        <f t="shared" si="62"/>
        <v>0</v>
      </c>
      <c r="AG114" s="66">
        <f t="shared" si="62"/>
        <v>0</v>
      </c>
      <c r="AH114" s="66">
        <f t="shared" si="62"/>
        <v>0</v>
      </c>
      <c r="AI114" s="66">
        <f t="shared" si="62"/>
        <v>0</v>
      </c>
      <c r="AJ114" s="66">
        <f t="shared" si="62"/>
        <v>0</v>
      </c>
      <c r="AK114" s="66">
        <f t="shared" si="62"/>
        <v>0</v>
      </c>
      <c r="AL114" s="66">
        <f t="shared" si="62"/>
        <v>0</v>
      </c>
      <c r="AM114" s="66">
        <f t="shared" si="62"/>
        <v>0</v>
      </c>
      <c r="AN114" s="66">
        <f t="shared" si="62"/>
        <v>0</v>
      </c>
      <c r="AO114" s="66">
        <f t="shared" si="62"/>
        <v>0</v>
      </c>
      <c r="AP114" s="66">
        <f t="shared" si="62"/>
        <v>0</v>
      </c>
      <c r="AQ114" s="66">
        <f t="shared" si="62"/>
        <v>0</v>
      </c>
      <c r="AR114" s="66">
        <f t="shared" si="62"/>
        <v>0</v>
      </c>
      <c r="AS114" s="66">
        <f t="shared" si="62"/>
        <v>0</v>
      </c>
      <c r="AT114" s="66">
        <f t="shared" si="62"/>
        <v>0</v>
      </c>
      <c r="AU114" s="66">
        <f t="shared" si="62"/>
        <v>0</v>
      </c>
      <c r="AV114" s="66">
        <f t="shared" si="62"/>
        <v>0</v>
      </c>
      <c r="AW114" s="66">
        <f t="shared" si="62"/>
        <v>0</v>
      </c>
      <c r="AX114" s="66">
        <f t="shared" si="62"/>
        <v>0</v>
      </c>
      <c r="AY114" s="66">
        <f t="shared" si="62"/>
        <v>0</v>
      </c>
      <c r="AZ114" s="66">
        <f t="shared" si="62"/>
        <v>0</v>
      </c>
      <c r="BA114" s="66">
        <f t="shared" si="62"/>
        <v>0</v>
      </c>
      <c r="BB114" s="66">
        <f t="shared" si="62"/>
        <v>0</v>
      </c>
      <c r="BC114" s="66">
        <f t="shared" si="62"/>
        <v>0</v>
      </c>
      <c r="BD114" s="66">
        <f t="shared" si="62"/>
        <v>0</v>
      </c>
      <c r="BE114" s="66">
        <f t="shared" si="62"/>
        <v>0</v>
      </c>
      <c r="BF114" s="66">
        <f t="shared" si="62"/>
        <v>0</v>
      </c>
      <c r="BG114" s="66">
        <f t="shared" si="62"/>
        <v>0</v>
      </c>
      <c r="BH114" s="66">
        <f t="shared" si="62"/>
        <v>0</v>
      </c>
      <c r="BI114" s="66">
        <f t="shared" si="62"/>
        <v>0</v>
      </c>
      <c r="BJ114" s="66">
        <f t="shared" si="62"/>
        <v>0</v>
      </c>
      <c r="BK114" s="66">
        <f t="shared" si="62"/>
        <v>0</v>
      </c>
      <c r="BL114" s="66">
        <f t="shared" si="62"/>
        <v>0</v>
      </c>
      <c r="BM114" s="66">
        <f t="shared" si="62"/>
        <v>0</v>
      </c>
      <c r="BN114" s="66">
        <f t="shared" si="62"/>
        <v>0</v>
      </c>
      <c r="BO114" s="66">
        <f t="shared" si="62"/>
        <v>0</v>
      </c>
      <c r="BP114" s="66">
        <f t="shared" si="62"/>
        <v>0</v>
      </c>
      <c r="BQ114" s="66">
        <f t="shared" si="62"/>
        <v>0</v>
      </c>
      <c r="BR114" s="66">
        <f t="shared" si="62"/>
        <v>0</v>
      </c>
      <c r="BS114" s="66">
        <f t="shared" si="62"/>
        <v>0</v>
      </c>
      <c r="BT114" s="66">
        <f t="shared" si="62"/>
        <v>0</v>
      </c>
      <c r="BU114" s="66">
        <f t="shared" ref="BU114:DC114" si="63">SUMPRODUCT($DG90:$DG99,BU90:BU99,1/($DG90:$DG99+100))</f>
        <v>0</v>
      </c>
      <c r="BV114" s="66">
        <f t="shared" si="63"/>
        <v>0</v>
      </c>
      <c r="BW114" s="66">
        <f t="shared" si="63"/>
        <v>0</v>
      </c>
      <c r="BX114" s="66">
        <f t="shared" si="63"/>
        <v>0</v>
      </c>
      <c r="BY114" s="66">
        <f t="shared" si="63"/>
        <v>0</v>
      </c>
      <c r="BZ114" s="66">
        <f t="shared" si="63"/>
        <v>0</v>
      </c>
      <c r="CA114" s="66">
        <f t="shared" si="63"/>
        <v>0</v>
      </c>
      <c r="CB114" s="66">
        <f t="shared" si="63"/>
        <v>0</v>
      </c>
      <c r="CC114" s="66">
        <f t="shared" si="63"/>
        <v>0</v>
      </c>
      <c r="CD114" s="66">
        <f t="shared" si="63"/>
        <v>0</v>
      </c>
      <c r="CE114" s="66">
        <f t="shared" si="63"/>
        <v>0</v>
      </c>
      <c r="CF114" s="66">
        <f t="shared" si="63"/>
        <v>0</v>
      </c>
      <c r="CG114" s="66">
        <f t="shared" si="63"/>
        <v>0</v>
      </c>
      <c r="CH114" s="66">
        <f t="shared" si="63"/>
        <v>0</v>
      </c>
      <c r="CI114" s="66">
        <f t="shared" si="63"/>
        <v>0</v>
      </c>
      <c r="CJ114" s="66">
        <f t="shared" si="63"/>
        <v>0</v>
      </c>
      <c r="CK114" s="66">
        <f t="shared" si="63"/>
        <v>0</v>
      </c>
      <c r="CL114" s="66">
        <f t="shared" si="63"/>
        <v>0</v>
      </c>
      <c r="CM114" s="66">
        <f t="shared" si="63"/>
        <v>0</v>
      </c>
      <c r="CN114" s="66">
        <f t="shared" si="63"/>
        <v>0</v>
      </c>
      <c r="CO114" s="66">
        <f t="shared" si="63"/>
        <v>0</v>
      </c>
      <c r="CP114" s="66">
        <f t="shared" si="63"/>
        <v>0</v>
      </c>
      <c r="CQ114" s="66">
        <f t="shared" si="63"/>
        <v>0</v>
      </c>
      <c r="CR114" s="66">
        <f t="shared" si="63"/>
        <v>0</v>
      </c>
      <c r="CS114" s="66">
        <f t="shared" si="63"/>
        <v>0</v>
      </c>
      <c r="CT114" s="66">
        <f t="shared" si="63"/>
        <v>0</v>
      </c>
      <c r="CU114" s="66">
        <f t="shared" si="63"/>
        <v>0</v>
      </c>
      <c r="CV114" s="66">
        <f t="shared" si="63"/>
        <v>0</v>
      </c>
      <c r="CW114" s="66">
        <f t="shared" si="63"/>
        <v>0</v>
      </c>
      <c r="CX114" s="66">
        <f t="shared" si="63"/>
        <v>0</v>
      </c>
      <c r="CY114" s="66">
        <f t="shared" si="63"/>
        <v>0</v>
      </c>
      <c r="CZ114" s="66">
        <f t="shared" si="63"/>
        <v>0</v>
      </c>
      <c r="DA114" s="66">
        <f t="shared" si="63"/>
        <v>0</v>
      </c>
      <c r="DB114" s="66">
        <f t="shared" si="63"/>
        <v>0</v>
      </c>
      <c r="DC114" s="66">
        <f t="shared" si="63"/>
        <v>0</v>
      </c>
      <c r="DD114" s="65"/>
      <c r="DF114" s="46">
        <f t="shared" si="41"/>
        <v>0</v>
      </c>
    </row>
    <row r="115" spans="1:114" ht="15" customHeight="1">
      <c r="A115" s="124">
        <v>103</v>
      </c>
      <c r="B115" s="5" t="s">
        <v>202</v>
      </c>
      <c r="C115" s="24" t="s">
        <v>12</v>
      </c>
      <c r="D115" s="24"/>
      <c r="E115" s="5"/>
      <c r="F115" s="35">
        <f>H115+NPV(FD,I115:INDEX(I115:DC115,PAL))</f>
        <v>0</v>
      </c>
      <c r="G115" s="35">
        <f>SUMIF($H$5:$DC$5,"&lt;="&amp;PAL,$H115:$DC115)</f>
        <v>0</v>
      </c>
      <c r="H115" s="66">
        <f>SUMPRODUCT($DG101:$DG110,H101:H110,1/($DG101:$DG110+100))</f>
        <v>0</v>
      </c>
      <c r="I115" s="66">
        <f t="shared" ref="I115:BT115" si="64">SUMPRODUCT($DG101:$DG110,I101:I110,1/($DG101:$DG110+100))</f>
        <v>0</v>
      </c>
      <c r="J115" s="66">
        <f t="shared" si="64"/>
        <v>0</v>
      </c>
      <c r="K115" s="66">
        <f t="shared" si="64"/>
        <v>0</v>
      </c>
      <c r="L115" s="66">
        <f t="shared" si="64"/>
        <v>0</v>
      </c>
      <c r="M115" s="66">
        <f t="shared" si="64"/>
        <v>0</v>
      </c>
      <c r="N115" s="66">
        <f t="shared" si="64"/>
        <v>0</v>
      </c>
      <c r="O115" s="66">
        <f t="shared" si="64"/>
        <v>0</v>
      </c>
      <c r="P115" s="66">
        <f t="shared" si="64"/>
        <v>0</v>
      </c>
      <c r="Q115" s="66">
        <f t="shared" si="64"/>
        <v>0</v>
      </c>
      <c r="R115" s="66">
        <f t="shared" si="64"/>
        <v>0</v>
      </c>
      <c r="S115" s="66">
        <f t="shared" si="64"/>
        <v>0</v>
      </c>
      <c r="T115" s="66">
        <f t="shared" si="64"/>
        <v>0</v>
      </c>
      <c r="U115" s="66">
        <f t="shared" si="64"/>
        <v>0</v>
      </c>
      <c r="V115" s="66">
        <f t="shared" si="64"/>
        <v>0</v>
      </c>
      <c r="W115" s="66">
        <f t="shared" si="64"/>
        <v>0</v>
      </c>
      <c r="X115" s="66">
        <f t="shared" si="64"/>
        <v>0</v>
      </c>
      <c r="Y115" s="66">
        <f t="shared" si="64"/>
        <v>0</v>
      </c>
      <c r="Z115" s="66">
        <f t="shared" si="64"/>
        <v>0</v>
      </c>
      <c r="AA115" s="66">
        <f t="shared" si="64"/>
        <v>0</v>
      </c>
      <c r="AB115" s="66">
        <f t="shared" si="64"/>
        <v>0</v>
      </c>
      <c r="AC115" s="66">
        <f t="shared" si="64"/>
        <v>0</v>
      </c>
      <c r="AD115" s="66">
        <f t="shared" si="64"/>
        <v>0</v>
      </c>
      <c r="AE115" s="66">
        <f t="shared" si="64"/>
        <v>0</v>
      </c>
      <c r="AF115" s="66">
        <f t="shared" si="64"/>
        <v>0</v>
      </c>
      <c r="AG115" s="66">
        <f t="shared" si="64"/>
        <v>0</v>
      </c>
      <c r="AH115" s="66">
        <f t="shared" si="64"/>
        <v>0</v>
      </c>
      <c r="AI115" s="66">
        <f t="shared" si="64"/>
        <v>0</v>
      </c>
      <c r="AJ115" s="66">
        <f t="shared" si="64"/>
        <v>0</v>
      </c>
      <c r="AK115" s="66">
        <f t="shared" si="64"/>
        <v>0</v>
      </c>
      <c r="AL115" s="66">
        <f t="shared" si="64"/>
        <v>0</v>
      </c>
      <c r="AM115" s="66">
        <f t="shared" si="64"/>
        <v>0</v>
      </c>
      <c r="AN115" s="66">
        <f t="shared" si="64"/>
        <v>0</v>
      </c>
      <c r="AO115" s="66">
        <f t="shared" si="64"/>
        <v>0</v>
      </c>
      <c r="AP115" s="66">
        <f t="shared" si="64"/>
        <v>0</v>
      </c>
      <c r="AQ115" s="66">
        <f t="shared" si="64"/>
        <v>0</v>
      </c>
      <c r="AR115" s="66">
        <f t="shared" si="64"/>
        <v>0</v>
      </c>
      <c r="AS115" s="66">
        <f t="shared" si="64"/>
        <v>0</v>
      </c>
      <c r="AT115" s="66">
        <f t="shared" si="64"/>
        <v>0</v>
      </c>
      <c r="AU115" s="66">
        <f t="shared" si="64"/>
        <v>0</v>
      </c>
      <c r="AV115" s="66">
        <f t="shared" si="64"/>
        <v>0</v>
      </c>
      <c r="AW115" s="66">
        <f t="shared" si="64"/>
        <v>0</v>
      </c>
      <c r="AX115" s="66">
        <f t="shared" si="64"/>
        <v>0</v>
      </c>
      <c r="AY115" s="66">
        <f t="shared" si="64"/>
        <v>0</v>
      </c>
      <c r="AZ115" s="66">
        <f t="shared" si="64"/>
        <v>0</v>
      </c>
      <c r="BA115" s="66">
        <f t="shared" si="64"/>
        <v>0</v>
      </c>
      <c r="BB115" s="66">
        <f t="shared" si="64"/>
        <v>0</v>
      </c>
      <c r="BC115" s="66">
        <f t="shared" si="64"/>
        <v>0</v>
      </c>
      <c r="BD115" s="66">
        <f t="shared" si="64"/>
        <v>0</v>
      </c>
      <c r="BE115" s="66">
        <f t="shared" si="64"/>
        <v>0</v>
      </c>
      <c r="BF115" s="66">
        <f t="shared" si="64"/>
        <v>0</v>
      </c>
      <c r="BG115" s="66">
        <f t="shared" si="64"/>
        <v>0</v>
      </c>
      <c r="BH115" s="66">
        <f t="shared" si="64"/>
        <v>0</v>
      </c>
      <c r="BI115" s="66">
        <f t="shared" si="64"/>
        <v>0</v>
      </c>
      <c r="BJ115" s="66">
        <f t="shared" si="64"/>
        <v>0</v>
      </c>
      <c r="BK115" s="66">
        <f t="shared" si="64"/>
        <v>0</v>
      </c>
      <c r="BL115" s="66">
        <f t="shared" si="64"/>
        <v>0</v>
      </c>
      <c r="BM115" s="66">
        <f t="shared" si="64"/>
        <v>0</v>
      </c>
      <c r="BN115" s="66">
        <f t="shared" si="64"/>
        <v>0</v>
      </c>
      <c r="BO115" s="66">
        <f t="shared" si="64"/>
        <v>0</v>
      </c>
      <c r="BP115" s="66">
        <f t="shared" si="64"/>
        <v>0</v>
      </c>
      <c r="BQ115" s="66">
        <f t="shared" si="64"/>
        <v>0</v>
      </c>
      <c r="BR115" s="66">
        <f t="shared" si="64"/>
        <v>0</v>
      </c>
      <c r="BS115" s="66">
        <f t="shared" si="64"/>
        <v>0</v>
      </c>
      <c r="BT115" s="66">
        <f t="shared" si="64"/>
        <v>0</v>
      </c>
      <c r="BU115" s="66">
        <f t="shared" ref="BU115:DC115" si="65">SUMPRODUCT($DG101:$DG110,BU101:BU110,1/($DG101:$DG110+100))</f>
        <v>0</v>
      </c>
      <c r="BV115" s="66">
        <f t="shared" si="65"/>
        <v>0</v>
      </c>
      <c r="BW115" s="66">
        <f t="shared" si="65"/>
        <v>0</v>
      </c>
      <c r="BX115" s="66">
        <f t="shared" si="65"/>
        <v>0</v>
      </c>
      <c r="BY115" s="66">
        <f t="shared" si="65"/>
        <v>0</v>
      </c>
      <c r="BZ115" s="66">
        <f t="shared" si="65"/>
        <v>0</v>
      </c>
      <c r="CA115" s="66">
        <f t="shared" si="65"/>
        <v>0</v>
      </c>
      <c r="CB115" s="66">
        <f t="shared" si="65"/>
        <v>0</v>
      </c>
      <c r="CC115" s="66">
        <f t="shared" si="65"/>
        <v>0</v>
      </c>
      <c r="CD115" s="66">
        <f t="shared" si="65"/>
        <v>0</v>
      </c>
      <c r="CE115" s="66">
        <f t="shared" si="65"/>
        <v>0</v>
      </c>
      <c r="CF115" s="66">
        <f t="shared" si="65"/>
        <v>0</v>
      </c>
      <c r="CG115" s="66">
        <f t="shared" si="65"/>
        <v>0</v>
      </c>
      <c r="CH115" s="66">
        <f t="shared" si="65"/>
        <v>0</v>
      </c>
      <c r="CI115" s="66">
        <f t="shared" si="65"/>
        <v>0</v>
      </c>
      <c r="CJ115" s="66">
        <f t="shared" si="65"/>
        <v>0</v>
      </c>
      <c r="CK115" s="66">
        <f t="shared" si="65"/>
        <v>0</v>
      </c>
      <c r="CL115" s="66">
        <f t="shared" si="65"/>
        <v>0</v>
      </c>
      <c r="CM115" s="66">
        <f t="shared" si="65"/>
        <v>0</v>
      </c>
      <c r="CN115" s="66">
        <f t="shared" si="65"/>
        <v>0</v>
      </c>
      <c r="CO115" s="66">
        <f t="shared" si="65"/>
        <v>0</v>
      </c>
      <c r="CP115" s="66">
        <f t="shared" si="65"/>
        <v>0</v>
      </c>
      <c r="CQ115" s="66">
        <f t="shared" si="65"/>
        <v>0</v>
      </c>
      <c r="CR115" s="66">
        <f t="shared" si="65"/>
        <v>0</v>
      </c>
      <c r="CS115" s="66">
        <f t="shared" si="65"/>
        <v>0</v>
      </c>
      <c r="CT115" s="66">
        <f t="shared" si="65"/>
        <v>0</v>
      </c>
      <c r="CU115" s="66">
        <f t="shared" si="65"/>
        <v>0</v>
      </c>
      <c r="CV115" s="66">
        <f t="shared" si="65"/>
        <v>0</v>
      </c>
      <c r="CW115" s="66">
        <f t="shared" si="65"/>
        <v>0</v>
      </c>
      <c r="CX115" s="66">
        <f t="shared" si="65"/>
        <v>0</v>
      </c>
      <c r="CY115" s="66">
        <f t="shared" si="65"/>
        <v>0</v>
      </c>
      <c r="CZ115" s="66">
        <f t="shared" si="65"/>
        <v>0</v>
      </c>
      <c r="DA115" s="66">
        <f t="shared" si="65"/>
        <v>0</v>
      </c>
      <c r="DB115" s="66">
        <f t="shared" si="65"/>
        <v>0</v>
      </c>
      <c r="DC115" s="66">
        <f t="shared" si="65"/>
        <v>0</v>
      </c>
      <c r="DE115" s="46">
        <f>COUNTBLANK(H115:DC115)</f>
        <v>0</v>
      </c>
      <c r="DF115" s="46">
        <f t="shared" si="41"/>
        <v>0</v>
      </c>
    </row>
    <row r="116" spans="1:114" ht="31.5" customHeight="1">
      <c r="A116" s="124">
        <v>104</v>
      </c>
      <c r="B116" s="5" t="s">
        <v>27</v>
      </c>
      <c r="C116" s="183" t="str">
        <f>CONCATENATE("SIEKIAMAS REZULTATAS: ",IF(Result=0,"",Result),", matavimo vienetas: ",IF(Result_mat=0,"",Result_mat))</f>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24"/>
      <c r="E116" s="5"/>
      <c r="F116" s="35">
        <f>H116+NPV(FD,I116:INDEX(I116:DC116,PAL))</f>
        <v>34.342439635093235</v>
      </c>
      <c r="G116" s="35">
        <f>SUMIF($H$5:$DC$5,"&lt;="&amp;PAL,$H116:$DC116)</f>
        <v>47</v>
      </c>
      <c r="H116" s="38">
        <v>0</v>
      </c>
      <c r="I116" s="38">
        <v>0</v>
      </c>
      <c r="J116" s="38">
        <v>0</v>
      </c>
      <c r="K116" s="38">
        <v>0</v>
      </c>
      <c r="L116" s="38">
        <v>0</v>
      </c>
      <c r="M116" s="38">
        <v>0</v>
      </c>
      <c r="N116" s="38">
        <v>0</v>
      </c>
      <c r="O116" s="38">
        <v>0</v>
      </c>
      <c r="P116" s="38">
        <v>47</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53"/>
        <v>0</v>
      </c>
      <c r="DF116" s="46">
        <f t="shared" si="41"/>
        <v>1</v>
      </c>
    </row>
    <row r="117" spans="1:114" ht="14.4">
      <c r="A117" s="124">
        <v>107</v>
      </c>
      <c r="B117" s="5" t="s">
        <v>18</v>
      </c>
      <c r="C117" s="15" t="s">
        <v>274</v>
      </c>
      <c r="D117" s="24"/>
      <c r="E117" s="5"/>
      <c r="F117" s="11">
        <f>SUM(F118-F126)</f>
        <v>993494049.10936713</v>
      </c>
      <c r="G117" s="35">
        <f>SUMIF($H$5:$DC$5,"&lt;="&amp;PAL,$H117:$DC117)</f>
        <v>1744156918.0377769</v>
      </c>
      <c r="H117" s="11">
        <f>SUM(H118-H126)</f>
        <v>0</v>
      </c>
      <c r="I117" s="11">
        <f t="shared" ref="I117:BT117" si="66">SUM(I118-I126)</f>
        <v>986517.07499999995</v>
      </c>
      <c r="J117" s="11">
        <f t="shared" si="66"/>
        <v>29971710.582949981</v>
      </c>
      <c r="K117" s="11">
        <f t="shared" si="66"/>
        <v>39813188.262664638</v>
      </c>
      <c r="L117" s="11">
        <f t="shared" si="66"/>
        <v>79971113.424679369</v>
      </c>
      <c r="M117" s="11">
        <f t="shared" si="66"/>
        <v>81973812.617989585</v>
      </c>
      <c r="N117" s="11">
        <f t="shared" si="66"/>
        <v>84031667.615582794</v>
      </c>
      <c r="O117" s="11">
        <f t="shared" si="66"/>
        <v>86146238.087174118</v>
      </c>
      <c r="P117" s="11">
        <f t="shared" si="66"/>
        <v>88319128.153823182</v>
      </c>
      <c r="Q117" s="11">
        <f t="shared" si="66"/>
        <v>90551987.658498988</v>
      </c>
      <c r="R117" s="11">
        <f t="shared" si="66"/>
        <v>92846513.473009497</v>
      </c>
      <c r="S117" s="11">
        <f t="shared" si="66"/>
        <v>95204450.842344388</v>
      </c>
      <c r="T117" s="11">
        <f t="shared" si="66"/>
        <v>97627594.767496973</v>
      </c>
      <c r="U117" s="11">
        <f t="shared" si="66"/>
        <v>100117791.42787302</v>
      </c>
      <c r="V117" s="11">
        <f t="shared" si="66"/>
        <v>102676939.64441568</v>
      </c>
      <c r="W117" s="11">
        <f t="shared" si="66"/>
        <v>105306992.38461655</v>
      </c>
      <c r="X117" s="11">
        <f t="shared" si="66"/>
        <v>108009958.31061207</v>
      </c>
      <c r="Y117" s="11">
        <f t="shared" si="66"/>
        <v>110787903.37159793</v>
      </c>
      <c r="Z117" s="11">
        <f t="shared" si="66"/>
        <v>113642952.44183469</v>
      </c>
      <c r="AA117" s="11">
        <f t="shared" si="66"/>
        <v>116577291.00554751</v>
      </c>
      <c r="AB117" s="11">
        <f t="shared" si="66"/>
        <v>119593166.89006588</v>
      </c>
      <c r="AC117" s="11" t="e">
        <f t="shared" si="66"/>
        <v>#REF!</v>
      </c>
      <c r="AD117" s="11" t="e">
        <f t="shared" si="66"/>
        <v>#REF!</v>
      </c>
      <c r="AE117" s="11" t="e">
        <f t="shared" si="66"/>
        <v>#REF!</v>
      </c>
      <c r="AF117" s="11" t="e">
        <f t="shared" si="66"/>
        <v>#REF!</v>
      </c>
      <c r="AG117" s="11" t="e">
        <f t="shared" si="66"/>
        <v>#REF!</v>
      </c>
      <c r="AH117" s="11" t="e">
        <f t="shared" si="66"/>
        <v>#REF!</v>
      </c>
      <c r="AI117" s="11" t="e">
        <f t="shared" si="66"/>
        <v>#REF!</v>
      </c>
      <c r="AJ117" s="11" t="e">
        <f t="shared" si="66"/>
        <v>#REF!</v>
      </c>
      <c r="AK117" s="11" t="e">
        <f t="shared" si="66"/>
        <v>#REF!</v>
      </c>
      <c r="AL117" s="11" t="e">
        <f t="shared" si="66"/>
        <v>#REF!</v>
      </c>
      <c r="AM117" s="11" t="e">
        <f t="shared" si="66"/>
        <v>#REF!</v>
      </c>
      <c r="AN117" s="11" t="e">
        <f t="shared" si="66"/>
        <v>#REF!</v>
      </c>
      <c r="AO117" s="11" t="e">
        <f t="shared" si="66"/>
        <v>#REF!</v>
      </c>
      <c r="AP117" s="11" t="e">
        <f t="shared" si="66"/>
        <v>#REF!</v>
      </c>
      <c r="AQ117" s="11" t="e">
        <f t="shared" si="66"/>
        <v>#REF!</v>
      </c>
      <c r="AR117" s="11" t="e">
        <f t="shared" si="66"/>
        <v>#REF!</v>
      </c>
      <c r="AS117" s="11" t="e">
        <f t="shared" si="66"/>
        <v>#REF!</v>
      </c>
      <c r="AT117" s="11" t="e">
        <f t="shared" si="66"/>
        <v>#REF!</v>
      </c>
      <c r="AU117" s="11" t="e">
        <f t="shared" si="66"/>
        <v>#REF!</v>
      </c>
      <c r="AV117" s="11" t="e">
        <f t="shared" si="66"/>
        <v>#REF!</v>
      </c>
      <c r="AW117" s="11" t="e">
        <f t="shared" si="66"/>
        <v>#REF!</v>
      </c>
      <c r="AX117" s="11" t="e">
        <f t="shared" si="66"/>
        <v>#REF!</v>
      </c>
      <c r="AY117" s="11" t="e">
        <f t="shared" si="66"/>
        <v>#REF!</v>
      </c>
      <c r="AZ117" s="11" t="e">
        <f t="shared" si="66"/>
        <v>#REF!</v>
      </c>
      <c r="BA117" s="11" t="e">
        <f t="shared" si="66"/>
        <v>#REF!</v>
      </c>
      <c r="BB117" s="11" t="e">
        <f t="shared" si="66"/>
        <v>#REF!</v>
      </c>
      <c r="BC117" s="11" t="e">
        <f t="shared" si="66"/>
        <v>#REF!</v>
      </c>
      <c r="BD117" s="11" t="e">
        <f t="shared" si="66"/>
        <v>#REF!</v>
      </c>
      <c r="BE117" s="11" t="e">
        <f t="shared" si="66"/>
        <v>#REF!</v>
      </c>
      <c r="BF117" s="11" t="e">
        <f t="shared" si="66"/>
        <v>#REF!</v>
      </c>
      <c r="BG117" s="11" t="e">
        <f t="shared" si="66"/>
        <v>#REF!</v>
      </c>
      <c r="BH117" s="11" t="e">
        <f t="shared" si="66"/>
        <v>#REF!</v>
      </c>
      <c r="BI117" s="11" t="e">
        <f t="shared" si="66"/>
        <v>#REF!</v>
      </c>
      <c r="BJ117" s="11" t="e">
        <f t="shared" si="66"/>
        <v>#REF!</v>
      </c>
      <c r="BK117" s="11" t="e">
        <f t="shared" si="66"/>
        <v>#REF!</v>
      </c>
      <c r="BL117" s="11" t="e">
        <f t="shared" si="66"/>
        <v>#REF!</v>
      </c>
      <c r="BM117" s="11" t="e">
        <f t="shared" si="66"/>
        <v>#REF!</v>
      </c>
      <c r="BN117" s="11" t="e">
        <f t="shared" si="66"/>
        <v>#REF!</v>
      </c>
      <c r="BO117" s="11" t="e">
        <f t="shared" si="66"/>
        <v>#REF!</v>
      </c>
      <c r="BP117" s="11" t="e">
        <f t="shared" si="66"/>
        <v>#REF!</v>
      </c>
      <c r="BQ117" s="11" t="e">
        <f t="shared" si="66"/>
        <v>#REF!</v>
      </c>
      <c r="BR117" s="11" t="e">
        <f t="shared" si="66"/>
        <v>#REF!</v>
      </c>
      <c r="BS117" s="11" t="e">
        <f t="shared" si="66"/>
        <v>#REF!</v>
      </c>
      <c r="BT117" s="11" t="e">
        <f t="shared" si="66"/>
        <v>#REF!</v>
      </c>
      <c r="BU117" s="11" t="e">
        <f t="shared" ref="BU117:DC117" si="67">SUM(BU118-BU126)</f>
        <v>#REF!</v>
      </c>
      <c r="BV117" s="11" t="e">
        <f t="shared" si="67"/>
        <v>#REF!</v>
      </c>
      <c r="BW117" s="11" t="e">
        <f t="shared" si="67"/>
        <v>#REF!</v>
      </c>
      <c r="BX117" s="11" t="e">
        <f t="shared" si="67"/>
        <v>#REF!</v>
      </c>
      <c r="BY117" s="11" t="e">
        <f t="shared" si="67"/>
        <v>#REF!</v>
      </c>
      <c r="BZ117" s="11" t="e">
        <f t="shared" si="67"/>
        <v>#REF!</v>
      </c>
      <c r="CA117" s="11" t="e">
        <f t="shared" si="67"/>
        <v>#REF!</v>
      </c>
      <c r="CB117" s="11" t="e">
        <f t="shared" si="67"/>
        <v>#REF!</v>
      </c>
      <c r="CC117" s="11" t="e">
        <f t="shared" si="67"/>
        <v>#REF!</v>
      </c>
      <c r="CD117" s="11" t="e">
        <f t="shared" si="67"/>
        <v>#REF!</v>
      </c>
      <c r="CE117" s="11" t="e">
        <f t="shared" si="67"/>
        <v>#REF!</v>
      </c>
      <c r="CF117" s="11" t="e">
        <f t="shared" si="67"/>
        <v>#REF!</v>
      </c>
      <c r="CG117" s="11" t="e">
        <f t="shared" si="67"/>
        <v>#REF!</v>
      </c>
      <c r="CH117" s="11" t="e">
        <f t="shared" si="67"/>
        <v>#REF!</v>
      </c>
      <c r="CI117" s="11" t="e">
        <f t="shared" si="67"/>
        <v>#REF!</v>
      </c>
      <c r="CJ117" s="11" t="e">
        <f t="shared" si="67"/>
        <v>#REF!</v>
      </c>
      <c r="CK117" s="11" t="e">
        <f t="shared" si="67"/>
        <v>#REF!</v>
      </c>
      <c r="CL117" s="11" t="e">
        <f t="shared" si="67"/>
        <v>#REF!</v>
      </c>
      <c r="CM117" s="11" t="e">
        <f t="shared" si="67"/>
        <v>#REF!</v>
      </c>
      <c r="CN117" s="11" t="e">
        <f t="shared" si="67"/>
        <v>#REF!</v>
      </c>
      <c r="CO117" s="11" t="e">
        <f t="shared" si="67"/>
        <v>#REF!</v>
      </c>
      <c r="CP117" s="11" t="e">
        <f t="shared" si="67"/>
        <v>#REF!</v>
      </c>
      <c r="CQ117" s="11" t="e">
        <f t="shared" si="67"/>
        <v>#REF!</v>
      </c>
      <c r="CR117" s="11" t="e">
        <f t="shared" si="67"/>
        <v>#REF!</v>
      </c>
      <c r="CS117" s="11" t="e">
        <f t="shared" si="67"/>
        <v>#REF!</v>
      </c>
      <c r="CT117" s="11" t="e">
        <f t="shared" si="67"/>
        <v>#REF!</v>
      </c>
      <c r="CU117" s="11" t="e">
        <f t="shared" si="67"/>
        <v>#REF!</v>
      </c>
      <c r="CV117" s="11" t="e">
        <f t="shared" si="67"/>
        <v>#REF!</v>
      </c>
      <c r="CW117" s="11" t="e">
        <f t="shared" si="67"/>
        <v>#REF!</v>
      </c>
      <c r="CX117" s="11" t="e">
        <f t="shared" si="67"/>
        <v>#REF!</v>
      </c>
      <c r="CY117" s="11" t="e">
        <f t="shared" si="67"/>
        <v>#REF!</v>
      </c>
      <c r="CZ117" s="11" t="e">
        <f t="shared" si="67"/>
        <v>#REF!</v>
      </c>
      <c r="DA117" s="11" t="e">
        <f t="shared" si="67"/>
        <v>#REF!</v>
      </c>
      <c r="DB117" s="11" t="e">
        <f t="shared" si="67"/>
        <v>#REF!</v>
      </c>
      <c r="DC117" s="11" t="e">
        <f t="shared" si="67"/>
        <v>#REF!</v>
      </c>
      <c r="DF117" s="46">
        <f t="shared" si="41"/>
        <v>99</v>
      </c>
    </row>
    <row r="118" spans="1:114" ht="14.4">
      <c r="A118" s="124">
        <v>108</v>
      </c>
      <c r="B118" s="5" t="s">
        <v>192</v>
      </c>
      <c r="C118" s="24" t="s">
        <v>275</v>
      </c>
      <c r="D118" s="24"/>
      <c r="E118" s="5"/>
      <c r="F118" s="11">
        <f>SUM(F119:F125)</f>
        <v>993494049.10936713</v>
      </c>
      <c r="G118" s="35">
        <f>SUMIF($H$5:$DC$5,"&lt;="&amp;PAL,$H118:$DC118)</f>
        <v>1744156918.0377769</v>
      </c>
      <c r="H118" s="11">
        <f>SUM(H119:H125)</f>
        <v>0</v>
      </c>
      <c r="I118" s="11">
        <f t="shared" ref="I118:BT118" si="68">SUM(I119:I125)</f>
        <v>986517.07499999995</v>
      </c>
      <c r="J118" s="11">
        <f t="shared" si="68"/>
        <v>29971710.582949981</v>
      </c>
      <c r="K118" s="11">
        <f t="shared" si="68"/>
        <v>39813188.262664638</v>
      </c>
      <c r="L118" s="11">
        <f t="shared" si="68"/>
        <v>79971113.424679369</v>
      </c>
      <c r="M118" s="11">
        <f t="shared" si="68"/>
        <v>81973812.617989585</v>
      </c>
      <c r="N118" s="11">
        <f t="shared" si="68"/>
        <v>84031667.615582794</v>
      </c>
      <c r="O118" s="11">
        <f t="shared" si="68"/>
        <v>86146238.087174118</v>
      </c>
      <c r="P118" s="11">
        <f t="shared" si="68"/>
        <v>88319128.153823182</v>
      </c>
      <c r="Q118" s="11">
        <f t="shared" si="68"/>
        <v>90551987.658498988</v>
      </c>
      <c r="R118" s="11">
        <f t="shared" si="68"/>
        <v>92846513.473009497</v>
      </c>
      <c r="S118" s="11">
        <f t="shared" si="68"/>
        <v>95204450.842344388</v>
      </c>
      <c r="T118" s="11">
        <f t="shared" si="68"/>
        <v>97627594.767496973</v>
      </c>
      <c r="U118" s="11">
        <f t="shared" si="68"/>
        <v>100117791.42787302</v>
      </c>
      <c r="V118" s="11">
        <f t="shared" si="68"/>
        <v>102676939.64441568</v>
      </c>
      <c r="W118" s="11">
        <f t="shared" si="68"/>
        <v>105306992.38461655</v>
      </c>
      <c r="X118" s="11">
        <f t="shared" si="68"/>
        <v>108009958.31061207</v>
      </c>
      <c r="Y118" s="11">
        <f t="shared" si="68"/>
        <v>110787903.37159793</v>
      </c>
      <c r="Z118" s="11">
        <f t="shared" si="68"/>
        <v>113642952.44183469</v>
      </c>
      <c r="AA118" s="11">
        <f t="shared" si="68"/>
        <v>116577291.00554751</v>
      </c>
      <c r="AB118" s="11">
        <f t="shared" si="68"/>
        <v>119593166.89006588</v>
      </c>
      <c r="AC118" s="11" t="e">
        <f t="shared" si="68"/>
        <v>#REF!</v>
      </c>
      <c r="AD118" s="11" t="e">
        <f t="shared" si="68"/>
        <v>#REF!</v>
      </c>
      <c r="AE118" s="11" t="e">
        <f t="shared" si="68"/>
        <v>#REF!</v>
      </c>
      <c r="AF118" s="11" t="e">
        <f t="shared" si="68"/>
        <v>#REF!</v>
      </c>
      <c r="AG118" s="11" t="e">
        <f t="shared" si="68"/>
        <v>#REF!</v>
      </c>
      <c r="AH118" s="11" t="e">
        <f t="shared" si="68"/>
        <v>#REF!</v>
      </c>
      <c r="AI118" s="11" t="e">
        <f t="shared" si="68"/>
        <v>#REF!</v>
      </c>
      <c r="AJ118" s="11" t="e">
        <f t="shared" si="68"/>
        <v>#REF!</v>
      </c>
      <c r="AK118" s="11" t="e">
        <f t="shared" si="68"/>
        <v>#REF!</v>
      </c>
      <c r="AL118" s="11" t="e">
        <f t="shared" si="68"/>
        <v>#REF!</v>
      </c>
      <c r="AM118" s="11" t="e">
        <f t="shared" si="68"/>
        <v>#REF!</v>
      </c>
      <c r="AN118" s="11" t="e">
        <f t="shared" si="68"/>
        <v>#REF!</v>
      </c>
      <c r="AO118" s="11" t="e">
        <f t="shared" si="68"/>
        <v>#REF!</v>
      </c>
      <c r="AP118" s="11" t="e">
        <f t="shared" si="68"/>
        <v>#REF!</v>
      </c>
      <c r="AQ118" s="11" t="e">
        <f t="shared" si="68"/>
        <v>#REF!</v>
      </c>
      <c r="AR118" s="11" t="e">
        <f t="shared" si="68"/>
        <v>#REF!</v>
      </c>
      <c r="AS118" s="11" t="e">
        <f t="shared" si="68"/>
        <v>#REF!</v>
      </c>
      <c r="AT118" s="11" t="e">
        <f t="shared" si="68"/>
        <v>#REF!</v>
      </c>
      <c r="AU118" s="11" t="e">
        <f t="shared" si="68"/>
        <v>#REF!</v>
      </c>
      <c r="AV118" s="11" t="e">
        <f t="shared" si="68"/>
        <v>#REF!</v>
      </c>
      <c r="AW118" s="11" t="e">
        <f t="shared" si="68"/>
        <v>#REF!</v>
      </c>
      <c r="AX118" s="11" t="e">
        <f t="shared" si="68"/>
        <v>#REF!</v>
      </c>
      <c r="AY118" s="11" t="e">
        <f t="shared" si="68"/>
        <v>#REF!</v>
      </c>
      <c r="AZ118" s="11" t="e">
        <f t="shared" si="68"/>
        <v>#REF!</v>
      </c>
      <c r="BA118" s="11" t="e">
        <f t="shared" si="68"/>
        <v>#REF!</v>
      </c>
      <c r="BB118" s="11" t="e">
        <f t="shared" si="68"/>
        <v>#REF!</v>
      </c>
      <c r="BC118" s="11" t="e">
        <f t="shared" si="68"/>
        <v>#REF!</v>
      </c>
      <c r="BD118" s="11" t="e">
        <f t="shared" si="68"/>
        <v>#REF!</v>
      </c>
      <c r="BE118" s="11" t="e">
        <f t="shared" si="68"/>
        <v>#REF!</v>
      </c>
      <c r="BF118" s="11" t="e">
        <f t="shared" si="68"/>
        <v>#REF!</v>
      </c>
      <c r="BG118" s="11" t="e">
        <f t="shared" si="68"/>
        <v>#REF!</v>
      </c>
      <c r="BH118" s="11" t="e">
        <f t="shared" si="68"/>
        <v>#REF!</v>
      </c>
      <c r="BI118" s="11" t="e">
        <f t="shared" si="68"/>
        <v>#REF!</v>
      </c>
      <c r="BJ118" s="11" t="e">
        <f t="shared" si="68"/>
        <v>#REF!</v>
      </c>
      <c r="BK118" s="11" t="e">
        <f t="shared" si="68"/>
        <v>#REF!</v>
      </c>
      <c r="BL118" s="11" t="e">
        <f t="shared" si="68"/>
        <v>#REF!</v>
      </c>
      <c r="BM118" s="11" t="e">
        <f t="shared" si="68"/>
        <v>#REF!</v>
      </c>
      <c r="BN118" s="11" t="e">
        <f t="shared" si="68"/>
        <v>#REF!</v>
      </c>
      <c r="BO118" s="11" t="e">
        <f t="shared" si="68"/>
        <v>#REF!</v>
      </c>
      <c r="BP118" s="11" t="e">
        <f t="shared" si="68"/>
        <v>#REF!</v>
      </c>
      <c r="BQ118" s="11" t="e">
        <f t="shared" si="68"/>
        <v>#REF!</v>
      </c>
      <c r="BR118" s="11" t="e">
        <f t="shared" si="68"/>
        <v>#REF!</v>
      </c>
      <c r="BS118" s="11" t="e">
        <f t="shared" si="68"/>
        <v>#REF!</v>
      </c>
      <c r="BT118" s="11" t="e">
        <f t="shared" si="68"/>
        <v>#REF!</v>
      </c>
      <c r="BU118" s="11" t="e">
        <f t="shared" ref="BU118:DC118" si="69">SUM(BU119:BU125)</f>
        <v>#REF!</v>
      </c>
      <c r="BV118" s="11" t="e">
        <f t="shared" si="69"/>
        <v>#REF!</v>
      </c>
      <c r="BW118" s="11" t="e">
        <f t="shared" si="69"/>
        <v>#REF!</v>
      </c>
      <c r="BX118" s="11" t="e">
        <f t="shared" si="69"/>
        <v>#REF!</v>
      </c>
      <c r="BY118" s="11" t="e">
        <f t="shared" si="69"/>
        <v>#REF!</v>
      </c>
      <c r="BZ118" s="11" t="e">
        <f t="shared" si="69"/>
        <v>#REF!</v>
      </c>
      <c r="CA118" s="11" t="e">
        <f t="shared" si="69"/>
        <v>#REF!</v>
      </c>
      <c r="CB118" s="11" t="e">
        <f t="shared" si="69"/>
        <v>#REF!</v>
      </c>
      <c r="CC118" s="11" t="e">
        <f t="shared" si="69"/>
        <v>#REF!</v>
      </c>
      <c r="CD118" s="11" t="e">
        <f t="shared" si="69"/>
        <v>#REF!</v>
      </c>
      <c r="CE118" s="11" t="e">
        <f t="shared" si="69"/>
        <v>#REF!</v>
      </c>
      <c r="CF118" s="11" t="e">
        <f t="shared" si="69"/>
        <v>#REF!</v>
      </c>
      <c r="CG118" s="11" t="e">
        <f t="shared" si="69"/>
        <v>#REF!</v>
      </c>
      <c r="CH118" s="11" t="e">
        <f t="shared" si="69"/>
        <v>#REF!</v>
      </c>
      <c r="CI118" s="11" t="e">
        <f t="shared" si="69"/>
        <v>#REF!</v>
      </c>
      <c r="CJ118" s="11" t="e">
        <f t="shared" si="69"/>
        <v>#REF!</v>
      </c>
      <c r="CK118" s="11" t="e">
        <f t="shared" si="69"/>
        <v>#REF!</v>
      </c>
      <c r="CL118" s="11" t="e">
        <f t="shared" si="69"/>
        <v>#REF!</v>
      </c>
      <c r="CM118" s="11" t="e">
        <f t="shared" si="69"/>
        <v>#REF!</v>
      </c>
      <c r="CN118" s="11" t="e">
        <f t="shared" si="69"/>
        <v>#REF!</v>
      </c>
      <c r="CO118" s="11" t="e">
        <f t="shared" si="69"/>
        <v>#REF!</v>
      </c>
      <c r="CP118" s="11" t="e">
        <f t="shared" si="69"/>
        <v>#REF!</v>
      </c>
      <c r="CQ118" s="11" t="e">
        <f t="shared" si="69"/>
        <v>#REF!</v>
      </c>
      <c r="CR118" s="11" t="e">
        <f t="shared" si="69"/>
        <v>#REF!</v>
      </c>
      <c r="CS118" s="11" t="e">
        <f t="shared" si="69"/>
        <v>#REF!</v>
      </c>
      <c r="CT118" s="11" t="e">
        <f t="shared" si="69"/>
        <v>#REF!</v>
      </c>
      <c r="CU118" s="11" t="e">
        <f t="shared" si="69"/>
        <v>#REF!</v>
      </c>
      <c r="CV118" s="11" t="e">
        <f t="shared" si="69"/>
        <v>#REF!</v>
      </c>
      <c r="CW118" s="11" t="e">
        <f t="shared" si="69"/>
        <v>#REF!</v>
      </c>
      <c r="CX118" s="11" t="e">
        <f t="shared" si="69"/>
        <v>#REF!</v>
      </c>
      <c r="CY118" s="11" t="e">
        <f t="shared" si="69"/>
        <v>#REF!</v>
      </c>
      <c r="CZ118" s="11" t="e">
        <f t="shared" si="69"/>
        <v>#REF!</v>
      </c>
      <c r="DA118" s="11" t="e">
        <f t="shared" si="69"/>
        <v>#REF!</v>
      </c>
      <c r="DB118" s="11" t="e">
        <f t="shared" si="69"/>
        <v>#REF!</v>
      </c>
      <c r="DC118" s="11" t="e">
        <f t="shared" si="69"/>
        <v>#REF!</v>
      </c>
      <c r="DF118" s="46">
        <f t="shared" si="41"/>
        <v>99</v>
      </c>
    </row>
    <row r="119" spans="1:114" ht="14.4">
      <c r="A119" s="124">
        <v>109</v>
      </c>
      <c r="B119" s="5" t="str">
        <f>$B$118&amp;"1."</f>
        <v>L.1.1.</v>
      </c>
      <c r="C119" s="170" t="s">
        <v>761</v>
      </c>
      <c r="D119" s="24"/>
      <c r="E119" s="5"/>
      <c r="F119" s="35">
        <f>H119+NPV(SD,I119:INDEX(I119:DC119,PAL))</f>
        <v>857433405.79222178</v>
      </c>
      <c r="G119" s="35">
        <f>SUMIF($H$5:$DC$5,"&lt;="&amp;PAL,$H119:$DC119)</f>
        <v>1515715508.6061361</v>
      </c>
      <c r="H119" s="38">
        <v>0</v>
      </c>
      <c r="I119" s="38">
        <f>+Prielaidos!G396</f>
        <v>0</v>
      </c>
      <c r="J119" s="38">
        <f>Prielaidos!H396+Prielaidos!H623</f>
        <v>20837071.555999976</v>
      </c>
      <c r="K119" s="38">
        <f>Prielaidos!I396+Prielaidos!I623</f>
        <v>29659896.624052979</v>
      </c>
      <c r="L119" s="38">
        <f>Prielaidos!J396+Prielaidos!J623</f>
        <v>68548109.700628564</v>
      </c>
      <c r="M119" s="38">
        <f>Prielaidos!K396+Prielaidos!K623</f>
        <v>70453951.40923135</v>
      </c>
      <c r="N119" s="38">
        <f>Prielaidos!L396+Prielaidos!L623</f>
        <v>72413829.707424104</v>
      </c>
      <c r="O119" s="38">
        <f>Prielaidos!M396+Prielaidos!M623</f>
        <v>74429287.326307654</v>
      </c>
      <c r="P119" s="38">
        <f>Prielaidos!N396+Prielaidos!N623</f>
        <v>76501911.152452901</v>
      </c>
      <c r="Q119" s="38">
        <f>Prielaidos!O396+Prielaidos!O623</f>
        <v>78633333.492998987</v>
      </c>
      <c r="R119" s="38">
        <f>Prielaidos!P396+Prielaidos!P623</f>
        <v>80825233.377014697</v>
      </c>
      <c r="S119" s="38">
        <f>Prielaidos!Q396+Prielaidos!Q623</f>
        <v>83079337.894167215</v>
      </c>
      <c r="T119" s="38">
        <f>Prielaidos!R396+Prielaidos!R623</f>
        <v>85397423.571763933</v>
      </c>
      <c r="U119" s="38">
        <f>Prielaidos!S396+Prielaidos!S623</f>
        <v>87781317.791271195</v>
      </c>
      <c r="V119" s="38">
        <f>Prielaidos!T396+Prielaidos!T623</f>
        <v>90232900.245439783</v>
      </c>
      <c r="W119" s="38">
        <f>Prielaidos!U396+Prielaidos!U623</f>
        <v>92754104.437201709</v>
      </c>
      <c r="X119" s="38">
        <f>Prielaidos!V396+Prielaidos!V623</f>
        <v>95346919.221538752</v>
      </c>
      <c r="Y119" s="38">
        <f>Prielaidos!W396+Prielaidos!W623</f>
        <v>98013390.391550809</v>
      </c>
      <c r="Z119" s="38">
        <f>Prielaidos!X396+Prielaidos!X623</f>
        <v>100755622.30999547</v>
      </c>
      <c r="AA119" s="38">
        <f>Prielaidos!Y396+Prielaidos!Y623</f>
        <v>103575779.58760116</v>
      </c>
      <c r="AB119" s="38">
        <f>Prielaidos!Z396+Prielaidos!Z623</f>
        <v>106476088.80949479</v>
      </c>
      <c r="AC119" s="38" t="e">
        <f>+Prielaidos!#REF!+Prielaidos!AA364+Prielaidos!#REF!+Prielaidos!AA375+Prielaidos!AA384+Prielaidos!AA395</f>
        <v>#REF!</v>
      </c>
      <c r="AD119" s="38" t="e">
        <f>+Prielaidos!#REF!+Prielaidos!AB364+Prielaidos!#REF!+Prielaidos!AB375+Prielaidos!AB384+Prielaidos!AB395</f>
        <v>#REF!</v>
      </c>
      <c r="AE119" s="38" t="e">
        <f>+Prielaidos!#REF!+Prielaidos!AC364+Prielaidos!#REF!+Prielaidos!AC375+Prielaidos!AC384+Prielaidos!AC395</f>
        <v>#REF!</v>
      </c>
      <c r="AF119" s="38" t="e">
        <f>+Prielaidos!#REF!+Prielaidos!AD364+Prielaidos!#REF!+Prielaidos!AD375+Prielaidos!AD384+Prielaidos!AD395</f>
        <v>#REF!</v>
      </c>
      <c r="AG119" s="38" t="e">
        <f>+Prielaidos!#REF!+Prielaidos!AE364+Prielaidos!#REF!+Prielaidos!AE375+Prielaidos!AE384+Prielaidos!AE395</f>
        <v>#REF!</v>
      </c>
      <c r="AH119" s="38" t="e">
        <f>+Prielaidos!#REF!+Prielaidos!AF364+Prielaidos!#REF!+Prielaidos!AF375+Prielaidos!AF384+Prielaidos!AF395</f>
        <v>#REF!</v>
      </c>
      <c r="AI119" s="38" t="e">
        <f>+Prielaidos!#REF!+Prielaidos!AG364+Prielaidos!#REF!+Prielaidos!AG375+Prielaidos!AG384+Prielaidos!AG395</f>
        <v>#REF!</v>
      </c>
      <c r="AJ119" s="38" t="e">
        <f>+Prielaidos!#REF!+Prielaidos!AH364+Prielaidos!#REF!+Prielaidos!AH375+Prielaidos!AH384+Prielaidos!AH395</f>
        <v>#REF!</v>
      </c>
      <c r="AK119" s="38" t="e">
        <f>+Prielaidos!#REF!+Prielaidos!AI364+Prielaidos!#REF!+Prielaidos!AI375+Prielaidos!AI384+Prielaidos!AI395</f>
        <v>#REF!</v>
      </c>
      <c r="AL119" s="38" t="e">
        <f>+Prielaidos!#REF!+Prielaidos!AJ364+Prielaidos!#REF!+Prielaidos!AJ375+Prielaidos!AJ384+Prielaidos!AJ395</f>
        <v>#REF!</v>
      </c>
      <c r="AM119" s="38" t="e">
        <f>+Prielaidos!#REF!+Prielaidos!#REF!+Prielaidos!#REF!+Prielaidos!#REF!+Prielaidos!#REF!+Prielaidos!#REF!</f>
        <v>#REF!</v>
      </c>
      <c r="AN119" s="38" t="e">
        <f>+Prielaidos!#REF!+Prielaidos!AK364+Prielaidos!#REF!+Prielaidos!AK375+Prielaidos!AK384+Prielaidos!AK395</f>
        <v>#REF!</v>
      </c>
      <c r="AO119" s="38" t="e">
        <f>+Prielaidos!#REF!+Prielaidos!AL364+Prielaidos!#REF!+Prielaidos!AL375+Prielaidos!AL384+Prielaidos!AL395</f>
        <v>#REF!</v>
      </c>
      <c r="AP119" s="38" t="e">
        <f>+Prielaidos!#REF!+Prielaidos!AM364+Prielaidos!#REF!+Prielaidos!AM375+Prielaidos!AM384+Prielaidos!AM395</f>
        <v>#REF!</v>
      </c>
      <c r="AQ119" s="38" t="e">
        <f>+Prielaidos!#REF!+Prielaidos!AN364+Prielaidos!#REF!+Prielaidos!AN375+Prielaidos!AN384+Prielaidos!AN395</f>
        <v>#REF!</v>
      </c>
      <c r="AR119" s="38" t="e">
        <f>+Prielaidos!#REF!+Prielaidos!AO364+Prielaidos!#REF!+Prielaidos!AO375+Prielaidos!AO384+Prielaidos!AO395</f>
        <v>#REF!</v>
      </c>
      <c r="AS119" s="38" t="e">
        <f>+Prielaidos!#REF!+Prielaidos!AP364+Prielaidos!#REF!+Prielaidos!AP375+Prielaidos!AP384+Prielaidos!AP395</f>
        <v>#REF!</v>
      </c>
      <c r="AT119" s="38" t="e">
        <f>+Prielaidos!#REF!+Prielaidos!AQ364+Prielaidos!#REF!+Prielaidos!AQ375+Prielaidos!AQ384+Prielaidos!AQ395</f>
        <v>#REF!</v>
      </c>
      <c r="AU119" s="38" t="e">
        <f>+Prielaidos!#REF!+Prielaidos!AR364+Prielaidos!#REF!+Prielaidos!AR375+Prielaidos!AR384+Prielaidos!AR395</f>
        <v>#REF!</v>
      </c>
      <c r="AV119" s="38" t="e">
        <f>+Prielaidos!#REF!+Prielaidos!AS364+Prielaidos!#REF!+Prielaidos!AS375+Prielaidos!AS384+Prielaidos!AS395</f>
        <v>#REF!</v>
      </c>
      <c r="AW119" s="38" t="e">
        <f>+Prielaidos!#REF!+Prielaidos!AT364+Prielaidos!#REF!+Prielaidos!AT375+Prielaidos!AT384+Prielaidos!AT395</f>
        <v>#REF!</v>
      </c>
      <c r="AX119" s="38" t="e">
        <f>+Prielaidos!#REF!+Prielaidos!AU364+Prielaidos!#REF!+Prielaidos!AU375+Prielaidos!AU384+Prielaidos!AU395</f>
        <v>#REF!</v>
      </c>
      <c r="AY119" s="38" t="e">
        <f>+Prielaidos!#REF!+Prielaidos!AV364+Prielaidos!#REF!+Prielaidos!AV375+Prielaidos!AV384+Prielaidos!AV395</f>
        <v>#REF!</v>
      </c>
      <c r="AZ119" s="38" t="e">
        <f>+Prielaidos!#REF!+Prielaidos!AW364+Prielaidos!#REF!+Prielaidos!AW375+Prielaidos!AW384+Prielaidos!AW395</f>
        <v>#REF!</v>
      </c>
      <c r="BA119" s="38" t="e">
        <f>+Prielaidos!#REF!+Prielaidos!AX364+Prielaidos!#REF!+Prielaidos!AX375+Prielaidos!AX384+Prielaidos!AX395</f>
        <v>#REF!</v>
      </c>
      <c r="BB119" s="38" t="e">
        <f>+Prielaidos!#REF!+Prielaidos!AY364+Prielaidos!#REF!+Prielaidos!AY375+Prielaidos!AY384+Prielaidos!AY395</f>
        <v>#REF!</v>
      </c>
      <c r="BC119" s="38" t="e">
        <f>+Prielaidos!#REF!+Prielaidos!AZ364+Prielaidos!#REF!+Prielaidos!AZ375+Prielaidos!AZ384+Prielaidos!AZ395</f>
        <v>#REF!</v>
      </c>
      <c r="BD119" s="38" t="e">
        <f>+Prielaidos!#REF!+Prielaidos!BA364+Prielaidos!#REF!+Prielaidos!BA375+Prielaidos!BA384+Prielaidos!BA395</f>
        <v>#REF!</v>
      </c>
      <c r="BE119" s="38" t="e">
        <f>+Prielaidos!#REF!+Prielaidos!BB364+Prielaidos!#REF!+Prielaidos!BB375+Prielaidos!BB384+Prielaidos!BB395</f>
        <v>#REF!</v>
      </c>
      <c r="BF119" s="38" t="e">
        <f>+Prielaidos!#REF!+Prielaidos!BC364+Prielaidos!#REF!+Prielaidos!BC375+Prielaidos!BC384+Prielaidos!BC395</f>
        <v>#REF!</v>
      </c>
      <c r="BG119" s="38" t="e">
        <f>+Prielaidos!#REF!+Prielaidos!BD364+Prielaidos!#REF!+Prielaidos!BD375+Prielaidos!BD384+Prielaidos!BD395</f>
        <v>#REF!</v>
      </c>
      <c r="BH119" s="38" t="e">
        <f>+Prielaidos!#REF!+Prielaidos!BE364+Prielaidos!#REF!+Prielaidos!BE375+Prielaidos!BE384+Prielaidos!BE395</f>
        <v>#REF!</v>
      </c>
      <c r="BI119" s="38" t="e">
        <f>+Prielaidos!#REF!+Prielaidos!BF364+Prielaidos!#REF!+Prielaidos!BF375+Prielaidos!BF384+Prielaidos!BF395</f>
        <v>#REF!</v>
      </c>
      <c r="BJ119" s="38" t="e">
        <f>+Prielaidos!#REF!+Prielaidos!BG364+Prielaidos!#REF!+Prielaidos!BG375+Prielaidos!BG384+Prielaidos!BG395</f>
        <v>#REF!</v>
      </c>
      <c r="BK119" s="38" t="e">
        <f>+Prielaidos!#REF!+Prielaidos!BH364+Prielaidos!#REF!+Prielaidos!BH375+Prielaidos!BH384+Prielaidos!BH395</f>
        <v>#REF!</v>
      </c>
      <c r="BL119" s="38" t="e">
        <f>+Prielaidos!#REF!+Prielaidos!BI364+Prielaidos!#REF!+Prielaidos!BI375+Prielaidos!BI384+Prielaidos!BI395</f>
        <v>#REF!</v>
      </c>
      <c r="BM119" s="38" t="e">
        <f>+Prielaidos!#REF!+Prielaidos!BJ364+Prielaidos!#REF!+Prielaidos!BJ375+Prielaidos!BJ384+Prielaidos!BJ395</f>
        <v>#REF!</v>
      </c>
      <c r="BN119" s="38" t="e">
        <f>+Prielaidos!#REF!+Prielaidos!BK364+Prielaidos!#REF!+Prielaidos!BK375+Prielaidos!BK384+Prielaidos!BK395</f>
        <v>#REF!</v>
      </c>
      <c r="BO119" s="38" t="e">
        <f>+Prielaidos!#REF!+Prielaidos!BL364+Prielaidos!#REF!+Prielaidos!BL375+Prielaidos!BL384+Prielaidos!BL395</f>
        <v>#REF!</v>
      </c>
      <c r="BP119" s="38" t="e">
        <f>+Prielaidos!#REF!+Prielaidos!BM364+Prielaidos!#REF!+Prielaidos!BM375+Prielaidos!BM384+Prielaidos!BM395</f>
        <v>#REF!</v>
      </c>
      <c r="BQ119" s="38" t="e">
        <f>+Prielaidos!#REF!+Prielaidos!BN364+Prielaidos!#REF!+Prielaidos!BN375+Prielaidos!BN384+Prielaidos!BN395</f>
        <v>#REF!</v>
      </c>
      <c r="BR119" s="38" t="e">
        <f>+Prielaidos!#REF!+Prielaidos!BO364+Prielaidos!#REF!+Prielaidos!BO375+Prielaidos!BO384+Prielaidos!BO395</f>
        <v>#REF!</v>
      </c>
      <c r="BS119" s="38" t="e">
        <f>+Prielaidos!#REF!+Prielaidos!BP364+Prielaidos!#REF!+Prielaidos!BP375+Prielaidos!BP384+Prielaidos!BP395</f>
        <v>#REF!</v>
      </c>
      <c r="BT119" s="38" t="e">
        <f>+Prielaidos!#REF!+Prielaidos!BQ364+Prielaidos!#REF!+Prielaidos!BQ375+Prielaidos!BQ384+Prielaidos!BQ395</f>
        <v>#REF!</v>
      </c>
      <c r="BU119" s="38" t="e">
        <f>+Prielaidos!#REF!+Prielaidos!BR364+Prielaidos!#REF!+Prielaidos!BR375+Prielaidos!BR384+Prielaidos!BR395</f>
        <v>#REF!</v>
      </c>
      <c r="BV119" s="38" t="e">
        <f>+Prielaidos!#REF!+Prielaidos!BS364+Prielaidos!#REF!+Prielaidos!BS375+Prielaidos!BS384+Prielaidos!BS395</f>
        <v>#REF!</v>
      </c>
      <c r="BW119" s="38" t="e">
        <f>+Prielaidos!#REF!+Prielaidos!BT364+Prielaidos!#REF!+Prielaidos!BT375+Prielaidos!BT384+Prielaidos!BT395</f>
        <v>#REF!</v>
      </c>
      <c r="BX119" s="38" t="e">
        <f>+Prielaidos!#REF!+Prielaidos!BU364+Prielaidos!#REF!+Prielaidos!BU375+Prielaidos!BU384+Prielaidos!BU395</f>
        <v>#REF!</v>
      </c>
      <c r="BY119" s="38" t="e">
        <f>+Prielaidos!#REF!+Prielaidos!BV364+Prielaidos!#REF!+Prielaidos!BV375+Prielaidos!BV384+Prielaidos!BV395</f>
        <v>#REF!</v>
      </c>
      <c r="BZ119" s="38" t="e">
        <f>+Prielaidos!#REF!+Prielaidos!BW364+Prielaidos!#REF!+Prielaidos!BW375+Prielaidos!BW384+Prielaidos!BW395</f>
        <v>#REF!</v>
      </c>
      <c r="CA119" s="38" t="e">
        <f>+Prielaidos!#REF!+Prielaidos!BX364+Prielaidos!#REF!+Prielaidos!BX375+Prielaidos!BX384+Prielaidos!BX395</f>
        <v>#REF!</v>
      </c>
      <c r="CB119" s="38" t="e">
        <f>+Prielaidos!#REF!+Prielaidos!BY364+Prielaidos!#REF!+Prielaidos!BY375+Prielaidos!BY384+Prielaidos!BY395</f>
        <v>#REF!</v>
      </c>
      <c r="CC119" s="38" t="e">
        <f>+Prielaidos!#REF!+Prielaidos!BZ364+Prielaidos!#REF!+Prielaidos!BZ375+Prielaidos!BZ384+Prielaidos!BZ395</f>
        <v>#REF!</v>
      </c>
      <c r="CD119" s="38" t="e">
        <f>+Prielaidos!#REF!+Prielaidos!CA364+Prielaidos!#REF!+Prielaidos!CA375+Prielaidos!CA384+Prielaidos!CA395</f>
        <v>#REF!</v>
      </c>
      <c r="CE119" s="38" t="e">
        <f>+Prielaidos!#REF!+Prielaidos!CB364+Prielaidos!#REF!+Prielaidos!CB375+Prielaidos!CB384+Prielaidos!CB395</f>
        <v>#REF!</v>
      </c>
      <c r="CF119" s="38" t="e">
        <f>+Prielaidos!#REF!+Prielaidos!CC364+Prielaidos!#REF!+Prielaidos!CC375+Prielaidos!CC384+Prielaidos!CC395</f>
        <v>#REF!</v>
      </c>
      <c r="CG119" s="38" t="e">
        <f>+Prielaidos!#REF!+Prielaidos!CD364+Prielaidos!#REF!+Prielaidos!CD375+Prielaidos!CD384+Prielaidos!CD395</f>
        <v>#REF!</v>
      </c>
      <c r="CH119" s="38" t="e">
        <f>+Prielaidos!#REF!+Prielaidos!CE364+Prielaidos!#REF!+Prielaidos!CE375+Prielaidos!CE384+Prielaidos!CE395</f>
        <v>#REF!</v>
      </c>
      <c r="CI119" s="38" t="e">
        <f>+Prielaidos!#REF!+Prielaidos!CF364+Prielaidos!#REF!+Prielaidos!CF375+Prielaidos!CF384+Prielaidos!CF395</f>
        <v>#REF!</v>
      </c>
      <c r="CJ119" s="38" t="e">
        <f>+Prielaidos!#REF!+Prielaidos!CG364+Prielaidos!#REF!+Prielaidos!CG375+Prielaidos!CG384+Prielaidos!CG395</f>
        <v>#REF!</v>
      </c>
      <c r="CK119" s="38" t="e">
        <f>+Prielaidos!#REF!+Prielaidos!CH364+Prielaidos!#REF!+Prielaidos!CH375+Prielaidos!CH384+Prielaidos!CH395</f>
        <v>#REF!</v>
      </c>
      <c r="CL119" s="38" t="e">
        <f>+Prielaidos!#REF!+Prielaidos!CI364+Prielaidos!#REF!+Prielaidos!CI375+Prielaidos!CI384+Prielaidos!CI395</f>
        <v>#REF!</v>
      </c>
      <c r="CM119" s="38" t="e">
        <f>+Prielaidos!#REF!+Prielaidos!CJ364+Prielaidos!#REF!+Prielaidos!CJ375+Prielaidos!CJ384+Prielaidos!CJ395</f>
        <v>#REF!</v>
      </c>
      <c r="CN119" s="38" t="e">
        <f>+Prielaidos!#REF!+Prielaidos!CK364+Prielaidos!#REF!+Prielaidos!CK375+Prielaidos!CK384+Prielaidos!CK395</f>
        <v>#REF!</v>
      </c>
      <c r="CO119" s="38" t="e">
        <f>+Prielaidos!#REF!+Prielaidos!CL364+Prielaidos!#REF!+Prielaidos!CL375+Prielaidos!CL384+Prielaidos!CL395</f>
        <v>#REF!</v>
      </c>
      <c r="CP119" s="38" t="e">
        <f>+Prielaidos!#REF!+Prielaidos!CM364+Prielaidos!#REF!+Prielaidos!CM375+Prielaidos!CM384+Prielaidos!CM395</f>
        <v>#REF!</v>
      </c>
      <c r="CQ119" s="38" t="e">
        <f>+Prielaidos!#REF!+Prielaidos!CN364+Prielaidos!#REF!+Prielaidos!CN375+Prielaidos!CN384+Prielaidos!CN395</f>
        <v>#REF!</v>
      </c>
      <c r="CR119" s="38" t="e">
        <f>+Prielaidos!#REF!+Prielaidos!CO364+Prielaidos!#REF!+Prielaidos!CO375+Prielaidos!CO384+Prielaidos!CO395</f>
        <v>#REF!</v>
      </c>
      <c r="CS119" s="38" t="e">
        <f>+Prielaidos!#REF!+Prielaidos!CP364+Prielaidos!#REF!+Prielaidos!CP375+Prielaidos!CP384+Prielaidos!CP395</f>
        <v>#REF!</v>
      </c>
      <c r="CT119" s="38" t="e">
        <f>+Prielaidos!#REF!+Prielaidos!CQ364+Prielaidos!#REF!+Prielaidos!CQ375+Prielaidos!CQ384+Prielaidos!CQ395</f>
        <v>#REF!</v>
      </c>
      <c r="CU119" s="38" t="e">
        <f>+Prielaidos!#REF!+Prielaidos!CR364+Prielaidos!#REF!+Prielaidos!CR375+Prielaidos!CR384+Prielaidos!CR395</f>
        <v>#REF!</v>
      </c>
      <c r="CV119" s="38" t="e">
        <f>+Prielaidos!#REF!+Prielaidos!CS364+Prielaidos!#REF!+Prielaidos!CS375+Prielaidos!CS384+Prielaidos!CS395</f>
        <v>#REF!</v>
      </c>
      <c r="CW119" s="38" t="e">
        <f>+Prielaidos!#REF!+Prielaidos!CT364+Prielaidos!#REF!+Prielaidos!CT375+Prielaidos!CT384+Prielaidos!CT395</f>
        <v>#REF!</v>
      </c>
      <c r="CX119" s="38" t="e">
        <f>+Prielaidos!#REF!+Prielaidos!CU364+Prielaidos!#REF!+Prielaidos!CU375+Prielaidos!CU384+Prielaidos!CU395</f>
        <v>#REF!</v>
      </c>
      <c r="CY119" s="38" t="e">
        <f>+Prielaidos!#REF!+Prielaidos!CV364+Prielaidos!#REF!+Prielaidos!CV375+Prielaidos!CV384+Prielaidos!CV395</f>
        <v>#REF!</v>
      </c>
      <c r="CZ119" s="38" t="e">
        <f>+Prielaidos!#REF!+Prielaidos!CW364+Prielaidos!#REF!+Prielaidos!CW375+Prielaidos!CW384+Prielaidos!CW395</f>
        <v>#REF!</v>
      </c>
      <c r="DA119" s="38" t="e">
        <f>+Prielaidos!#REF!+Prielaidos!CX364+Prielaidos!#REF!+Prielaidos!CX375+Prielaidos!CX384+Prielaidos!CX395</f>
        <v>#REF!</v>
      </c>
      <c r="DB119" s="38" t="e">
        <f>+Prielaidos!#REF!+Prielaidos!CY364+Prielaidos!#REF!+Prielaidos!CY375+Prielaidos!CY384+Prielaidos!CY395</f>
        <v>#REF!</v>
      </c>
      <c r="DC119" s="38" t="e">
        <f>+Prielaidos!#REF!+Prielaidos!CZ364+Prielaidos!#REF!+Prielaidos!CZ375+Prielaidos!CZ384+Prielaidos!CZ395</f>
        <v>#REF!</v>
      </c>
      <c r="DE119" s="46">
        <f t="shared" ref="DE119:DE129" si="70">COUNTBLANK(H119:DC119)</f>
        <v>0</v>
      </c>
      <c r="DF119" s="46">
        <f t="shared" si="41"/>
        <v>98</v>
      </c>
    </row>
    <row r="120" spans="1:114" ht="14.4">
      <c r="A120" s="124">
        <v>110</v>
      </c>
      <c r="B120" s="5" t="str">
        <f>$B$118&amp;"2."</f>
        <v>L.1.2.</v>
      </c>
      <c r="C120" s="170" t="s">
        <v>760</v>
      </c>
      <c r="D120" s="24"/>
      <c r="E120" s="5"/>
      <c r="F120" s="35">
        <f>H120+NPV(SD,I120:INDEX(I120:DC120,PAL))</f>
        <v>136060643.31714535</v>
      </c>
      <c r="G120" s="35">
        <f>SUMIF($H$5:$DC$5,"&lt;="&amp;PAL,$H120:$DC120)</f>
        <v>228441409.4316408</v>
      </c>
      <c r="H120" s="38">
        <v>0</v>
      </c>
      <c r="I120" s="38">
        <f>+Prielaidos!G353</f>
        <v>986517.07499999995</v>
      </c>
      <c r="J120" s="38">
        <f>+Prielaidos!H353</f>
        <v>9134639.0269500073</v>
      </c>
      <c r="K120" s="38">
        <f>+Prielaidos!I353</f>
        <v>10153291.638611658</v>
      </c>
      <c r="L120" s="38">
        <f>+Prielaidos!J353</f>
        <v>11423003.724050811</v>
      </c>
      <c r="M120" s="38">
        <f>+Prielaidos!K353</f>
        <v>11519861.208758241</v>
      </c>
      <c r="N120" s="38">
        <f>+Prielaidos!L353</f>
        <v>11617837.908158684</v>
      </c>
      <c r="O120" s="38">
        <f>+Prielaidos!M353</f>
        <v>11716950.760866467</v>
      </c>
      <c r="P120" s="38">
        <f>+Prielaidos!N353</f>
        <v>11817217.001370283</v>
      </c>
      <c r="Q120" s="38">
        <f>+Prielaidos!O353</f>
        <v>11918654.165499995</v>
      </c>
      <c r="R120" s="38">
        <f>+Prielaidos!P353</f>
        <v>12021280.095994797</v>
      </c>
      <c r="S120" s="38">
        <f>+Prielaidos!Q353</f>
        <v>12125112.948177168</v>
      </c>
      <c r="T120" s="38">
        <f>+Prielaidos!R353</f>
        <v>12230171.195733035</v>
      </c>
      <c r="U120" s="38">
        <f>+Prielaidos!S353</f>
        <v>12336473.636601824</v>
      </c>
      <c r="V120" s="38">
        <f>+Prielaidos!T353</f>
        <v>12444039.398975886</v>
      </c>
      <c r="W120" s="38">
        <f>+Prielaidos!U353</f>
        <v>12552887.947414845</v>
      </c>
      <c r="X120" s="38">
        <f>+Prielaidos!V353</f>
        <v>12663039.089073319</v>
      </c>
      <c r="Y120" s="38">
        <f>+Prielaidos!W353</f>
        <v>12774512.980047116</v>
      </c>
      <c r="Z120" s="38">
        <f>+Prielaidos!X353</f>
        <v>12887330.131839219</v>
      </c>
      <c r="AA120" s="38">
        <f>+Prielaidos!Y353</f>
        <v>13001511.417946352</v>
      </c>
      <c r="AB120" s="38">
        <f>+Prielaidos!Z353</f>
        <v>13117078.080571093</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70"/>
        <v>0</v>
      </c>
      <c r="DF120" s="46">
        <f t="shared" si="41"/>
        <v>20</v>
      </c>
    </row>
    <row r="121" spans="1:114"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70"/>
        <v>0</v>
      </c>
      <c r="DF121" s="46">
        <f t="shared" si="41"/>
        <v>0</v>
      </c>
    </row>
    <row r="122" spans="1:114" ht="14.4">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70"/>
        <v>0</v>
      </c>
      <c r="DF122" s="46">
        <f t="shared" si="41"/>
        <v>0</v>
      </c>
    </row>
    <row r="123" spans="1:114"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70"/>
        <v>0</v>
      </c>
      <c r="DF123" s="46">
        <f t="shared" si="41"/>
        <v>0</v>
      </c>
    </row>
    <row r="124" spans="1:114"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70"/>
        <v>0</v>
      </c>
      <c r="DF124" s="46">
        <f t="shared" si="41"/>
        <v>0</v>
      </c>
    </row>
    <row r="125" spans="1:114"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70"/>
        <v>0</v>
      </c>
      <c r="DF125" s="46">
        <f t="shared" si="41"/>
        <v>0</v>
      </c>
    </row>
    <row r="126" spans="1:114" ht="14.4">
      <c r="A126" s="124">
        <v>116</v>
      </c>
      <c r="B126" s="5" t="s">
        <v>193</v>
      </c>
      <c r="C126" s="24" t="s">
        <v>276</v>
      </c>
      <c r="D126" s="24"/>
      <c r="E126" s="5"/>
      <c r="F126" s="11">
        <f>SUM(F127:F129)</f>
        <v>0</v>
      </c>
      <c r="G126" s="35">
        <f>SUMIF($H$5:$DC$5,"&lt;="&amp;PAL,$H126:$DC126)</f>
        <v>0</v>
      </c>
      <c r="H126" s="11">
        <f>SUM(H127:H129)</f>
        <v>0</v>
      </c>
      <c r="I126" s="11">
        <f t="shared" ref="I126:BT126" si="71">SUM(I127:I129)</f>
        <v>0</v>
      </c>
      <c r="J126" s="11">
        <f t="shared" si="71"/>
        <v>0</v>
      </c>
      <c r="K126" s="11">
        <f t="shared" si="71"/>
        <v>0</v>
      </c>
      <c r="L126" s="11">
        <f t="shared" si="71"/>
        <v>0</v>
      </c>
      <c r="M126" s="11">
        <f t="shared" si="71"/>
        <v>0</v>
      </c>
      <c r="N126" s="11">
        <f t="shared" si="71"/>
        <v>0</v>
      </c>
      <c r="O126" s="11">
        <f t="shared" si="71"/>
        <v>0</v>
      </c>
      <c r="P126" s="11">
        <f t="shared" si="71"/>
        <v>0</v>
      </c>
      <c r="Q126" s="11">
        <f t="shared" si="71"/>
        <v>0</v>
      </c>
      <c r="R126" s="11">
        <f t="shared" si="71"/>
        <v>0</v>
      </c>
      <c r="S126" s="11">
        <f t="shared" si="71"/>
        <v>0</v>
      </c>
      <c r="T126" s="11">
        <f t="shared" si="71"/>
        <v>0</v>
      </c>
      <c r="U126" s="11">
        <f t="shared" si="71"/>
        <v>0</v>
      </c>
      <c r="V126" s="11">
        <f t="shared" si="71"/>
        <v>0</v>
      </c>
      <c r="W126" s="11">
        <f t="shared" si="71"/>
        <v>0</v>
      </c>
      <c r="X126" s="11">
        <f t="shared" si="71"/>
        <v>0</v>
      </c>
      <c r="Y126" s="11">
        <f t="shared" si="71"/>
        <v>0</v>
      </c>
      <c r="Z126" s="11">
        <f t="shared" si="71"/>
        <v>0</v>
      </c>
      <c r="AA126" s="11">
        <f t="shared" si="71"/>
        <v>0</v>
      </c>
      <c r="AB126" s="11">
        <f t="shared" si="71"/>
        <v>0</v>
      </c>
      <c r="AC126" s="11">
        <f t="shared" si="71"/>
        <v>0</v>
      </c>
      <c r="AD126" s="11">
        <f t="shared" si="71"/>
        <v>0</v>
      </c>
      <c r="AE126" s="11">
        <f t="shared" si="71"/>
        <v>0</v>
      </c>
      <c r="AF126" s="11">
        <f t="shared" si="71"/>
        <v>0</v>
      </c>
      <c r="AG126" s="11">
        <f t="shared" si="71"/>
        <v>0</v>
      </c>
      <c r="AH126" s="11">
        <f t="shared" si="71"/>
        <v>0</v>
      </c>
      <c r="AI126" s="11">
        <f t="shared" si="71"/>
        <v>0</v>
      </c>
      <c r="AJ126" s="11">
        <f t="shared" si="71"/>
        <v>0</v>
      </c>
      <c r="AK126" s="11">
        <f t="shared" si="71"/>
        <v>0</v>
      </c>
      <c r="AL126" s="11">
        <f t="shared" si="71"/>
        <v>0</v>
      </c>
      <c r="AM126" s="11">
        <f t="shared" si="71"/>
        <v>0</v>
      </c>
      <c r="AN126" s="11">
        <f t="shared" si="71"/>
        <v>0</v>
      </c>
      <c r="AO126" s="11">
        <f t="shared" si="71"/>
        <v>0</v>
      </c>
      <c r="AP126" s="11">
        <f t="shared" si="71"/>
        <v>0</v>
      </c>
      <c r="AQ126" s="11">
        <f t="shared" si="71"/>
        <v>0</v>
      </c>
      <c r="AR126" s="11">
        <f t="shared" si="71"/>
        <v>0</v>
      </c>
      <c r="AS126" s="11">
        <f t="shared" si="71"/>
        <v>0</v>
      </c>
      <c r="AT126" s="11">
        <f t="shared" si="71"/>
        <v>0</v>
      </c>
      <c r="AU126" s="11">
        <f t="shared" si="71"/>
        <v>0</v>
      </c>
      <c r="AV126" s="11">
        <f t="shared" si="71"/>
        <v>0</v>
      </c>
      <c r="AW126" s="11">
        <f t="shared" si="71"/>
        <v>0</v>
      </c>
      <c r="AX126" s="11">
        <f t="shared" si="71"/>
        <v>0</v>
      </c>
      <c r="AY126" s="11">
        <f t="shared" si="71"/>
        <v>0</v>
      </c>
      <c r="AZ126" s="11">
        <f t="shared" si="71"/>
        <v>0</v>
      </c>
      <c r="BA126" s="11">
        <f t="shared" si="71"/>
        <v>0</v>
      </c>
      <c r="BB126" s="11">
        <f t="shared" si="71"/>
        <v>0</v>
      </c>
      <c r="BC126" s="11">
        <f t="shared" si="71"/>
        <v>0</v>
      </c>
      <c r="BD126" s="11">
        <f t="shared" si="71"/>
        <v>0</v>
      </c>
      <c r="BE126" s="11">
        <f t="shared" si="71"/>
        <v>0</v>
      </c>
      <c r="BF126" s="11">
        <f t="shared" si="71"/>
        <v>0</v>
      </c>
      <c r="BG126" s="11">
        <f t="shared" si="71"/>
        <v>0</v>
      </c>
      <c r="BH126" s="11">
        <f t="shared" si="71"/>
        <v>0</v>
      </c>
      <c r="BI126" s="11">
        <f t="shared" si="71"/>
        <v>0</v>
      </c>
      <c r="BJ126" s="11">
        <f t="shared" si="71"/>
        <v>0</v>
      </c>
      <c r="BK126" s="11">
        <f t="shared" si="71"/>
        <v>0</v>
      </c>
      <c r="BL126" s="11">
        <f t="shared" si="71"/>
        <v>0</v>
      </c>
      <c r="BM126" s="11">
        <f t="shared" si="71"/>
        <v>0</v>
      </c>
      <c r="BN126" s="11">
        <f t="shared" si="71"/>
        <v>0</v>
      </c>
      <c r="BO126" s="11">
        <f t="shared" si="71"/>
        <v>0</v>
      </c>
      <c r="BP126" s="11">
        <f t="shared" si="71"/>
        <v>0</v>
      </c>
      <c r="BQ126" s="11">
        <f t="shared" si="71"/>
        <v>0</v>
      </c>
      <c r="BR126" s="11">
        <f t="shared" si="71"/>
        <v>0</v>
      </c>
      <c r="BS126" s="11">
        <f t="shared" si="71"/>
        <v>0</v>
      </c>
      <c r="BT126" s="11">
        <f t="shared" si="71"/>
        <v>0</v>
      </c>
      <c r="BU126" s="11">
        <f t="shared" ref="BU126:DC126" si="72">SUM(BU127:BU129)</f>
        <v>0</v>
      </c>
      <c r="BV126" s="11">
        <f t="shared" si="72"/>
        <v>0</v>
      </c>
      <c r="BW126" s="11">
        <f t="shared" si="72"/>
        <v>0</v>
      </c>
      <c r="BX126" s="11">
        <f t="shared" si="72"/>
        <v>0</v>
      </c>
      <c r="BY126" s="11">
        <f t="shared" si="72"/>
        <v>0</v>
      </c>
      <c r="BZ126" s="11">
        <f t="shared" si="72"/>
        <v>0</v>
      </c>
      <c r="CA126" s="11">
        <f t="shared" si="72"/>
        <v>0</v>
      </c>
      <c r="CB126" s="11">
        <f t="shared" si="72"/>
        <v>0</v>
      </c>
      <c r="CC126" s="11">
        <f t="shared" si="72"/>
        <v>0</v>
      </c>
      <c r="CD126" s="11">
        <f t="shared" si="72"/>
        <v>0</v>
      </c>
      <c r="CE126" s="11">
        <f t="shared" si="72"/>
        <v>0</v>
      </c>
      <c r="CF126" s="11">
        <f t="shared" si="72"/>
        <v>0</v>
      </c>
      <c r="CG126" s="11">
        <f t="shared" si="72"/>
        <v>0</v>
      </c>
      <c r="CH126" s="11">
        <f t="shared" si="72"/>
        <v>0</v>
      </c>
      <c r="CI126" s="11">
        <f t="shared" si="72"/>
        <v>0</v>
      </c>
      <c r="CJ126" s="11">
        <f t="shared" si="72"/>
        <v>0</v>
      </c>
      <c r="CK126" s="11">
        <f t="shared" si="72"/>
        <v>0</v>
      </c>
      <c r="CL126" s="11">
        <f t="shared" si="72"/>
        <v>0</v>
      </c>
      <c r="CM126" s="11">
        <f t="shared" si="72"/>
        <v>0</v>
      </c>
      <c r="CN126" s="11">
        <f t="shared" si="72"/>
        <v>0</v>
      </c>
      <c r="CO126" s="11">
        <f t="shared" si="72"/>
        <v>0</v>
      </c>
      <c r="CP126" s="11">
        <f t="shared" si="72"/>
        <v>0</v>
      </c>
      <c r="CQ126" s="11">
        <f t="shared" si="72"/>
        <v>0</v>
      </c>
      <c r="CR126" s="11">
        <f t="shared" si="72"/>
        <v>0</v>
      </c>
      <c r="CS126" s="11">
        <f t="shared" si="72"/>
        <v>0</v>
      </c>
      <c r="CT126" s="11">
        <f t="shared" si="72"/>
        <v>0</v>
      </c>
      <c r="CU126" s="11">
        <f t="shared" si="72"/>
        <v>0</v>
      </c>
      <c r="CV126" s="11">
        <f t="shared" si="72"/>
        <v>0</v>
      </c>
      <c r="CW126" s="11">
        <f t="shared" si="72"/>
        <v>0</v>
      </c>
      <c r="CX126" s="11">
        <f t="shared" si="72"/>
        <v>0</v>
      </c>
      <c r="CY126" s="11">
        <f t="shared" si="72"/>
        <v>0</v>
      </c>
      <c r="CZ126" s="11">
        <f t="shared" si="72"/>
        <v>0</v>
      </c>
      <c r="DA126" s="11">
        <f t="shared" si="72"/>
        <v>0</v>
      </c>
      <c r="DB126" s="11">
        <f t="shared" si="72"/>
        <v>0</v>
      </c>
      <c r="DC126" s="11">
        <f t="shared" si="72"/>
        <v>0</v>
      </c>
      <c r="DF126" s="46">
        <f t="shared" si="41"/>
        <v>0</v>
      </c>
    </row>
    <row r="127" spans="1:114"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70"/>
        <v>0</v>
      </c>
      <c r="DF127" s="46">
        <f t="shared" si="41"/>
        <v>0</v>
      </c>
    </row>
    <row r="128" spans="1:114" ht="14.4">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70"/>
        <v>0</v>
      </c>
      <c r="DF128" s="46">
        <f t="shared" si="41"/>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70"/>
        <v>0</v>
      </c>
      <c r="DF129" s="46">
        <f t="shared" si="41"/>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aTK7BtR8tEiBOL+QiahEU0PdLnoDF7AjBdmIKbEEiVu76X12LiKehcq6s4h5/th7cA89cp0Sk02l+5Wny/OAkw==" saltValue="Uj0fTy0VNwWPwDfR9mJpAg=="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L108:DC110 H80:DC89 H79:J79 L79:DC79 AB34:DC36 H112:DC115 X106:DC107 H7:DC33 H73:DC78 O71:DC72 H57:J57 N57:DC57 H95:DC100 H58:DC70 H37:DC56">
    <cfRule type="containsBlanks" dxfId="120" priority="25">
      <formula>LEN(TRIM(H7))=0</formula>
    </cfRule>
  </conditionalFormatting>
  <conditionalFormatting sqref="H116:DC129">
    <cfRule type="containsBlanks" dxfId="119" priority="21">
      <formula>LEN(TRIM(H116))=0</formula>
    </cfRule>
  </conditionalFormatting>
  <conditionalFormatting sqref="H90:DC94">
    <cfRule type="containsBlanks" dxfId="118" priority="19">
      <formula>LEN(TRIM(H90))=0</formula>
    </cfRule>
  </conditionalFormatting>
  <conditionalFormatting sqref="H111 H108:K110 J106:W107 H104:DC105 H103:I103 AC102:DC103">
    <cfRule type="containsBlanks" dxfId="117" priority="18">
      <formula>LEN(TRIM(H102))=0</formula>
    </cfRule>
  </conditionalFormatting>
  <conditionalFormatting sqref="H34:AA36">
    <cfRule type="containsBlanks" dxfId="116" priority="17">
      <formula>LEN(TRIM(H34))=0</formula>
    </cfRule>
  </conditionalFormatting>
  <conditionalFormatting sqref="K79">
    <cfRule type="containsBlanks" dxfId="115" priority="16">
      <formula>LEN(TRIM(K79))=0</formula>
    </cfRule>
  </conditionalFormatting>
  <conditionalFormatting sqref="I111:DC111">
    <cfRule type="containsBlanks" dxfId="114" priority="15">
      <formula>LEN(TRIM(I111))=0</formula>
    </cfRule>
  </conditionalFormatting>
  <conditionalFormatting sqref="F7">
    <cfRule type="containsBlanks" dxfId="113" priority="13">
      <formula>LEN(TRIM(F7))=0</formula>
    </cfRule>
  </conditionalFormatting>
  <conditionalFormatting sqref="F8">
    <cfRule type="containsBlanks" dxfId="112" priority="12">
      <formula>LEN(TRIM(F8))=0</formula>
    </cfRule>
  </conditionalFormatting>
  <conditionalFormatting sqref="D106:F110">
    <cfRule type="expression" dxfId="111" priority="10">
      <formula>AND($F106&lt;&gt;0,$E106="")</formula>
    </cfRule>
  </conditionalFormatting>
  <conditionalFormatting sqref="I115:DC115">
    <cfRule type="containsBlanks" dxfId="110" priority="9">
      <formula>LEN(TRIM(I115))=0</formula>
    </cfRule>
  </conditionalFormatting>
  <conditionalFormatting sqref="H106:I107">
    <cfRule type="containsBlanks" dxfId="109" priority="8">
      <formula>LEN(TRIM(H106))=0</formula>
    </cfRule>
  </conditionalFormatting>
  <conditionalFormatting sqref="H102:AB102 H101:DC101">
    <cfRule type="containsBlanks" dxfId="108" priority="7">
      <formula>LEN(TRIM(H101))=0</formula>
    </cfRule>
  </conditionalFormatting>
  <conditionalFormatting sqref="J103:AB103">
    <cfRule type="containsBlanks" dxfId="107" priority="5">
      <formula>LEN(TRIM(J103))=0</formula>
    </cfRule>
  </conditionalFormatting>
  <conditionalFormatting sqref="H71:J71">
    <cfRule type="containsBlanks" dxfId="106" priority="4">
      <formula>LEN(TRIM(H71))=0</formula>
    </cfRule>
  </conditionalFormatting>
  <conditionalFormatting sqref="H72:N72">
    <cfRule type="containsBlanks" dxfId="105" priority="3">
      <formula>LEN(TRIM(H72))=0</formula>
    </cfRule>
  </conditionalFormatting>
  <conditionalFormatting sqref="K57:M57">
    <cfRule type="containsBlanks" dxfId="104" priority="2">
      <formula>LEN(TRIM(K57))=0</formula>
    </cfRule>
  </conditionalFormatting>
  <conditionalFormatting sqref="K71:N71">
    <cfRule type="containsBlanks" dxfId="103" priority="1">
      <formula>LEN(TRIM(K71))=0</formula>
    </cfRule>
  </conditionalFormatting>
  <dataValidations disablePrompts="1"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qref="C127:C129" xr:uid="{00000000-0002-0000-0300-000004000000}">
      <formula1>Zalos</formula1>
    </dataValidation>
    <dataValidation type="list" allowBlank="1" showInput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30480</xdr:colOff>
                    <xdr:row>10</xdr:row>
                    <xdr:rowOff>0</xdr:rowOff>
                  </from>
                  <to>
                    <xdr:col>3</xdr:col>
                    <xdr:colOff>381000</xdr:colOff>
                    <xdr:row>10</xdr:row>
                    <xdr:rowOff>228600</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7620</xdr:colOff>
                    <xdr:row>6</xdr:row>
                    <xdr:rowOff>7620</xdr:rowOff>
                  </from>
                  <to>
                    <xdr:col>3</xdr:col>
                    <xdr:colOff>373380</xdr:colOff>
                    <xdr:row>6</xdr:row>
                    <xdr:rowOff>236220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7620</xdr:colOff>
                    <xdr:row>116</xdr:row>
                    <xdr:rowOff>7620</xdr:rowOff>
                  </from>
                  <to>
                    <xdr:col>3</xdr:col>
                    <xdr:colOff>373380</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144780</xdr:colOff>
                    <xdr:row>4</xdr:row>
                    <xdr:rowOff>0</xdr:rowOff>
                  </from>
                  <to>
                    <xdr:col>4</xdr:col>
                    <xdr:colOff>480060</xdr:colOff>
                    <xdr:row>4</xdr:row>
                    <xdr:rowOff>228600</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45720</xdr:colOff>
                    <xdr:row>1</xdr:row>
                    <xdr:rowOff>175260</xdr:rowOff>
                  </from>
                  <to>
                    <xdr:col>6</xdr:col>
                    <xdr:colOff>906780</xdr:colOff>
                    <xdr:row>2</xdr:row>
                    <xdr:rowOff>228600</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106680</xdr:colOff>
                    <xdr:row>10</xdr:row>
                    <xdr:rowOff>38100</xdr:rowOff>
                  </from>
                  <to>
                    <xdr:col>0</xdr:col>
                    <xdr:colOff>274320</xdr:colOff>
                    <xdr:row>11</xdr:row>
                    <xdr:rowOff>0</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106680</xdr:colOff>
                    <xdr:row>21</xdr:row>
                    <xdr:rowOff>30480</xdr:rowOff>
                  </from>
                  <to>
                    <xdr:col>0</xdr:col>
                    <xdr:colOff>266700</xdr:colOff>
                    <xdr:row>22</xdr:row>
                    <xdr:rowOff>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106680</xdr:colOff>
                    <xdr:row>32</xdr:row>
                    <xdr:rowOff>38100</xdr:rowOff>
                  </from>
                  <to>
                    <xdr:col>0</xdr:col>
                    <xdr:colOff>274320</xdr:colOff>
                    <xdr:row>33</xdr:row>
                    <xdr:rowOff>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99060</xdr:colOff>
                    <xdr:row>44</xdr:row>
                    <xdr:rowOff>38100</xdr:rowOff>
                  </from>
                  <to>
                    <xdr:col>0</xdr:col>
                    <xdr:colOff>251460</xdr:colOff>
                    <xdr:row>44</xdr:row>
                    <xdr:rowOff>220980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99060</xdr:colOff>
                    <xdr:row>55</xdr:row>
                    <xdr:rowOff>38100</xdr:rowOff>
                  </from>
                  <to>
                    <xdr:col>0</xdr:col>
                    <xdr:colOff>251460</xdr:colOff>
                    <xdr:row>55</xdr:row>
                    <xdr:rowOff>220980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99060</xdr:colOff>
                    <xdr:row>66</xdr:row>
                    <xdr:rowOff>30480</xdr:rowOff>
                  </from>
                  <to>
                    <xdr:col>0</xdr:col>
                    <xdr:colOff>251460</xdr:colOff>
                    <xdr:row>66</xdr:row>
                    <xdr:rowOff>190500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99060</xdr:colOff>
                    <xdr:row>77</xdr:row>
                    <xdr:rowOff>38100</xdr:rowOff>
                  </from>
                  <to>
                    <xdr:col>0</xdr:col>
                    <xdr:colOff>251460</xdr:colOff>
                    <xdr:row>77</xdr:row>
                    <xdr:rowOff>198120</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7620</xdr:colOff>
                    <xdr:row>9</xdr:row>
                    <xdr:rowOff>30480</xdr:rowOff>
                  </from>
                  <to>
                    <xdr:col>1</xdr:col>
                    <xdr:colOff>0</xdr:colOff>
                    <xdr:row>9</xdr:row>
                    <xdr:rowOff>190500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45720</xdr:rowOff>
                  </from>
                  <to>
                    <xdr:col>1</xdr:col>
                    <xdr:colOff>0</xdr:colOff>
                    <xdr:row>44</xdr:row>
                    <xdr:rowOff>0</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99060</xdr:colOff>
                    <xdr:row>88</xdr:row>
                    <xdr:rowOff>30480</xdr:rowOff>
                  </from>
                  <to>
                    <xdr:col>0</xdr:col>
                    <xdr:colOff>251460</xdr:colOff>
                    <xdr:row>88</xdr:row>
                    <xdr:rowOff>198120</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83820</xdr:colOff>
                    <xdr:row>99</xdr:row>
                    <xdr:rowOff>45720</xdr:rowOff>
                  </from>
                  <to>
                    <xdr:col>0</xdr:col>
                    <xdr:colOff>236220</xdr:colOff>
                    <xdr:row>99</xdr:row>
                    <xdr:rowOff>220980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7620</xdr:colOff>
                    <xdr:row>8</xdr:row>
                    <xdr:rowOff>7620</xdr:rowOff>
                  </from>
                  <to>
                    <xdr:col>3</xdr:col>
                    <xdr:colOff>373380</xdr:colOff>
                    <xdr:row>8</xdr:row>
                    <xdr:rowOff>236220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30480</xdr:colOff>
                    <xdr:row>21</xdr:row>
                    <xdr:rowOff>0</xdr:rowOff>
                  </from>
                  <to>
                    <xdr:col>4</xdr:col>
                    <xdr:colOff>0</xdr:colOff>
                    <xdr:row>21</xdr:row>
                    <xdr:rowOff>228600</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30480</xdr:colOff>
                    <xdr:row>110</xdr:row>
                    <xdr:rowOff>7620</xdr:rowOff>
                  </from>
                  <to>
                    <xdr:col>3</xdr:col>
                    <xdr:colOff>381000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7620</xdr:colOff>
                    <xdr:row>88</xdr:row>
                    <xdr:rowOff>0</xdr:rowOff>
                  </from>
                  <to>
                    <xdr:col>3</xdr:col>
                    <xdr:colOff>373380</xdr:colOff>
                    <xdr:row>89</xdr:row>
                    <xdr:rowOff>7620</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7620</xdr:colOff>
                    <xdr:row>99</xdr:row>
                    <xdr:rowOff>38100</xdr:rowOff>
                  </from>
                  <to>
                    <xdr:col>3</xdr:col>
                    <xdr:colOff>373380</xdr:colOff>
                    <xdr:row>99</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90" zoomScaleNormal="90" workbookViewId="0">
      <pane xSplit="7" ySplit="6" topLeftCell="H7" activePane="bottomRight" state="frozenSplit"/>
      <selection activeCell="J29" sqref="J29"/>
      <selection pane="topRight" activeCell="J29" sqref="J29"/>
      <selection pane="bottomLeft" activeCell="J29" sqref="J29"/>
      <selection pane="bottomRight" activeCell="J68" sqref="J68"/>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6" hidden="1" customWidth="1"/>
    <col min="110" max="111" width="9.109375" hidden="1" customWidth="1"/>
    <col min="112" max="112" width="13.6640625" hidden="1" customWidth="1"/>
    <col min="113" max="113" width="0" hidden="1" customWidth="1"/>
  </cols>
  <sheetData>
    <row r="1" spans="1:112" ht="9" customHeight="1"/>
    <row r="2" spans="1:112" ht="14.4">
      <c r="B2" s="18" t="s">
        <v>164</v>
      </c>
      <c r="C2"/>
    </row>
    <row r="3" spans="1:112" ht="14.4">
      <c r="B3" s="180" t="str">
        <f>IF(INDEX(A2_pav,1,1)=0,"",INDEX(A2_pav,1,1))</f>
        <v>Regioninės svarbos scenarijus</v>
      </c>
      <c r="C3" s="181"/>
      <c r="D3" s="181"/>
      <c r="E3" s="182"/>
      <c r="F3" s="179"/>
      <c r="G3" s="2"/>
    </row>
    <row r="4" spans="1:112" ht="15" customHeight="1">
      <c r="B4" s="128"/>
      <c r="C4" s="128"/>
      <c r="D4" s="9"/>
      <c r="E4" s="191"/>
      <c r="F4" s="9"/>
    </row>
    <row r="5" spans="1:112" ht="14.4">
      <c r="B5" s="18" t="s">
        <v>206</v>
      </c>
      <c r="C5" s="128"/>
      <c r="F5" s="752" t="s">
        <v>32</v>
      </c>
      <c r="G5" s="753"/>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3"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784</v>
      </c>
      <c r="DG6" s="25" t="s">
        <v>231</v>
      </c>
      <c r="DH6" s="25" t="s">
        <v>253</v>
      </c>
    </row>
    <row r="7" spans="1:112" ht="14.4">
      <c r="B7" s="5" t="s">
        <v>17</v>
      </c>
      <c r="C7" s="15" t="s">
        <v>39</v>
      </c>
      <c r="D7" s="5"/>
      <c r="E7" s="5"/>
      <c r="F7" s="35">
        <f>F8+F9+F89-F100+F111</f>
        <v>134697482.4695121</v>
      </c>
      <c r="G7" s="35">
        <f>SUMIF($H$5:$DC$5,"&lt;="&amp;PAL,$H7:$DC7)</f>
        <v>200439606.24019569</v>
      </c>
      <c r="H7" s="35">
        <f>H8+H9+H89-H100-H111</f>
        <v>1708000</v>
      </c>
      <c r="I7" s="35">
        <f t="shared" ref="I7:BT7" si="2">I8+I9+I89-I100-I111</f>
        <v>4900980.7675320003</v>
      </c>
      <c r="J7" s="35">
        <f t="shared" si="2"/>
        <v>7681558.9378861329</v>
      </c>
      <c r="K7" s="35">
        <f t="shared" si="2"/>
        <v>10865320.3630432</v>
      </c>
      <c r="L7" s="35">
        <f t="shared" si="2"/>
        <v>10267720.3630432</v>
      </c>
      <c r="M7" s="35">
        <f t="shared" si="2"/>
        <v>10287720.3630432</v>
      </c>
      <c r="N7" s="35">
        <f t="shared" si="2"/>
        <v>10267220.3630432</v>
      </c>
      <c r="O7" s="35">
        <f t="shared" si="2"/>
        <v>10267220.3630432</v>
      </c>
      <c r="P7" s="35">
        <f t="shared" si="2"/>
        <v>10267220.3630432</v>
      </c>
      <c r="Q7" s="35">
        <f t="shared" si="2"/>
        <v>10267220.3630432</v>
      </c>
      <c r="R7" s="35">
        <f t="shared" si="2"/>
        <v>10387220.3630432</v>
      </c>
      <c r="S7" s="35">
        <f t="shared" si="2"/>
        <v>10507220.3630432</v>
      </c>
      <c r="T7" s="35">
        <f t="shared" si="2"/>
        <v>10387220.3630432</v>
      </c>
      <c r="U7" s="35">
        <f t="shared" si="2"/>
        <v>10507220.3630432</v>
      </c>
      <c r="V7" s="35">
        <f t="shared" si="2"/>
        <v>10267220.3630432</v>
      </c>
      <c r="W7" s="35">
        <f t="shared" si="2"/>
        <v>10267220.3630432</v>
      </c>
      <c r="X7" s="35">
        <f t="shared" si="2"/>
        <v>10267220.3630432</v>
      </c>
      <c r="Y7" s="35">
        <f t="shared" si="2"/>
        <v>10267220.3630432</v>
      </c>
      <c r="Z7" s="35">
        <f t="shared" si="2"/>
        <v>10267220.3630432</v>
      </c>
      <c r="AA7" s="35">
        <f t="shared" si="2"/>
        <v>10267220.3630432</v>
      </c>
      <c r="AB7" s="35">
        <f t="shared" si="2"/>
        <v>10267220.3630432</v>
      </c>
      <c r="AC7" s="35">
        <f t="shared" si="2"/>
        <v>1974603.0655936003</v>
      </c>
      <c r="AD7" s="35">
        <f t="shared" si="2"/>
        <v>1974603.0655936003</v>
      </c>
      <c r="AE7" s="35">
        <f t="shared" si="2"/>
        <v>1974603.0655936003</v>
      </c>
      <c r="AF7" s="35">
        <f t="shared" si="2"/>
        <v>1974603.0655936003</v>
      </c>
      <c r="AG7" s="35">
        <f t="shared" si="2"/>
        <v>1974603.0655936003</v>
      </c>
      <c r="AH7" s="35">
        <f t="shared" si="2"/>
        <v>1974603.0655936003</v>
      </c>
      <c r="AI7" s="35">
        <f t="shared" si="2"/>
        <v>1974603.0655936003</v>
      </c>
      <c r="AJ7" s="35">
        <f t="shared" si="2"/>
        <v>1974603.0655936003</v>
      </c>
      <c r="AK7" s="35">
        <f t="shared" si="2"/>
        <v>1974603.0655936003</v>
      </c>
      <c r="AL7" s="35">
        <f t="shared" si="2"/>
        <v>1974603.0655936003</v>
      </c>
      <c r="AM7" s="35">
        <f t="shared" si="2"/>
        <v>1974603.0655936003</v>
      </c>
      <c r="AN7" s="35">
        <f t="shared" si="2"/>
        <v>1974603.0655936003</v>
      </c>
      <c r="AO7" s="35">
        <f t="shared" si="2"/>
        <v>1974603.0655936003</v>
      </c>
      <c r="AP7" s="35">
        <f t="shared" si="2"/>
        <v>1974603.0655936003</v>
      </c>
      <c r="AQ7" s="35">
        <f t="shared" si="2"/>
        <v>1974603.0655936003</v>
      </c>
      <c r="AR7" s="35">
        <f t="shared" si="2"/>
        <v>1974603.0655936003</v>
      </c>
      <c r="AS7" s="35">
        <f t="shared" si="2"/>
        <v>1974603.0655936003</v>
      </c>
      <c r="AT7" s="35">
        <f t="shared" si="2"/>
        <v>1974603.0655936003</v>
      </c>
      <c r="AU7" s="35">
        <f t="shared" si="2"/>
        <v>1974603.0655936003</v>
      </c>
      <c r="AV7" s="35">
        <f t="shared" si="2"/>
        <v>1974603.0655936003</v>
      </c>
      <c r="AW7" s="35">
        <f t="shared" si="2"/>
        <v>1974603.0655936003</v>
      </c>
      <c r="AX7" s="35">
        <f t="shared" si="2"/>
        <v>1974603.0655936003</v>
      </c>
      <c r="AY7" s="35">
        <f t="shared" si="2"/>
        <v>1974603.0655936003</v>
      </c>
      <c r="AZ7" s="35">
        <f t="shared" si="2"/>
        <v>1974603.0655936003</v>
      </c>
      <c r="BA7" s="35">
        <f t="shared" si="2"/>
        <v>1974603.0655936003</v>
      </c>
      <c r="BB7" s="35">
        <f t="shared" si="2"/>
        <v>1974603.0655936003</v>
      </c>
      <c r="BC7" s="35">
        <f t="shared" si="2"/>
        <v>1974603.0655936003</v>
      </c>
      <c r="BD7" s="35">
        <f t="shared" si="2"/>
        <v>1974603.0655936003</v>
      </c>
      <c r="BE7" s="35">
        <f t="shared" si="2"/>
        <v>1974603.0655936003</v>
      </c>
      <c r="BF7" s="35">
        <f t="shared" si="2"/>
        <v>1974603.0655936003</v>
      </c>
      <c r="BG7" s="35">
        <f t="shared" si="2"/>
        <v>1974603.0655936003</v>
      </c>
      <c r="BH7" s="35">
        <f t="shared" si="2"/>
        <v>1974603.0655936003</v>
      </c>
      <c r="BI7" s="35">
        <f t="shared" si="2"/>
        <v>1974603.0655936003</v>
      </c>
      <c r="BJ7" s="35">
        <f t="shared" si="2"/>
        <v>1974603.0655936003</v>
      </c>
      <c r="BK7" s="35">
        <f t="shared" si="2"/>
        <v>1974603.0655936003</v>
      </c>
      <c r="BL7" s="35">
        <f t="shared" si="2"/>
        <v>1974603.0655936003</v>
      </c>
      <c r="BM7" s="35">
        <f t="shared" si="2"/>
        <v>1974603.0655936003</v>
      </c>
      <c r="BN7" s="35">
        <f t="shared" si="2"/>
        <v>1974603.0655936003</v>
      </c>
      <c r="BO7" s="35">
        <f t="shared" si="2"/>
        <v>1974603.0655936003</v>
      </c>
      <c r="BP7" s="35">
        <f t="shared" si="2"/>
        <v>1974603.0655936003</v>
      </c>
      <c r="BQ7" s="35">
        <f t="shared" si="2"/>
        <v>1974603.0655936003</v>
      </c>
      <c r="BR7" s="35">
        <f t="shared" si="2"/>
        <v>1974603.0655936003</v>
      </c>
      <c r="BS7" s="35">
        <f t="shared" si="2"/>
        <v>1974603.0655936003</v>
      </c>
      <c r="BT7" s="35">
        <f t="shared" si="2"/>
        <v>1974603.0655936003</v>
      </c>
      <c r="BU7" s="35">
        <f t="shared" ref="BU7:DC7" si="3">BU8+BU9+BU89-BU100-BU111</f>
        <v>1974603.0655936003</v>
      </c>
      <c r="BV7" s="35">
        <f t="shared" si="3"/>
        <v>1974603.0655936003</v>
      </c>
      <c r="BW7" s="35">
        <f t="shared" si="3"/>
        <v>1974603.0655936003</v>
      </c>
      <c r="BX7" s="35">
        <f t="shared" si="3"/>
        <v>1974603.0655936003</v>
      </c>
      <c r="BY7" s="35">
        <f t="shared" si="3"/>
        <v>1974603.0655936003</v>
      </c>
      <c r="BZ7" s="35">
        <f t="shared" si="3"/>
        <v>1974603.0655936003</v>
      </c>
      <c r="CA7" s="35">
        <f t="shared" si="3"/>
        <v>1974603.0655936003</v>
      </c>
      <c r="CB7" s="35">
        <f t="shared" si="3"/>
        <v>1974603.0655936003</v>
      </c>
      <c r="CC7" s="35">
        <f t="shared" si="3"/>
        <v>1974603.0655936003</v>
      </c>
      <c r="CD7" s="35">
        <f t="shared" si="3"/>
        <v>1974603.0655936003</v>
      </c>
      <c r="CE7" s="35">
        <f t="shared" si="3"/>
        <v>1974603.0655936003</v>
      </c>
      <c r="CF7" s="35">
        <f t="shared" si="3"/>
        <v>1974603.0655936003</v>
      </c>
      <c r="CG7" s="35">
        <f t="shared" si="3"/>
        <v>1974603.0655936003</v>
      </c>
      <c r="CH7" s="35">
        <f t="shared" si="3"/>
        <v>1974603.0655936003</v>
      </c>
      <c r="CI7" s="35">
        <f t="shared" si="3"/>
        <v>1974603.0655936003</v>
      </c>
      <c r="CJ7" s="35">
        <f t="shared" si="3"/>
        <v>1974603.0655936003</v>
      </c>
      <c r="CK7" s="35">
        <f t="shared" si="3"/>
        <v>1974603.0655936003</v>
      </c>
      <c r="CL7" s="35">
        <f t="shared" si="3"/>
        <v>1974603.0655936003</v>
      </c>
      <c r="CM7" s="35">
        <f t="shared" si="3"/>
        <v>1974603.0655936003</v>
      </c>
      <c r="CN7" s="35">
        <f t="shared" si="3"/>
        <v>1974603.0655936003</v>
      </c>
      <c r="CO7" s="35">
        <f t="shared" si="3"/>
        <v>1974603.0655936003</v>
      </c>
      <c r="CP7" s="35">
        <f t="shared" si="3"/>
        <v>1974603.0655936003</v>
      </c>
      <c r="CQ7" s="35">
        <f t="shared" si="3"/>
        <v>1974603.0655936003</v>
      </c>
      <c r="CR7" s="35">
        <f t="shared" si="3"/>
        <v>1974603.0655936003</v>
      </c>
      <c r="CS7" s="35">
        <f t="shared" si="3"/>
        <v>1974603.0655936003</v>
      </c>
      <c r="CT7" s="35">
        <f t="shared" si="3"/>
        <v>1974603.0655936003</v>
      </c>
      <c r="CU7" s="35">
        <f t="shared" si="3"/>
        <v>1974603.0655936003</v>
      </c>
      <c r="CV7" s="35">
        <f t="shared" si="3"/>
        <v>1974603.0655936003</v>
      </c>
      <c r="CW7" s="35">
        <f t="shared" si="3"/>
        <v>1974603.0655936003</v>
      </c>
      <c r="CX7" s="35">
        <f t="shared" si="3"/>
        <v>1974603.0655936003</v>
      </c>
      <c r="CY7" s="35">
        <f t="shared" si="3"/>
        <v>1974603.0655936003</v>
      </c>
      <c r="CZ7" s="35">
        <f t="shared" si="3"/>
        <v>1974603.0655936003</v>
      </c>
      <c r="DA7" s="35">
        <f t="shared" si="3"/>
        <v>1974603.0655936003</v>
      </c>
      <c r="DB7" s="35">
        <f t="shared" si="3"/>
        <v>1974603.0655936003</v>
      </c>
      <c r="DC7" s="35">
        <f t="shared" si="3"/>
        <v>1974603.0655936003</v>
      </c>
      <c r="DF7" s="46">
        <f t="shared" ref="DF7:DF12" si="4">COUNTIF($H7:$DC7,"&lt;&gt;0")</f>
        <v>100</v>
      </c>
    </row>
    <row r="8" spans="1:112" ht="14.4">
      <c r="B8" s="5" t="s">
        <v>19</v>
      </c>
      <c r="C8" s="15" t="s">
        <v>158</v>
      </c>
      <c r="D8" s="15"/>
      <c r="E8" s="3"/>
      <c r="F8" s="11">
        <f>SUM(F20,F31,F42,F54,F65,F76,F87)</f>
        <v>456056.55045621062</v>
      </c>
      <c r="G8" s="35">
        <f>SUMIF($H$5:$DC$5,"&lt;="&amp;PAL,$H8:$DC8)</f>
        <v>720000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120000</v>
      </c>
      <c r="S8" s="11">
        <f t="shared" si="5"/>
        <v>240000</v>
      </c>
      <c r="T8" s="11">
        <f t="shared" si="5"/>
        <v>120000</v>
      </c>
      <c r="U8" s="11">
        <f t="shared" si="5"/>
        <v>240000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4</v>
      </c>
    </row>
    <row r="9" spans="1:112" ht="14.4">
      <c r="B9" s="36" t="s">
        <v>20</v>
      </c>
      <c r="C9" s="160" t="s">
        <v>4</v>
      </c>
      <c r="D9" s="7"/>
      <c r="E9" s="7"/>
      <c r="F9" s="8">
        <f>F10+F44+F78-F8</f>
        <v>11895405.760816537</v>
      </c>
      <c r="G9" s="35">
        <f>SUMIF($H$5:$DC$5,"&lt;="&amp;PAL,$H9:$DC9)</f>
        <v>12755140.4630432</v>
      </c>
      <c r="H9" s="8">
        <f t="shared" ref="H9:AM9" si="7">H10+H44+H78-H8</f>
        <v>1730000</v>
      </c>
      <c r="I9" s="8">
        <f t="shared" si="7"/>
        <v>3387980.7675319999</v>
      </c>
      <c r="J9" s="8">
        <f t="shared" si="7"/>
        <v>3391930.2703541331</v>
      </c>
      <c r="K9" s="8">
        <f t="shared" si="7"/>
        <v>4210729.4251570664</v>
      </c>
      <c r="L9" s="8">
        <f t="shared" si="7"/>
        <v>5000</v>
      </c>
      <c r="M9" s="8">
        <f t="shared" si="7"/>
        <v>25000</v>
      </c>
      <c r="N9" s="8">
        <f t="shared" si="7"/>
        <v>4500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7</v>
      </c>
    </row>
    <row r="10" spans="1:112" ht="14.4">
      <c r="B10" s="37" t="s">
        <v>21</v>
      </c>
      <c r="C10" s="161" t="s">
        <v>432</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433</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14.4" hidden="1">
      <c r="A12" s="124"/>
      <c r="B12" s="5" t="str">
        <f>$B$11&amp;"1."</f>
        <v>D.1.1.</v>
      </c>
      <c r="C12" s="164"/>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hidden="1">
      <c r="A13" s="124"/>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hidden="1">
      <c r="A14" s="124"/>
      <c r="B14" s="5" t="str">
        <f>$B$11&amp;"3."</f>
        <v>D.1.3.</v>
      </c>
      <c r="C14" s="164" t="s">
        <v>42</v>
      </c>
      <c r="D14" s="24"/>
      <c r="E14" s="192">
        <v>0.21</v>
      </c>
      <c r="F14" s="35">
        <f>H14+NPV(FD,I14:INDEX(I14:DC14,PAL))</f>
        <v>0</v>
      </c>
      <c r="G14" s="35">
        <f>SUMIF($H$5:$DC$5,"&lt;="&amp;PAL,$H14:$DC14)</f>
        <v>0</v>
      </c>
      <c r="H14" s="170">
        <v>0</v>
      </c>
      <c r="I14" s="170">
        <v>0</v>
      </c>
      <c r="J14" s="170">
        <v>0</v>
      </c>
      <c r="K14" s="170">
        <v>0</v>
      </c>
      <c r="L14" s="170">
        <v>0</v>
      </c>
      <c r="M14" s="170">
        <v>0</v>
      </c>
      <c r="N14" s="170">
        <v>0</v>
      </c>
      <c r="O14" s="170">
        <v>0</v>
      </c>
      <c r="P14" s="170">
        <v>0</v>
      </c>
      <c r="Q14" s="170">
        <v>0</v>
      </c>
      <c r="R14" s="170">
        <v>0</v>
      </c>
      <c r="S14" s="170">
        <v>0</v>
      </c>
      <c r="T14" s="170">
        <v>0</v>
      </c>
      <c r="U14" s="170">
        <v>0</v>
      </c>
      <c r="V14" s="170">
        <v>0</v>
      </c>
      <c r="W14" s="170">
        <v>0</v>
      </c>
      <c r="X14" s="170">
        <v>0</v>
      </c>
      <c r="Y14" s="170">
        <v>0</v>
      </c>
      <c r="Z14" s="170">
        <v>0</v>
      </c>
      <c r="AA14" s="170">
        <v>0</v>
      </c>
      <c r="AB14" s="170">
        <v>0</v>
      </c>
      <c r="AC14" s="170">
        <v>0</v>
      </c>
      <c r="AD14" s="170">
        <v>0</v>
      </c>
      <c r="AE14" s="170">
        <v>0</v>
      </c>
      <c r="AF14" s="170">
        <v>0</v>
      </c>
      <c r="AG14" s="170">
        <v>0</v>
      </c>
      <c r="AH14" s="170">
        <v>0</v>
      </c>
      <c r="AI14" s="170">
        <v>0</v>
      </c>
      <c r="AJ14" s="170">
        <v>0</v>
      </c>
      <c r="AK14" s="170">
        <v>0</v>
      </c>
      <c r="AL14" s="170">
        <v>0</v>
      </c>
      <c r="AM14" s="170">
        <v>0</v>
      </c>
      <c r="AN14" s="170">
        <v>0</v>
      </c>
      <c r="AO14" s="170">
        <v>0</v>
      </c>
      <c r="AP14" s="170">
        <v>0</v>
      </c>
      <c r="AQ14" s="170">
        <v>0</v>
      </c>
      <c r="AR14" s="170">
        <v>0</v>
      </c>
      <c r="AS14" s="170">
        <v>0</v>
      </c>
      <c r="AT14" s="170">
        <v>0</v>
      </c>
      <c r="AU14" s="170">
        <v>0</v>
      </c>
      <c r="AV14" s="170">
        <v>0</v>
      </c>
      <c r="AW14" s="170">
        <v>0</v>
      </c>
      <c r="AX14" s="170">
        <v>0</v>
      </c>
      <c r="AY14" s="170">
        <v>0</v>
      </c>
      <c r="AZ14" s="170">
        <v>0</v>
      </c>
      <c r="BA14" s="170">
        <v>0</v>
      </c>
      <c r="BB14" s="170">
        <v>0</v>
      </c>
      <c r="BC14" s="170">
        <v>0</v>
      </c>
      <c r="BD14" s="170">
        <v>0</v>
      </c>
      <c r="BE14" s="170">
        <v>0</v>
      </c>
      <c r="BF14" s="170">
        <v>0</v>
      </c>
      <c r="BG14" s="170">
        <v>0</v>
      </c>
      <c r="BH14" s="170">
        <v>0</v>
      </c>
      <c r="BI14" s="170">
        <v>0</v>
      </c>
      <c r="BJ14" s="170">
        <v>0</v>
      </c>
      <c r="BK14" s="170">
        <v>0</v>
      </c>
      <c r="BL14" s="170">
        <v>0</v>
      </c>
      <c r="BM14" s="170">
        <v>0</v>
      </c>
      <c r="BN14" s="170">
        <v>0</v>
      </c>
      <c r="BO14" s="170">
        <v>0</v>
      </c>
      <c r="BP14" s="170">
        <v>0</v>
      </c>
      <c r="BQ14" s="170">
        <v>0</v>
      </c>
      <c r="BR14" s="170">
        <v>0</v>
      </c>
      <c r="BS14" s="170">
        <v>0</v>
      </c>
      <c r="BT14" s="170">
        <v>0</v>
      </c>
      <c r="BU14" s="170">
        <v>0</v>
      </c>
      <c r="BV14" s="170">
        <v>0</v>
      </c>
      <c r="BW14" s="170">
        <v>0</v>
      </c>
      <c r="BX14" s="170">
        <v>0</v>
      </c>
      <c r="BY14" s="170">
        <v>0</v>
      </c>
      <c r="BZ14" s="170">
        <v>0</v>
      </c>
      <c r="CA14" s="170">
        <v>0</v>
      </c>
      <c r="CB14" s="170">
        <v>0</v>
      </c>
      <c r="CC14" s="170">
        <v>0</v>
      </c>
      <c r="CD14" s="170">
        <v>0</v>
      </c>
      <c r="CE14" s="170">
        <v>0</v>
      </c>
      <c r="CF14" s="170">
        <v>0</v>
      </c>
      <c r="CG14" s="170">
        <v>0</v>
      </c>
      <c r="CH14" s="170">
        <v>0</v>
      </c>
      <c r="CI14" s="170">
        <v>0</v>
      </c>
      <c r="CJ14" s="170">
        <v>0</v>
      </c>
      <c r="CK14" s="170">
        <v>0</v>
      </c>
      <c r="CL14" s="170">
        <v>0</v>
      </c>
      <c r="CM14" s="170">
        <v>0</v>
      </c>
      <c r="CN14" s="170">
        <v>0</v>
      </c>
      <c r="CO14" s="170">
        <v>0</v>
      </c>
      <c r="CP14" s="170">
        <v>0</v>
      </c>
      <c r="CQ14" s="170">
        <v>0</v>
      </c>
      <c r="CR14" s="170">
        <v>0</v>
      </c>
      <c r="CS14" s="170">
        <v>0</v>
      </c>
      <c r="CT14" s="170">
        <v>0</v>
      </c>
      <c r="CU14" s="170">
        <v>0</v>
      </c>
      <c r="CV14" s="170">
        <v>0</v>
      </c>
      <c r="CW14" s="170">
        <v>0</v>
      </c>
      <c r="CX14" s="170">
        <v>0</v>
      </c>
      <c r="CY14" s="170">
        <v>0</v>
      </c>
      <c r="CZ14" s="170">
        <v>0</v>
      </c>
      <c r="DA14" s="170">
        <v>0</v>
      </c>
      <c r="DB14" s="170">
        <v>0</v>
      </c>
      <c r="DC14" s="170">
        <v>0</v>
      </c>
      <c r="DE14" s="46">
        <f t="shared" si="15"/>
        <v>0</v>
      </c>
      <c r="DF14" s="46">
        <f t="shared" si="16"/>
        <v>0</v>
      </c>
      <c r="DG14">
        <f t="shared" si="14"/>
        <v>21</v>
      </c>
      <c r="DH14">
        <v>0</v>
      </c>
    </row>
    <row r="15" spans="1:112" ht="14.4" hidden="1">
      <c r="A15" s="124"/>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hidden="1">
      <c r="A16" s="124"/>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hidden="1">
      <c r="A17" s="124"/>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hidden="1">
      <c r="A18" s="124"/>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hidden="1">
      <c r="A19" s="124"/>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hidden="1">
      <c r="A20" s="124"/>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hidden="1">
      <c r="A21" s="124"/>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6">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c r="B22" s="5" t="s">
        <v>22</v>
      </c>
      <c r="C22" s="15" t="s">
        <v>434</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hidden="1">
      <c r="A23" s="124"/>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hidden="1">
      <c r="A24" s="124"/>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hidden="1">
      <c r="A25" s="124"/>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hidden="1">
      <c r="A26" s="124"/>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hidden="1">
      <c r="A27" s="124"/>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hidden="1">
      <c r="A28" s="124"/>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hidden="1">
      <c r="A29" s="124"/>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hidden="1">
      <c r="A30" s="124"/>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hidden="1">
      <c r="A31" s="124"/>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hidden="1">
      <c r="A32" s="124"/>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6">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hidden="1">
      <c r="A34" s="124"/>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hidden="1">
      <c r="A35" s="124"/>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hidden="1">
      <c r="A36" s="124"/>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hidden="1">
      <c r="A37" s="124"/>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hidden="1">
      <c r="A38" s="124"/>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hidden="1">
      <c r="A39" s="124"/>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hidden="1">
      <c r="A40" s="124"/>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hidden="1">
      <c r="A41" s="124"/>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hidden="1">
      <c r="A42" s="124"/>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hidden="1">
      <c r="A43" s="124"/>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6">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c r="B44" s="37" t="s">
        <v>24</v>
      </c>
      <c r="C44" s="161" t="s">
        <v>435</v>
      </c>
      <c r="D44" s="3"/>
      <c r="E44" s="3"/>
      <c r="F44" s="11">
        <f>F45+F56+F67</f>
        <v>12351462.311272748</v>
      </c>
      <c r="G44" s="35">
        <f>SUMIF($H$5:$DC$5,"&lt;="&amp;PAL,$H44:$DC44)</f>
        <v>13475140.4630432</v>
      </c>
      <c r="H44" s="11">
        <f>H45+H56+H67</f>
        <v>1730000</v>
      </c>
      <c r="I44" s="11">
        <f t="shared" ref="I44:BT44" si="25">I45+I56+I67</f>
        <v>3387980.7675319999</v>
      </c>
      <c r="J44" s="11">
        <f t="shared" si="25"/>
        <v>3391930.2703541331</v>
      </c>
      <c r="K44" s="11">
        <f t="shared" si="25"/>
        <v>4210729.4251570664</v>
      </c>
      <c r="L44" s="11">
        <f t="shared" si="25"/>
        <v>5000</v>
      </c>
      <c r="M44" s="11">
        <f t="shared" si="25"/>
        <v>25000</v>
      </c>
      <c r="N44" s="11">
        <f t="shared" si="25"/>
        <v>4500</v>
      </c>
      <c r="O44" s="11">
        <f t="shared" si="25"/>
        <v>0</v>
      </c>
      <c r="P44" s="11">
        <f t="shared" si="25"/>
        <v>0</v>
      </c>
      <c r="Q44" s="11">
        <f t="shared" si="25"/>
        <v>0</v>
      </c>
      <c r="R44" s="11">
        <f t="shared" si="25"/>
        <v>120000</v>
      </c>
      <c r="S44" s="11">
        <f t="shared" si="25"/>
        <v>240000</v>
      </c>
      <c r="T44" s="11">
        <f t="shared" si="25"/>
        <v>120000</v>
      </c>
      <c r="U44" s="11">
        <f t="shared" si="25"/>
        <v>240000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11</v>
      </c>
    </row>
    <row r="45" spans="1:112" ht="14.4">
      <c r="A45" s="124"/>
      <c r="B45" s="37" t="s">
        <v>35</v>
      </c>
      <c r="C45" s="15" t="s">
        <v>2</v>
      </c>
      <c r="D45" s="3"/>
      <c r="E45" s="3"/>
      <c r="F45" s="11">
        <f>SUM(F46:F53)+F54</f>
        <v>9562412.0921039116</v>
      </c>
      <c r="G45" s="35">
        <f>SUMIF($H$5:$DC$5,"&lt;="&amp;PAL,$H45:$DC45)</f>
        <v>10415000</v>
      </c>
      <c r="H45" s="11">
        <f>SUM(H46:H53)+H54</f>
        <v>1730000</v>
      </c>
      <c r="I45" s="11">
        <f t="shared" ref="I45:BT45" si="27">SUM(I46:I53)+I54</f>
        <v>3170500</v>
      </c>
      <c r="J45" s="11">
        <f t="shared" si="27"/>
        <v>1842100</v>
      </c>
      <c r="K45" s="11">
        <f t="shared" si="27"/>
        <v>2952399.9999999995</v>
      </c>
      <c r="L45" s="11">
        <f t="shared" si="27"/>
        <v>0</v>
      </c>
      <c r="M45" s="11">
        <f t="shared" si="27"/>
        <v>0</v>
      </c>
      <c r="N45" s="11">
        <f t="shared" si="27"/>
        <v>0</v>
      </c>
      <c r="O45" s="11">
        <f t="shared" si="27"/>
        <v>0</v>
      </c>
      <c r="P45" s="11">
        <f t="shared" si="27"/>
        <v>0</v>
      </c>
      <c r="Q45" s="11">
        <f t="shared" si="27"/>
        <v>0</v>
      </c>
      <c r="R45" s="11">
        <f t="shared" si="27"/>
        <v>120000</v>
      </c>
      <c r="S45" s="11">
        <f t="shared" si="27"/>
        <v>240000</v>
      </c>
      <c r="T45" s="11">
        <f t="shared" si="27"/>
        <v>120000</v>
      </c>
      <c r="U45" s="11">
        <f t="shared" si="27"/>
        <v>240000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8</v>
      </c>
    </row>
    <row r="46" spans="1:112" ht="14.4">
      <c r="A46" s="124"/>
      <c r="B46" s="5" t="str">
        <f>$B$45&amp;"1."</f>
        <v>E.1.1.</v>
      </c>
      <c r="C46" s="164" t="s">
        <v>628</v>
      </c>
      <c r="D46" s="6"/>
      <c r="E46" s="192">
        <v>0</v>
      </c>
      <c r="F46" s="35">
        <f>H46+NPV(FD,I46:INDEX(I46:DC46,PAL))</f>
        <v>1730000</v>
      </c>
      <c r="G46" s="35">
        <f>SUMIF($H$5:$DC$5,"&lt;="&amp;PAL,$H46:$DC46)</f>
        <v>1730000</v>
      </c>
      <c r="H46" s="38">
        <f>+Prielaidos!AJ171*1000</f>
        <v>1730000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1</v>
      </c>
      <c r="DG46">
        <f t="shared" ref="DG46:DG55" si="29">IF(ISNUMBER(E46),E46*100,0)</f>
        <v>0</v>
      </c>
      <c r="DH46">
        <v>0</v>
      </c>
    </row>
    <row r="47" spans="1:112" ht="14.4">
      <c r="A47" s="124"/>
      <c r="B47" s="5" t="str">
        <f>$B$45&amp;"2."</f>
        <v>E.1.2.</v>
      </c>
      <c r="C47" s="164" t="s">
        <v>790</v>
      </c>
      <c r="D47" s="6"/>
      <c r="E47" s="192">
        <v>0</v>
      </c>
      <c r="F47" s="35">
        <f>H47+NPV(FD,I47:INDEX(I47:DC47,PAL))</f>
        <v>6820839.4970414191</v>
      </c>
      <c r="G47" s="35">
        <f>SUMIF($H$5:$DC$5,"&lt;="&amp;PAL,$H47:$DC47)</f>
        <v>7365000</v>
      </c>
      <c r="H47" s="38">
        <v>0</v>
      </c>
      <c r="I47" s="38">
        <f>(Prielaidos!AJ123+Prielaidos!AJ56)*1000</f>
        <v>3120500</v>
      </c>
      <c r="J47" s="38">
        <f>Prielaidos!AJ73*1000</f>
        <v>1322100</v>
      </c>
      <c r="K47" s="38">
        <f>+(Prielaidos!AJ139+Prielaidos!AJ155)*1000</f>
        <v>2922399.9999999995</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3</v>
      </c>
      <c r="DG47">
        <f t="shared" si="29"/>
        <v>0</v>
      </c>
      <c r="DH47">
        <v>0</v>
      </c>
    </row>
    <row r="48" spans="1:112" ht="28.8">
      <c r="A48" s="124"/>
      <c r="B48" s="5" t="str">
        <f>$B$45&amp;"3."</f>
        <v>E.1.3.</v>
      </c>
      <c r="C48" s="164" t="s">
        <v>633</v>
      </c>
      <c r="D48" s="6"/>
      <c r="E48" s="192">
        <v>0</v>
      </c>
      <c r="F48" s="35">
        <f>H48+NPV(FD,I48:INDEX(I48:DC48,PAL))</f>
        <v>555516.04460628121</v>
      </c>
      <c r="G48" s="35">
        <f>SUMIF($H$5:$DC$5,"&lt;="&amp;PAL,$H48:$DC48)</f>
        <v>600000</v>
      </c>
      <c r="H48" s="38">
        <v>0</v>
      </c>
      <c r="I48" s="38">
        <f>+Prielaidos!F9</f>
        <v>50000</v>
      </c>
      <c r="J48" s="38">
        <f>+Prielaidos!G9</f>
        <v>520000</v>
      </c>
      <c r="K48" s="38">
        <f>+Prielaidos!H9</f>
        <v>30000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3</v>
      </c>
      <c r="DG48">
        <f t="shared" si="29"/>
        <v>0</v>
      </c>
      <c r="DH48">
        <v>0</v>
      </c>
    </row>
    <row r="49" spans="1:112" ht="14.4">
      <c r="A49" s="124"/>
      <c r="B49" s="5" t="str">
        <f>$B$45&amp;"4."</f>
        <v>E.1.4.</v>
      </c>
      <c r="C49" s="164"/>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c r="B50" s="5" t="str">
        <f>$B$45&amp;"5."</f>
        <v>E.1.5.</v>
      </c>
      <c r="C50" s="164"/>
      <c r="D50" s="6"/>
      <c r="E50" s="192">
        <v>0</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0</v>
      </c>
      <c r="DH50">
        <v>0</v>
      </c>
    </row>
    <row r="51" spans="1:112" ht="14.4">
      <c r="A51" s="124"/>
      <c r="B51" s="5" t="str">
        <f>$B$45&amp;"6."</f>
        <v>E.1.6.</v>
      </c>
      <c r="C51" s="164"/>
      <c r="D51" s="6"/>
      <c r="E51" s="192">
        <v>0</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0</v>
      </c>
      <c r="DH51">
        <v>0</v>
      </c>
    </row>
    <row r="52" spans="1:112" ht="14.4">
      <c r="A52" s="124"/>
      <c r="B52" s="5" t="str">
        <f>$B$45&amp;"7."</f>
        <v>E.1.7.</v>
      </c>
      <c r="C52" s="164"/>
      <c r="D52" s="6"/>
      <c r="E52" s="192">
        <v>0</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COUNTBLANK(H52:DC52)</f>
        <v>0</v>
      </c>
      <c r="DF52" s="46">
        <f>COUNTIF($H52:$DC52,"&lt;&gt;0")</f>
        <v>0</v>
      </c>
      <c r="DG52">
        <f t="shared" si="29"/>
        <v>0</v>
      </c>
      <c r="DH52">
        <v>0</v>
      </c>
    </row>
    <row r="53" spans="1:112" ht="14.4">
      <c r="A53" s="124"/>
      <c r="B53" s="5" t="str">
        <f>$B$45&amp;"8."</f>
        <v>E.1.8.</v>
      </c>
      <c r="C53" s="164"/>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c r="B54" s="5" t="str">
        <f>$B$45&amp;"9."</f>
        <v>E.1.9.</v>
      </c>
      <c r="C54" s="17" t="s">
        <v>155</v>
      </c>
      <c r="D54" s="5"/>
      <c r="E54" s="192">
        <v>0.21</v>
      </c>
      <c r="F54" s="35">
        <f>H54+NPV(FD,I54:INDEX(I54:DC54,PAL))</f>
        <v>456056.55045621062</v>
      </c>
      <c r="G54" s="35">
        <f>SUMIF($H$5:$DC$5,"&lt;="&amp;PAL,$H54:$DC54)</f>
        <v>720000</v>
      </c>
      <c r="H54" s="165">
        <v>0</v>
      </c>
      <c r="I54" s="165">
        <v>0</v>
      </c>
      <c r="J54" s="165">
        <v>0</v>
      </c>
      <c r="K54" s="165">
        <v>0</v>
      </c>
      <c r="L54" s="165">
        <v>0</v>
      </c>
      <c r="M54" s="165">
        <v>0</v>
      </c>
      <c r="N54" s="165">
        <v>0</v>
      </c>
      <c r="O54" s="165">
        <v>0</v>
      </c>
      <c r="P54" s="165">
        <v>0</v>
      </c>
      <c r="Q54" s="166">
        <v>0</v>
      </c>
      <c r="R54" s="166">
        <f>+Prielaidos!$C$161*2</f>
        <v>120000</v>
      </c>
      <c r="S54" s="166">
        <f>+Prielaidos!$C$161*4</f>
        <v>240000</v>
      </c>
      <c r="T54" s="166">
        <f>+Prielaidos!$C$161*2</f>
        <v>120000</v>
      </c>
      <c r="U54" s="166">
        <f>+Prielaidos!$C$161*4</f>
        <v>240000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4</v>
      </c>
      <c r="DG54">
        <f t="shared" si="29"/>
        <v>21</v>
      </c>
      <c r="DH54">
        <v>0</v>
      </c>
    </row>
    <row r="55" spans="1:112" ht="14.4">
      <c r="A55" s="124"/>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6">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c r="B56" s="37" t="s">
        <v>36</v>
      </c>
      <c r="C56" s="15" t="s">
        <v>0</v>
      </c>
      <c r="D56" s="3"/>
      <c r="E56" s="3"/>
      <c r="F56" s="11">
        <f>SUM(F57:F64)+F65</f>
        <v>29267.18041748699</v>
      </c>
      <c r="G56" s="35">
        <f>SUMIF($H$5:$DC$5,"&lt;="&amp;PAL,$H56:$DC56)</f>
        <v>35000</v>
      </c>
      <c r="H56" s="11">
        <f>SUM(H57:H64)+H65</f>
        <v>0</v>
      </c>
      <c r="I56" s="11">
        <f t="shared" ref="I56:BT56" si="31">SUM(I57:I64)+I65</f>
        <v>0</v>
      </c>
      <c r="J56" s="11">
        <f t="shared" si="31"/>
        <v>0</v>
      </c>
      <c r="K56" s="11">
        <f t="shared" si="31"/>
        <v>5000</v>
      </c>
      <c r="L56" s="11">
        <f t="shared" si="31"/>
        <v>5000</v>
      </c>
      <c r="M56" s="11">
        <f t="shared" si="31"/>
        <v>25000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3</v>
      </c>
    </row>
    <row r="57" spans="1:112" ht="28.8">
      <c r="A57" s="124"/>
      <c r="B57" s="5" t="str">
        <f>$B$56&amp;"1."</f>
        <v>E.2.1.</v>
      </c>
      <c r="C57" s="164" t="s">
        <v>809</v>
      </c>
      <c r="D57" s="6"/>
      <c r="E57" s="192">
        <v>0.21</v>
      </c>
      <c r="F57" s="35">
        <f>H57+NPV(FD,I57:INDEX(I57:DC57,PAL))</f>
        <v>29267.18041748699</v>
      </c>
      <c r="G57" s="35">
        <f>SUMIF($H$5:$DC$5,"&lt;="&amp;PAL,$H57:$DC57)</f>
        <v>35000</v>
      </c>
      <c r="H57" s="38">
        <v>0</v>
      </c>
      <c r="I57" s="38">
        <v>0</v>
      </c>
      <c r="J57" s="38">
        <v>0</v>
      </c>
      <c r="K57" s="38">
        <f>+Prielaidos!F12</f>
        <v>5000</v>
      </c>
      <c r="L57" s="38">
        <f>+Prielaidos!G12</f>
        <v>5000</v>
      </c>
      <c r="M57" s="38">
        <f>+Prielaidos!H12</f>
        <v>25000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3</v>
      </c>
      <c r="DG57">
        <f t="shared" ref="DG57:DG66" si="33">IF(ISNUMBER(E57),E57*100,0)</f>
        <v>21</v>
      </c>
      <c r="DH57">
        <v>0</v>
      </c>
    </row>
    <row r="58" spans="1:112" ht="14.4">
      <c r="A58" s="124"/>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6">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c r="B67" s="5" t="s">
        <v>37</v>
      </c>
      <c r="C67" s="15" t="s">
        <v>208</v>
      </c>
      <c r="D67" s="3"/>
      <c r="E67" s="3"/>
      <c r="F67" s="11">
        <f>SUM(F68:F75)+F76</f>
        <v>2759783.0387513479</v>
      </c>
      <c r="G67" s="35">
        <f>SUMIF($H$5:$DC$5,"&lt;="&amp;PAL,$H67:$DC67)</f>
        <v>3025140.4630431999</v>
      </c>
      <c r="H67" s="11">
        <f>SUM(H68:H75)+H76</f>
        <v>0</v>
      </c>
      <c r="I67" s="11">
        <f t="shared" ref="I67:BT67" si="35">SUM(I68:I75)+I76</f>
        <v>217480.76753200003</v>
      </c>
      <c r="J67" s="11">
        <f t="shared" si="35"/>
        <v>1549830.2703541333</v>
      </c>
      <c r="K67" s="11">
        <f t="shared" si="35"/>
        <v>1253329.4251570667</v>
      </c>
      <c r="L67" s="11">
        <f t="shared" si="35"/>
        <v>0</v>
      </c>
      <c r="M67" s="11">
        <f t="shared" si="35"/>
        <v>0</v>
      </c>
      <c r="N67" s="11">
        <f t="shared" si="35"/>
        <v>4500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4</v>
      </c>
    </row>
    <row r="68" spans="1:112" ht="14.4">
      <c r="A68" s="124"/>
      <c r="B68" s="5" t="str">
        <f>$B$67&amp;"1."</f>
        <v>E.3.1.</v>
      </c>
      <c r="C68" s="164" t="s">
        <v>626</v>
      </c>
      <c r="D68" s="6"/>
      <c r="E68" s="192">
        <v>0</v>
      </c>
      <c r="F68" s="35">
        <f>H68+NPV(FD,I68:INDEX(I68:DC68,PAL))</f>
        <v>2040549.0925728057</v>
      </c>
      <c r="G68" s="35">
        <f>SUMIF($H$5:$DC$5,"&lt;="&amp;PAL,$H68:$DC68)</f>
        <v>2229976.3974496</v>
      </c>
      <c r="H68" s="38">
        <f>+Prielaidos!AF30</f>
        <v>0</v>
      </c>
      <c r="I68" s="38">
        <f>+Prielaidos!AG30</f>
        <v>217480.76753200003</v>
      </c>
      <c r="J68" s="38">
        <f>+Prielaidos!AH30+Prielaidos!T229</f>
        <v>1190434.6596901333</v>
      </c>
      <c r="K68" s="38">
        <f>+Prielaidos!AI30+Prielaidos!U230</f>
        <v>822060.97022746666</v>
      </c>
      <c r="L68" s="38">
        <f>+Prielaidos!AJ30</f>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3</v>
      </c>
      <c r="DG68">
        <f t="shared" ref="DG68:DG77" si="37">IF(ISNUMBER(E68),E68*100,0)</f>
        <v>0</v>
      </c>
      <c r="DH68">
        <v>0</v>
      </c>
    </row>
    <row r="69" spans="1:112" ht="14.4">
      <c r="A69" s="124"/>
      <c r="B69" s="5" t="str">
        <f>$B$67&amp;"2."</f>
        <v>E.3.2.</v>
      </c>
      <c r="C69" s="164" t="s">
        <v>624</v>
      </c>
      <c r="D69" s="6"/>
      <c r="E69" s="192">
        <v>0</v>
      </c>
      <c r="F69" s="35">
        <f>H69+NPV(FD,I69:INDEX(I69:DC69,PAL))</f>
        <v>693185.92293838179</v>
      </c>
      <c r="G69" s="35">
        <f>SUMIF($H$5:$DC$5,"&lt;="&amp;PAL,$H69:$DC69)</f>
        <v>766164.06559360004</v>
      </c>
      <c r="H69" s="38">
        <f>+Prielaidos!AF41</f>
        <v>0</v>
      </c>
      <c r="I69" s="38">
        <f>+Prielaidos!AG41</f>
        <v>0</v>
      </c>
      <c r="J69" s="38">
        <f>+Prielaidos!AH41</f>
        <v>339395.61066400004</v>
      </c>
      <c r="K69" s="38">
        <f>+Prielaidos!AI41</f>
        <v>426768.4549296</v>
      </c>
      <c r="L69" s="38">
        <f>+Prielaidos!AJ41</f>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2</v>
      </c>
      <c r="DG69">
        <f t="shared" si="37"/>
        <v>0</v>
      </c>
      <c r="DH69">
        <v>0</v>
      </c>
    </row>
    <row r="70" spans="1:112" ht="28.8">
      <c r="A70" s="124"/>
      <c r="B70" s="5" t="str">
        <f>$B$67&amp;"3."</f>
        <v>E.3.3.</v>
      </c>
      <c r="C70" s="164" t="s">
        <v>811</v>
      </c>
      <c r="D70" s="6"/>
      <c r="E70" s="192">
        <v>0</v>
      </c>
      <c r="F70" s="35">
        <f>H70+NPV(FD,I70:INDEX(I70:DC70,PAL))</f>
        <v>18491.124260355027</v>
      </c>
      <c r="G70" s="35">
        <f>SUMIF($H$5:$DC$5,"&lt;="&amp;PAL,$H70:$DC70)</f>
        <v>20000</v>
      </c>
      <c r="H70" s="38">
        <v>0</v>
      </c>
      <c r="I70" s="38">
        <v>0</v>
      </c>
      <c r="J70" s="38">
        <f>+Prielaidos!E14</f>
        <v>20000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1</v>
      </c>
      <c r="DG70">
        <f t="shared" si="37"/>
        <v>0</v>
      </c>
      <c r="DH70">
        <v>0</v>
      </c>
    </row>
    <row r="71" spans="1:112" ht="14.4">
      <c r="A71" s="124"/>
      <c r="B71" s="5" t="str">
        <f>$B$67&amp;"4."</f>
        <v>E.3.4.</v>
      </c>
      <c r="C71" s="164" t="s">
        <v>810</v>
      </c>
      <c r="D71" s="6"/>
      <c r="E71" s="192">
        <v>0</v>
      </c>
      <c r="F71" s="35">
        <f>H71+NPV(FD,I71:INDEX(I71:DC71,PAL))</f>
        <v>7556.8989798047714</v>
      </c>
      <c r="G71" s="35">
        <f>SUMIF($H$5:$DC$5,"&lt;="&amp;PAL,$H71:$DC71)</f>
        <v>9000</v>
      </c>
      <c r="H71" s="38">
        <v>0</v>
      </c>
      <c r="I71" s="38">
        <v>0</v>
      </c>
      <c r="J71" s="38">
        <v>0</v>
      </c>
      <c r="K71" s="38">
        <f>+Prielaidos!H6*3*3</f>
        <v>4500</v>
      </c>
      <c r="L71" s="38">
        <v>0</v>
      </c>
      <c r="M71" s="38">
        <v>0</v>
      </c>
      <c r="N71" s="38">
        <f>+Prielaidos!H6*3*3</f>
        <v>4500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2</v>
      </c>
      <c r="DG71">
        <f t="shared" si="37"/>
        <v>0</v>
      </c>
      <c r="DH71">
        <v>0</v>
      </c>
    </row>
    <row r="72" spans="1:112" ht="14.4">
      <c r="A72" s="124"/>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6">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c r="B78" s="39" t="s">
        <v>25</v>
      </c>
      <c r="C78" s="162" t="s">
        <v>436</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hidden="1" customHeight="1">
      <c r="A79" s="124"/>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hidden="1" customHeight="1">
      <c r="A80" s="124"/>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hidden="1" customHeight="1">
      <c r="A81" s="124"/>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hidden="1" customHeight="1">
      <c r="A82" s="124"/>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hidden="1" customHeight="1">
      <c r="A83" s="124"/>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hidden="1" customHeight="1">
      <c r="A84" s="124"/>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hidden="1" customHeight="1">
      <c r="A85" s="124"/>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hidden="1" customHeight="1">
      <c r="A86" s="124"/>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hidden="1" customHeight="1">
      <c r="A87" s="124"/>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hidden="1" customHeight="1">
      <c r="A88" s="124"/>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8">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c r="B89" s="5" t="s">
        <v>26</v>
      </c>
      <c r="C89" s="15" t="s">
        <v>260</v>
      </c>
      <c r="E89" s="5"/>
      <c r="F89" s="11">
        <f>SUM(F90:F99)</f>
        <v>125516064.67257419</v>
      </c>
      <c r="G89" s="35">
        <f>SUMIF($H$5:$DC$5,"&lt;="&amp;PAL,$H89:$DC89)</f>
        <v>191716465.77715251</v>
      </c>
      <c r="H89" s="11">
        <f t="shared" ref="H89:BR89" si="44">SUM(H90:H99)</f>
        <v>0</v>
      </c>
      <c r="I89" s="11">
        <f t="shared" si="44"/>
        <v>1632000</v>
      </c>
      <c r="J89" s="11">
        <f t="shared" si="44"/>
        <v>4418628.6675319998</v>
      </c>
      <c r="K89" s="11">
        <f t="shared" si="44"/>
        <v>6903590.9378861338</v>
      </c>
      <c r="L89" s="11">
        <f t="shared" si="44"/>
        <v>10511720.3630432</v>
      </c>
      <c r="M89" s="11">
        <f t="shared" si="44"/>
        <v>10511720.3630432</v>
      </c>
      <c r="N89" s="11">
        <f t="shared" si="44"/>
        <v>10511720.3630432</v>
      </c>
      <c r="O89" s="11">
        <f t="shared" si="44"/>
        <v>10516220.3630432</v>
      </c>
      <c r="P89" s="11">
        <f t="shared" si="44"/>
        <v>10516220.3630432</v>
      </c>
      <c r="Q89" s="11">
        <f t="shared" si="44"/>
        <v>10516220.3630432</v>
      </c>
      <c r="R89" s="11">
        <f t="shared" si="44"/>
        <v>10516220.3630432</v>
      </c>
      <c r="S89" s="11">
        <f t="shared" si="44"/>
        <v>10516220.3630432</v>
      </c>
      <c r="T89" s="11">
        <f t="shared" si="44"/>
        <v>10516220.3630432</v>
      </c>
      <c r="U89" s="11">
        <f t="shared" si="44"/>
        <v>10516220.3630432</v>
      </c>
      <c r="V89" s="11">
        <f t="shared" si="44"/>
        <v>10516220.3630432</v>
      </c>
      <c r="W89" s="11">
        <f t="shared" si="44"/>
        <v>10516220.3630432</v>
      </c>
      <c r="X89" s="11">
        <f t="shared" si="44"/>
        <v>10516220.3630432</v>
      </c>
      <c r="Y89" s="11">
        <f t="shared" si="44"/>
        <v>10516220.3630432</v>
      </c>
      <c r="Z89" s="11">
        <f t="shared" si="44"/>
        <v>10516220.3630432</v>
      </c>
      <c r="AA89" s="11">
        <f t="shared" si="44"/>
        <v>10516220.3630432</v>
      </c>
      <c r="AB89" s="11">
        <f t="shared" si="44"/>
        <v>10516220.3630432</v>
      </c>
      <c r="AC89" s="11">
        <f t="shared" si="44"/>
        <v>2201603.0655936003</v>
      </c>
      <c r="AD89" s="11">
        <f t="shared" si="44"/>
        <v>2201603.0655936003</v>
      </c>
      <c r="AE89" s="11">
        <f t="shared" si="44"/>
        <v>2201603.0655936003</v>
      </c>
      <c r="AF89" s="11">
        <f t="shared" si="44"/>
        <v>2201603.0655936003</v>
      </c>
      <c r="AG89" s="11">
        <f t="shared" si="44"/>
        <v>2201603.0655936003</v>
      </c>
      <c r="AH89" s="11">
        <f t="shared" si="44"/>
        <v>2201603.0655936003</v>
      </c>
      <c r="AI89" s="11">
        <f t="shared" si="44"/>
        <v>2201603.0655936003</v>
      </c>
      <c r="AJ89" s="11">
        <f t="shared" si="44"/>
        <v>2201603.0655936003</v>
      </c>
      <c r="AK89" s="11">
        <f t="shared" si="44"/>
        <v>2201603.0655936003</v>
      </c>
      <c r="AL89" s="11">
        <f t="shared" si="44"/>
        <v>2201603.0655936003</v>
      </c>
      <c r="AM89" s="11">
        <f t="shared" si="44"/>
        <v>2201603.0655936003</v>
      </c>
      <c r="AN89" s="11">
        <f t="shared" si="44"/>
        <v>2201603.0655936003</v>
      </c>
      <c r="AO89" s="11">
        <f t="shared" si="44"/>
        <v>2201603.0655936003</v>
      </c>
      <c r="AP89" s="11">
        <f t="shared" si="44"/>
        <v>2201603.0655936003</v>
      </c>
      <c r="AQ89" s="11">
        <f t="shared" si="44"/>
        <v>2201603.0655936003</v>
      </c>
      <c r="AR89" s="11">
        <f t="shared" si="44"/>
        <v>2201603.0655936003</v>
      </c>
      <c r="AS89" s="11">
        <f t="shared" si="44"/>
        <v>2201603.0655936003</v>
      </c>
      <c r="AT89" s="11">
        <f t="shared" si="44"/>
        <v>2201603.0655936003</v>
      </c>
      <c r="AU89" s="11">
        <f t="shared" si="44"/>
        <v>2201603.0655936003</v>
      </c>
      <c r="AV89" s="11">
        <f t="shared" si="44"/>
        <v>2201603.0655936003</v>
      </c>
      <c r="AW89" s="11">
        <f t="shared" si="44"/>
        <v>2201603.0655936003</v>
      </c>
      <c r="AX89" s="11">
        <f t="shared" si="44"/>
        <v>2201603.0655936003</v>
      </c>
      <c r="AY89" s="11">
        <f t="shared" si="44"/>
        <v>2201603.0655936003</v>
      </c>
      <c r="AZ89" s="11">
        <f t="shared" si="44"/>
        <v>2201603.0655936003</v>
      </c>
      <c r="BA89" s="11">
        <f t="shared" si="44"/>
        <v>2201603.0655936003</v>
      </c>
      <c r="BB89" s="11">
        <f t="shared" si="44"/>
        <v>2201603.0655936003</v>
      </c>
      <c r="BC89" s="11">
        <f t="shared" si="44"/>
        <v>2201603.0655936003</v>
      </c>
      <c r="BD89" s="11">
        <f t="shared" si="44"/>
        <v>2201603.0655936003</v>
      </c>
      <c r="BE89" s="11">
        <f t="shared" si="44"/>
        <v>2201603.0655936003</v>
      </c>
      <c r="BF89" s="11">
        <f t="shared" si="44"/>
        <v>2201603.0655936003</v>
      </c>
      <c r="BG89" s="11">
        <f t="shared" si="44"/>
        <v>2201603.0655936003</v>
      </c>
      <c r="BH89" s="11">
        <f t="shared" si="44"/>
        <v>2201603.0655936003</v>
      </c>
      <c r="BI89" s="11">
        <f t="shared" si="44"/>
        <v>2201603.0655936003</v>
      </c>
      <c r="BJ89" s="11">
        <f t="shared" si="44"/>
        <v>2201603.0655936003</v>
      </c>
      <c r="BK89" s="11">
        <f t="shared" si="44"/>
        <v>2201603.0655936003</v>
      </c>
      <c r="BL89" s="11">
        <f t="shared" si="44"/>
        <v>2201603.0655936003</v>
      </c>
      <c r="BM89" s="11">
        <f t="shared" si="44"/>
        <v>2201603.0655936003</v>
      </c>
      <c r="BN89" s="11">
        <f t="shared" si="44"/>
        <v>2201603.0655936003</v>
      </c>
      <c r="BO89" s="11">
        <f t="shared" si="44"/>
        <v>2201603.0655936003</v>
      </c>
      <c r="BP89" s="11">
        <f t="shared" si="44"/>
        <v>2201603.0655936003</v>
      </c>
      <c r="BQ89" s="11">
        <f t="shared" si="44"/>
        <v>2201603.0655936003</v>
      </c>
      <c r="BR89" s="11">
        <f t="shared" si="44"/>
        <v>2201603.0655936003</v>
      </c>
      <c r="BS89" s="11">
        <f t="shared" ref="BS89:DC89" si="45">SUM(BS90:BS99)</f>
        <v>2201603.0655936003</v>
      </c>
      <c r="BT89" s="11">
        <f t="shared" si="45"/>
        <v>2201603.0655936003</v>
      </c>
      <c r="BU89" s="11">
        <f t="shared" si="45"/>
        <v>2201603.0655936003</v>
      </c>
      <c r="BV89" s="11">
        <f t="shared" si="45"/>
        <v>2201603.0655936003</v>
      </c>
      <c r="BW89" s="11">
        <f t="shared" si="45"/>
        <v>2201603.0655936003</v>
      </c>
      <c r="BX89" s="11">
        <f t="shared" si="45"/>
        <v>2201603.0655936003</v>
      </c>
      <c r="BY89" s="11">
        <f t="shared" si="45"/>
        <v>2201603.0655936003</v>
      </c>
      <c r="BZ89" s="11">
        <f t="shared" si="45"/>
        <v>2201603.0655936003</v>
      </c>
      <c r="CA89" s="11">
        <f t="shared" si="45"/>
        <v>2201603.0655936003</v>
      </c>
      <c r="CB89" s="11">
        <f t="shared" si="45"/>
        <v>2201603.0655936003</v>
      </c>
      <c r="CC89" s="11">
        <f t="shared" si="45"/>
        <v>2201603.0655936003</v>
      </c>
      <c r="CD89" s="11">
        <f t="shared" si="45"/>
        <v>2201603.0655936003</v>
      </c>
      <c r="CE89" s="11">
        <f t="shared" si="45"/>
        <v>2201603.0655936003</v>
      </c>
      <c r="CF89" s="11">
        <f t="shared" si="45"/>
        <v>2201603.0655936003</v>
      </c>
      <c r="CG89" s="11">
        <f t="shared" si="45"/>
        <v>2201603.0655936003</v>
      </c>
      <c r="CH89" s="11">
        <f t="shared" si="45"/>
        <v>2201603.0655936003</v>
      </c>
      <c r="CI89" s="11">
        <f t="shared" si="45"/>
        <v>2201603.0655936003</v>
      </c>
      <c r="CJ89" s="11">
        <f t="shared" si="45"/>
        <v>2201603.0655936003</v>
      </c>
      <c r="CK89" s="11">
        <f t="shared" si="45"/>
        <v>2201603.0655936003</v>
      </c>
      <c r="CL89" s="11">
        <f t="shared" si="45"/>
        <v>2201603.0655936003</v>
      </c>
      <c r="CM89" s="11">
        <f t="shared" si="45"/>
        <v>2201603.0655936003</v>
      </c>
      <c r="CN89" s="11">
        <f t="shared" si="45"/>
        <v>2201603.0655936003</v>
      </c>
      <c r="CO89" s="11">
        <f t="shared" si="45"/>
        <v>2201603.0655936003</v>
      </c>
      <c r="CP89" s="11">
        <f t="shared" si="45"/>
        <v>2201603.0655936003</v>
      </c>
      <c r="CQ89" s="11">
        <f t="shared" si="45"/>
        <v>2201603.0655936003</v>
      </c>
      <c r="CR89" s="11">
        <f t="shared" si="45"/>
        <v>2201603.0655936003</v>
      </c>
      <c r="CS89" s="11">
        <f t="shared" si="45"/>
        <v>2201603.0655936003</v>
      </c>
      <c r="CT89" s="11">
        <f t="shared" si="45"/>
        <v>2201603.0655936003</v>
      </c>
      <c r="CU89" s="11">
        <f t="shared" si="45"/>
        <v>2201603.0655936003</v>
      </c>
      <c r="CV89" s="11">
        <f t="shared" si="45"/>
        <v>2201603.0655936003</v>
      </c>
      <c r="CW89" s="11">
        <f t="shared" si="45"/>
        <v>2201603.0655936003</v>
      </c>
      <c r="CX89" s="11">
        <f t="shared" si="45"/>
        <v>2201603.0655936003</v>
      </c>
      <c r="CY89" s="11">
        <f t="shared" si="45"/>
        <v>2201603.0655936003</v>
      </c>
      <c r="CZ89" s="11">
        <f t="shared" si="45"/>
        <v>2201603.0655936003</v>
      </c>
      <c r="DA89" s="11">
        <f t="shared" si="45"/>
        <v>2201603.0655936003</v>
      </c>
      <c r="DB89" s="11">
        <f t="shared" si="45"/>
        <v>2201603.0655936003</v>
      </c>
      <c r="DC89" s="11">
        <f t="shared" si="45"/>
        <v>2201603.0655936003</v>
      </c>
      <c r="DF89" s="46">
        <f t="shared" si="39"/>
        <v>99</v>
      </c>
    </row>
    <row r="90" spans="1:112" ht="14.4">
      <c r="A90" s="124"/>
      <c r="B90" s="5" t="str">
        <f>$B$89&amp;"1."</f>
        <v>G.1.</v>
      </c>
      <c r="C90" s="164" t="s">
        <v>626</v>
      </c>
      <c r="D90" s="5"/>
      <c r="E90" s="193">
        <v>0</v>
      </c>
      <c r="F90" s="35">
        <f>H90+NPV(FD,I90:INDEX(I90:DC90,PAL))</f>
        <v>24145558.859936103</v>
      </c>
      <c r="G90" s="35">
        <f>SUMIF($H$5:$DC$5,"&lt;="&amp;PAL,$H90:$DC90)</f>
        <v>37346779.051397339</v>
      </c>
      <c r="H90" s="38">
        <v>0</v>
      </c>
      <c r="I90" s="38">
        <f>+Prielaidos!AG31</f>
        <v>0</v>
      </c>
      <c r="J90" s="38">
        <f>+Prielaidos!AH31</f>
        <v>186128.66753199999</v>
      </c>
      <c r="K90" s="38">
        <f>+Prielaidos!AI31+Prielaidos!V229</f>
        <v>1314156.3272221333</v>
      </c>
      <c r="L90" s="38">
        <f>+Prielaidos!$AJ31+Prielaidos!$Q$228</f>
        <v>2108617.2974496004</v>
      </c>
      <c r="M90" s="38">
        <f>+Prielaidos!$AJ31+Prielaidos!$Q$228</f>
        <v>2108617.2974496004</v>
      </c>
      <c r="N90" s="38">
        <f>+Prielaidos!$AJ31+Prielaidos!$Q$228</f>
        <v>2108617.2974496004</v>
      </c>
      <c r="O90" s="38">
        <f>+Prielaidos!$AJ31+Prielaidos!$Q$228</f>
        <v>2108617.2974496004</v>
      </c>
      <c r="P90" s="38">
        <f>+Prielaidos!$AJ31+Prielaidos!$Q$228</f>
        <v>2108617.2974496004</v>
      </c>
      <c r="Q90" s="38">
        <f>+Prielaidos!$AJ31+Prielaidos!$Q$228</f>
        <v>2108617.2974496004</v>
      </c>
      <c r="R90" s="38">
        <f>+Prielaidos!$AJ31+Prielaidos!$Q$228</f>
        <v>2108617.2974496004</v>
      </c>
      <c r="S90" s="38">
        <f>+Prielaidos!$AJ31+Prielaidos!$Q$228</f>
        <v>2108617.2974496004</v>
      </c>
      <c r="T90" s="38">
        <f>+Prielaidos!$AJ31+Prielaidos!$Q$228</f>
        <v>2108617.2974496004</v>
      </c>
      <c r="U90" s="38">
        <f>+Prielaidos!$AJ31+Prielaidos!$Q$228</f>
        <v>2108617.2974496004</v>
      </c>
      <c r="V90" s="38">
        <f>+Prielaidos!$AJ31+Prielaidos!$Q$228</f>
        <v>2108617.2974496004</v>
      </c>
      <c r="W90" s="38">
        <f>+Prielaidos!$AJ31+Prielaidos!$Q$228</f>
        <v>2108617.2974496004</v>
      </c>
      <c r="X90" s="38">
        <f>+Prielaidos!$AJ31+Prielaidos!$Q$228</f>
        <v>2108617.2974496004</v>
      </c>
      <c r="Y90" s="38">
        <f>+Prielaidos!$AJ31+Prielaidos!$Q$228</f>
        <v>2108617.2974496004</v>
      </c>
      <c r="Z90" s="38">
        <f>+Prielaidos!$AJ31+Prielaidos!$Q$228</f>
        <v>2108617.2974496004</v>
      </c>
      <c r="AA90" s="38">
        <f>+Prielaidos!$AJ31+Prielaidos!$Q$228</f>
        <v>2108617.2974496004</v>
      </c>
      <c r="AB90" s="38">
        <f>+Prielaidos!$AJ31+Prielaidos!$Q$228</f>
        <v>2108617.2974496004</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19</v>
      </c>
      <c r="DG90">
        <f t="shared" ref="DG90:DG110" si="47">IF(ISNUMBER(E90),E90*100,0)</f>
        <v>0</v>
      </c>
    </row>
    <row r="91" spans="1:112" ht="14.4">
      <c r="A91" s="124"/>
      <c r="B91" s="5" t="str">
        <f>$B$89&amp;"2."</f>
        <v>G.2.</v>
      </c>
      <c r="C91" s="164" t="s">
        <v>624</v>
      </c>
      <c r="D91" s="5"/>
      <c r="E91" s="193">
        <v>0</v>
      </c>
      <c r="F91" s="35">
        <f>H91+NPV(FD,I91:INDEX(I91:DC91,PAL))</f>
        <v>8183456.1680627093</v>
      </c>
      <c r="G91" s="35">
        <f>SUMIF($H$5:$DC$5,"&lt;="&amp;PAL,$H91:$DC91)</f>
        <v>12742086.725755204</v>
      </c>
      <c r="H91" s="38">
        <v>0</v>
      </c>
      <c r="I91" s="38">
        <f>+Prielaidos!AG42</f>
        <v>0</v>
      </c>
      <c r="J91" s="38">
        <f>+Prielaidos!AH42</f>
        <v>0</v>
      </c>
      <c r="K91" s="38">
        <f>+Prielaidos!AI42</f>
        <v>304834.61066400004</v>
      </c>
      <c r="L91" s="38">
        <f>+Prielaidos!$AJ$42</f>
        <v>731603.06559360004</v>
      </c>
      <c r="M91" s="38">
        <f>+Prielaidos!$AJ$42</f>
        <v>731603.06559360004</v>
      </c>
      <c r="N91" s="38">
        <f>+Prielaidos!$AJ$42</f>
        <v>731603.06559360004</v>
      </c>
      <c r="O91" s="38">
        <f>+Prielaidos!$AJ$42</f>
        <v>731603.06559360004</v>
      </c>
      <c r="P91" s="38">
        <f>+Prielaidos!$AJ$42</f>
        <v>731603.06559360004</v>
      </c>
      <c r="Q91" s="38">
        <f>+Prielaidos!$AJ$42</f>
        <v>731603.06559360004</v>
      </c>
      <c r="R91" s="38">
        <f>+Prielaidos!$AJ$42</f>
        <v>731603.06559360004</v>
      </c>
      <c r="S91" s="38">
        <f>+Prielaidos!$AJ$42</f>
        <v>731603.06559360004</v>
      </c>
      <c r="T91" s="38">
        <f>+Prielaidos!$AJ$42</f>
        <v>731603.06559360004</v>
      </c>
      <c r="U91" s="38">
        <f>+Prielaidos!$AJ$42</f>
        <v>731603.06559360004</v>
      </c>
      <c r="V91" s="38">
        <f>+Prielaidos!$AJ$42</f>
        <v>731603.06559360004</v>
      </c>
      <c r="W91" s="38">
        <f>+Prielaidos!$AJ$42</f>
        <v>731603.06559360004</v>
      </c>
      <c r="X91" s="38">
        <f>+Prielaidos!$AJ$42</f>
        <v>731603.06559360004</v>
      </c>
      <c r="Y91" s="38">
        <f>+Prielaidos!$AJ$42</f>
        <v>731603.06559360004</v>
      </c>
      <c r="Z91" s="38">
        <f>+Prielaidos!$AJ$42</f>
        <v>731603.06559360004</v>
      </c>
      <c r="AA91" s="38">
        <f>+Prielaidos!$AJ$42</f>
        <v>731603.06559360004</v>
      </c>
      <c r="AB91" s="38">
        <f>+Prielaidos!$AJ$42</f>
        <v>731603.06559360004</v>
      </c>
      <c r="AC91" s="38">
        <f>+Prielaidos!$AJ$42</f>
        <v>731603.06559360004</v>
      </c>
      <c r="AD91" s="38">
        <f>+Prielaidos!$AJ$42</f>
        <v>731603.06559360004</v>
      </c>
      <c r="AE91" s="38">
        <f>+Prielaidos!$AJ$42</f>
        <v>731603.06559360004</v>
      </c>
      <c r="AF91" s="38">
        <f>+Prielaidos!$AJ$42</f>
        <v>731603.06559360004</v>
      </c>
      <c r="AG91" s="38">
        <f>+Prielaidos!$AJ$42</f>
        <v>731603.06559360004</v>
      </c>
      <c r="AH91" s="38">
        <f>+Prielaidos!$AJ$42</f>
        <v>731603.06559360004</v>
      </c>
      <c r="AI91" s="38">
        <f>+Prielaidos!$AJ$42</f>
        <v>731603.06559360004</v>
      </c>
      <c r="AJ91" s="38">
        <f>+Prielaidos!$AJ$42</f>
        <v>731603.06559360004</v>
      </c>
      <c r="AK91" s="38">
        <f>+Prielaidos!$AJ$42</f>
        <v>731603.06559360004</v>
      </c>
      <c r="AL91" s="38">
        <f>+Prielaidos!$AJ$42</f>
        <v>731603.06559360004</v>
      </c>
      <c r="AM91" s="38">
        <f>+Prielaidos!$AJ$42</f>
        <v>731603.06559360004</v>
      </c>
      <c r="AN91" s="38">
        <f>+Prielaidos!$AJ$42</f>
        <v>731603.06559360004</v>
      </c>
      <c r="AO91" s="38">
        <f>+Prielaidos!$AJ$42</f>
        <v>731603.06559360004</v>
      </c>
      <c r="AP91" s="38">
        <f>+Prielaidos!$AJ$42</f>
        <v>731603.06559360004</v>
      </c>
      <c r="AQ91" s="38">
        <f>+Prielaidos!$AJ$42</f>
        <v>731603.06559360004</v>
      </c>
      <c r="AR91" s="38">
        <f>+Prielaidos!$AJ$42</f>
        <v>731603.06559360004</v>
      </c>
      <c r="AS91" s="38">
        <f>+Prielaidos!$AJ$42</f>
        <v>731603.06559360004</v>
      </c>
      <c r="AT91" s="38">
        <f>+Prielaidos!$AJ$42</f>
        <v>731603.06559360004</v>
      </c>
      <c r="AU91" s="38">
        <f>+Prielaidos!$AJ$42</f>
        <v>731603.06559360004</v>
      </c>
      <c r="AV91" s="38">
        <f>+Prielaidos!$AJ$42</f>
        <v>731603.06559360004</v>
      </c>
      <c r="AW91" s="38">
        <f>+Prielaidos!$AJ$42</f>
        <v>731603.06559360004</v>
      </c>
      <c r="AX91" s="38">
        <f>+Prielaidos!$AJ$42</f>
        <v>731603.06559360004</v>
      </c>
      <c r="AY91" s="38">
        <f>+Prielaidos!$AJ$42</f>
        <v>731603.06559360004</v>
      </c>
      <c r="AZ91" s="38">
        <f>+Prielaidos!$AJ$42</f>
        <v>731603.06559360004</v>
      </c>
      <c r="BA91" s="38">
        <f>+Prielaidos!$AJ$42</f>
        <v>731603.06559360004</v>
      </c>
      <c r="BB91" s="38">
        <f>+Prielaidos!$AJ$42</f>
        <v>731603.06559360004</v>
      </c>
      <c r="BC91" s="38">
        <f>+Prielaidos!$AJ$42</f>
        <v>731603.06559360004</v>
      </c>
      <c r="BD91" s="38">
        <f>+Prielaidos!$AJ$42</f>
        <v>731603.06559360004</v>
      </c>
      <c r="BE91" s="38">
        <f>+Prielaidos!$AJ$42</f>
        <v>731603.06559360004</v>
      </c>
      <c r="BF91" s="38">
        <f>+Prielaidos!$AJ$42</f>
        <v>731603.06559360004</v>
      </c>
      <c r="BG91" s="38">
        <f>+Prielaidos!$AJ$42</f>
        <v>731603.06559360004</v>
      </c>
      <c r="BH91" s="38">
        <f>+Prielaidos!$AJ$42</f>
        <v>731603.06559360004</v>
      </c>
      <c r="BI91" s="38">
        <f>+Prielaidos!$AJ$42</f>
        <v>731603.06559360004</v>
      </c>
      <c r="BJ91" s="38">
        <f>+Prielaidos!$AJ$42</f>
        <v>731603.06559360004</v>
      </c>
      <c r="BK91" s="38">
        <f>+Prielaidos!$AJ$42</f>
        <v>731603.06559360004</v>
      </c>
      <c r="BL91" s="38">
        <f>+Prielaidos!$AJ$42</f>
        <v>731603.06559360004</v>
      </c>
      <c r="BM91" s="38">
        <f>+Prielaidos!$AJ$42</f>
        <v>731603.06559360004</v>
      </c>
      <c r="BN91" s="38">
        <f>+Prielaidos!$AJ$42</f>
        <v>731603.06559360004</v>
      </c>
      <c r="BO91" s="38">
        <f>+Prielaidos!$AJ$42</f>
        <v>731603.06559360004</v>
      </c>
      <c r="BP91" s="38">
        <f>+Prielaidos!$AJ$42</f>
        <v>731603.06559360004</v>
      </c>
      <c r="BQ91" s="38">
        <f>+Prielaidos!$AJ$42</f>
        <v>731603.06559360004</v>
      </c>
      <c r="BR91" s="38">
        <f>+Prielaidos!$AJ$42</f>
        <v>731603.06559360004</v>
      </c>
      <c r="BS91" s="38">
        <f>+Prielaidos!$AJ$42</f>
        <v>731603.06559360004</v>
      </c>
      <c r="BT91" s="38">
        <f>+Prielaidos!$AJ$42</f>
        <v>731603.06559360004</v>
      </c>
      <c r="BU91" s="38">
        <f>+Prielaidos!$AJ$42</f>
        <v>731603.06559360004</v>
      </c>
      <c r="BV91" s="38">
        <f>+Prielaidos!$AJ$42</f>
        <v>731603.06559360004</v>
      </c>
      <c r="BW91" s="38">
        <f>+Prielaidos!$AJ$42</f>
        <v>731603.06559360004</v>
      </c>
      <c r="BX91" s="38">
        <f>+Prielaidos!$AJ$42</f>
        <v>731603.06559360004</v>
      </c>
      <c r="BY91" s="38">
        <f>+Prielaidos!$AJ$42</f>
        <v>731603.06559360004</v>
      </c>
      <c r="BZ91" s="38">
        <f>+Prielaidos!$AJ$42</f>
        <v>731603.06559360004</v>
      </c>
      <c r="CA91" s="38">
        <f>+Prielaidos!$AJ$42</f>
        <v>731603.06559360004</v>
      </c>
      <c r="CB91" s="38">
        <f>+Prielaidos!$AJ$42</f>
        <v>731603.06559360004</v>
      </c>
      <c r="CC91" s="38">
        <f>+Prielaidos!$AJ$42</f>
        <v>731603.06559360004</v>
      </c>
      <c r="CD91" s="38">
        <f>+Prielaidos!$AJ$42</f>
        <v>731603.06559360004</v>
      </c>
      <c r="CE91" s="38">
        <f>+Prielaidos!$AJ$42</f>
        <v>731603.06559360004</v>
      </c>
      <c r="CF91" s="38">
        <f>+Prielaidos!$AJ$42</f>
        <v>731603.06559360004</v>
      </c>
      <c r="CG91" s="38">
        <f>+Prielaidos!$AJ$42</f>
        <v>731603.06559360004</v>
      </c>
      <c r="CH91" s="38">
        <f>+Prielaidos!$AJ$42</f>
        <v>731603.06559360004</v>
      </c>
      <c r="CI91" s="38">
        <f>+Prielaidos!$AJ$42</f>
        <v>731603.06559360004</v>
      </c>
      <c r="CJ91" s="38">
        <f>+Prielaidos!$AJ$42</f>
        <v>731603.06559360004</v>
      </c>
      <c r="CK91" s="38">
        <f>+Prielaidos!$AJ$42</f>
        <v>731603.06559360004</v>
      </c>
      <c r="CL91" s="38">
        <f>+Prielaidos!$AJ$42</f>
        <v>731603.06559360004</v>
      </c>
      <c r="CM91" s="38">
        <f>+Prielaidos!$AJ$42</f>
        <v>731603.06559360004</v>
      </c>
      <c r="CN91" s="38">
        <f>+Prielaidos!$AJ$42</f>
        <v>731603.06559360004</v>
      </c>
      <c r="CO91" s="38">
        <f>+Prielaidos!$AJ$42</f>
        <v>731603.06559360004</v>
      </c>
      <c r="CP91" s="38">
        <f>+Prielaidos!$AJ$42</f>
        <v>731603.06559360004</v>
      </c>
      <c r="CQ91" s="38">
        <f>+Prielaidos!$AJ$42</f>
        <v>731603.06559360004</v>
      </c>
      <c r="CR91" s="38">
        <f>+Prielaidos!$AJ$42</f>
        <v>731603.06559360004</v>
      </c>
      <c r="CS91" s="38">
        <f>+Prielaidos!$AJ$42</f>
        <v>731603.06559360004</v>
      </c>
      <c r="CT91" s="38">
        <f>+Prielaidos!$AJ$42</f>
        <v>731603.06559360004</v>
      </c>
      <c r="CU91" s="38">
        <f>+Prielaidos!$AJ$42</f>
        <v>731603.06559360004</v>
      </c>
      <c r="CV91" s="38">
        <f>+Prielaidos!$AJ$42</f>
        <v>731603.06559360004</v>
      </c>
      <c r="CW91" s="38">
        <f>+Prielaidos!$AJ$42</f>
        <v>731603.06559360004</v>
      </c>
      <c r="CX91" s="38">
        <f>+Prielaidos!$AJ$42</f>
        <v>731603.06559360004</v>
      </c>
      <c r="CY91" s="38">
        <f>+Prielaidos!$AJ$42</f>
        <v>731603.06559360004</v>
      </c>
      <c r="CZ91" s="38">
        <f>+Prielaidos!$AJ$42</f>
        <v>731603.06559360004</v>
      </c>
      <c r="DA91" s="38">
        <f>+Prielaidos!$AJ$42</f>
        <v>731603.06559360004</v>
      </c>
      <c r="DB91" s="38">
        <f>+Prielaidos!$AJ$42</f>
        <v>731603.06559360004</v>
      </c>
      <c r="DC91" s="38">
        <f>+Prielaidos!$AJ$42</f>
        <v>731603.06559360004</v>
      </c>
      <c r="DE91" s="46">
        <f t="shared" si="46"/>
        <v>0</v>
      </c>
      <c r="DF91" s="46">
        <f t="shared" si="39"/>
        <v>97</v>
      </c>
      <c r="DG91">
        <f t="shared" si="47"/>
        <v>0</v>
      </c>
    </row>
    <row r="92" spans="1:112" ht="14.4">
      <c r="A92" s="124"/>
      <c r="B92" s="5" t="str">
        <f>$B$89&amp;"3."</f>
        <v>G.3.</v>
      </c>
      <c r="C92" s="164" t="s">
        <v>729</v>
      </c>
      <c r="D92" s="5"/>
      <c r="E92" s="193">
        <v>0</v>
      </c>
      <c r="F92" s="35">
        <f>H92+NPV(FD,I92:INDEX(I92:DC92,PAL))</f>
        <v>252575.75766858441</v>
      </c>
      <c r="G92" s="35">
        <f>SUMIF($H$5:$DC$5,"&lt;="&amp;PAL,$H92:$DC92)</f>
        <v>380000</v>
      </c>
      <c r="H92" s="38">
        <v>0</v>
      </c>
      <c r="I92" s="38">
        <v>0</v>
      </c>
      <c r="J92" s="38">
        <f>+Prielaidos!$E14</f>
        <v>20000</v>
      </c>
      <c r="K92" s="38">
        <f>+Prielaidos!$E14</f>
        <v>20000</v>
      </c>
      <c r="L92" s="38">
        <f>+Prielaidos!$E14</f>
        <v>20000</v>
      </c>
      <c r="M92" s="38">
        <f>+Prielaidos!$E14</f>
        <v>20000</v>
      </c>
      <c r="N92" s="38">
        <f>+Prielaidos!$E14</f>
        <v>20000</v>
      </c>
      <c r="O92" s="38">
        <f>+Prielaidos!$E14</f>
        <v>20000</v>
      </c>
      <c r="P92" s="38">
        <f>+Prielaidos!$E14</f>
        <v>20000</v>
      </c>
      <c r="Q92" s="38">
        <f>+Prielaidos!$E14</f>
        <v>20000</v>
      </c>
      <c r="R92" s="38">
        <f>+Prielaidos!$E14</f>
        <v>20000</v>
      </c>
      <c r="S92" s="38">
        <f>+Prielaidos!$E14</f>
        <v>20000</v>
      </c>
      <c r="T92" s="38">
        <f>+Prielaidos!$E14</f>
        <v>20000</v>
      </c>
      <c r="U92" s="38">
        <f>+Prielaidos!$E14</f>
        <v>20000</v>
      </c>
      <c r="V92" s="38">
        <f>+Prielaidos!$E14</f>
        <v>20000</v>
      </c>
      <c r="W92" s="38">
        <f>+Prielaidos!$E14</f>
        <v>20000</v>
      </c>
      <c r="X92" s="38">
        <f>+Prielaidos!$E14</f>
        <v>20000</v>
      </c>
      <c r="Y92" s="38">
        <f>+Prielaidos!$E14</f>
        <v>20000</v>
      </c>
      <c r="Z92" s="38">
        <f>+Prielaidos!$E14</f>
        <v>20000</v>
      </c>
      <c r="AA92" s="38">
        <f>+Prielaidos!$E14</f>
        <v>20000</v>
      </c>
      <c r="AB92" s="38">
        <f>+Prielaidos!$E14</f>
        <v>20000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19</v>
      </c>
      <c r="DG92">
        <f t="shared" si="47"/>
        <v>0</v>
      </c>
    </row>
    <row r="93" spans="1:112" ht="14.4">
      <c r="A93" s="124"/>
      <c r="B93" s="5" t="str">
        <f>$B$89&amp;"4."</f>
        <v>G.4.</v>
      </c>
      <c r="C93" s="164" t="s">
        <v>808</v>
      </c>
      <c r="D93" s="5"/>
      <c r="E93" s="193">
        <v>0</v>
      </c>
      <c r="F93" s="35">
        <f>H93+NPV(FD,I93:INDEX(I93:DC93,PAL))</f>
        <v>86235.411599828483</v>
      </c>
      <c r="G93" s="35">
        <f>SUMIF($H$5:$DC$5,"&lt;="&amp;PAL,$H93:$DC93)</f>
        <v>139500</v>
      </c>
      <c r="H93" s="38">
        <v>0</v>
      </c>
      <c r="I93" s="38">
        <v>0</v>
      </c>
      <c r="J93" s="38">
        <v>0</v>
      </c>
      <c r="K93" s="38">
        <v>0</v>
      </c>
      <c r="L93" s="38">
        <f>+Prielaidos!$H6*3*3</f>
        <v>4500</v>
      </c>
      <c r="M93" s="38">
        <f>+Prielaidos!$H6*3*3</f>
        <v>4500</v>
      </c>
      <c r="N93" s="38">
        <f>+Prielaidos!$H6*3*3</f>
        <v>4500</v>
      </c>
      <c r="O93" s="38">
        <f>+Prielaidos!$H6*3*6</f>
        <v>9000</v>
      </c>
      <c r="P93" s="38">
        <f>+Prielaidos!$H6*3*6</f>
        <v>9000</v>
      </c>
      <c r="Q93" s="38">
        <f>+Prielaidos!$H6*3*6</f>
        <v>9000</v>
      </c>
      <c r="R93" s="38">
        <f>+Prielaidos!$H6*3*6</f>
        <v>9000</v>
      </c>
      <c r="S93" s="38">
        <f>+Prielaidos!$H6*3*6</f>
        <v>9000</v>
      </c>
      <c r="T93" s="38">
        <f>+Prielaidos!$H6*3*6</f>
        <v>9000</v>
      </c>
      <c r="U93" s="38">
        <f>+Prielaidos!$H6*3*6</f>
        <v>9000</v>
      </c>
      <c r="V93" s="38">
        <f>+Prielaidos!$H6*3*6</f>
        <v>9000</v>
      </c>
      <c r="W93" s="38">
        <f>+Prielaidos!$H6*3*6</f>
        <v>9000</v>
      </c>
      <c r="X93" s="38">
        <f>+Prielaidos!$H6*3*6</f>
        <v>9000</v>
      </c>
      <c r="Y93" s="38">
        <f>+Prielaidos!$H6*3*6</f>
        <v>9000</v>
      </c>
      <c r="Z93" s="38">
        <f>+Prielaidos!$H6*3*6</f>
        <v>9000</v>
      </c>
      <c r="AA93" s="38">
        <f>+Prielaidos!$H6*3*6</f>
        <v>9000</v>
      </c>
      <c r="AB93" s="38">
        <f>+Prielaidos!$H6*3*6</f>
        <v>9000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17</v>
      </c>
      <c r="DG93">
        <f t="shared" si="47"/>
        <v>0</v>
      </c>
    </row>
    <row r="94" spans="1:112" ht="14.4">
      <c r="A94" s="124"/>
      <c r="B94" s="5" t="str">
        <f>$B$89&amp;"5."</f>
        <v>G.5.</v>
      </c>
      <c r="C94" s="164" t="s">
        <v>630</v>
      </c>
      <c r="D94" s="5"/>
      <c r="E94" s="193">
        <v>0</v>
      </c>
      <c r="F94" s="35">
        <f>H94+NPV(FD,I94:INDEX(I94:DC94,PAL))</f>
        <v>22179412.594987258</v>
      </c>
      <c r="G94" s="35">
        <f>SUMIF($H$5:$DC$5,"&lt;="&amp;PAL,$H94:$DC94)</f>
        <v>32640000</v>
      </c>
      <c r="H94" s="38">
        <v>0</v>
      </c>
      <c r="I94" s="38">
        <f>+Prielaidos!$AK$165*1000</f>
        <v>1632000</v>
      </c>
      <c r="J94" s="38">
        <f>+Prielaidos!$AK$165*1000</f>
        <v>1632000</v>
      </c>
      <c r="K94" s="38">
        <f>+Prielaidos!$AK$165*1000</f>
        <v>1632000</v>
      </c>
      <c r="L94" s="38">
        <f>+Prielaidos!$AK$165*1000</f>
        <v>1632000</v>
      </c>
      <c r="M94" s="38">
        <f>+Prielaidos!$AK$165*1000</f>
        <v>1632000</v>
      </c>
      <c r="N94" s="38">
        <f>+Prielaidos!$AK$165*1000</f>
        <v>1632000</v>
      </c>
      <c r="O94" s="38">
        <f>+Prielaidos!$AK$165*1000</f>
        <v>1632000</v>
      </c>
      <c r="P94" s="38">
        <f>+Prielaidos!$AK$165*1000</f>
        <v>1632000</v>
      </c>
      <c r="Q94" s="38">
        <f>+Prielaidos!$AK$165*1000</f>
        <v>1632000</v>
      </c>
      <c r="R94" s="38">
        <f>+Prielaidos!$AK$165*1000</f>
        <v>1632000</v>
      </c>
      <c r="S94" s="38">
        <f>+Prielaidos!$AK$165*1000</f>
        <v>1632000</v>
      </c>
      <c r="T94" s="38">
        <f>+Prielaidos!$AK$165*1000</f>
        <v>1632000</v>
      </c>
      <c r="U94" s="38">
        <f>+Prielaidos!$AK$165*1000</f>
        <v>1632000</v>
      </c>
      <c r="V94" s="38">
        <f>+Prielaidos!$AK$165*1000</f>
        <v>1632000</v>
      </c>
      <c r="W94" s="38">
        <f>+Prielaidos!$AK$165*1000</f>
        <v>1632000</v>
      </c>
      <c r="X94" s="38">
        <f>+Prielaidos!$AK$165*1000</f>
        <v>1632000</v>
      </c>
      <c r="Y94" s="38">
        <f>+Prielaidos!$AK$165*1000</f>
        <v>1632000</v>
      </c>
      <c r="Z94" s="38">
        <f>+Prielaidos!$AK$165*1000</f>
        <v>1632000</v>
      </c>
      <c r="AA94" s="38">
        <f>+Prielaidos!$AK$165*1000</f>
        <v>1632000</v>
      </c>
      <c r="AB94" s="38">
        <f>+Prielaidos!$AK$165*1000</f>
        <v>1632000</v>
      </c>
      <c r="AC94" s="38">
        <f>+Prielaidos!$AJ165*1000</f>
        <v>1470000</v>
      </c>
      <c r="AD94" s="38">
        <f>+Prielaidos!$AJ165*1000</f>
        <v>1470000</v>
      </c>
      <c r="AE94" s="38">
        <f>+Prielaidos!$AJ165*1000</f>
        <v>1470000</v>
      </c>
      <c r="AF94" s="38">
        <f>+Prielaidos!$AJ165*1000</f>
        <v>1470000</v>
      </c>
      <c r="AG94" s="38">
        <f>+Prielaidos!$AJ165*1000</f>
        <v>1470000</v>
      </c>
      <c r="AH94" s="38">
        <f>+Prielaidos!$AJ165*1000</f>
        <v>1470000</v>
      </c>
      <c r="AI94" s="38">
        <f>+Prielaidos!$AJ165*1000</f>
        <v>1470000</v>
      </c>
      <c r="AJ94" s="38">
        <f>+Prielaidos!$AJ165*1000</f>
        <v>1470000</v>
      </c>
      <c r="AK94" s="38">
        <f>+Prielaidos!$AJ165*1000</f>
        <v>1470000</v>
      </c>
      <c r="AL94" s="38">
        <f>+Prielaidos!$AJ165*1000</f>
        <v>1470000</v>
      </c>
      <c r="AM94" s="38">
        <f>+Prielaidos!$AJ165*1000</f>
        <v>1470000</v>
      </c>
      <c r="AN94" s="38">
        <f>+Prielaidos!$AJ165*1000</f>
        <v>1470000</v>
      </c>
      <c r="AO94" s="38">
        <f>+Prielaidos!$AJ165*1000</f>
        <v>1470000</v>
      </c>
      <c r="AP94" s="38">
        <f>+Prielaidos!$AJ165*1000</f>
        <v>1470000</v>
      </c>
      <c r="AQ94" s="38">
        <f>+Prielaidos!$AJ165*1000</f>
        <v>1470000</v>
      </c>
      <c r="AR94" s="38">
        <f>+Prielaidos!$AJ165*1000</f>
        <v>1470000</v>
      </c>
      <c r="AS94" s="38">
        <f>+Prielaidos!$AJ165*1000</f>
        <v>1470000</v>
      </c>
      <c r="AT94" s="38">
        <f>+Prielaidos!$AJ165*1000</f>
        <v>1470000</v>
      </c>
      <c r="AU94" s="38">
        <f>+Prielaidos!$AJ165*1000</f>
        <v>1470000</v>
      </c>
      <c r="AV94" s="38">
        <f>+Prielaidos!$AJ165*1000</f>
        <v>1470000</v>
      </c>
      <c r="AW94" s="38">
        <f>+Prielaidos!$AJ165*1000</f>
        <v>1470000</v>
      </c>
      <c r="AX94" s="38">
        <f>+Prielaidos!$AJ165*1000</f>
        <v>1470000</v>
      </c>
      <c r="AY94" s="38">
        <f>+Prielaidos!$AJ165*1000</f>
        <v>1470000</v>
      </c>
      <c r="AZ94" s="38">
        <f>+Prielaidos!$AJ165*1000</f>
        <v>1470000</v>
      </c>
      <c r="BA94" s="38">
        <f>+Prielaidos!$AJ165*1000</f>
        <v>1470000</v>
      </c>
      <c r="BB94" s="38">
        <f>+Prielaidos!$AJ165*1000</f>
        <v>1470000</v>
      </c>
      <c r="BC94" s="38">
        <f>+Prielaidos!$AJ165*1000</f>
        <v>1470000</v>
      </c>
      <c r="BD94" s="38">
        <f>+Prielaidos!$AJ165*1000</f>
        <v>1470000</v>
      </c>
      <c r="BE94" s="38">
        <f>+Prielaidos!$AJ165*1000</f>
        <v>1470000</v>
      </c>
      <c r="BF94" s="38">
        <f>+Prielaidos!$AJ165*1000</f>
        <v>1470000</v>
      </c>
      <c r="BG94" s="38">
        <f>+Prielaidos!$AJ165*1000</f>
        <v>1470000</v>
      </c>
      <c r="BH94" s="38">
        <f>+Prielaidos!$AJ165*1000</f>
        <v>1470000</v>
      </c>
      <c r="BI94" s="38">
        <f>+Prielaidos!$AJ165*1000</f>
        <v>1470000</v>
      </c>
      <c r="BJ94" s="38">
        <f>+Prielaidos!$AJ165*1000</f>
        <v>1470000</v>
      </c>
      <c r="BK94" s="38">
        <f>+Prielaidos!$AJ165*1000</f>
        <v>1470000</v>
      </c>
      <c r="BL94" s="38">
        <f>+Prielaidos!$AJ165*1000</f>
        <v>1470000</v>
      </c>
      <c r="BM94" s="38">
        <f>+Prielaidos!$AJ165*1000</f>
        <v>1470000</v>
      </c>
      <c r="BN94" s="38">
        <f>+Prielaidos!$AJ165*1000</f>
        <v>1470000</v>
      </c>
      <c r="BO94" s="38">
        <f>+Prielaidos!$AJ165*1000</f>
        <v>1470000</v>
      </c>
      <c r="BP94" s="38">
        <f>+Prielaidos!$AJ165*1000</f>
        <v>1470000</v>
      </c>
      <c r="BQ94" s="38">
        <f>+Prielaidos!$AJ165*1000</f>
        <v>1470000</v>
      </c>
      <c r="BR94" s="38">
        <f>+Prielaidos!$AJ165*1000</f>
        <v>1470000</v>
      </c>
      <c r="BS94" s="38">
        <f>+Prielaidos!$AJ165*1000</f>
        <v>1470000</v>
      </c>
      <c r="BT94" s="38">
        <f>+Prielaidos!$AJ165*1000</f>
        <v>1470000</v>
      </c>
      <c r="BU94" s="38">
        <f>+Prielaidos!$AJ165*1000</f>
        <v>1470000</v>
      </c>
      <c r="BV94" s="38">
        <f>+Prielaidos!$AJ165*1000</f>
        <v>1470000</v>
      </c>
      <c r="BW94" s="38">
        <f>+Prielaidos!$AJ165*1000</f>
        <v>1470000</v>
      </c>
      <c r="BX94" s="38">
        <f>+Prielaidos!$AJ165*1000</f>
        <v>1470000</v>
      </c>
      <c r="BY94" s="38">
        <f>+Prielaidos!$AJ165*1000</f>
        <v>1470000</v>
      </c>
      <c r="BZ94" s="38">
        <f>+Prielaidos!$AJ165*1000</f>
        <v>1470000</v>
      </c>
      <c r="CA94" s="38">
        <f>+Prielaidos!$AJ165*1000</f>
        <v>1470000</v>
      </c>
      <c r="CB94" s="38">
        <f>+Prielaidos!$AJ165*1000</f>
        <v>1470000</v>
      </c>
      <c r="CC94" s="38">
        <f>+Prielaidos!$AJ165*1000</f>
        <v>1470000</v>
      </c>
      <c r="CD94" s="38">
        <f>+Prielaidos!$AJ165*1000</f>
        <v>1470000</v>
      </c>
      <c r="CE94" s="38">
        <f>+Prielaidos!$AJ165*1000</f>
        <v>1470000</v>
      </c>
      <c r="CF94" s="38">
        <f>+Prielaidos!$AJ165*1000</f>
        <v>1470000</v>
      </c>
      <c r="CG94" s="38">
        <f>+Prielaidos!$AJ165*1000</f>
        <v>1470000</v>
      </c>
      <c r="CH94" s="38">
        <f>+Prielaidos!$AJ165*1000</f>
        <v>1470000</v>
      </c>
      <c r="CI94" s="38">
        <f>+Prielaidos!$AJ165*1000</f>
        <v>1470000</v>
      </c>
      <c r="CJ94" s="38">
        <f>+Prielaidos!$AJ165*1000</f>
        <v>1470000</v>
      </c>
      <c r="CK94" s="38">
        <f>+Prielaidos!$AJ165*1000</f>
        <v>1470000</v>
      </c>
      <c r="CL94" s="38">
        <f>+Prielaidos!$AJ165*1000</f>
        <v>1470000</v>
      </c>
      <c r="CM94" s="38">
        <f>+Prielaidos!$AJ165*1000</f>
        <v>1470000</v>
      </c>
      <c r="CN94" s="38">
        <f>+Prielaidos!$AJ165*1000</f>
        <v>1470000</v>
      </c>
      <c r="CO94" s="38">
        <f>+Prielaidos!$AJ165*1000</f>
        <v>1470000</v>
      </c>
      <c r="CP94" s="38">
        <f>+Prielaidos!$AJ165*1000</f>
        <v>1470000</v>
      </c>
      <c r="CQ94" s="38">
        <f>+Prielaidos!$AJ165*1000</f>
        <v>1470000</v>
      </c>
      <c r="CR94" s="38">
        <f>+Prielaidos!$AJ165*1000</f>
        <v>1470000</v>
      </c>
      <c r="CS94" s="38">
        <f>+Prielaidos!$AJ165*1000</f>
        <v>1470000</v>
      </c>
      <c r="CT94" s="38">
        <f>+Prielaidos!$AJ165*1000</f>
        <v>1470000</v>
      </c>
      <c r="CU94" s="38">
        <f>+Prielaidos!$AJ165*1000</f>
        <v>1470000</v>
      </c>
      <c r="CV94" s="38">
        <f>+Prielaidos!$AJ165*1000</f>
        <v>1470000</v>
      </c>
      <c r="CW94" s="38">
        <f>+Prielaidos!$AJ165*1000</f>
        <v>1470000</v>
      </c>
      <c r="CX94" s="38">
        <f>+Prielaidos!$AJ165*1000</f>
        <v>1470000</v>
      </c>
      <c r="CY94" s="38">
        <f>+Prielaidos!$AJ165*1000</f>
        <v>1470000</v>
      </c>
      <c r="CZ94" s="38">
        <f>+Prielaidos!$AJ165*1000</f>
        <v>1470000</v>
      </c>
      <c r="DA94" s="38">
        <f>+Prielaidos!$AJ165*1000</f>
        <v>1470000</v>
      </c>
      <c r="DB94" s="38">
        <f>+Prielaidos!$AJ165*1000</f>
        <v>1470000</v>
      </c>
      <c r="DC94" s="38">
        <f>+Prielaidos!$AJ165*1000</f>
        <v>1470000</v>
      </c>
      <c r="DE94" s="46">
        <f t="shared" si="46"/>
        <v>0</v>
      </c>
      <c r="DF94" s="46">
        <f t="shared" si="39"/>
        <v>99</v>
      </c>
      <c r="DG94">
        <f t="shared" si="47"/>
        <v>0</v>
      </c>
    </row>
    <row r="95" spans="1:112" ht="14.4">
      <c r="A95" s="124"/>
      <c r="B95" s="5" t="str">
        <f>$B$89&amp;"6."</f>
        <v>G.6.</v>
      </c>
      <c r="C95" s="164" t="s">
        <v>789</v>
      </c>
      <c r="D95" s="5"/>
      <c r="E95" s="193">
        <v>0</v>
      </c>
      <c r="F95" s="35">
        <f>H95+NPV(FD,I95:INDEX(I95:DC95,PAL))</f>
        <v>70668825.880319715</v>
      </c>
      <c r="G95" s="35">
        <f>SUMIF($H$5:$DC$5,"&lt;="&amp;PAL,$H95:$DC95)</f>
        <v>108468100</v>
      </c>
      <c r="H95" s="38">
        <v>0</v>
      </c>
      <c r="I95" s="38">
        <v>0</v>
      </c>
      <c r="J95" s="38">
        <f>+(Prielaidos!$AJ118+Prielaidos!$AJ51)*1000</f>
        <v>2580500</v>
      </c>
      <c r="K95" s="38">
        <f>+(Prielaidos!$AJ118+Prielaidos!$AJ51+Prielaidos!$AJ68)*1000</f>
        <v>3632600</v>
      </c>
      <c r="L95" s="38">
        <f>+(Prielaidos!$AJ118+Prielaidos!$AJ51+Prielaidos!$AJ68+Prielaidos!$AJ134+Prielaidos!$AJ150)*1000</f>
        <v>6015000</v>
      </c>
      <c r="M95" s="38">
        <f>+(Prielaidos!$AJ118+Prielaidos!$AJ51+Prielaidos!$AJ68+Prielaidos!$AJ134+Prielaidos!$AJ150)*1000</f>
        <v>6015000</v>
      </c>
      <c r="N95" s="38">
        <f>+(Prielaidos!$AJ118+Prielaidos!$AJ51+Prielaidos!$AJ68+Prielaidos!$AJ134+Prielaidos!$AJ150)*1000</f>
        <v>6015000</v>
      </c>
      <c r="O95" s="38">
        <f>+(Prielaidos!$AJ118+Prielaidos!$AJ51+Prielaidos!$AJ68+Prielaidos!$AJ134+Prielaidos!$AJ150)*1000</f>
        <v>6015000</v>
      </c>
      <c r="P95" s="38">
        <f>+(Prielaidos!$AJ118+Prielaidos!$AJ51+Prielaidos!$AJ68+Prielaidos!$AJ134+Prielaidos!$AJ150)*1000</f>
        <v>6015000</v>
      </c>
      <c r="Q95" s="38">
        <f>+(Prielaidos!$AJ118+Prielaidos!$AJ51+Prielaidos!$AJ68+Prielaidos!$AJ134+Prielaidos!$AJ150)*1000</f>
        <v>6015000</v>
      </c>
      <c r="R95" s="38">
        <f>+(Prielaidos!$AJ118+Prielaidos!$AJ51+Prielaidos!$AJ68+Prielaidos!$AJ134+Prielaidos!$AJ150)*1000</f>
        <v>6015000</v>
      </c>
      <c r="S95" s="38">
        <f>+(Prielaidos!$AJ118+Prielaidos!$AJ51+Prielaidos!$AJ68+Prielaidos!$AJ134+Prielaidos!$AJ150)*1000</f>
        <v>6015000</v>
      </c>
      <c r="T95" s="38">
        <f>+(Prielaidos!$AJ118+Prielaidos!$AJ51+Prielaidos!$AJ68+Prielaidos!$AJ134+Prielaidos!$AJ150)*1000</f>
        <v>6015000</v>
      </c>
      <c r="U95" s="38">
        <f>+(Prielaidos!$AJ118+Prielaidos!$AJ51+Prielaidos!$AJ68+Prielaidos!$AJ134+Prielaidos!$AJ150)*1000</f>
        <v>6015000</v>
      </c>
      <c r="V95" s="38">
        <f>+(Prielaidos!$AJ118+Prielaidos!$AJ51+Prielaidos!$AJ68+Prielaidos!$AJ134+Prielaidos!$AJ150)*1000</f>
        <v>6015000</v>
      </c>
      <c r="W95" s="38">
        <f>+(Prielaidos!$AJ118+Prielaidos!$AJ51+Prielaidos!$AJ68+Prielaidos!$AJ134+Prielaidos!$AJ150)*1000</f>
        <v>6015000</v>
      </c>
      <c r="X95" s="38">
        <f>+(Prielaidos!$AJ118+Prielaidos!$AJ51+Prielaidos!$AJ68+Prielaidos!$AJ134+Prielaidos!$AJ150)*1000</f>
        <v>6015000</v>
      </c>
      <c r="Y95" s="38">
        <f>+(Prielaidos!$AJ118+Prielaidos!$AJ51+Prielaidos!$AJ68+Prielaidos!$AJ134+Prielaidos!$AJ150)*1000</f>
        <v>6015000</v>
      </c>
      <c r="Z95" s="38">
        <f>+(Prielaidos!$AJ118+Prielaidos!$AJ51+Prielaidos!$AJ68+Prielaidos!$AJ134+Prielaidos!$AJ150)*1000</f>
        <v>6015000</v>
      </c>
      <c r="AA95" s="38">
        <f>+(Prielaidos!$AJ118+Prielaidos!$AJ51+Prielaidos!$AJ68+Prielaidos!$AJ134+Prielaidos!$AJ150)*1000</f>
        <v>6015000</v>
      </c>
      <c r="AB95" s="38">
        <f>+(Prielaidos!$AJ118+Prielaidos!$AJ51+Prielaidos!$AJ68+Prielaidos!$AJ134+Prielaidos!$AJ150)*1000</f>
        <v>6015000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19</v>
      </c>
      <c r="DG95">
        <f t="shared" si="47"/>
        <v>0</v>
      </c>
    </row>
    <row r="96" spans="1:112" ht="14.4">
      <c r="A96" s="124"/>
      <c r="B96" s="5" t="str">
        <f>$B$89&amp;"7."</f>
        <v>G.7.</v>
      </c>
      <c r="C96" s="164"/>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4.4">
      <c r="A97" s="124"/>
      <c r="B97" s="5" t="str">
        <f>$B$89&amp;"8."</f>
        <v>G.8.</v>
      </c>
      <c r="C97" s="164"/>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4.4">
      <c r="A98" s="124"/>
      <c r="B98" s="5" t="str">
        <f>$B$89&amp;"9."</f>
        <v>G.9.</v>
      </c>
      <c r="C98" s="164"/>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4.4">
      <c r="A99" s="124"/>
      <c r="B99" s="5" t="str">
        <f>$B$89&amp;"10."</f>
        <v>G.10.</v>
      </c>
      <c r="C99" s="164"/>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c r="B100" s="5" t="s">
        <v>38</v>
      </c>
      <c r="C100" s="15" t="s">
        <v>262</v>
      </c>
      <c r="D100" s="5"/>
      <c r="E100" s="5"/>
      <c r="F100" s="11">
        <f>SUM(F101:F110)</f>
        <v>3170044.514334823</v>
      </c>
      <c r="G100" s="35">
        <f>SUMIF($H$5:$DC$5,"&lt;="&amp;PAL,$H100:$DC100)</f>
        <v>4752000</v>
      </c>
      <c r="H100" s="11">
        <f t="shared" ref="H100:BR100" si="48">SUM(H101:H110)</f>
        <v>22000</v>
      </c>
      <c r="I100" s="11">
        <f t="shared" si="48"/>
        <v>119000</v>
      </c>
      <c r="J100" s="11">
        <f t="shared" si="48"/>
        <v>129000</v>
      </c>
      <c r="K100" s="11">
        <f t="shared" si="48"/>
        <v>249000</v>
      </c>
      <c r="L100" s="11">
        <f t="shared" si="48"/>
        <v>249000</v>
      </c>
      <c r="M100" s="11">
        <f t="shared" si="48"/>
        <v>249000</v>
      </c>
      <c r="N100" s="11">
        <f t="shared" si="48"/>
        <v>249000</v>
      </c>
      <c r="O100" s="11">
        <f t="shared" si="48"/>
        <v>249000</v>
      </c>
      <c r="P100" s="11">
        <f t="shared" si="48"/>
        <v>249000</v>
      </c>
      <c r="Q100" s="11">
        <f t="shared" si="48"/>
        <v>249000</v>
      </c>
      <c r="R100" s="11">
        <f t="shared" si="48"/>
        <v>249000</v>
      </c>
      <c r="S100" s="11">
        <f t="shared" si="48"/>
        <v>249000</v>
      </c>
      <c r="T100" s="11">
        <f t="shared" si="48"/>
        <v>249000</v>
      </c>
      <c r="U100" s="11">
        <f t="shared" si="48"/>
        <v>249000</v>
      </c>
      <c r="V100" s="11">
        <f t="shared" si="48"/>
        <v>249000</v>
      </c>
      <c r="W100" s="11">
        <f t="shared" si="48"/>
        <v>249000</v>
      </c>
      <c r="X100" s="11">
        <f t="shared" si="48"/>
        <v>249000</v>
      </c>
      <c r="Y100" s="11">
        <f t="shared" si="48"/>
        <v>249000</v>
      </c>
      <c r="Z100" s="11">
        <f t="shared" si="48"/>
        <v>249000</v>
      </c>
      <c r="AA100" s="11">
        <f t="shared" si="48"/>
        <v>249000</v>
      </c>
      <c r="AB100" s="11">
        <f t="shared" si="48"/>
        <v>249000</v>
      </c>
      <c r="AC100" s="11">
        <f t="shared" si="48"/>
        <v>227000</v>
      </c>
      <c r="AD100" s="11">
        <f t="shared" si="48"/>
        <v>227000</v>
      </c>
      <c r="AE100" s="11">
        <f t="shared" si="48"/>
        <v>227000</v>
      </c>
      <c r="AF100" s="11">
        <f t="shared" si="48"/>
        <v>227000</v>
      </c>
      <c r="AG100" s="11">
        <f t="shared" si="48"/>
        <v>227000</v>
      </c>
      <c r="AH100" s="11">
        <f t="shared" si="48"/>
        <v>227000</v>
      </c>
      <c r="AI100" s="11">
        <f t="shared" si="48"/>
        <v>227000</v>
      </c>
      <c r="AJ100" s="11">
        <f t="shared" si="48"/>
        <v>227000</v>
      </c>
      <c r="AK100" s="11">
        <f t="shared" si="48"/>
        <v>227000</v>
      </c>
      <c r="AL100" s="11">
        <f t="shared" si="48"/>
        <v>227000</v>
      </c>
      <c r="AM100" s="11">
        <f t="shared" si="48"/>
        <v>227000</v>
      </c>
      <c r="AN100" s="11">
        <f t="shared" si="48"/>
        <v>227000</v>
      </c>
      <c r="AO100" s="11">
        <f t="shared" si="48"/>
        <v>227000</v>
      </c>
      <c r="AP100" s="11">
        <f t="shared" si="48"/>
        <v>227000</v>
      </c>
      <c r="AQ100" s="11">
        <f t="shared" si="48"/>
        <v>227000</v>
      </c>
      <c r="AR100" s="11">
        <f t="shared" si="48"/>
        <v>227000</v>
      </c>
      <c r="AS100" s="11">
        <f t="shared" si="48"/>
        <v>227000</v>
      </c>
      <c r="AT100" s="11">
        <f t="shared" si="48"/>
        <v>227000</v>
      </c>
      <c r="AU100" s="11">
        <f t="shared" si="48"/>
        <v>227000</v>
      </c>
      <c r="AV100" s="11">
        <f t="shared" si="48"/>
        <v>227000</v>
      </c>
      <c r="AW100" s="11">
        <f t="shared" si="48"/>
        <v>227000</v>
      </c>
      <c r="AX100" s="11">
        <f t="shared" si="48"/>
        <v>227000</v>
      </c>
      <c r="AY100" s="11">
        <f t="shared" si="48"/>
        <v>227000</v>
      </c>
      <c r="AZ100" s="11">
        <f t="shared" si="48"/>
        <v>227000</v>
      </c>
      <c r="BA100" s="11">
        <f t="shared" si="48"/>
        <v>227000</v>
      </c>
      <c r="BB100" s="11">
        <f t="shared" si="48"/>
        <v>227000</v>
      </c>
      <c r="BC100" s="11">
        <f t="shared" si="48"/>
        <v>227000</v>
      </c>
      <c r="BD100" s="11">
        <f t="shared" si="48"/>
        <v>227000</v>
      </c>
      <c r="BE100" s="11">
        <f t="shared" si="48"/>
        <v>227000</v>
      </c>
      <c r="BF100" s="11">
        <f t="shared" si="48"/>
        <v>227000</v>
      </c>
      <c r="BG100" s="11">
        <f t="shared" si="48"/>
        <v>227000</v>
      </c>
      <c r="BH100" s="11">
        <f t="shared" si="48"/>
        <v>227000</v>
      </c>
      <c r="BI100" s="11">
        <f t="shared" si="48"/>
        <v>227000</v>
      </c>
      <c r="BJ100" s="11">
        <f t="shared" si="48"/>
        <v>227000</v>
      </c>
      <c r="BK100" s="11">
        <f t="shared" si="48"/>
        <v>227000</v>
      </c>
      <c r="BL100" s="11">
        <f t="shared" si="48"/>
        <v>227000</v>
      </c>
      <c r="BM100" s="11">
        <f t="shared" si="48"/>
        <v>227000</v>
      </c>
      <c r="BN100" s="11">
        <f t="shared" si="48"/>
        <v>227000</v>
      </c>
      <c r="BO100" s="11">
        <f t="shared" si="48"/>
        <v>227000</v>
      </c>
      <c r="BP100" s="11">
        <f t="shared" si="48"/>
        <v>227000</v>
      </c>
      <c r="BQ100" s="11">
        <f t="shared" si="48"/>
        <v>227000</v>
      </c>
      <c r="BR100" s="11">
        <f t="shared" si="48"/>
        <v>227000</v>
      </c>
      <c r="BS100" s="11">
        <f t="shared" ref="BS100:DC100" si="49">SUM(BS101:BS110)</f>
        <v>227000</v>
      </c>
      <c r="BT100" s="11">
        <f t="shared" si="49"/>
        <v>227000</v>
      </c>
      <c r="BU100" s="11">
        <f t="shared" si="49"/>
        <v>227000</v>
      </c>
      <c r="BV100" s="11">
        <f t="shared" si="49"/>
        <v>227000</v>
      </c>
      <c r="BW100" s="11">
        <f t="shared" si="49"/>
        <v>227000</v>
      </c>
      <c r="BX100" s="11">
        <f t="shared" si="49"/>
        <v>227000</v>
      </c>
      <c r="BY100" s="11">
        <f t="shared" si="49"/>
        <v>227000</v>
      </c>
      <c r="BZ100" s="11">
        <f t="shared" si="49"/>
        <v>227000</v>
      </c>
      <c r="CA100" s="11">
        <f t="shared" si="49"/>
        <v>227000</v>
      </c>
      <c r="CB100" s="11">
        <f t="shared" si="49"/>
        <v>227000</v>
      </c>
      <c r="CC100" s="11">
        <f t="shared" si="49"/>
        <v>227000</v>
      </c>
      <c r="CD100" s="11">
        <f t="shared" si="49"/>
        <v>227000</v>
      </c>
      <c r="CE100" s="11">
        <f t="shared" si="49"/>
        <v>227000</v>
      </c>
      <c r="CF100" s="11">
        <f t="shared" si="49"/>
        <v>227000</v>
      </c>
      <c r="CG100" s="11">
        <f t="shared" si="49"/>
        <v>227000</v>
      </c>
      <c r="CH100" s="11">
        <f t="shared" si="49"/>
        <v>227000</v>
      </c>
      <c r="CI100" s="11">
        <f t="shared" si="49"/>
        <v>227000</v>
      </c>
      <c r="CJ100" s="11">
        <f t="shared" si="49"/>
        <v>227000</v>
      </c>
      <c r="CK100" s="11">
        <f t="shared" si="49"/>
        <v>227000</v>
      </c>
      <c r="CL100" s="11">
        <f t="shared" si="49"/>
        <v>227000</v>
      </c>
      <c r="CM100" s="11">
        <f t="shared" si="49"/>
        <v>227000</v>
      </c>
      <c r="CN100" s="11">
        <f t="shared" si="49"/>
        <v>227000</v>
      </c>
      <c r="CO100" s="11">
        <f t="shared" si="49"/>
        <v>227000</v>
      </c>
      <c r="CP100" s="11">
        <f t="shared" si="49"/>
        <v>227000</v>
      </c>
      <c r="CQ100" s="11">
        <f t="shared" si="49"/>
        <v>227000</v>
      </c>
      <c r="CR100" s="11">
        <f t="shared" si="49"/>
        <v>227000</v>
      </c>
      <c r="CS100" s="11">
        <f t="shared" si="49"/>
        <v>227000</v>
      </c>
      <c r="CT100" s="11">
        <f t="shared" si="49"/>
        <v>227000</v>
      </c>
      <c r="CU100" s="11">
        <f t="shared" si="49"/>
        <v>227000</v>
      </c>
      <c r="CV100" s="11">
        <f t="shared" si="49"/>
        <v>227000</v>
      </c>
      <c r="CW100" s="11">
        <f t="shared" si="49"/>
        <v>227000</v>
      </c>
      <c r="CX100" s="11">
        <f t="shared" si="49"/>
        <v>227000</v>
      </c>
      <c r="CY100" s="11">
        <f t="shared" si="49"/>
        <v>227000</v>
      </c>
      <c r="CZ100" s="11">
        <f t="shared" si="49"/>
        <v>227000</v>
      </c>
      <c r="DA100" s="11">
        <f t="shared" si="49"/>
        <v>227000</v>
      </c>
      <c r="DB100" s="11">
        <f t="shared" si="49"/>
        <v>227000</v>
      </c>
      <c r="DC100" s="11">
        <f t="shared" si="49"/>
        <v>227000</v>
      </c>
      <c r="DF100" s="46">
        <f t="shared" si="39"/>
        <v>100</v>
      </c>
    </row>
    <row r="101" spans="1:113" ht="14.4">
      <c r="A101" s="124"/>
      <c r="B101" s="5" t="str">
        <f>$B$100&amp;"1."</f>
        <v>H.1.</v>
      </c>
      <c r="C101" s="164" t="s">
        <v>629</v>
      </c>
      <c r="D101" s="5"/>
      <c r="E101" s="184" t="s">
        <v>255</v>
      </c>
      <c r="F101" s="35">
        <f>H101+NPV(FD,I101:INDEX(I101:DC101,PAL))</f>
        <v>320987.17958928895</v>
      </c>
      <c r="G101" s="35">
        <f>SUMIF($H$5:$DC$5,"&lt;="&amp;PAL,$H101:$DC101)</f>
        <v>462000</v>
      </c>
      <c r="H101" s="38">
        <f>+Prielaidos!$AJ175*1000</f>
        <v>22000</v>
      </c>
      <c r="I101" s="38">
        <f>+Prielaidos!$AJ175*1000</f>
        <v>22000</v>
      </c>
      <c r="J101" s="38">
        <f>+Prielaidos!$AJ175*1000</f>
        <v>22000</v>
      </c>
      <c r="K101" s="38">
        <f>+Prielaidos!$AJ175*1000</f>
        <v>22000</v>
      </c>
      <c r="L101" s="38">
        <f>+Prielaidos!$AJ175*1000</f>
        <v>22000</v>
      </c>
      <c r="M101" s="38">
        <f>+Prielaidos!$AJ175*1000</f>
        <v>22000</v>
      </c>
      <c r="N101" s="38">
        <f>+Prielaidos!$AJ175*1000</f>
        <v>22000</v>
      </c>
      <c r="O101" s="38">
        <f>+Prielaidos!$AJ175*1000</f>
        <v>22000</v>
      </c>
      <c r="P101" s="38">
        <f>+Prielaidos!$AJ175*1000</f>
        <v>22000</v>
      </c>
      <c r="Q101" s="38">
        <f>+Prielaidos!$AJ175*1000</f>
        <v>22000</v>
      </c>
      <c r="R101" s="38">
        <f>+Prielaidos!$AJ175*1000</f>
        <v>22000</v>
      </c>
      <c r="S101" s="38">
        <f>+Prielaidos!$AJ175*1000</f>
        <v>22000</v>
      </c>
      <c r="T101" s="38">
        <f>+Prielaidos!$AJ175*1000</f>
        <v>22000</v>
      </c>
      <c r="U101" s="38">
        <f>+Prielaidos!$AJ175*1000</f>
        <v>22000</v>
      </c>
      <c r="V101" s="38">
        <f>+Prielaidos!$AJ175*1000</f>
        <v>22000</v>
      </c>
      <c r="W101" s="38">
        <f>+Prielaidos!$AJ175*1000</f>
        <v>22000</v>
      </c>
      <c r="X101" s="38">
        <f>+Prielaidos!$AJ175*1000</f>
        <v>22000</v>
      </c>
      <c r="Y101" s="38">
        <f>+Prielaidos!$AJ175*1000</f>
        <v>22000</v>
      </c>
      <c r="Z101" s="38">
        <f>+Prielaidos!$AJ175*1000</f>
        <v>22000</v>
      </c>
      <c r="AA101" s="38">
        <f>+Prielaidos!$AJ175*1000</f>
        <v>22000</v>
      </c>
      <c r="AB101" s="38">
        <f>+Prielaidos!$AJ175*1000</f>
        <v>22000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21</v>
      </c>
      <c r="DG101">
        <f t="shared" si="47"/>
        <v>0</v>
      </c>
    </row>
    <row r="102" spans="1:113" ht="14.4">
      <c r="A102" s="124"/>
      <c r="B102" s="5" t="str">
        <f>$B$100&amp;"2."</f>
        <v>H.2.</v>
      </c>
      <c r="C102" s="164" t="s">
        <v>726</v>
      </c>
      <c r="D102" s="5"/>
      <c r="E102" s="184" t="s">
        <v>255</v>
      </c>
      <c r="F102" s="35">
        <f>H102+NPV(FD,I102:INDEX(I102:DC102,PAL))</f>
        <v>2849057.3347455342</v>
      </c>
      <c r="G102" s="35">
        <f>SUMIF($H$5:$DC$5,"&lt;="&amp;PAL,$H102:$DC102)</f>
        <v>4290000</v>
      </c>
      <c r="H102" s="38">
        <v>0</v>
      </c>
      <c r="I102" s="38">
        <f>(+Prielaidos!$AJ125+Prielaidos!$AJ58)*1000</f>
        <v>97000</v>
      </c>
      <c r="J102" s="38">
        <f>(+Prielaidos!$AJ125+Prielaidos!$AJ58+Prielaidos!$AJ75)*1000</f>
        <v>107000</v>
      </c>
      <c r="K102" s="38">
        <f>(+Prielaidos!$AJ125+Prielaidos!$AJ58+Prielaidos!$AJ75+Prielaidos!$AJ141+Prielaidos!$AJ157)*1000</f>
        <v>227000</v>
      </c>
      <c r="L102" s="38">
        <f>+K102</f>
        <v>227000</v>
      </c>
      <c r="M102" s="38">
        <f t="shared" ref="M102:BX102" si="50">+L102</f>
        <v>227000</v>
      </c>
      <c r="N102" s="38">
        <f t="shared" si="50"/>
        <v>227000</v>
      </c>
      <c r="O102" s="38">
        <f t="shared" si="50"/>
        <v>227000</v>
      </c>
      <c r="P102" s="38">
        <f t="shared" si="50"/>
        <v>227000</v>
      </c>
      <c r="Q102" s="38">
        <f t="shared" si="50"/>
        <v>227000</v>
      </c>
      <c r="R102" s="38">
        <f t="shared" si="50"/>
        <v>227000</v>
      </c>
      <c r="S102" s="38">
        <f t="shared" si="50"/>
        <v>227000</v>
      </c>
      <c r="T102" s="38">
        <f t="shared" si="50"/>
        <v>227000</v>
      </c>
      <c r="U102" s="38">
        <f t="shared" si="50"/>
        <v>227000</v>
      </c>
      <c r="V102" s="38">
        <f t="shared" si="50"/>
        <v>227000</v>
      </c>
      <c r="W102" s="38">
        <f t="shared" si="50"/>
        <v>227000</v>
      </c>
      <c r="X102" s="38">
        <f t="shared" si="50"/>
        <v>227000</v>
      </c>
      <c r="Y102" s="38">
        <f t="shared" si="50"/>
        <v>227000</v>
      </c>
      <c r="Z102" s="38">
        <f t="shared" si="50"/>
        <v>227000</v>
      </c>
      <c r="AA102" s="38">
        <f t="shared" si="50"/>
        <v>227000</v>
      </c>
      <c r="AB102" s="38">
        <f t="shared" si="50"/>
        <v>227000</v>
      </c>
      <c r="AC102" s="38">
        <f t="shared" si="50"/>
        <v>227000</v>
      </c>
      <c r="AD102" s="38">
        <f t="shared" si="50"/>
        <v>227000</v>
      </c>
      <c r="AE102" s="38">
        <f t="shared" si="50"/>
        <v>227000</v>
      </c>
      <c r="AF102" s="38">
        <f t="shared" si="50"/>
        <v>227000</v>
      </c>
      <c r="AG102" s="38">
        <f t="shared" si="50"/>
        <v>227000</v>
      </c>
      <c r="AH102" s="38">
        <f t="shared" si="50"/>
        <v>227000</v>
      </c>
      <c r="AI102" s="38">
        <f t="shared" si="50"/>
        <v>227000</v>
      </c>
      <c r="AJ102" s="38">
        <f t="shared" si="50"/>
        <v>227000</v>
      </c>
      <c r="AK102" s="38">
        <f t="shared" si="50"/>
        <v>227000</v>
      </c>
      <c r="AL102" s="38">
        <f t="shared" si="50"/>
        <v>227000</v>
      </c>
      <c r="AM102" s="38">
        <f t="shared" si="50"/>
        <v>227000</v>
      </c>
      <c r="AN102" s="38">
        <f t="shared" si="50"/>
        <v>227000</v>
      </c>
      <c r="AO102" s="38">
        <f t="shared" si="50"/>
        <v>227000</v>
      </c>
      <c r="AP102" s="38">
        <f t="shared" si="50"/>
        <v>227000</v>
      </c>
      <c r="AQ102" s="38">
        <f t="shared" si="50"/>
        <v>227000</v>
      </c>
      <c r="AR102" s="38">
        <f t="shared" si="50"/>
        <v>227000</v>
      </c>
      <c r="AS102" s="38">
        <f t="shared" si="50"/>
        <v>227000</v>
      </c>
      <c r="AT102" s="38">
        <f t="shared" si="50"/>
        <v>227000</v>
      </c>
      <c r="AU102" s="38">
        <f t="shared" si="50"/>
        <v>227000</v>
      </c>
      <c r="AV102" s="38">
        <f t="shared" si="50"/>
        <v>227000</v>
      </c>
      <c r="AW102" s="38">
        <f t="shared" si="50"/>
        <v>227000</v>
      </c>
      <c r="AX102" s="38">
        <f t="shared" si="50"/>
        <v>227000</v>
      </c>
      <c r="AY102" s="38">
        <f t="shared" si="50"/>
        <v>227000</v>
      </c>
      <c r="AZ102" s="38">
        <f t="shared" si="50"/>
        <v>227000</v>
      </c>
      <c r="BA102" s="38">
        <f t="shared" si="50"/>
        <v>227000</v>
      </c>
      <c r="BB102" s="38">
        <f t="shared" si="50"/>
        <v>227000</v>
      </c>
      <c r="BC102" s="38">
        <f t="shared" si="50"/>
        <v>227000</v>
      </c>
      <c r="BD102" s="38">
        <f t="shared" si="50"/>
        <v>227000</v>
      </c>
      <c r="BE102" s="38">
        <f t="shared" si="50"/>
        <v>227000</v>
      </c>
      <c r="BF102" s="38">
        <f t="shared" si="50"/>
        <v>227000</v>
      </c>
      <c r="BG102" s="38">
        <f t="shared" si="50"/>
        <v>227000</v>
      </c>
      <c r="BH102" s="38">
        <f t="shared" si="50"/>
        <v>227000</v>
      </c>
      <c r="BI102" s="38">
        <f t="shared" si="50"/>
        <v>227000</v>
      </c>
      <c r="BJ102" s="38">
        <f t="shared" si="50"/>
        <v>227000</v>
      </c>
      <c r="BK102" s="38">
        <f t="shared" si="50"/>
        <v>227000</v>
      </c>
      <c r="BL102" s="38">
        <f t="shared" si="50"/>
        <v>227000</v>
      </c>
      <c r="BM102" s="38">
        <f t="shared" si="50"/>
        <v>227000</v>
      </c>
      <c r="BN102" s="38">
        <f t="shared" si="50"/>
        <v>227000</v>
      </c>
      <c r="BO102" s="38">
        <f t="shared" si="50"/>
        <v>227000</v>
      </c>
      <c r="BP102" s="38">
        <f t="shared" si="50"/>
        <v>227000</v>
      </c>
      <c r="BQ102" s="38">
        <f t="shared" si="50"/>
        <v>227000</v>
      </c>
      <c r="BR102" s="38">
        <f t="shared" si="50"/>
        <v>227000</v>
      </c>
      <c r="BS102" s="38">
        <f t="shared" si="50"/>
        <v>227000</v>
      </c>
      <c r="BT102" s="38">
        <f t="shared" si="50"/>
        <v>227000</v>
      </c>
      <c r="BU102" s="38">
        <f t="shared" si="50"/>
        <v>227000</v>
      </c>
      <c r="BV102" s="38">
        <f t="shared" si="50"/>
        <v>227000</v>
      </c>
      <c r="BW102" s="38">
        <f t="shared" si="50"/>
        <v>227000</v>
      </c>
      <c r="BX102" s="38">
        <f t="shared" si="50"/>
        <v>227000</v>
      </c>
      <c r="BY102" s="38">
        <f t="shared" ref="BY102:DC102" si="51">+BX102</f>
        <v>227000</v>
      </c>
      <c r="BZ102" s="38">
        <f t="shared" si="51"/>
        <v>227000</v>
      </c>
      <c r="CA102" s="38">
        <f t="shared" si="51"/>
        <v>227000</v>
      </c>
      <c r="CB102" s="38">
        <f t="shared" si="51"/>
        <v>227000</v>
      </c>
      <c r="CC102" s="38">
        <f t="shared" si="51"/>
        <v>227000</v>
      </c>
      <c r="CD102" s="38">
        <f t="shared" si="51"/>
        <v>227000</v>
      </c>
      <c r="CE102" s="38">
        <f t="shared" si="51"/>
        <v>227000</v>
      </c>
      <c r="CF102" s="38">
        <f t="shared" si="51"/>
        <v>227000</v>
      </c>
      <c r="CG102" s="38">
        <f t="shared" si="51"/>
        <v>227000</v>
      </c>
      <c r="CH102" s="38">
        <f t="shared" si="51"/>
        <v>227000</v>
      </c>
      <c r="CI102" s="38">
        <f t="shared" si="51"/>
        <v>227000</v>
      </c>
      <c r="CJ102" s="38">
        <f t="shared" si="51"/>
        <v>227000</v>
      </c>
      <c r="CK102" s="38">
        <f t="shared" si="51"/>
        <v>227000</v>
      </c>
      <c r="CL102" s="38">
        <f t="shared" si="51"/>
        <v>227000</v>
      </c>
      <c r="CM102" s="38">
        <f t="shared" si="51"/>
        <v>227000</v>
      </c>
      <c r="CN102" s="38">
        <f t="shared" si="51"/>
        <v>227000</v>
      </c>
      <c r="CO102" s="38">
        <f t="shared" si="51"/>
        <v>227000</v>
      </c>
      <c r="CP102" s="38">
        <f t="shared" si="51"/>
        <v>227000</v>
      </c>
      <c r="CQ102" s="38">
        <f t="shared" si="51"/>
        <v>227000</v>
      </c>
      <c r="CR102" s="38">
        <f t="shared" si="51"/>
        <v>227000</v>
      </c>
      <c r="CS102" s="38">
        <f t="shared" si="51"/>
        <v>227000</v>
      </c>
      <c r="CT102" s="38">
        <f t="shared" si="51"/>
        <v>227000</v>
      </c>
      <c r="CU102" s="38">
        <f t="shared" si="51"/>
        <v>227000</v>
      </c>
      <c r="CV102" s="38">
        <f t="shared" si="51"/>
        <v>227000</v>
      </c>
      <c r="CW102" s="38">
        <f t="shared" si="51"/>
        <v>227000</v>
      </c>
      <c r="CX102" s="38">
        <f t="shared" si="51"/>
        <v>227000</v>
      </c>
      <c r="CY102" s="38">
        <f t="shared" si="51"/>
        <v>227000</v>
      </c>
      <c r="CZ102" s="38">
        <f t="shared" si="51"/>
        <v>227000</v>
      </c>
      <c r="DA102" s="38">
        <f t="shared" si="51"/>
        <v>227000</v>
      </c>
      <c r="DB102" s="38">
        <f t="shared" si="51"/>
        <v>227000</v>
      </c>
      <c r="DC102" s="38">
        <f t="shared" si="51"/>
        <v>227000</v>
      </c>
      <c r="DE102" s="46">
        <f>COUNTBLANK(H102:DC102)</f>
        <v>0</v>
      </c>
      <c r="DF102" s="46">
        <f t="shared" si="39"/>
        <v>99</v>
      </c>
      <c r="DG102">
        <f t="shared" si="47"/>
        <v>0</v>
      </c>
    </row>
    <row r="103" spans="1:113" ht="14.4">
      <c r="A103" s="124"/>
      <c r="B103" s="5" t="str">
        <f>$B$100&amp;"3."</f>
        <v>H.3.</v>
      </c>
      <c r="C103" s="164"/>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4.4">
      <c r="A104" s="124"/>
      <c r="B104" s="5" t="str">
        <f>$B$100&amp;"4."</f>
        <v>H.4.</v>
      </c>
      <c r="C104" s="164"/>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4.4">
      <c r="A105" s="124"/>
      <c r="B105" s="5" t="str">
        <f>$B$100&amp;"5."</f>
        <v>H.5.</v>
      </c>
      <c r="C105" s="164"/>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4.4">
      <c r="A106" s="124"/>
      <c r="B106" s="5" t="str">
        <f>$B$100&amp;"6."</f>
        <v>H.6.</v>
      </c>
      <c r="C106" s="164"/>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H106">
        <v>1</v>
      </c>
    </row>
    <row r="107" spans="1:113" ht="14.4">
      <c r="A107" s="124"/>
      <c r="B107" s="5" t="str">
        <f>$B$100&amp;"7."</f>
        <v>H.7.</v>
      </c>
      <c r="C107" s="164"/>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H107">
        <v>1</v>
      </c>
    </row>
    <row r="108" spans="1:113" ht="14.4">
      <c r="A108" s="124"/>
      <c r="B108" s="5" t="str">
        <f>$B$100&amp;"8."</f>
        <v>H.8.</v>
      </c>
      <c r="C108" s="164"/>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H108">
        <v>1</v>
      </c>
      <c r="DI108" s="64">
        <v>0.05</v>
      </c>
    </row>
    <row r="109" spans="1:113" ht="14.4">
      <c r="A109" s="124"/>
      <c r="B109" s="5" t="str">
        <f>$B$100&amp;"9."</f>
        <v>H.9.</v>
      </c>
      <c r="C109" s="164"/>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4.4">
      <c r="A110" s="124"/>
      <c r="B110" s="5" t="str">
        <f>$B$100&amp;"10."</f>
        <v>H.10.</v>
      </c>
      <c r="C110" s="164"/>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c r="B112" s="5" t="s">
        <v>150</v>
      </c>
      <c r="C112" s="15" t="s">
        <v>163</v>
      </c>
      <c r="D112" s="15"/>
      <c r="E112" s="3"/>
      <c r="F112" s="11">
        <f>F113+F114-F115</f>
        <v>84229.738416096283</v>
      </c>
      <c r="G112" s="35">
        <f>SUMIF($H$5:$DC$5,"&lt;="&amp;PAL,$H112:$DC112)</f>
        <v>131033.05785123966</v>
      </c>
      <c r="H112" s="11">
        <f>H113+H114-H115</f>
        <v>0</v>
      </c>
      <c r="I112" s="11">
        <f t="shared" ref="I112:BR112" si="52">I113+I114-I115</f>
        <v>0</v>
      </c>
      <c r="J112" s="11">
        <f t="shared" si="52"/>
        <v>0</v>
      </c>
      <c r="K112" s="11">
        <f t="shared" si="52"/>
        <v>867.76859504132233</v>
      </c>
      <c r="L112" s="11">
        <f t="shared" si="52"/>
        <v>867.76859504132233</v>
      </c>
      <c r="M112" s="11">
        <f t="shared" si="52"/>
        <v>4338.8429752066113</v>
      </c>
      <c r="N112" s="11">
        <f t="shared" si="52"/>
        <v>0</v>
      </c>
      <c r="O112" s="11">
        <f t="shared" si="52"/>
        <v>0</v>
      </c>
      <c r="P112" s="11">
        <f t="shared" si="52"/>
        <v>0</v>
      </c>
      <c r="Q112" s="11">
        <f t="shared" si="52"/>
        <v>0</v>
      </c>
      <c r="R112" s="11">
        <f t="shared" si="52"/>
        <v>20826.446280991735</v>
      </c>
      <c r="S112" s="11">
        <f t="shared" si="52"/>
        <v>41652.89256198347</v>
      </c>
      <c r="T112" s="11">
        <f t="shared" si="52"/>
        <v>20826.446280991735</v>
      </c>
      <c r="U112" s="11">
        <f t="shared" si="52"/>
        <v>41652.89256198347</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6">
        <f t="shared" si="39"/>
        <v>7</v>
      </c>
    </row>
    <row r="113" spans="1:110" ht="15" customHeight="1">
      <c r="A113" s="124"/>
      <c r="B113" s="5" t="s">
        <v>151</v>
      </c>
      <c r="C113" s="24" t="s">
        <v>203</v>
      </c>
      <c r="D113" s="5"/>
      <c r="E113" s="5"/>
      <c r="F113" s="35">
        <f>H113+NPV(FD,I113:INDEX(I113:DC113,PAL))</f>
        <v>84229.738416096283</v>
      </c>
      <c r="G113" s="35">
        <f>SUMIF($H$5:$DC$5,"&lt;="&amp;PAL,$H113:$DC113)</f>
        <v>131033.05785123966</v>
      </c>
      <c r="H113" s="66">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4"/>
        <v>0</v>
      </c>
      <c r="J113" s="66">
        <f t="shared" si="54"/>
        <v>0</v>
      </c>
      <c r="K113" s="66">
        <f t="shared" si="54"/>
        <v>867.76859504132233</v>
      </c>
      <c r="L113" s="66">
        <f t="shared" si="54"/>
        <v>867.76859504132233</v>
      </c>
      <c r="M113" s="66">
        <f t="shared" si="54"/>
        <v>4338.8429752066113</v>
      </c>
      <c r="N113" s="66">
        <f t="shared" si="54"/>
        <v>0</v>
      </c>
      <c r="O113" s="66">
        <f t="shared" si="54"/>
        <v>0</v>
      </c>
      <c r="P113" s="66">
        <f t="shared" si="54"/>
        <v>0</v>
      </c>
      <c r="Q113" s="66">
        <f t="shared" si="54"/>
        <v>0</v>
      </c>
      <c r="R113" s="66">
        <f t="shared" si="54"/>
        <v>20826.446280991735</v>
      </c>
      <c r="S113" s="66">
        <f t="shared" si="54"/>
        <v>41652.89256198347</v>
      </c>
      <c r="T113" s="66">
        <f t="shared" si="54"/>
        <v>20826.446280991735</v>
      </c>
      <c r="U113" s="66">
        <f t="shared" si="54"/>
        <v>41652.89256198347</v>
      </c>
      <c r="V113" s="66">
        <f t="shared" si="54"/>
        <v>0</v>
      </c>
      <c r="W113" s="66">
        <f t="shared" si="54"/>
        <v>0</v>
      </c>
      <c r="X113" s="66">
        <f t="shared" si="54"/>
        <v>0</v>
      </c>
      <c r="Y113" s="66">
        <f t="shared" si="54"/>
        <v>0</v>
      </c>
      <c r="Z113" s="66">
        <f t="shared" si="54"/>
        <v>0</v>
      </c>
      <c r="AA113" s="66">
        <f t="shared" si="54"/>
        <v>0</v>
      </c>
      <c r="AB113" s="66">
        <f t="shared" si="54"/>
        <v>0</v>
      </c>
      <c r="AC113" s="66">
        <f t="shared" si="54"/>
        <v>0</v>
      </c>
      <c r="AD113" s="66">
        <f t="shared" si="54"/>
        <v>0</v>
      </c>
      <c r="AE113" s="66">
        <f t="shared" si="54"/>
        <v>0</v>
      </c>
      <c r="AF113" s="66">
        <f t="shared" si="54"/>
        <v>0</v>
      </c>
      <c r="AG113" s="66">
        <f t="shared" si="54"/>
        <v>0</v>
      </c>
      <c r="AH113" s="66">
        <f t="shared" si="54"/>
        <v>0</v>
      </c>
      <c r="AI113" s="66">
        <f t="shared" si="54"/>
        <v>0</v>
      </c>
      <c r="AJ113" s="66">
        <f t="shared" si="54"/>
        <v>0</v>
      </c>
      <c r="AK113" s="66">
        <f t="shared" si="54"/>
        <v>0</v>
      </c>
      <c r="AL113" s="66">
        <f t="shared" si="54"/>
        <v>0</v>
      </c>
      <c r="AM113" s="66">
        <f t="shared" si="54"/>
        <v>0</v>
      </c>
      <c r="AN113" s="66">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5"/>
        <v>0</v>
      </c>
      <c r="AP113" s="66">
        <f t="shared" si="55"/>
        <v>0</v>
      </c>
      <c r="AQ113" s="66">
        <f t="shared" si="55"/>
        <v>0</v>
      </c>
      <c r="AR113" s="66">
        <f t="shared" si="55"/>
        <v>0</v>
      </c>
      <c r="AS113" s="66">
        <f t="shared" si="55"/>
        <v>0</v>
      </c>
      <c r="AT113" s="66">
        <f t="shared" si="55"/>
        <v>0</v>
      </c>
      <c r="AU113" s="66">
        <f t="shared" si="55"/>
        <v>0</v>
      </c>
      <c r="AV113" s="66">
        <f t="shared" si="55"/>
        <v>0</v>
      </c>
      <c r="AW113" s="66">
        <f t="shared" si="55"/>
        <v>0</v>
      </c>
      <c r="AX113" s="66">
        <f t="shared" si="55"/>
        <v>0</v>
      </c>
      <c r="AY113" s="66">
        <f t="shared" si="55"/>
        <v>0</v>
      </c>
      <c r="AZ113" s="66">
        <f t="shared" si="55"/>
        <v>0</v>
      </c>
      <c r="BA113" s="66">
        <f t="shared" si="55"/>
        <v>0</v>
      </c>
      <c r="BB113" s="66">
        <f t="shared" si="55"/>
        <v>0</v>
      </c>
      <c r="BC113" s="66">
        <f t="shared" si="55"/>
        <v>0</v>
      </c>
      <c r="BD113" s="66">
        <f t="shared" si="55"/>
        <v>0</v>
      </c>
      <c r="BE113" s="66">
        <f t="shared" si="55"/>
        <v>0</v>
      </c>
      <c r="BF113" s="66">
        <f t="shared" si="55"/>
        <v>0</v>
      </c>
      <c r="BG113" s="66">
        <f t="shared" si="55"/>
        <v>0</v>
      </c>
      <c r="BH113" s="66">
        <f t="shared" si="55"/>
        <v>0</v>
      </c>
      <c r="BI113" s="66">
        <f t="shared" si="55"/>
        <v>0</v>
      </c>
      <c r="BJ113" s="66">
        <f t="shared" si="55"/>
        <v>0</v>
      </c>
      <c r="BK113" s="66">
        <f t="shared" si="55"/>
        <v>0</v>
      </c>
      <c r="BL113" s="66">
        <f t="shared" si="55"/>
        <v>0</v>
      </c>
      <c r="BM113" s="66">
        <f t="shared" si="55"/>
        <v>0</v>
      </c>
      <c r="BN113" s="66">
        <f t="shared" si="55"/>
        <v>0</v>
      </c>
      <c r="BO113" s="66">
        <f t="shared" si="55"/>
        <v>0</v>
      </c>
      <c r="BP113" s="66">
        <f t="shared" si="55"/>
        <v>0</v>
      </c>
      <c r="BQ113" s="66">
        <f t="shared" si="55"/>
        <v>0</v>
      </c>
      <c r="BR113" s="66">
        <f t="shared" si="55"/>
        <v>0</v>
      </c>
      <c r="BS113" s="66">
        <f t="shared" si="55"/>
        <v>0</v>
      </c>
      <c r="BT113" s="66">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6"/>
        <v>0</v>
      </c>
      <c r="BV113" s="66">
        <f t="shared" si="56"/>
        <v>0</v>
      </c>
      <c r="BW113" s="66">
        <f t="shared" si="56"/>
        <v>0</v>
      </c>
      <c r="BX113" s="66">
        <f t="shared" si="56"/>
        <v>0</v>
      </c>
      <c r="BY113" s="66">
        <f t="shared" si="56"/>
        <v>0</v>
      </c>
      <c r="BZ113" s="66">
        <f t="shared" si="56"/>
        <v>0</v>
      </c>
      <c r="CA113" s="66">
        <f t="shared" si="56"/>
        <v>0</v>
      </c>
      <c r="CB113" s="66">
        <f t="shared" si="56"/>
        <v>0</v>
      </c>
      <c r="CC113" s="66">
        <f t="shared" si="56"/>
        <v>0</v>
      </c>
      <c r="CD113" s="66">
        <f t="shared" si="56"/>
        <v>0</v>
      </c>
      <c r="CE113" s="66">
        <f t="shared" si="56"/>
        <v>0</v>
      </c>
      <c r="CF113" s="66">
        <f t="shared" si="56"/>
        <v>0</v>
      </c>
      <c r="CG113" s="66">
        <f t="shared" si="56"/>
        <v>0</v>
      </c>
      <c r="CH113" s="66">
        <f t="shared" si="56"/>
        <v>0</v>
      </c>
      <c r="CI113" s="66">
        <f t="shared" si="56"/>
        <v>0</v>
      </c>
      <c r="CJ113" s="66">
        <f t="shared" si="56"/>
        <v>0</v>
      </c>
      <c r="CK113" s="66">
        <f t="shared" si="56"/>
        <v>0</v>
      </c>
      <c r="CL113" s="66">
        <f t="shared" si="56"/>
        <v>0</v>
      </c>
      <c r="CM113" s="66">
        <f t="shared" si="56"/>
        <v>0</v>
      </c>
      <c r="CN113" s="66">
        <f t="shared" si="56"/>
        <v>0</v>
      </c>
      <c r="CO113" s="66">
        <f t="shared" si="56"/>
        <v>0</v>
      </c>
      <c r="CP113" s="66">
        <f t="shared" si="56"/>
        <v>0</v>
      </c>
      <c r="CQ113" s="66">
        <f t="shared" si="56"/>
        <v>0</v>
      </c>
      <c r="CR113" s="66">
        <f t="shared" si="56"/>
        <v>0</v>
      </c>
      <c r="CS113" s="66">
        <f t="shared" si="56"/>
        <v>0</v>
      </c>
      <c r="CT113" s="66">
        <f t="shared" si="56"/>
        <v>0</v>
      </c>
      <c r="CU113" s="66">
        <f t="shared" si="56"/>
        <v>0</v>
      </c>
      <c r="CV113" s="66">
        <f t="shared" si="56"/>
        <v>0</v>
      </c>
      <c r="CW113" s="66">
        <f t="shared" si="56"/>
        <v>0</v>
      </c>
      <c r="CX113" s="66">
        <f t="shared" si="56"/>
        <v>0</v>
      </c>
      <c r="CY113" s="66">
        <f t="shared" si="56"/>
        <v>0</v>
      </c>
      <c r="CZ113" s="66">
        <f t="shared" si="56"/>
        <v>0</v>
      </c>
      <c r="DA113" s="66">
        <f t="shared" si="56"/>
        <v>0</v>
      </c>
      <c r="DB113" s="66">
        <f t="shared" si="56"/>
        <v>0</v>
      </c>
      <c r="DC113" s="66">
        <f t="shared" si="56"/>
        <v>0</v>
      </c>
      <c r="DF113" s="46">
        <f t="shared" si="39"/>
        <v>7</v>
      </c>
    </row>
    <row r="114" spans="1:110" ht="15" customHeight="1">
      <c r="A114" s="124"/>
      <c r="B114" s="5" t="s">
        <v>152</v>
      </c>
      <c r="C114" s="24" t="s">
        <v>204</v>
      </c>
      <c r="D114" s="5"/>
      <c r="E114" s="5"/>
      <c r="F114" s="35">
        <f>H114+NPV(FD,I114:INDEX(I114:DC114,PAL))</f>
        <v>0</v>
      </c>
      <c r="G114" s="35">
        <f>SUMIF($H$5:$DC$5,"&lt;="&amp;PAL,$H114:$DC114)</f>
        <v>0</v>
      </c>
      <c r="H114" s="66">
        <f t="shared" ref="H114:AM114" si="57">SUMPRODUCT($DG90:$DG99,H90:H99,1/($DG90:$DG99+100))</f>
        <v>0</v>
      </c>
      <c r="I114" s="66">
        <f t="shared" si="57"/>
        <v>0</v>
      </c>
      <c r="J114" s="66">
        <f t="shared" si="57"/>
        <v>0</v>
      </c>
      <c r="K114" s="66">
        <f t="shared" si="57"/>
        <v>0</v>
      </c>
      <c r="L114" s="66">
        <f t="shared" si="57"/>
        <v>0</v>
      </c>
      <c r="M114" s="66">
        <f t="shared" si="57"/>
        <v>0</v>
      </c>
      <c r="N114" s="66">
        <f t="shared" si="57"/>
        <v>0</v>
      </c>
      <c r="O114" s="66">
        <f t="shared" si="57"/>
        <v>0</v>
      </c>
      <c r="P114" s="66">
        <f t="shared" si="57"/>
        <v>0</v>
      </c>
      <c r="Q114" s="66">
        <f t="shared" si="57"/>
        <v>0</v>
      </c>
      <c r="R114" s="66">
        <f t="shared" si="57"/>
        <v>0</v>
      </c>
      <c r="S114" s="66">
        <f t="shared" si="57"/>
        <v>0</v>
      </c>
      <c r="T114" s="66">
        <f t="shared" si="57"/>
        <v>0</v>
      </c>
      <c r="U114" s="66">
        <f t="shared" si="57"/>
        <v>0</v>
      </c>
      <c r="V114" s="66">
        <f t="shared" si="57"/>
        <v>0</v>
      </c>
      <c r="W114" s="66">
        <f t="shared" si="57"/>
        <v>0</v>
      </c>
      <c r="X114" s="66">
        <f t="shared" si="57"/>
        <v>0</v>
      </c>
      <c r="Y114" s="66">
        <f t="shared" si="57"/>
        <v>0</v>
      </c>
      <c r="Z114" s="66">
        <f t="shared" si="57"/>
        <v>0</v>
      </c>
      <c r="AA114" s="66">
        <f t="shared" si="57"/>
        <v>0</v>
      </c>
      <c r="AB114" s="66">
        <f t="shared" si="57"/>
        <v>0</v>
      </c>
      <c r="AC114" s="66">
        <f t="shared" si="57"/>
        <v>0</v>
      </c>
      <c r="AD114" s="66">
        <f t="shared" si="57"/>
        <v>0</v>
      </c>
      <c r="AE114" s="66">
        <f t="shared" si="57"/>
        <v>0</v>
      </c>
      <c r="AF114" s="66">
        <f t="shared" si="57"/>
        <v>0</v>
      </c>
      <c r="AG114" s="66">
        <f t="shared" si="57"/>
        <v>0</v>
      </c>
      <c r="AH114" s="66">
        <f t="shared" si="57"/>
        <v>0</v>
      </c>
      <c r="AI114" s="66">
        <f t="shared" si="57"/>
        <v>0</v>
      </c>
      <c r="AJ114" s="66">
        <f t="shared" si="57"/>
        <v>0</v>
      </c>
      <c r="AK114" s="66">
        <f t="shared" si="57"/>
        <v>0</v>
      </c>
      <c r="AL114" s="66">
        <f t="shared" si="57"/>
        <v>0</v>
      </c>
      <c r="AM114" s="66">
        <f t="shared" si="57"/>
        <v>0</v>
      </c>
      <c r="AN114" s="66">
        <f t="shared" ref="AN114:BS114" si="58">SUMPRODUCT($DG90:$DG99,AN90:AN99,1/($DG90:$DG99+100))</f>
        <v>0</v>
      </c>
      <c r="AO114" s="66">
        <f t="shared" si="58"/>
        <v>0</v>
      </c>
      <c r="AP114" s="66">
        <f t="shared" si="58"/>
        <v>0</v>
      </c>
      <c r="AQ114" s="66">
        <f t="shared" si="58"/>
        <v>0</v>
      </c>
      <c r="AR114" s="66">
        <f t="shared" si="58"/>
        <v>0</v>
      </c>
      <c r="AS114" s="66">
        <f t="shared" si="58"/>
        <v>0</v>
      </c>
      <c r="AT114" s="66">
        <f t="shared" si="58"/>
        <v>0</v>
      </c>
      <c r="AU114" s="66">
        <f t="shared" si="58"/>
        <v>0</v>
      </c>
      <c r="AV114" s="66">
        <f t="shared" si="58"/>
        <v>0</v>
      </c>
      <c r="AW114" s="66">
        <f t="shared" si="58"/>
        <v>0</v>
      </c>
      <c r="AX114" s="66">
        <f t="shared" si="58"/>
        <v>0</v>
      </c>
      <c r="AY114" s="66">
        <f t="shared" si="58"/>
        <v>0</v>
      </c>
      <c r="AZ114" s="66">
        <f t="shared" si="58"/>
        <v>0</v>
      </c>
      <c r="BA114" s="66">
        <f t="shared" si="58"/>
        <v>0</v>
      </c>
      <c r="BB114" s="66">
        <f t="shared" si="58"/>
        <v>0</v>
      </c>
      <c r="BC114" s="66">
        <f t="shared" si="58"/>
        <v>0</v>
      </c>
      <c r="BD114" s="66">
        <f t="shared" si="58"/>
        <v>0</v>
      </c>
      <c r="BE114" s="66">
        <f t="shared" si="58"/>
        <v>0</v>
      </c>
      <c r="BF114" s="66">
        <f t="shared" si="58"/>
        <v>0</v>
      </c>
      <c r="BG114" s="66">
        <f t="shared" si="58"/>
        <v>0</v>
      </c>
      <c r="BH114" s="66">
        <f t="shared" si="58"/>
        <v>0</v>
      </c>
      <c r="BI114" s="66">
        <f t="shared" si="58"/>
        <v>0</v>
      </c>
      <c r="BJ114" s="66">
        <f t="shared" si="58"/>
        <v>0</v>
      </c>
      <c r="BK114" s="66">
        <f t="shared" si="58"/>
        <v>0</v>
      </c>
      <c r="BL114" s="66">
        <f t="shared" si="58"/>
        <v>0</v>
      </c>
      <c r="BM114" s="66">
        <f t="shared" si="58"/>
        <v>0</v>
      </c>
      <c r="BN114" s="66">
        <f t="shared" si="58"/>
        <v>0</v>
      </c>
      <c r="BO114" s="66">
        <f t="shared" si="58"/>
        <v>0</v>
      </c>
      <c r="BP114" s="66">
        <f t="shared" si="58"/>
        <v>0</v>
      </c>
      <c r="BQ114" s="66">
        <f t="shared" si="58"/>
        <v>0</v>
      </c>
      <c r="BR114" s="66">
        <f t="shared" si="58"/>
        <v>0</v>
      </c>
      <c r="BS114" s="66">
        <f t="shared" si="58"/>
        <v>0</v>
      </c>
      <c r="BT114" s="66">
        <f t="shared" ref="BT114:DC114" si="59">SUMPRODUCT($DG90:$DG99,BT90:BT99,1/($DG90:$DG99+100))</f>
        <v>0</v>
      </c>
      <c r="BU114" s="66">
        <f t="shared" si="59"/>
        <v>0</v>
      </c>
      <c r="BV114" s="66">
        <f t="shared" si="59"/>
        <v>0</v>
      </c>
      <c r="BW114" s="66">
        <f t="shared" si="59"/>
        <v>0</v>
      </c>
      <c r="BX114" s="66">
        <f t="shared" si="59"/>
        <v>0</v>
      </c>
      <c r="BY114" s="66">
        <f t="shared" si="59"/>
        <v>0</v>
      </c>
      <c r="BZ114" s="66">
        <f t="shared" si="59"/>
        <v>0</v>
      </c>
      <c r="CA114" s="66">
        <f t="shared" si="59"/>
        <v>0</v>
      </c>
      <c r="CB114" s="66">
        <f t="shared" si="59"/>
        <v>0</v>
      </c>
      <c r="CC114" s="66">
        <f t="shared" si="59"/>
        <v>0</v>
      </c>
      <c r="CD114" s="66">
        <f t="shared" si="59"/>
        <v>0</v>
      </c>
      <c r="CE114" s="66">
        <f t="shared" si="59"/>
        <v>0</v>
      </c>
      <c r="CF114" s="66">
        <f t="shared" si="59"/>
        <v>0</v>
      </c>
      <c r="CG114" s="66">
        <f t="shared" si="59"/>
        <v>0</v>
      </c>
      <c r="CH114" s="66">
        <f t="shared" si="59"/>
        <v>0</v>
      </c>
      <c r="CI114" s="66">
        <f t="shared" si="59"/>
        <v>0</v>
      </c>
      <c r="CJ114" s="66">
        <f t="shared" si="59"/>
        <v>0</v>
      </c>
      <c r="CK114" s="66">
        <f t="shared" si="59"/>
        <v>0</v>
      </c>
      <c r="CL114" s="66">
        <f t="shared" si="59"/>
        <v>0</v>
      </c>
      <c r="CM114" s="66">
        <f t="shared" si="59"/>
        <v>0</v>
      </c>
      <c r="CN114" s="66">
        <f t="shared" si="59"/>
        <v>0</v>
      </c>
      <c r="CO114" s="66">
        <f t="shared" si="59"/>
        <v>0</v>
      </c>
      <c r="CP114" s="66">
        <f t="shared" si="59"/>
        <v>0</v>
      </c>
      <c r="CQ114" s="66">
        <f t="shared" si="59"/>
        <v>0</v>
      </c>
      <c r="CR114" s="66">
        <f t="shared" si="59"/>
        <v>0</v>
      </c>
      <c r="CS114" s="66">
        <f t="shared" si="59"/>
        <v>0</v>
      </c>
      <c r="CT114" s="66">
        <f t="shared" si="59"/>
        <v>0</v>
      </c>
      <c r="CU114" s="66">
        <f t="shared" si="59"/>
        <v>0</v>
      </c>
      <c r="CV114" s="66">
        <f t="shared" si="59"/>
        <v>0</v>
      </c>
      <c r="CW114" s="66">
        <f t="shared" si="59"/>
        <v>0</v>
      </c>
      <c r="CX114" s="66">
        <f t="shared" si="59"/>
        <v>0</v>
      </c>
      <c r="CY114" s="66">
        <f t="shared" si="59"/>
        <v>0</v>
      </c>
      <c r="CZ114" s="66">
        <f t="shared" si="59"/>
        <v>0</v>
      </c>
      <c r="DA114" s="66">
        <f t="shared" si="59"/>
        <v>0</v>
      </c>
      <c r="DB114" s="66">
        <f t="shared" si="59"/>
        <v>0</v>
      </c>
      <c r="DC114" s="66">
        <f t="shared" si="59"/>
        <v>0</v>
      </c>
      <c r="DD114" s="65"/>
      <c r="DF114" s="46">
        <f t="shared" si="39"/>
        <v>0</v>
      </c>
    </row>
    <row r="115" spans="1:110" ht="15" customHeight="1">
      <c r="A115" s="124"/>
      <c r="B115" s="5" t="s">
        <v>202</v>
      </c>
      <c r="C115" s="24" t="s">
        <v>12</v>
      </c>
      <c r="D115" s="24"/>
      <c r="E115" s="5"/>
      <c r="F115" s="35">
        <f>H115+NPV(FD,I115:INDEX(I115:DC115,PAL))</f>
        <v>0</v>
      </c>
      <c r="G115" s="35">
        <f>SUMIF($H$5:$DC$5,"&lt;="&amp;PAL,$H115:$DC115)</f>
        <v>0</v>
      </c>
      <c r="H115" s="66">
        <f>SUMPRODUCT($DG101:$DG110,H101:H110,1/($DG101:$DG110+100))</f>
        <v>0</v>
      </c>
      <c r="I115" s="66">
        <f t="shared" ref="I115:BT115" si="60">SUMPRODUCT($DG101:$DG110,I101:I110,1/($DG101:$DG110+100))</f>
        <v>0</v>
      </c>
      <c r="J115" s="66">
        <f t="shared" si="60"/>
        <v>0</v>
      </c>
      <c r="K115" s="66">
        <f t="shared" si="60"/>
        <v>0</v>
      </c>
      <c r="L115" s="66">
        <f t="shared" si="60"/>
        <v>0</v>
      </c>
      <c r="M115" s="66">
        <f t="shared" si="60"/>
        <v>0</v>
      </c>
      <c r="N115" s="66">
        <f t="shared" si="60"/>
        <v>0</v>
      </c>
      <c r="O115" s="66">
        <f t="shared" si="60"/>
        <v>0</v>
      </c>
      <c r="P115" s="66">
        <f t="shared" si="60"/>
        <v>0</v>
      </c>
      <c r="Q115" s="66">
        <f t="shared" si="60"/>
        <v>0</v>
      </c>
      <c r="R115" s="66">
        <f t="shared" si="60"/>
        <v>0</v>
      </c>
      <c r="S115" s="66">
        <f t="shared" si="60"/>
        <v>0</v>
      </c>
      <c r="T115" s="66">
        <f t="shared" si="60"/>
        <v>0</v>
      </c>
      <c r="U115" s="66">
        <f t="shared" si="60"/>
        <v>0</v>
      </c>
      <c r="V115" s="66">
        <f t="shared" si="60"/>
        <v>0</v>
      </c>
      <c r="W115" s="66">
        <f t="shared" si="60"/>
        <v>0</v>
      </c>
      <c r="X115" s="66">
        <f t="shared" si="60"/>
        <v>0</v>
      </c>
      <c r="Y115" s="66">
        <f t="shared" si="60"/>
        <v>0</v>
      </c>
      <c r="Z115" s="66">
        <f t="shared" si="60"/>
        <v>0</v>
      </c>
      <c r="AA115" s="66">
        <f t="shared" si="60"/>
        <v>0</v>
      </c>
      <c r="AB115" s="66">
        <f t="shared" si="60"/>
        <v>0</v>
      </c>
      <c r="AC115" s="66">
        <f t="shared" si="60"/>
        <v>0</v>
      </c>
      <c r="AD115" s="66">
        <f t="shared" si="60"/>
        <v>0</v>
      </c>
      <c r="AE115" s="66">
        <f t="shared" si="60"/>
        <v>0</v>
      </c>
      <c r="AF115" s="66">
        <f t="shared" si="60"/>
        <v>0</v>
      </c>
      <c r="AG115" s="66">
        <f t="shared" si="60"/>
        <v>0</v>
      </c>
      <c r="AH115" s="66">
        <f t="shared" si="60"/>
        <v>0</v>
      </c>
      <c r="AI115" s="66">
        <f t="shared" si="60"/>
        <v>0</v>
      </c>
      <c r="AJ115" s="66">
        <f t="shared" si="60"/>
        <v>0</v>
      </c>
      <c r="AK115" s="66">
        <f t="shared" si="60"/>
        <v>0</v>
      </c>
      <c r="AL115" s="66">
        <f t="shared" si="60"/>
        <v>0</v>
      </c>
      <c r="AM115" s="66">
        <f t="shared" si="60"/>
        <v>0</v>
      </c>
      <c r="AN115" s="66">
        <f t="shared" si="60"/>
        <v>0</v>
      </c>
      <c r="AO115" s="66">
        <f t="shared" si="60"/>
        <v>0</v>
      </c>
      <c r="AP115" s="66">
        <f t="shared" si="60"/>
        <v>0</v>
      </c>
      <c r="AQ115" s="66">
        <f t="shared" si="60"/>
        <v>0</v>
      </c>
      <c r="AR115" s="66">
        <f t="shared" si="60"/>
        <v>0</v>
      </c>
      <c r="AS115" s="66">
        <f t="shared" si="60"/>
        <v>0</v>
      </c>
      <c r="AT115" s="66">
        <f t="shared" si="60"/>
        <v>0</v>
      </c>
      <c r="AU115" s="66">
        <f t="shared" si="60"/>
        <v>0</v>
      </c>
      <c r="AV115" s="66">
        <f t="shared" si="60"/>
        <v>0</v>
      </c>
      <c r="AW115" s="66">
        <f t="shared" si="60"/>
        <v>0</v>
      </c>
      <c r="AX115" s="66">
        <f t="shared" si="60"/>
        <v>0</v>
      </c>
      <c r="AY115" s="66">
        <f t="shared" si="60"/>
        <v>0</v>
      </c>
      <c r="AZ115" s="66">
        <f t="shared" si="60"/>
        <v>0</v>
      </c>
      <c r="BA115" s="66">
        <f t="shared" si="60"/>
        <v>0</v>
      </c>
      <c r="BB115" s="66">
        <f t="shared" si="60"/>
        <v>0</v>
      </c>
      <c r="BC115" s="66">
        <f t="shared" si="60"/>
        <v>0</v>
      </c>
      <c r="BD115" s="66">
        <f t="shared" si="60"/>
        <v>0</v>
      </c>
      <c r="BE115" s="66">
        <f t="shared" si="60"/>
        <v>0</v>
      </c>
      <c r="BF115" s="66">
        <f t="shared" si="60"/>
        <v>0</v>
      </c>
      <c r="BG115" s="66">
        <f t="shared" si="60"/>
        <v>0</v>
      </c>
      <c r="BH115" s="66">
        <f t="shared" si="60"/>
        <v>0</v>
      </c>
      <c r="BI115" s="66">
        <f t="shared" si="60"/>
        <v>0</v>
      </c>
      <c r="BJ115" s="66">
        <f t="shared" si="60"/>
        <v>0</v>
      </c>
      <c r="BK115" s="66">
        <f t="shared" si="60"/>
        <v>0</v>
      </c>
      <c r="BL115" s="66">
        <f t="shared" si="60"/>
        <v>0</v>
      </c>
      <c r="BM115" s="66">
        <f t="shared" si="60"/>
        <v>0</v>
      </c>
      <c r="BN115" s="66">
        <f t="shared" si="60"/>
        <v>0</v>
      </c>
      <c r="BO115" s="66">
        <f t="shared" si="60"/>
        <v>0</v>
      </c>
      <c r="BP115" s="66">
        <f t="shared" si="60"/>
        <v>0</v>
      </c>
      <c r="BQ115" s="66">
        <f t="shared" si="60"/>
        <v>0</v>
      </c>
      <c r="BR115" s="66">
        <f t="shared" si="60"/>
        <v>0</v>
      </c>
      <c r="BS115" s="66">
        <f t="shared" si="60"/>
        <v>0</v>
      </c>
      <c r="BT115" s="66">
        <f t="shared" si="60"/>
        <v>0</v>
      </c>
      <c r="BU115" s="66">
        <f t="shared" ref="BU115:DC115" si="61">SUMPRODUCT($DG101:$DG110,BU101:BU110,1/($DG101:$DG110+100))</f>
        <v>0</v>
      </c>
      <c r="BV115" s="66">
        <f t="shared" si="61"/>
        <v>0</v>
      </c>
      <c r="BW115" s="66">
        <f t="shared" si="61"/>
        <v>0</v>
      </c>
      <c r="BX115" s="66">
        <f t="shared" si="61"/>
        <v>0</v>
      </c>
      <c r="BY115" s="66">
        <f t="shared" si="61"/>
        <v>0</v>
      </c>
      <c r="BZ115" s="66">
        <f t="shared" si="61"/>
        <v>0</v>
      </c>
      <c r="CA115" s="66">
        <f t="shared" si="61"/>
        <v>0</v>
      </c>
      <c r="CB115" s="66">
        <f t="shared" si="61"/>
        <v>0</v>
      </c>
      <c r="CC115" s="66">
        <f t="shared" si="61"/>
        <v>0</v>
      </c>
      <c r="CD115" s="66">
        <f t="shared" si="61"/>
        <v>0</v>
      </c>
      <c r="CE115" s="66">
        <f t="shared" si="61"/>
        <v>0</v>
      </c>
      <c r="CF115" s="66">
        <f t="shared" si="61"/>
        <v>0</v>
      </c>
      <c r="CG115" s="66">
        <f t="shared" si="61"/>
        <v>0</v>
      </c>
      <c r="CH115" s="66">
        <f t="shared" si="61"/>
        <v>0</v>
      </c>
      <c r="CI115" s="66">
        <f t="shared" si="61"/>
        <v>0</v>
      </c>
      <c r="CJ115" s="66">
        <f t="shared" si="61"/>
        <v>0</v>
      </c>
      <c r="CK115" s="66">
        <f t="shared" si="61"/>
        <v>0</v>
      </c>
      <c r="CL115" s="66">
        <f t="shared" si="61"/>
        <v>0</v>
      </c>
      <c r="CM115" s="66">
        <f t="shared" si="61"/>
        <v>0</v>
      </c>
      <c r="CN115" s="66">
        <f t="shared" si="61"/>
        <v>0</v>
      </c>
      <c r="CO115" s="66">
        <f t="shared" si="61"/>
        <v>0</v>
      </c>
      <c r="CP115" s="66">
        <f t="shared" si="61"/>
        <v>0</v>
      </c>
      <c r="CQ115" s="66">
        <f t="shared" si="61"/>
        <v>0</v>
      </c>
      <c r="CR115" s="66">
        <f t="shared" si="61"/>
        <v>0</v>
      </c>
      <c r="CS115" s="66">
        <f t="shared" si="61"/>
        <v>0</v>
      </c>
      <c r="CT115" s="66">
        <f t="shared" si="61"/>
        <v>0</v>
      </c>
      <c r="CU115" s="66">
        <f t="shared" si="61"/>
        <v>0</v>
      </c>
      <c r="CV115" s="66">
        <f t="shared" si="61"/>
        <v>0</v>
      </c>
      <c r="CW115" s="66">
        <f t="shared" si="61"/>
        <v>0</v>
      </c>
      <c r="CX115" s="66">
        <f t="shared" si="61"/>
        <v>0</v>
      </c>
      <c r="CY115" s="66">
        <f t="shared" si="61"/>
        <v>0</v>
      </c>
      <c r="CZ115" s="66">
        <f t="shared" si="61"/>
        <v>0</v>
      </c>
      <c r="DA115" s="66">
        <f t="shared" si="61"/>
        <v>0</v>
      </c>
      <c r="DB115" s="66">
        <f t="shared" si="61"/>
        <v>0</v>
      </c>
      <c r="DC115" s="66">
        <f t="shared" si="61"/>
        <v>0</v>
      </c>
      <c r="DE115" s="46">
        <f>COUNTBLANK(H115:DC115)</f>
        <v>0</v>
      </c>
      <c r="DF115" s="46">
        <f t="shared" si="39"/>
        <v>0</v>
      </c>
    </row>
    <row r="116" spans="1:110" ht="31.5" customHeight="1">
      <c r="A116" s="124"/>
      <c r="B116" s="5" t="s">
        <v>27</v>
      </c>
      <c r="C116" s="183" t="str">
        <f>CONCATENATE("SIEKIAMAS REZULTATAS: ",IF(Result=0,"",Result),", matavimo vienetas: ",IF(Result_mat=0,"",Result_mat))</f>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24"/>
      <c r="E116" s="5"/>
      <c r="F116" s="35">
        <f>H116+NPV(FD,I116:INDEX(I116:DC116,PAL))</f>
        <v>34.342439635093235</v>
      </c>
      <c r="G116" s="35">
        <f>SUMIF($H$5:$DC$5,"&lt;="&amp;PAL,$H116:$DC116)</f>
        <v>47</v>
      </c>
      <c r="H116" s="38">
        <v>0</v>
      </c>
      <c r="I116" s="38">
        <v>0</v>
      </c>
      <c r="J116" s="38">
        <v>0</v>
      </c>
      <c r="K116" s="38">
        <v>0</v>
      </c>
      <c r="L116" s="38">
        <v>0</v>
      </c>
      <c r="M116" s="38">
        <v>0</v>
      </c>
      <c r="N116" s="38">
        <v>0</v>
      </c>
      <c r="O116" s="38">
        <v>0</v>
      </c>
      <c r="P116" s="38">
        <v>47</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1</v>
      </c>
    </row>
    <row r="117" spans="1:110" ht="14.4">
      <c r="A117" s="124"/>
      <c r="B117" s="5" t="s">
        <v>18</v>
      </c>
      <c r="C117" s="15" t="s">
        <v>274</v>
      </c>
      <c r="D117" s="24"/>
      <c r="E117" s="5"/>
      <c r="F117" s="11">
        <f>SUM(F118-F126)</f>
        <v>983056950.68916154</v>
      </c>
      <c r="G117" s="35">
        <f>SUMIF($H$5:$DC$5,"&lt;="&amp;PAL,$H117:$DC117)</f>
        <v>1725998052.0572</v>
      </c>
      <c r="H117" s="11">
        <f>SUM(H118-H126)</f>
        <v>0</v>
      </c>
      <c r="I117" s="11">
        <f t="shared" ref="I117:BT117" si="62">SUM(I118-I126)</f>
        <v>986517.07499999995</v>
      </c>
      <c r="J117" s="11">
        <f t="shared" si="62"/>
        <v>29971710.582949981</v>
      </c>
      <c r="K117" s="11">
        <f t="shared" si="62"/>
        <v>38957595.624164641</v>
      </c>
      <c r="L117" s="11">
        <f t="shared" si="62"/>
        <v>79099264.526047871</v>
      </c>
      <c r="M117" s="11">
        <f t="shared" si="62"/>
        <v>81085398.590284094</v>
      </c>
      <c r="N117" s="11">
        <f t="shared" si="62"/>
        <v>83126373.721350878</v>
      </c>
      <c r="O117" s="11">
        <f t="shared" si="62"/>
        <v>85223743.608951807</v>
      </c>
      <c r="P117" s="11">
        <f t="shared" si="62"/>
        <v>87379106.280514657</v>
      </c>
      <c r="Q117" s="11">
        <f t="shared" si="62"/>
        <v>89594105.369597584</v>
      </c>
      <c r="R117" s="11">
        <f t="shared" si="62"/>
        <v>91870431.420618981</v>
      </c>
      <c r="S117" s="11">
        <f t="shared" si="62"/>
        <v>94209823.230958447</v>
      </c>
      <c r="T117" s="11">
        <f t="shared" si="62"/>
        <v>96614069.231494695</v>
      </c>
      <c r="U117" s="11">
        <f t="shared" si="62"/>
        <v>99085008.906686708</v>
      </c>
      <c r="V117" s="11">
        <f t="shared" si="62"/>
        <v>101624534.25532681</v>
      </c>
      <c r="W117" s="11">
        <f t="shared" si="62"/>
        <v>104234591.293135</v>
      </c>
      <c r="X117" s="11">
        <f t="shared" si="62"/>
        <v>106917181.59839237</v>
      </c>
      <c r="Y117" s="11">
        <f t="shared" si="62"/>
        <v>109674363.90184607</v>
      </c>
      <c r="Z117" s="11">
        <f t="shared" si="62"/>
        <v>112508255.72215754</v>
      </c>
      <c r="AA117" s="11">
        <f t="shared" si="62"/>
        <v>115421035.04819649</v>
      </c>
      <c r="AB117" s="11">
        <f t="shared" si="62"/>
        <v>118414942.0695252</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t="e">
        <f t="shared" si="62"/>
        <v>#REF!</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6">
        <f t="shared" si="39"/>
        <v>21</v>
      </c>
    </row>
    <row r="118" spans="1:110" ht="14.4">
      <c r="A118" s="124"/>
      <c r="B118" s="5" t="s">
        <v>192</v>
      </c>
      <c r="C118" s="24" t="s">
        <v>275</v>
      </c>
      <c r="D118" s="24"/>
      <c r="E118" s="5"/>
      <c r="F118" s="11">
        <f>SUM(F119:F125)</f>
        <v>983056950.68916154</v>
      </c>
      <c r="G118" s="35">
        <f>SUMIF($H$5:$DC$5,"&lt;="&amp;PAL,$H118:$DC118)</f>
        <v>1725998052.0572</v>
      </c>
      <c r="H118" s="11">
        <f>SUM(H119:H125)</f>
        <v>0</v>
      </c>
      <c r="I118" s="11">
        <f t="shared" ref="I118:BT118" si="64">SUM(I119:I125)</f>
        <v>986517.07499999995</v>
      </c>
      <c r="J118" s="11">
        <f t="shared" si="64"/>
        <v>29971710.582949981</v>
      </c>
      <c r="K118" s="11">
        <f t="shared" si="64"/>
        <v>38957595.624164641</v>
      </c>
      <c r="L118" s="11">
        <f t="shared" si="64"/>
        <v>79099264.526047871</v>
      </c>
      <c r="M118" s="11">
        <f t="shared" si="64"/>
        <v>81085398.590284094</v>
      </c>
      <c r="N118" s="11">
        <f t="shared" si="64"/>
        <v>83126373.721350878</v>
      </c>
      <c r="O118" s="11">
        <f t="shared" si="64"/>
        <v>85223743.608951807</v>
      </c>
      <c r="P118" s="11">
        <f t="shared" si="64"/>
        <v>87379106.280514657</v>
      </c>
      <c r="Q118" s="11">
        <f t="shared" si="64"/>
        <v>89594105.369597584</v>
      </c>
      <c r="R118" s="11">
        <f t="shared" si="64"/>
        <v>91870431.420618981</v>
      </c>
      <c r="S118" s="11">
        <f t="shared" si="64"/>
        <v>94209823.230958447</v>
      </c>
      <c r="T118" s="11">
        <f t="shared" si="64"/>
        <v>96614069.231494695</v>
      </c>
      <c r="U118" s="11">
        <f t="shared" si="64"/>
        <v>99085008.906686708</v>
      </c>
      <c r="V118" s="11">
        <f t="shared" si="64"/>
        <v>101624534.25532681</v>
      </c>
      <c r="W118" s="11">
        <f t="shared" si="64"/>
        <v>104234591.293135</v>
      </c>
      <c r="X118" s="11">
        <f t="shared" si="64"/>
        <v>106917181.59839237</v>
      </c>
      <c r="Y118" s="11">
        <f t="shared" si="64"/>
        <v>109674363.90184607</v>
      </c>
      <c r="Z118" s="11">
        <f t="shared" si="64"/>
        <v>112508255.72215754</v>
      </c>
      <c r="AA118" s="11">
        <f t="shared" si="64"/>
        <v>115421035.04819649</v>
      </c>
      <c r="AB118" s="11">
        <f t="shared" si="64"/>
        <v>118414942.0695252</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t="e">
        <f t="shared" si="64"/>
        <v>#REF!</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6">
        <f t="shared" si="39"/>
        <v>21</v>
      </c>
    </row>
    <row r="119" spans="1:110" ht="14.4">
      <c r="A119" s="124"/>
      <c r="B119" s="5" t="str">
        <f>$B$118&amp;"1."</f>
        <v>L.1.1.</v>
      </c>
      <c r="C119" s="170" t="s">
        <v>761</v>
      </c>
      <c r="D119" s="24"/>
      <c r="E119" s="5"/>
      <c r="F119" s="35">
        <f>H119+NPV(SD,I119:INDEX(I119:DC119,PAL))</f>
        <v>857433405.79222178</v>
      </c>
      <c r="G119" s="35">
        <f>SUMIF($H$5:$DC$5,"&lt;="&amp;PAL,$H119:$DC119)</f>
        <v>1515715508.6061361</v>
      </c>
      <c r="H119" s="38">
        <v>0</v>
      </c>
      <c r="I119" s="38">
        <f>+Prielaidos!G396</f>
        <v>0</v>
      </c>
      <c r="J119" s="38">
        <f>Prielaidos!H396+Prielaidos!H623</f>
        <v>20837071.555999976</v>
      </c>
      <c r="K119" s="38">
        <f>Prielaidos!I396+Prielaidos!I623</f>
        <v>29659896.624052979</v>
      </c>
      <c r="L119" s="38">
        <f>Prielaidos!J396+Prielaidos!J623</f>
        <v>68548109.700628564</v>
      </c>
      <c r="M119" s="38">
        <f>Prielaidos!K396+Prielaidos!K623</f>
        <v>70453951.40923135</v>
      </c>
      <c r="N119" s="38">
        <f>Prielaidos!L396+Prielaidos!L623</f>
        <v>72413829.707424104</v>
      </c>
      <c r="O119" s="38">
        <f>Prielaidos!M396+Prielaidos!M623</f>
        <v>74429287.326307654</v>
      </c>
      <c r="P119" s="38">
        <f>Prielaidos!N396+Prielaidos!N623</f>
        <v>76501911.152452901</v>
      </c>
      <c r="Q119" s="38">
        <f>Prielaidos!O396+Prielaidos!O623</f>
        <v>78633333.492998987</v>
      </c>
      <c r="R119" s="38">
        <f>Prielaidos!P396+Prielaidos!P623</f>
        <v>80825233.377014697</v>
      </c>
      <c r="S119" s="38">
        <f>Prielaidos!Q396+Prielaidos!Q623</f>
        <v>83079337.894167215</v>
      </c>
      <c r="T119" s="38">
        <f>Prielaidos!R396+Prielaidos!R623</f>
        <v>85397423.571763933</v>
      </c>
      <c r="U119" s="38">
        <f>Prielaidos!S396+Prielaidos!S623</f>
        <v>87781317.791271195</v>
      </c>
      <c r="V119" s="38">
        <f>Prielaidos!T396+Prielaidos!T623</f>
        <v>90232900.245439783</v>
      </c>
      <c r="W119" s="38">
        <f>Prielaidos!U396+Prielaidos!U623</f>
        <v>92754104.437201709</v>
      </c>
      <c r="X119" s="38">
        <f>Prielaidos!V396+Prielaidos!V623</f>
        <v>95346919.221538752</v>
      </c>
      <c r="Y119" s="38">
        <f>Prielaidos!W396+Prielaidos!W623</f>
        <v>98013390.391550809</v>
      </c>
      <c r="Z119" s="38">
        <f>Prielaidos!X396+Prielaidos!X623</f>
        <v>100755622.30999547</v>
      </c>
      <c r="AA119" s="38">
        <f>Prielaidos!Y396+Prielaidos!Y623</f>
        <v>103575779.58760116</v>
      </c>
      <c r="AB119" s="38">
        <f>Prielaidos!Z396+Prielaidos!Z623</f>
        <v>106476088.80949479</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6">COUNTBLANK(H119:DC119)</f>
        <v>0</v>
      </c>
      <c r="DF119" s="46">
        <f t="shared" si="39"/>
        <v>19</v>
      </c>
    </row>
    <row r="120" spans="1:110" ht="14.4">
      <c r="A120" s="124"/>
      <c r="B120" s="5" t="str">
        <f>$B$118&amp;"2."</f>
        <v>L.1.2.</v>
      </c>
      <c r="C120" s="170" t="s">
        <v>760</v>
      </c>
      <c r="D120" s="24"/>
      <c r="E120" s="5"/>
      <c r="F120" s="35">
        <f>H120+NPV(SD,I120:INDEX(I120:DC120,PAL))</f>
        <v>125623544.89693972</v>
      </c>
      <c r="G120" s="35">
        <f>SUMIF($H$5:$DC$5,"&lt;="&amp;PAL,$H120:$DC120)</f>
        <v>210282543.45106375</v>
      </c>
      <c r="H120" s="38">
        <v>0</v>
      </c>
      <c r="I120" s="38">
        <f>+Prielaidos!G354</f>
        <v>986517.07499999995</v>
      </c>
      <c r="J120" s="38">
        <f>+Prielaidos!H354</f>
        <v>9134639.0269500073</v>
      </c>
      <c r="K120" s="38">
        <f>+Prielaidos!I354</f>
        <v>9297699.0001116619</v>
      </c>
      <c r="L120" s="38">
        <f>+Prielaidos!J354</f>
        <v>10551154.825419307</v>
      </c>
      <c r="M120" s="38">
        <f>+Prielaidos!K354</f>
        <v>10631447.181052739</v>
      </c>
      <c r="N120" s="38">
        <f>+Prielaidos!L354</f>
        <v>10712544.013926776</v>
      </c>
      <c r="O120" s="38">
        <f>+Prielaidos!M354</f>
        <v>10794456.282644156</v>
      </c>
      <c r="P120" s="38">
        <f>+Prielaidos!N354</f>
        <v>10877195.128061753</v>
      </c>
      <c r="Q120" s="38">
        <f>+Prielaidos!O354</f>
        <v>10960771.876598597</v>
      </c>
      <c r="R120" s="38">
        <f>+Prielaidos!P354</f>
        <v>11045198.043604277</v>
      </c>
      <c r="S120" s="38">
        <f>+Prielaidos!Q354</f>
        <v>11130485.336791229</v>
      </c>
      <c r="T120" s="38">
        <f>+Prielaidos!R354</f>
        <v>11216645.659730766</v>
      </c>
      <c r="U120" s="38">
        <f>+Prielaidos!S354</f>
        <v>11303691.115415512</v>
      </c>
      <c r="V120" s="38">
        <f>+Prielaidos!T354</f>
        <v>11391634.009887028</v>
      </c>
      <c r="W120" s="38">
        <f>+Prielaidos!U354</f>
        <v>11480486.855933297</v>
      </c>
      <c r="X120" s="38">
        <f>+Prielaidos!V354</f>
        <v>11570262.376853621</v>
      </c>
      <c r="Y120" s="38">
        <f>+Prielaidos!W354</f>
        <v>11660973.510295251</v>
      </c>
      <c r="Z120" s="38">
        <f>+Prielaidos!X354</f>
        <v>11752633.412162062</v>
      </c>
      <c r="AA120" s="38">
        <f>+Prielaidos!Y354</f>
        <v>11845255.460595334</v>
      </c>
      <c r="AB120" s="38">
        <f>+Prielaidos!Z354</f>
        <v>11938853.260030402</v>
      </c>
      <c r="AC120" s="38">
        <f>+Prielaidos!AA354</f>
        <v>0</v>
      </c>
      <c r="AD120" s="38">
        <f>+Prielaidos!AB354</f>
        <v>0</v>
      </c>
      <c r="AE120" s="38">
        <f>+Prielaidos!AC354</f>
        <v>0</v>
      </c>
      <c r="AF120" s="38">
        <f>+Prielaidos!AD354</f>
        <v>0</v>
      </c>
      <c r="AG120" s="38">
        <f>+Prielaidos!AE354</f>
        <v>0</v>
      </c>
      <c r="AH120" s="38">
        <f>+Prielaidos!AF354</f>
        <v>0</v>
      </c>
      <c r="AI120" s="38">
        <f>+Prielaidos!AG354</f>
        <v>0</v>
      </c>
      <c r="AJ120" s="38">
        <f>+Prielaidos!AH354</f>
        <v>0</v>
      </c>
      <c r="AK120" s="38">
        <f>+Prielaidos!AI354</f>
        <v>0</v>
      </c>
      <c r="AL120" s="38">
        <f>+Prielaidos!AJ354</f>
        <v>0</v>
      </c>
      <c r="AM120" s="38" t="e">
        <f>+Prielaidos!#REF!</f>
        <v>#REF!</v>
      </c>
      <c r="AN120" s="38">
        <f>+Prielaidos!AK354</f>
        <v>0</v>
      </c>
      <c r="AO120" s="38">
        <f>+Prielaidos!AL354</f>
        <v>0</v>
      </c>
      <c r="AP120" s="38">
        <f>+Prielaidos!AM354</f>
        <v>0</v>
      </c>
      <c r="AQ120" s="38">
        <f>+Prielaidos!AN354</f>
        <v>0</v>
      </c>
      <c r="AR120" s="38">
        <f>+Prielaidos!AO354</f>
        <v>0</v>
      </c>
      <c r="AS120" s="38">
        <f>+Prielaidos!AP354</f>
        <v>0</v>
      </c>
      <c r="AT120" s="38">
        <f>+Prielaidos!AQ354</f>
        <v>0</v>
      </c>
      <c r="AU120" s="38">
        <f>+Prielaidos!AR354</f>
        <v>0</v>
      </c>
      <c r="AV120" s="38">
        <f>+Prielaidos!AS354</f>
        <v>0</v>
      </c>
      <c r="AW120" s="38">
        <f>+Prielaidos!AT354</f>
        <v>0</v>
      </c>
      <c r="AX120" s="38">
        <f>+Prielaidos!AU354</f>
        <v>0</v>
      </c>
      <c r="AY120" s="38">
        <f>+Prielaidos!AV354</f>
        <v>0</v>
      </c>
      <c r="AZ120" s="38">
        <f>+Prielaidos!AW354</f>
        <v>0</v>
      </c>
      <c r="BA120" s="38">
        <f>+Prielaidos!AX354</f>
        <v>0</v>
      </c>
      <c r="BB120" s="38">
        <f>+Prielaidos!AY354</f>
        <v>0</v>
      </c>
      <c r="BC120" s="38">
        <f>+Prielaidos!AZ354</f>
        <v>0</v>
      </c>
      <c r="BD120" s="38">
        <f>+Prielaidos!BA354</f>
        <v>0</v>
      </c>
      <c r="BE120" s="38">
        <f>+Prielaidos!BB354</f>
        <v>0</v>
      </c>
      <c r="BF120" s="38">
        <f>+Prielaidos!BC354</f>
        <v>0</v>
      </c>
      <c r="BG120" s="38">
        <f>+Prielaidos!BD354</f>
        <v>0</v>
      </c>
      <c r="BH120" s="38">
        <f>+Prielaidos!BE354</f>
        <v>0</v>
      </c>
      <c r="BI120" s="38">
        <f>+Prielaidos!BF354</f>
        <v>0</v>
      </c>
      <c r="BJ120" s="38">
        <f>+Prielaidos!BG354</f>
        <v>0</v>
      </c>
      <c r="BK120" s="38">
        <f>+Prielaidos!BH354</f>
        <v>0</v>
      </c>
      <c r="BL120" s="38">
        <f>+Prielaidos!BI354</f>
        <v>0</v>
      </c>
      <c r="BM120" s="38">
        <f>+Prielaidos!BJ354</f>
        <v>0</v>
      </c>
      <c r="BN120" s="38">
        <f>+Prielaidos!BK354</f>
        <v>0</v>
      </c>
      <c r="BO120" s="38">
        <f>+Prielaidos!BL354</f>
        <v>0</v>
      </c>
      <c r="BP120" s="38">
        <f>+Prielaidos!BM354</f>
        <v>0</v>
      </c>
      <c r="BQ120" s="38">
        <f>+Prielaidos!BN354</f>
        <v>0</v>
      </c>
      <c r="BR120" s="38">
        <f>+Prielaidos!BO354</f>
        <v>0</v>
      </c>
      <c r="BS120" s="38">
        <f>+Prielaidos!BP354</f>
        <v>0</v>
      </c>
      <c r="BT120" s="38">
        <f>+Prielaidos!BQ354</f>
        <v>0</v>
      </c>
      <c r="BU120" s="38">
        <f>+Prielaidos!BR354</f>
        <v>0</v>
      </c>
      <c r="BV120" s="38">
        <f>+Prielaidos!BS354</f>
        <v>0</v>
      </c>
      <c r="BW120" s="38">
        <f>+Prielaidos!BT354</f>
        <v>0</v>
      </c>
      <c r="BX120" s="38">
        <f>+Prielaidos!BU354</f>
        <v>0</v>
      </c>
      <c r="BY120" s="38">
        <f>+Prielaidos!BV354</f>
        <v>0</v>
      </c>
      <c r="BZ120" s="38">
        <f>+Prielaidos!BW354</f>
        <v>0</v>
      </c>
      <c r="CA120" s="38">
        <f>+Prielaidos!BX354</f>
        <v>0</v>
      </c>
      <c r="CB120" s="38">
        <f>+Prielaidos!BY354</f>
        <v>0</v>
      </c>
      <c r="CC120" s="38">
        <f>+Prielaidos!BZ354</f>
        <v>0</v>
      </c>
      <c r="CD120" s="38">
        <f>+Prielaidos!CA354</f>
        <v>0</v>
      </c>
      <c r="CE120" s="38">
        <f>+Prielaidos!CB354</f>
        <v>0</v>
      </c>
      <c r="CF120" s="38">
        <f>+Prielaidos!CC354</f>
        <v>0</v>
      </c>
      <c r="CG120" s="38">
        <f>+Prielaidos!CD354</f>
        <v>0</v>
      </c>
      <c r="CH120" s="38">
        <f>+Prielaidos!CE354</f>
        <v>0</v>
      </c>
      <c r="CI120" s="38">
        <f>+Prielaidos!CF354</f>
        <v>0</v>
      </c>
      <c r="CJ120" s="38">
        <f>+Prielaidos!CG354</f>
        <v>0</v>
      </c>
      <c r="CK120" s="38">
        <f>+Prielaidos!CH354</f>
        <v>0</v>
      </c>
      <c r="CL120" s="38">
        <f>+Prielaidos!CI354</f>
        <v>0</v>
      </c>
      <c r="CM120" s="38">
        <f>+Prielaidos!CJ354</f>
        <v>0</v>
      </c>
      <c r="CN120" s="38">
        <f>+Prielaidos!CK354</f>
        <v>0</v>
      </c>
      <c r="CO120" s="38">
        <f>+Prielaidos!CL354</f>
        <v>0</v>
      </c>
      <c r="CP120" s="38">
        <f>+Prielaidos!CM354</f>
        <v>0</v>
      </c>
      <c r="CQ120" s="38">
        <f>+Prielaidos!CN354</f>
        <v>0</v>
      </c>
      <c r="CR120" s="38">
        <f>+Prielaidos!CO354</f>
        <v>0</v>
      </c>
      <c r="CS120" s="38">
        <f>+Prielaidos!CP354</f>
        <v>0</v>
      </c>
      <c r="CT120" s="38">
        <f>+Prielaidos!CQ354</f>
        <v>0</v>
      </c>
      <c r="CU120" s="38">
        <f>+Prielaidos!CR354</f>
        <v>0</v>
      </c>
      <c r="CV120" s="38">
        <f>+Prielaidos!CS354</f>
        <v>0</v>
      </c>
      <c r="CW120" s="38">
        <f>+Prielaidos!CT354</f>
        <v>0</v>
      </c>
      <c r="CX120" s="38">
        <f>+Prielaidos!CU354</f>
        <v>0</v>
      </c>
      <c r="CY120" s="38">
        <f>+Prielaidos!CV354</f>
        <v>0</v>
      </c>
      <c r="CZ120" s="38">
        <f>+Prielaidos!CW354</f>
        <v>0</v>
      </c>
      <c r="DA120" s="38">
        <f>+Prielaidos!CX354</f>
        <v>0</v>
      </c>
      <c r="DB120" s="38">
        <f>+Prielaidos!CY354</f>
        <v>0</v>
      </c>
      <c r="DC120" s="38">
        <f>+Prielaidos!CZ354</f>
        <v>0</v>
      </c>
      <c r="DE120" s="46">
        <f t="shared" si="66"/>
        <v>0</v>
      </c>
      <c r="DF120" s="46">
        <f t="shared" si="39"/>
        <v>21</v>
      </c>
    </row>
    <row r="121" spans="1:110" ht="15" customHeight="1">
      <c r="A121" s="124"/>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6"/>
        <v>0</v>
      </c>
      <c r="DF121" s="46">
        <f t="shared" si="39"/>
        <v>0</v>
      </c>
    </row>
    <row r="122" spans="1:110" ht="15" customHeight="1">
      <c r="A122" s="124"/>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6"/>
        <v>0</v>
      </c>
      <c r="DF122" s="46">
        <f t="shared" si="39"/>
        <v>0</v>
      </c>
    </row>
    <row r="123" spans="1:110" ht="15" customHeight="1">
      <c r="A123" s="124"/>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6"/>
        <v>0</v>
      </c>
      <c r="DF123" s="46">
        <f t="shared" si="39"/>
        <v>0</v>
      </c>
    </row>
    <row r="124" spans="1:110" ht="15" customHeight="1">
      <c r="A124" s="124"/>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6"/>
        <v>0</v>
      </c>
      <c r="DF124" s="46">
        <f t="shared" si="39"/>
        <v>0</v>
      </c>
    </row>
    <row r="125" spans="1:110" ht="15" customHeight="1">
      <c r="A125" s="124"/>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6"/>
        <v>0</v>
      </c>
      <c r="DF125" s="46">
        <f t="shared" si="39"/>
        <v>0</v>
      </c>
    </row>
    <row r="126" spans="1:110" ht="14.4">
      <c r="A126" s="124"/>
      <c r="B126" s="5" t="s">
        <v>193</v>
      </c>
      <c r="C126" s="24" t="s">
        <v>276</v>
      </c>
      <c r="D126" s="24"/>
      <c r="E126" s="5"/>
      <c r="F126" s="11">
        <f>SUM(F127:F129)</f>
        <v>0</v>
      </c>
      <c r="G126" s="35">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6">
        <f t="shared" si="39"/>
        <v>0</v>
      </c>
    </row>
    <row r="127" spans="1:110" ht="15" customHeight="1">
      <c r="A127" s="124"/>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6"/>
        <v>0</v>
      </c>
      <c r="DF127" s="46">
        <f t="shared" si="39"/>
        <v>0</v>
      </c>
    </row>
    <row r="128" spans="1:110" ht="15" customHeight="1">
      <c r="A128" s="124"/>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6"/>
        <v>0</v>
      </c>
      <c r="DF128" s="46">
        <f t="shared" si="39"/>
        <v>0</v>
      </c>
    </row>
    <row r="129" spans="1:110" ht="15" customHeight="1">
      <c r="A129" s="124"/>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6"/>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1Esb9ztg6fq7RiUlwje9edUYg4fOH6MsfhzdwEcCZtUbGp9DTdpHAF7w4LAnruQk7IueDwX/ttTpuaQYAOoDYQ==" saltValue="dBGP/6+Zzg2W+bxEv1GSTQ=="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K79">
    <cfRule type="containsBlanks" dxfId="102" priority="27">
      <formula>LEN(TRIM(K79))=0</formula>
    </cfRule>
  </conditionalFormatting>
  <conditionalFormatting sqref="H111:DC111">
    <cfRule type="containsBlanks" dxfId="101" priority="26">
      <formula>LEN(TRIM(H111))=0</formula>
    </cfRule>
  </conditionalFormatting>
  <conditionalFormatting sqref="F7">
    <cfRule type="containsBlanks" dxfId="100" priority="24">
      <formula>LEN(TRIM(F7))=0</formula>
    </cfRule>
  </conditionalFormatting>
  <conditionalFormatting sqref="F8">
    <cfRule type="containsBlanks" dxfId="99" priority="23">
      <formula>LEN(TRIM(F8))=0</formula>
    </cfRule>
  </conditionalFormatting>
  <conditionalFormatting sqref="H100:DC100 L106:DC110 AB34:DC36 H112:DC114 H7:DC11 H37:DC45 X95:DC99 H96:W99 H13:DC33 H55:DC56 R46:DC53 H72:DC89 AC68:DC71 H58:DC67 H57:J57 N57:DC57 K94:DC94 V54:DC54 I94:AB95">
    <cfRule type="containsBlanks" dxfId="98" priority="32">
      <formula>LEN(TRIM(H7))=0</formula>
    </cfRule>
  </conditionalFormatting>
  <conditionalFormatting sqref="H116:DC129">
    <cfRule type="containsBlanks" dxfId="97" priority="31">
      <formula>LEN(TRIM(H116))=0</formula>
    </cfRule>
  </conditionalFormatting>
  <conditionalFormatting sqref="X94:DC94 AC90:DC90 AC92:DC93">
    <cfRule type="containsBlanks" dxfId="96" priority="30">
      <formula>LEN(TRIM(X90))=0</formula>
    </cfRule>
  </conditionalFormatting>
  <conditionalFormatting sqref="L103:DC105 H103:K110 X102:DC102 AC101:DC101">
    <cfRule type="containsBlanks" dxfId="95" priority="29">
      <formula>LEN(TRIM(H101))=0</formula>
    </cfRule>
  </conditionalFormatting>
  <conditionalFormatting sqref="H34:DC41">
    <cfRule type="containsBlanks" dxfId="94" priority="28">
      <formula>LEN(TRIM(H34))=0</formula>
    </cfRule>
  </conditionalFormatting>
  <conditionalFormatting sqref="D106:D110">
    <cfRule type="expression" dxfId="93" priority="22">
      <formula>AND($F106&lt;&gt;0,$E106="")</formula>
    </cfRule>
  </conditionalFormatting>
  <conditionalFormatting sqref="E106:E110">
    <cfRule type="expression" dxfId="92" priority="21">
      <formula>AND($F106&lt;&gt;0,$E106="")</formula>
    </cfRule>
  </conditionalFormatting>
  <conditionalFormatting sqref="H115:DC115">
    <cfRule type="containsBlanks" dxfId="91" priority="20">
      <formula>LEN(TRIM(H115))=0</formula>
    </cfRule>
  </conditionalFormatting>
  <conditionalFormatting sqref="I115:DC115">
    <cfRule type="containsBlanks" dxfId="90" priority="19">
      <formula>LEN(TRIM(I115))=0</formula>
    </cfRule>
  </conditionalFormatting>
  <conditionalFormatting sqref="H46:Q54 H46:DC53">
    <cfRule type="containsBlanks" dxfId="89" priority="18">
      <formula>LEN(TRIM(H46))=0</formula>
    </cfRule>
  </conditionalFormatting>
  <conditionalFormatting sqref="H95:AB95 I94:DC94">
    <cfRule type="containsBlanks" dxfId="88" priority="17">
      <formula>LEN(TRIM(H94))=0</formula>
    </cfRule>
  </conditionalFormatting>
  <conditionalFormatting sqref="AC90:DC90 H94:DC99 AC92:DC93">
    <cfRule type="containsBlanks" dxfId="87" priority="16">
      <formula>LEN(TRIM(H90))=0</formula>
    </cfRule>
  </conditionalFormatting>
  <conditionalFormatting sqref="AC101:DC101 H102:DC111">
    <cfRule type="containsBlanks" dxfId="86" priority="15">
      <formula>LEN(TRIM(H101))=0</formula>
    </cfRule>
  </conditionalFormatting>
  <conditionalFormatting sqref="K116">
    <cfRule type="containsBlanks" dxfId="85" priority="14">
      <formula>LEN(TRIM(K116))=0</formula>
    </cfRule>
  </conditionalFormatting>
  <conditionalFormatting sqref="U116">
    <cfRule type="containsBlanks" dxfId="84" priority="13">
      <formula>LEN(TRIM(U116))=0</formula>
    </cfRule>
  </conditionalFormatting>
  <conditionalFormatting sqref="H12:DC12">
    <cfRule type="containsBlanks" dxfId="83" priority="11">
      <formula>LEN(TRIM(H12))=0</formula>
    </cfRule>
  </conditionalFormatting>
  <conditionalFormatting sqref="H68:AB71">
    <cfRule type="containsBlanks" dxfId="82" priority="7">
      <formula>LEN(TRIM(H68))=0</formula>
    </cfRule>
  </conditionalFormatting>
  <conditionalFormatting sqref="H90:AB90 H92:AB93 H91:DC91">
    <cfRule type="containsBlanks" dxfId="81" priority="6">
      <formula>LEN(TRIM(H90))=0</formula>
    </cfRule>
  </conditionalFormatting>
  <conditionalFormatting sqref="K57:M57">
    <cfRule type="containsBlanks" dxfId="80" priority="5">
      <formula>LEN(TRIM(K57))=0</formula>
    </cfRule>
  </conditionalFormatting>
  <conditionalFormatting sqref="H101:AB101">
    <cfRule type="containsBlanks" dxfId="79" priority="3">
      <formula>LEN(TRIM(H101))=0</formula>
    </cfRule>
  </conditionalFormatting>
  <conditionalFormatting sqref="R54:U54">
    <cfRule type="containsBlanks" dxfId="78" priority="1">
      <formula>LEN(TRIM(R54))=0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qref="C119:C125" xr:uid="{00000000-0002-0000-0400-000002000000}">
      <formula1>Naudos</formula1>
    </dataValidation>
    <dataValidation type="list" allowBlank="1" showInput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30480</xdr:colOff>
                    <xdr:row>10</xdr:row>
                    <xdr:rowOff>0</xdr:rowOff>
                  </from>
                  <to>
                    <xdr:col>3</xdr:col>
                    <xdr:colOff>381000</xdr:colOff>
                    <xdr:row>10</xdr:row>
                    <xdr:rowOff>228600</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7620</xdr:colOff>
                    <xdr:row>6</xdr:row>
                    <xdr:rowOff>7620</xdr:rowOff>
                  </from>
                  <to>
                    <xdr:col>3</xdr:col>
                    <xdr:colOff>373380</xdr:colOff>
                    <xdr:row>6</xdr:row>
                    <xdr:rowOff>236220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7620</xdr:colOff>
                    <xdr:row>88</xdr:row>
                    <xdr:rowOff>0</xdr:rowOff>
                  </from>
                  <to>
                    <xdr:col>3</xdr:col>
                    <xdr:colOff>373380</xdr:colOff>
                    <xdr:row>89</xdr:row>
                    <xdr:rowOff>7620</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7620</xdr:colOff>
                    <xdr:row>99</xdr:row>
                    <xdr:rowOff>38100</xdr:rowOff>
                  </from>
                  <to>
                    <xdr:col>3</xdr:col>
                    <xdr:colOff>373380</xdr:colOff>
                    <xdr:row>99</xdr:row>
                    <xdr:rowOff>266700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7620</xdr:colOff>
                    <xdr:row>116</xdr:row>
                    <xdr:rowOff>7620</xdr:rowOff>
                  </from>
                  <to>
                    <xdr:col>3</xdr:col>
                    <xdr:colOff>373380</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137160</xdr:colOff>
                    <xdr:row>4</xdr:row>
                    <xdr:rowOff>7620</xdr:rowOff>
                  </from>
                  <to>
                    <xdr:col>4</xdr:col>
                    <xdr:colOff>464820</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45720</xdr:colOff>
                    <xdr:row>1</xdr:row>
                    <xdr:rowOff>175260</xdr:rowOff>
                  </from>
                  <to>
                    <xdr:col>6</xdr:col>
                    <xdr:colOff>906780</xdr:colOff>
                    <xdr:row>2</xdr:row>
                    <xdr:rowOff>228600</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106680</xdr:colOff>
                    <xdr:row>10</xdr:row>
                    <xdr:rowOff>38100</xdr:rowOff>
                  </from>
                  <to>
                    <xdr:col>0</xdr:col>
                    <xdr:colOff>274320</xdr:colOff>
                    <xdr:row>11</xdr:row>
                    <xdr:rowOff>0</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99060</xdr:colOff>
                    <xdr:row>44</xdr:row>
                    <xdr:rowOff>38100</xdr:rowOff>
                  </from>
                  <to>
                    <xdr:col>0</xdr:col>
                    <xdr:colOff>251460</xdr:colOff>
                    <xdr:row>44</xdr:row>
                    <xdr:rowOff>220980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99060</xdr:colOff>
                    <xdr:row>55</xdr:row>
                    <xdr:rowOff>38100</xdr:rowOff>
                  </from>
                  <to>
                    <xdr:col>0</xdr:col>
                    <xdr:colOff>251460</xdr:colOff>
                    <xdr:row>55</xdr:row>
                    <xdr:rowOff>220980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99060</xdr:colOff>
                    <xdr:row>66</xdr:row>
                    <xdr:rowOff>30480</xdr:rowOff>
                  </from>
                  <to>
                    <xdr:col>0</xdr:col>
                    <xdr:colOff>251460</xdr:colOff>
                    <xdr:row>66</xdr:row>
                    <xdr:rowOff>190500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99060</xdr:colOff>
                    <xdr:row>77</xdr:row>
                    <xdr:rowOff>38100</xdr:rowOff>
                  </from>
                  <to>
                    <xdr:col>0</xdr:col>
                    <xdr:colOff>251460</xdr:colOff>
                    <xdr:row>77</xdr:row>
                    <xdr:rowOff>198120</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7620</xdr:colOff>
                    <xdr:row>9</xdr:row>
                    <xdr:rowOff>30480</xdr:rowOff>
                  </from>
                  <to>
                    <xdr:col>1</xdr:col>
                    <xdr:colOff>0</xdr:colOff>
                    <xdr:row>9</xdr:row>
                    <xdr:rowOff>190500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99060</xdr:colOff>
                    <xdr:row>88</xdr:row>
                    <xdr:rowOff>30480</xdr:rowOff>
                  </from>
                  <to>
                    <xdr:col>0</xdr:col>
                    <xdr:colOff>251460</xdr:colOff>
                    <xdr:row>88</xdr:row>
                    <xdr:rowOff>198120</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83820</xdr:colOff>
                    <xdr:row>99</xdr:row>
                    <xdr:rowOff>45720</xdr:rowOff>
                  </from>
                  <to>
                    <xdr:col>0</xdr:col>
                    <xdr:colOff>236220</xdr:colOff>
                    <xdr:row>99</xdr:row>
                    <xdr:rowOff>220980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7620</xdr:colOff>
                    <xdr:row>110</xdr:row>
                    <xdr:rowOff>7620</xdr:rowOff>
                  </from>
                  <to>
                    <xdr:col>3</xdr:col>
                    <xdr:colOff>373380</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106680</xdr:colOff>
                    <xdr:row>21</xdr:row>
                    <xdr:rowOff>38100</xdr:rowOff>
                  </from>
                  <to>
                    <xdr:col>0</xdr:col>
                    <xdr:colOff>274320</xdr:colOff>
                    <xdr:row>22</xdr:row>
                    <xdr:rowOff>0</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99060</xdr:colOff>
                    <xdr:row>32</xdr:row>
                    <xdr:rowOff>45720</xdr:rowOff>
                  </from>
                  <to>
                    <xdr:col>0</xdr:col>
                    <xdr:colOff>266700</xdr:colOff>
                    <xdr:row>33</xdr:row>
                    <xdr:rowOff>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45720</xdr:rowOff>
                  </from>
                  <to>
                    <xdr:col>1</xdr:col>
                    <xdr:colOff>0</xdr:colOff>
                    <xdr:row>44</xdr:row>
                    <xdr:rowOff>0</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7620</xdr:colOff>
                    <xdr:row>8</xdr:row>
                    <xdr:rowOff>7620</xdr:rowOff>
                  </from>
                  <to>
                    <xdr:col>3</xdr:col>
                    <xdr:colOff>373380</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30480</xdr:colOff>
                    <xdr:row>21</xdr:row>
                    <xdr:rowOff>0</xdr:rowOff>
                  </from>
                  <to>
                    <xdr:col>4</xdr:col>
                    <xdr:colOff>0</xdr:colOff>
                    <xdr:row>21</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90" zoomScaleNormal="90" workbookViewId="0">
      <pane xSplit="7" ySplit="6" topLeftCell="W110" activePane="bottomRight" state="frozenSplit"/>
      <selection activeCell="J29" sqref="J29"/>
      <selection pane="topRight" activeCell="J29" sqref="J29"/>
      <selection pane="bottomLeft" activeCell="J29" sqref="J29"/>
      <selection pane="bottomRight" activeCell="J119" sqref="J119:AB119"/>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6" hidden="1" customWidth="1"/>
    <col min="110" max="111" width="9.109375" hidden="1" customWidth="1"/>
    <col min="112" max="112" width="13.6640625" hidden="1" customWidth="1"/>
  </cols>
  <sheetData>
    <row r="1" spans="1:112" ht="9" customHeight="1"/>
    <row r="2" spans="1:112" ht="14.4">
      <c r="B2" s="18" t="s">
        <v>165</v>
      </c>
      <c r="C2"/>
    </row>
    <row r="3" spans="1:112" ht="14.4">
      <c r="B3" s="180" t="str">
        <f>IF(INDEX(A3_pav,1,1)=0,"",INDEX(A3_pav,1,1))</f>
        <v>Konsulinės/diasporos svarbos scenarijus</v>
      </c>
      <c r="C3" s="181"/>
      <c r="D3" s="181"/>
      <c r="E3" s="182"/>
      <c r="F3" s="179"/>
      <c r="G3" s="2"/>
    </row>
    <row r="4" spans="1:112" ht="15" customHeight="1">
      <c r="B4" s="128"/>
      <c r="C4" s="128"/>
      <c r="D4" s="9"/>
      <c r="E4" s="191"/>
      <c r="F4" s="9"/>
    </row>
    <row r="5" spans="1:112" ht="14.4">
      <c r="B5" s="18" t="s">
        <v>206</v>
      </c>
      <c r="C5" s="128"/>
      <c r="F5" s="752" t="s">
        <v>32</v>
      </c>
      <c r="G5" s="753"/>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949</v>
      </c>
      <c r="DG6" s="25" t="s">
        <v>231</v>
      </c>
      <c r="DH6" s="25" t="s">
        <v>253</v>
      </c>
    </row>
    <row r="7" spans="1:112" ht="14.4">
      <c r="B7" s="5" t="s">
        <v>17</v>
      </c>
      <c r="C7" s="15" t="s">
        <v>39</v>
      </c>
      <c r="D7" s="5"/>
      <c r="E7" s="5"/>
      <c r="F7" s="35">
        <f>F8+F9+F89-F100+F111</f>
        <v>139533908.01183882</v>
      </c>
      <c r="G7" s="35">
        <f>SUMIF($H$5:$DC$5,"&lt;="&amp;PAL,$H7:$DC7)</f>
        <v>205368706.24019569</v>
      </c>
      <c r="H7" s="35">
        <f>H8+H9+H89-H100-H111</f>
        <v>1708000</v>
      </c>
      <c r="I7" s="35">
        <f t="shared" ref="I7:BT7" si="2">I8+I9+I89-I100-I111</f>
        <v>7481480.7675320003</v>
      </c>
      <c r="J7" s="35">
        <f t="shared" si="2"/>
        <v>8635258.9378861338</v>
      </c>
      <c r="K7" s="35">
        <f t="shared" si="2"/>
        <v>13183320.3630432</v>
      </c>
      <c r="L7" s="35">
        <f t="shared" si="2"/>
        <v>10213420.3630432</v>
      </c>
      <c r="M7" s="35">
        <f t="shared" si="2"/>
        <v>10233420.3630432</v>
      </c>
      <c r="N7" s="35">
        <f t="shared" si="2"/>
        <v>10212920.3630432</v>
      </c>
      <c r="O7" s="35">
        <f t="shared" si="2"/>
        <v>10212920.3630432</v>
      </c>
      <c r="P7" s="35">
        <f t="shared" si="2"/>
        <v>10212920.3630432</v>
      </c>
      <c r="Q7" s="35">
        <f t="shared" si="2"/>
        <v>10212920.3630432</v>
      </c>
      <c r="R7" s="35">
        <f t="shared" si="2"/>
        <v>10332920.3630432</v>
      </c>
      <c r="S7" s="35">
        <f t="shared" si="2"/>
        <v>10452920.3630432</v>
      </c>
      <c r="T7" s="35">
        <f t="shared" si="2"/>
        <v>10332920.3630432</v>
      </c>
      <c r="U7" s="35">
        <f t="shared" si="2"/>
        <v>10452920.3630432</v>
      </c>
      <c r="V7" s="35">
        <f t="shared" si="2"/>
        <v>10212920.3630432</v>
      </c>
      <c r="W7" s="35">
        <f t="shared" si="2"/>
        <v>10212920.3630432</v>
      </c>
      <c r="X7" s="35">
        <f t="shared" si="2"/>
        <v>10212920.3630432</v>
      </c>
      <c r="Y7" s="35">
        <f t="shared" si="2"/>
        <v>10212920.3630432</v>
      </c>
      <c r="Z7" s="35">
        <f t="shared" si="2"/>
        <v>10212920.3630432</v>
      </c>
      <c r="AA7" s="35">
        <f t="shared" si="2"/>
        <v>10212920.3630432</v>
      </c>
      <c r="AB7" s="35">
        <f t="shared" si="2"/>
        <v>10212920.3630432</v>
      </c>
      <c r="AC7" s="35">
        <f t="shared" si="2"/>
        <v>8501131.8160736002</v>
      </c>
      <c r="AD7" s="35">
        <f t="shared" si="2"/>
        <v>8501131.8160736002</v>
      </c>
      <c r="AE7" s="35">
        <f t="shared" si="2"/>
        <v>8501131.8160736002</v>
      </c>
      <c r="AF7" s="35">
        <f t="shared" si="2"/>
        <v>8501131.8160736002</v>
      </c>
      <c r="AG7" s="35">
        <f t="shared" si="2"/>
        <v>8501131.8160736002</v>
      </c>
      <c r="AH7" s="35">
        <f t="shared" si="2"/>
        <v>8501131.8160736002</v>
      </c>
      <c r="AI7" s="35">
        <f t="shared" si="2"/>
        <v>8501131.8160736002</v>
      </c>
      <c r="AJ7" s="35">
        <f t="shared" si="2"/>
        <v>8501131.8160736002</v>
      </c>
      <c r="AK7" s="35">
        <f t="shared" si="2"/>
        <v>8501131.8160736002</v>
      </c>
      <c r="AL7" s="35">
        <f t="shared" si="2"/>
        <v>8501131.8160736002</v>
      </c>
      <c r="AM7" s="35">
        <f t="shared" si="2"/>
        <v>8501131.8160736002</v>
      </c>
      <c r="AN7" s="35">
        <f t="shared" si="2"/>
        <v>8501131.8160736002</v>
      </c>
      <c r="AO7" s="35">
        <f t="shared" si="2"/>
        <v>8501131.8160736002</v>
      </c>
      <c r="AP7" s="35">
        <f t="shared" si="2"/>
        <v>8501131.8160736002</v>
      </c>
      <c r="AQ7" s="35">
        <f t="shared" si="2"/>
        <v>8501131.8160736002</v>
      </c>
      <c r="AR7" s="35">
        <f t="shared" si="2"/>
        <v>8501131.8160736002</v>
      </c>
      <c r="AS7" s="35">
        <f t="shared" si="2"/>
        <v>8501131.8160736002</v>
      </c>
      <c r="AT7" s="35">
        <f t="shared" si="2"/>
        <v>8501131.8160736002</v>
      </c>
      <c r="AU7" s="35">
        <f t="shared" si="2"/>
        <v>8501131.8160736002</v>
      </c>
      <c r="AV7" s="35">
        <f t="shared" si="2"/>
        <v>8501131.8160736002</v>
      </c>
      <c r="AW7" s="35">
        <f t="shared" si="2"/>
        <v>8501131.8160736002</v>
      </c>
      <c r="AX7" s="35">
        <f t="shared" si="2"/>
        <v>8501131.8160736002</v>
      </c>
      <c r="AY7" s="35">
        <f t="shared" si="2"/>
        <v>8501131.8160736002</v>
      </c>
      <c r="AZ7" s="35">
        <f t="shared" si="2"/>
        <v>8501131.8160736002</v>
      </c>
      <c r="BA7" s="35">
        <f t="shared" si="2"/>
        <v>8501131.8160736002</v>
      </c>
      <c r="BB7" s="35">
        <f t="shared" si="2"/>
        <v>8501131.8160736002</v>
      </c>
      <c r="BC7" s="35">
        <f t="shared" si="2"/>
        <v>8501131.8160736002</v>
      </c>
      <c r="BD7" s="35">
        <f t="shared" si="2"/>
        <v>8501131.8160736002</v>
      </c>
      <c r="BE7" s="35">
        <f t="shared" si="2"/>
        <v>8501131.8160736002</v>
      </c>
      <c r="BF7" s="35">
        <f t="shared" si="2"/>
        <v>8501131.8160736002</v>
      </c>
      <c r="BG7" s="35">
        <f t="shared" si="2"/>
        <v>8501131.8160736002</v>
      </c>
      <c r="BH7" s="35">
        <f t="shared" si="2"/>
        <v>8501131.8160736002</v>
      </c>
      <c r="BI7" s="35">
        <f t="shared" si="2"/>
        <v>8501131.8160736002</v>
      </c>
      <c r="BJ7" s="35">
        <f t="shared" si="2"/>
        <v>8501131.8160736002</v>
      </c>
      <c r="BK7" s="35">
        <f t="shared" si="2"/>
        <v>8501131.8160736002</v>
      </c>
      <c r="BL7" s="35">
        <f t="shared" si="2"/>
        <v>8501131.8160736002</v>
      </c>
      <c r="BM7" s="35">
        <f t="shared" si="2"/>
        <v>8501131.8160736002</v>
      </c>
      <c r="BN7" s="35">
        <f t="shared" si="2"/>
        <v>8501131.8160736002</v>
      </c>
      <c r="BO7" s="35">
        <f t="shared" si="2"/>
        <v>8501131.8160736002</v>
      </c>
      <c r="BP7" s="35">
        <f t="shared" si="2"/>
        <v>8501131.8160736002</v>
      </c>
      <c r="BQ7" s="35">
        <f t="shared" si="2"/>
        <v>8501131.8160736002</v>
      </c>
      <c r="BR7" s="35">
        <f t="shared" si="2"/>
        <v>8501131.8160736002</v>
      </c>
      <c r="BS7" s="35">
        <f t="shared" si="2"/>
        <v>8501131.8160736002</v>
      </c>
      <c r="BT7" s="35">
        <f t="shared" si="2"/>
        <v>8501131.8160736002</v>
      </c>
      <c r="BU7" s="35">
        <f t="shared" ref="BU7:DC7" si="3">BU8+BU9+BU89-BU100-BU111</f>
        <v>8501131.8160736002</v>
      </c>
      <c r="BV7" s="35">
        <f t="shared" si="3"/>
        <v>8501131.8160736002</v>
      </c>
      <c r="BW7" s="35">
        <f t="shared" si="3"/>
        <v>8501131.8160736002</v>
      </c>
      <c r="BX7" s="35">
        <f t="shared" si="3"/>
        <v>8501131.8160736002</v>
      </c>
      <c r="BY7" s="35">
        <f t="shared" si="3"/>
        <v>8501131.8160736002</v>
      </c>
      <c r="BZ7" s="35">
        <f t="shared" si="3"/>
        <v>8501131.8160736002</v>
      </c>
      <c r="CA7" s="35">
        <f t="shared" si="3"/>
        <v>8501131.8160736002</v>
      </c>
      <c r="CB7" s="35">
        <f t="shared" si="3"/>
        <v>8501131.8160736002</v>
      </c>
      <c r="CC7" s="35">
        <f t="shared" si="3"/>
        <v>8501131.8160736002</v>
      </c>
      <c r="CD7" s="35">
        <f t="shared" si="3"/>
        <v>8501131.8160736002</v>
      </c>
      <c r="CE7" s="35">
        <f t="shared" si="3"/>
        <v>8501131.8160736002</v>
      </c>
      <c r="CF7" s="35">
        <f t="shared" si="3"/>
        <v>8501131.8160736002</v>
      </c>
      <c r="CG7" s="35">
        <f t="shared" si="3"/>
        <v>8501131.8160736002</v>
      </c>
      <c r="CH7" s="35">
        <f t="shared" si="3"/>
        <v>8501131.8160736002</v>
      </c>
      <c r="CI7" s="35">
        <f t="shared" si="3"/>
        <v>8501131.8160736002</v>
      </c>
      <c r="CJ7" s="35">
        <f t="shared" si="3"/>
        <v>8501131.8160736002</v>
      </c>
      <c r="CK7" s="35">
        <f t="shared" si="3"/>
        <v>8501131.8160736002</v>
      </c>
      <c r="CL7" s="35">
        <f t="shared" si="3"/>
        <v>8501131.8160736002</v>
      </c>
      <c r="CM7" s="35">
        <f t="shared" si="3"/>
        <v>8501131.8160736002</v>
      </c>
      <c r="CN7" s="35">
        <f t="shared" si="3"/>
        <v>8501131.8160736002</v>
      </c>
      <c r="CO7" s="35">
        <f t="shared" si="3"/>
        <v>8501131.8160736002</v>
      </c>
      <c r="CP7" s="35">
        <f t="shared" si="3"/>
        <v>8501131.8160736002</v>
      </c>
      <c r="CQ7" s="35">
        <f t="shared" si="3"/>
        <v>8501131.8160736002</v>
      </c>
      <c r="CR7" s="35">
        <f t="shared" si="3"/>
        <v>8501131.8160736002</v>
      </c>
      <c r="CS7" s="35">
        <f t="shared" si="3"/>
        <v>8501131.8160736002</v>
      </c>
      <c r="CT7" s="35">
        <f t="shared" si="3"/>
        <v>8501131.8160736002</v>
      </c>
      <c r="CU7" s="35">
        <f t="shared" si="3"/>
        <v>8501131.8160736002</v>
      </c>
      <c r="CV7" s="35">
        <f t="shared" si="3"/>
        <v>8501131.8160736002</v>
      </c>
      <c r="CW7" s="35">
        <f t="shared" si="3"/>
        <v>8501131.8160736002</v>
      </c>
      <c r="CX7" s="35">
        <f t="shared" si="3"/>
        <v>8501131.8160736002</v>
      </c>
      <c r="CY7" s="35">
        <f t="shared" si="3"/>
        <v>8501131.8160736002</v>
      </c>
      <c r="CZ7" s="35">
        <f t="shared" si="3"/>
        <v>8501131.8160736002</v>
      </c>
      <c r="DA7" s="35">
        <f t="shared" si="3"/>
        <v>8501131.8160736002</v>
      </c>
      <c r="DB7" s="35">
        <f t="shared" si="3"/>
        <v>8501131.8160736002</v>
      </c>
      <c r="DC7" s="35">
        <f t="shared" si="3"/>
        <v>8501131.8160736002</v>
      </c>
      <c r="DF7" s="46">
        <f t="shared" ref="DF7:DF12" si="4">COUNTIF($H7:$DC7,"&lt;&gt;0")</f>
        <v>100</v>
      </c>
    </row>
    <row r="8" spans="1:112" ht="14.4">
      <c r="B8" s="5" t="s">
        <v>19</v>
      </c>
      <c r="C8" s="15" t="s">
        <v>158</v>
      </c>
      <c r="D8" s="15"/>
      <c r="E8" s="3"/>
      <c r="F8" s="11">
        <f>SUM(F20,F31,F42,F54,F65,F76,F87)</f>
        <v>456056.55045621062</v>
      </c>
      <c r="G8" s="35">
        <f>SUMIF($H$5:$DC$5,"&lt;="&amp;PAL,$H8:$DC8)</f>
        <v>720000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120000</v>
      </c>
      <c r="S8" s="11">
        <f t="shared" si="5"/>
        <v>240000</v>
      </c>
      <c r="T8" s="11">
        <f t="shared" si="5"/>
        <v>120000</v>
      </c>
      <c r="U8" s="11">
        <f t="shared" si="5"/>
        <v>240000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4</v>
      </c>
    </row>
    <row r="9" spans="1:112" ht="14.4">
      <c r="B9" s="36" t="s">
        <v>20</v>
      </c>
      <c r="C9" s="160" t="s">
        <v>4</v>
      </c>
      <c r="D9" s="7"/>
      <c r="E9" s="7"/>
      <c r="F9" s="8">
        <f>F10+F44+F78-F8</f>
        <v>11873298.19936911</v>
      </c>
      <c r="G9" s="35">
        <f>SUMIF($H$5:$DC$5,"&lt;="&amp;PAL,$H9:$DC9)</f>
        <v>12730840.4630432</v>
      </c>
      <c r="H9" s="8">
        <f t="shared" ref="H9:AM9" si="7">H10+H44+H78-H8</f>
        <v>1730000</v>
      </c>
      <c r="I9" s="8">
        <f t="shared" si="7"/>
        <v>3387980.7675319999</v>
      </c>
      <c r="J9" s="8">
        <f t="shared" si="7"/>
        <v>3377730.2703541331</v>
      </c>
      <c r="K9" s="8">
        <f t="shared" si="7"/>
        <v>4200629.4251570664</v>
      </c>
      <c r="L9" s="8">
        <f t="shared" si="7"/>
        <v>5000</v>
      </c>
      <c r="M9" s="8">
        <f t="shared" si="7"/>
        <v>25000</v>
      </c>
      <c r="N9" s="8">
        <f t="shared" si="7"/>
        <v>4500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7</v>
      </c>
    </row>
    <row r="10" spans="1:112" ht="14.4">
      <c r="B10" s="37" t="s">
        <v>21</v>
      </c>
      <c r="C10" s="161" t="s">
        <v>432</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hidden="1">
      <c r="B11" s="5" t="s">
        <v>153</v>
      </c>
      <c r="C11" s="15" t="s">
        <v>433</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14.4" hidden="1">
      <c r="A12" s="124">
        <v>0</v>
      </c>
      <c r="B12" s="5" t="str">
        <f>$B$11&amp;"1."</f>
        <v>D.1.1.</v>
      </c>
      <c r="C12" s="164"/>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hidden="1">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hidden="1">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hidden="1">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hidden="1">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hidden="1">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hidden="1">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hidden="1">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hidden="1">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6">
        <v>0</v>
      </c>
      <c r="R20" s="166">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hidden="1">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6">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hidden="1">
      <c r="A22" s="124">
        <v>10</v>
      </c>
      <c r="B22" s="5" t="s">
        <v>22</v>
      </c>
      <c r="C22" s="15" t="s">
        <v>434</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hidden="1">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hidden="1">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hidden="1">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hidden="1">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hidden="1">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hidden="1">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hidden="1">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hidden="1">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hidden="1">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6">
        <v>0</v>
      </c>
      <c r="R31" s="166">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hidden="1">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6">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hidden="1">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hidden="1">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hidden="1">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hidden="1">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hidden="1">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hidden="1">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hidden="1">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hidden="1">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hidden="1">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hidden="1">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6">
        <v>0</v>
      </c>
      <c r="R42" s="166">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hidden="1">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6">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435</v>
      </c>
      <c r="D44" s="3"/>
      <c r="E44" s="3"/>
      <c r="F44" s="11">
        <f>F45+F56+F67</f>
        <v>12329354.749825321</v>
      </c>
      <c r="G44" s="35">
        <f>SUMIF($H$5:$DC$5,"&lt;="&amp;PAL,$H44:$DC44)</f>
        <v>13450840.4630432</v>
      </c>
      <c r="H44" s="11">
        <f>H45+H56+H67</f>
        <v>1730000</v>
      </c>
      <c r="I44" s="11">
        <f t="shared" ref="I44:BT44" si="25">I45+I56+I67</f>
        <v>3387980.7675319999</v>
      </c>
      <c r="J44" s="11">
        <f t="shared" si="25"/>
        <v>3377730.2703541331</v>
      </c>
      <c r="K44" s="11">
        <f t="shared" si="25"/>
        <v>4200629.4251570664</v>
      </c>
      <c r="L44" s="11">
        <f t="shared" si="25"/>
        <v>5000</v>
      </c>
      <c r="M44" s="11">
        <f t="shared" si="25"/>
        <v>25000</v>
      </c>
      <c r="N44" s="11">
        <f t="shared" si="25"/>
        <v>4500</v>
      </c>
      <c r="O44" s="11">
        <f t="shared" si="25"/>
        <v>0</v>
      </c>
      <c r="P44" s="11">
        <f t="shared" si="25"/>
        <v>0</v>
      </c>
      <c r="Q44" s="11">
        <f t="shared" si="25"/>
        <v>0</v>
      </c>
      <c r="R44" s="11">
        <f t="shared" si="25"/>
        <v>120000</v>
      </c>
      <c r="S44" s="11">
        <f t="shared" si="25"/>
        <v>240000</v>
      </c>
      <c r="T44" s="11">
        <f t="shared" si="25"/>
        <v>120000</v>
      </c>
      <c r="U44" s="11">
        <f t="shared" si="25"/>
        <v>240000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11</v>
      </c>
    </row>
    <row r="45" spans="1:112" ht="14.4">
      <c r="A45" s="124">
        <v>33</v>
      </c>
      <c r="B45" s="37" t="s">
        <v>35</v>
      </c>
      <c r="C45" s="15" t="s">
        <v>2</v>
      </c>
      <c r="D45" s="3"/>
      <c r="E45" s="3"/>
      <c r="F45" s="11">
        <f>SUM(F46:F53)+F54</f>
        <v>9540304.5306564849</v>
      </c>
      <c r="G45" s="35">
        <f>SUMIF($H$5:$DC$5,"&lt;="&amp;PAL,$H45:$DC45)</f>
        <v>10390700</v>
      </c>
      <c r="H45" s="11">
        <f>SUM(H46:H53)+H54</f>
        <v>1730000</v>
      </c>
      <c r="I45" s="11">
        <f t="shared" ref="I45:BT45" si="27">SUM(I46:I53)+I54</f>
        <v>3170500</v>
      </c>
      <c r="J45" s="11">
        <f t="shared" si="27"/>
        <v>1827900</v>
      </c>
      <c r="K45" s="11">
        <f t="shared" si="27"/>
        <v>2942300</v>
      </c>
      <c r="L45" s="11">
        <f t="shared" si="27"/>
        <v>0</v>
      </c>
      <c r="M45" s="11">
        <f t="shared" si="27"/>
        <v>0</v>
      </c>
      <c r="N45" s="11">
        <f t="shared" si="27"/>
        <v>0</v>
      </c>
      <c r="O45" s="11">
        <f t="shared" si="27"/>
        <v>0</v>
      </c>
      <c r="P45" s="11">
        <f t="shared" si="27"/>
        <v>0</v>
      </c>
      <c r="Q45" s="11">
        <f t="shared" si="27"/>
        <v>0</v>
      </c>
      <c r="R45" s="11">
        <f t="shared" si="27"/>
        <v>120000</v>
      </c>
      <c r="S45" s="11">
        <f t="shared" si="27"/>
        <v>240000</v>
      </c>
      <c r="T45" s="11">
        <f t="shared" si="27"/>
        <v>120000</v>
      </c>
      <c r="U45" s="11">
        <f t="shared" si="27"/>
        <v>240000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8</v>
      </c>
    </row>
    <row r="46" spans="1:112" ht="14.4">
      <c r="A46" s="124">
        <v>34</v>
      </c>
      <c r="B46" s="5" t="str">
        <f>$B$45&amp;"1."</f>
        <v>E.1.1.</v>
      </c>
      <c r="C46" s="164" t="s">
        <v>628</v>
      </c>
      <c r="D46" s="6"/>
      <c r="E46" s="192">
        <v>0.21</v>
      </c>
      <c r="F46" s="35">
        <f>H46+NPV(FD,I46:INDEX(I46:DC46,PAL))</f>
        <v>1730000</v>
      </c>
      <c r="G46" s="35">
        <f>SUMIF($H$5:$DC$5,"&lt;="&amp;PAL,$H46:$DC46)</f>
        <v>1730000</v>
      </c>
      <c r="H46" s="38">
        <f>+Prielaidos!AJ171*1000</f>
        <v>1730000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1</v>
      </c>
      <c r="DG46">
        <f t="shared" ref="DG46:DG55" si="29">IF(ISNUMBER(E46),E46*100,0)</f>
        <v>21</v>
      </c>
      <c r="DH46">
        <v>0</v>
      </c>
    </row>
    <row r="47" spans="1:112" ht="28.8">
      <c r="A47" s="124">
        <v>35</v>
      </c>
      <c r="B47" s="5" t="str">
        <f>$B$45&amp;"2."</f>
        <v>E.1.2.</v>
      </c>
      <c r="C47" s="164" t="s">
        <v>792</v>
      </c>
      <c r="D47" s="6"/>
      <c r="E47" s="192">
        <v>0.21</v>
      </c>
      <c r="F47" s="35">
        <f>H47+NPV(FD,I47:INDEX(I47:DC47,PAL))</f>
        <v>6798731.9355939915</v>
      </c>
      <c r="G47" s="35">
        <f>SUMIF($H$5:$DC$5,"&lt;="&amp;PAL,$H47:$DC47)</f>
        <v>7340700</v>
      </c>
      <c r="H47" s="38">
        <v>0</v>
      </c>
      <c r="I47" s="38">
        <f>(Prielaidos!AJ123+Prielaidos!AJ56)*1000</f>
        <v>3120500</v>
      </c>
      <c r="J47" s="38">
        <f>Prielaidos!AJ90*1000</f>
        <v>1307900</v>
      </c>
      <c r="K47" s="38">
        <f>(Prielaidos!AJ155+Prielaidos!AJ107)*1000</f>
        <v>2912300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3</v>
      </c>
      <c r="DG47">
        <f t="shared" si="29"/>
        <v>21</v>
      </c>
      <c r="DH47">
        <v>0</v>
      </c>
    </row>
    <row r="48" spans="1:112" ht="28.8">
      <c r="A48" s="124">
        <v>36</v>
      </c>
      <c r="B48" s="5" t="str">
        <f>$B$45&amp;"3."</f>
        <v>E.1.3.</v>
      </c>
      <c r="C48" s="164" t="s">
        <v>633</v>
      </c>
      <c r="D48" s="6"/>
      <c r="E48" s="192">
        <v>0.21</v>
      </c>
      <c r="F48" s="35">
        <f>H48+NPV(FD,I48:INDEX(I48:DC48,PAL))</f>
        <v>555516.04460628121</v>
      </c>
      <c r="G48" s="35">
        <f>SUMIF($H$5:$DC$5,"&lt;="&amp;PAL,$H48:$DC48)</f>
        <v>600000</v>
      </c>
      <c r="H48" s="38">
        <v>0</v>
      </c>
      <c r="I48" s="38">
        <f>+Prielaidos!F9</f>
        <v>50000</v>
      </c>
      <c r="J48" s="38">
        <f>+Prielaidos!G9</f>
        <v>520000</v>
      </c>
      <c r="K48" s="38">
        <f>+Prielaidos!H9</f>
        <v>30000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3</v>
      </c>
      <c r="DG48">
        <f t="shared" si="29"/>
        <v>21</v>
      </c>
      <c r="DH48">
        <v>0</v>
      </c>
    </row>
    <row r="49" spans="1:112" ht="14.4">
      <c r="A49" s="124">
        <v>37</v>
      </c>
      <c r="B49" s="5" t="str">
        <f>$B$45&amp;"4."</f>
        <v>E.1.4.</v>
      </c>
      <c r="C49" s="164"/>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456056.55045621062</v>
      </c>
      <c r="G54" s="35">
        <f>SUMIF($H$5:$DC$5,"&lt;="&amp;PAL,$H54:$DC54)</f>
        <v>720000</v>
      </c>
      <c r="H54" s="165">
        <v>0</v>
      </c>
      <c r="I54" s="165">
        <v>0</v>
      </c>
      <c r="J54" s="165">
        <v>0</v>
      </c>
      <c r="K54" s="165">
        <v>0</v>
      </c>
      <c r="L54" s="165">
        <v>0</v>
      </c>
      <c r="M54" s="165">
        <v>0</v>
      </c>
      <c r="N54" s="165">
        <v>0</v>
      </c>
      <c r="O54" s="165">
        <v>0</v>
      </c>
      <c r="P54" s="165">
        <v>0</v>
      </c>
      <c r="Q54" s="166">
        <v>0</v>
      </c>
      <c r="R54" s="166">
        <f>+Prielaidos!$C$161*2</f>
        <v>120000</v>
      </c>
      <c r="S54" s="166">
        <f>+Prielaidos!$C$161*4</f>
        <v>240000</v>
      </c>
      <c r="T54" s="166">
        <f>+Prielaidos!$C$161*2</f>
        <v>120000</v>
      </c>
      <c r="U54" s="166">
        <f>+Prielaidos!$C$161*4</f>
        <v>240000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4</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6">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29267.18041748699</v>
      </c>
      <c r="G56" s="35">
        <f>SUMIF($H$5:$DC$5,"&lt;="&amp;PAL,$H56:$DC56)</f>
        <v>35000</v>
      </c>
      <c r="H56" s="11">
        <f>SUM(H57:H64)+H65</f>
        <v>0</v>
      </c>
      <c r="I56" s="11">
        <f t="shared" ref="I56:BT56" si="31">SUM(I57:I64)+I65</f>
        <v>0</v>
      </c>
      <c r="J56" s="11">
        <f t="shared" si="31"/>
        <v>0</v>
      </c>
      <c r="K56" s="11">
        <f t="shared" si="31"/>
        <v>5000</v>
      </c>
      <c r="L56" s="11">
        <f t="shared" si="31"/>
        <v>5000</v>
      </c>
      <c r="M56" s="11">
        <f t="shared" si="31"/>
        <v>25000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3</v>
      </c>
    </row>
    <row r="57" spans="1:112" ht="28.8">
      <c r="A57" s="124">
        <v>45</v>
      </c>
      <c r="B57" s="5" t="str">
        <f>$B$56&amp;"1."</f>
        <v>E.2.1.</v>
      </c>
      <c r="C57" s="164" t="s">
        <v>809</v>
      </c>
      <c r="D57" s="6"/>
      <c r="E57" s="192">
        <v>0.21</v>
      </c>
      <c r="F57" s="35">
        <f>H57+NPV(FD,I57:INDEX(I57:DC57,PAL))</f>
        <v>29267.18041748699</v>
      </c>
      <c r="G57" s="35">
        <f>SUMIF($H$5:$DC$5,"&lt;="&amp;PAL,$H57:$DC57)</f>
        <v>35000</v>
      </c>
      <c r="H57" s="38">
        <v>0</v>
      </c>
      <c r="I57" s="38">
        <v>0</v>
      </c>
      <c r="J57" s="38">
        <v>0</v>
      </c>
      <c r="K57" s="38">
        <f>+Prielaidos!F12</f>
        <v>5000</v>
      </c>
      <c r="L57" s="38">
        <f>+Prielaidos!G12</f>
        <v>5000</v>
      </c>
      <c r="M57" s="38">
        <f>+Prielaidos!H12</f>
        <v>25000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3</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6">
        <v>0</v>
      </c>
      <c r="R65" s="166">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6">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2759783.0387513479</v>
      </c>
      <c r="G67" s="35">
        <f>SUMIF($H$5:$DC$5,"&lt;="&amp;PAL,$H67:$DC67)</f>
        <v>3025140.4630431999</v>
      </c>
      <c r="H67" s="11">
        <f>SUM(H68:H75)+H76</f>
        <v>0</v>
      </c>
      <c r="I67" s="11">
        <f t="shared" ref="I67:BT67" si="35">SUM(I68:I75)+I76</f>
        <v>217480.76753200003</v>
      </c>
      <c r="J67" s="11">
        <f t="shared" si="35"/>
        <v>1549830.2703541333</v>
      </c>
      <c r="K67" s="11">
        <f t="shared" si="35"/>
        <v>1253329.4251570667</v>
      </c>
      <c r="L67" s="11">
        <f t="shared" si="35"/>
        <v>0</v>
      </c>
      <c r="M67" s="11">
        <f t="shared" si="35"/>
        <v>0</v>
      </c>
      <c r="N67" s="11">
        <f t="shared" si="35"/>
        <v>4500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4</v>
      </c>
    </row>
    <row r="68" spans="1:112" ht="14.4">
      <c r="A68" s="124">
        <v>56</v>
      </c>
      <c r="B68" s="5" t="str">
        <f>$B$67&amp;"1."</f>
        <v>E.3.1.</v>
      </c>
      <c r="C68" s="164" t="s">
        <v>626</v>
      </c>
      <c r="D68" s="6"/>
      <c r="E68" s="192">
        <v>0</v>
      </c>
      <c r="F68" s="35">
        <f>H68+NPV(FD,I68:INDEX(I68:DC68,PAL))</f>
        <v>2040549.0925728057</v>
      </c>
      <c r="G68" s="35">
        <f>SUMIF($H$5:$DC$5,"&lt;="&amp;PAL,$H68:$DC68)</f>
        <v>2229976.3974496</v>
      </c>
      <c r="H68" s="38">
        <f>+Prielaidos!AF30</f>
        <v>0</v>
      </c>
      <c r="I68" s="38">
        <f>+Prielaidos!AG30</f>
        <v>217480.76753200003</v>
      </c>
      <c r="J68" s="38">
        <f>+Prielaidos!AH30+Prielaidos!T229</f>
        <v>1190434.6596901333</v>
      </c>
      <c r="K68" s="38">
        <f>+Prielaidos!AI30+Prielaidos!U230</f>
        <v>822060.97022746666</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3</v>
      </c>
      <c r="DG68">
        <f t="shared" ref="DG68:DG77" si="37">IF(ISNUMBER(E68),E68*100,0)</f>
        <v>0</v>
      </c>
      <c r="DH68">
        <v>0</v>
      </c>
    </row>
    <row r="69" spans="1:112" ht="14.4">
      <c r="A69" s="124">
        <v>57</v>
      </c>
      <c r="B69" s="5" t="str">
        <f>$B$67&amp;"2."</f>
        <v>E.3.2.</v>
      </c>
      <c r="C69" s="164" t="s">
        <v>624</v>
      </c>
      <c r="D69" s="6"/>
      <c r="E69" s="192">
        <v>0</v>
      </c>
      <c r="F69" s="35">
        <f>H69+NPV(FD,I69:INDEX(I69:DC69,PAL))</f>
        <v>693185.92293838179</v>
      </c>
      <c r="G69" s="35">
        <f>SUMIF($H$5:$DC$5,"&lt;="&amp;PAL,$H69:$DC69)</f>
        <v>766164.06559360004</v>
      </c>
      <c r="H69" s="38">
        <f>+Prielaidos!AF41</f>
        <v>0</v>
      </c>
      <c r="I69" s="38">
        <f>+Prielaidos!AG41</f>
        <v>0</v>
      </c>
      <c r="J69" s="38">
        <f>+Prielaidos!AH41</f>
        <v>339395.61066400004</v>
      </c>
      <c r="K69" s="38">
        <f>+Prielaidos!AI41</f>
        <v>426768.4549296</v>
      </c>
      <c r="L69" s="38">
        <f>+Prielaidos!AJ41</f>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2</v>
      </c>
      <c r="DG69">
        <f t="shared" si="37"/>
        <v>0</v>
      </c>
      <c r="DH69">
        <v>0</v>
      </c>
    </row>
    <row r="70" spans="1:112" ht="28.8">
      <c r="A70" s="124">
        <v>58</v>
      </c>
      <c r="B70" s="5" t="str">
        <f>$B$67&amp;"3."</f>
        <v>E.3.3.</v>
      </c>
      <c r="C70" s="164" t="s">
        <v>811</v>
      </c>
      <c r="D70" s="6"/>
      <c r="E70" s="192">
        <v>0</v>
      </c>
      <c r="F70" s="35">
        <f>H70+NPV(FD,I70:INDEX(I70:DC70,PAL))</f>
        <v>18491.124260355027</v>
      </c>
      <c r="G70" s="35">
        <f>SUMIF($H$5:$DC$5,"&lt;="&amp;PAL,$H70:$DC70)</f>
        <v>20000</v>
      </c>
      <c r="H70" s="38">
        <v>0</v>
      </c>
      <c r="I70" s="38">
        <v>0</v>
      </c>
      <c r="J70" s="38">
        <f>+Prielaidos!E14</f>
        <v>20000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1</v>
      </c>
      <c r="DG70">
        <f t="shared" si="37"/>
        <v>0</v>
      </c>
      <c r="DH70">
        <v>0</v>
      </c>
    </row>
    <row r="71" spans="1:112" ht="14.4">
      <c r="A71" s="124">
        <v>59</v>
      </c>
      <c r="B71" s="5" t="str">
        <f>$B$67&amp;"4."</f>
        <v>E.3.4.</v>
      </c>
      <c r="C71" s="164" t="s">
        <v>810</v>
      </c>
      <c r="D71" s="6"/>
      <c r="E71" s="192">
        <v>0</v>
      </c>
      <c r="F71" s="35">
        <f>H71+NPV(FD,I71:INDEX(I71:DC71,PAL))</f>
        <v>7556.8989798047714</v>
      </c>
      <c r="G71" s="35">
        <f>SUMIF($H$5:$DC$5,"&lt;="&amp;PAL,$H71:$DC71)</f>
        <v>9000</v>
      </c>
      <c r="H71" s="38">
        <v>0</v>
      </c>
      <c r="I71" s="38">
        <v>0</v>
      </c>
      <c r="J71" s="38">
        <v>0</v>
      </c>
      <c r="K71" s="38">
        <f>+Prielaidos!H6*3*3</f>
        <v>4500</v>
      </c>
      <c r="L71" s="38">
        <v>0</v>
      </c>
      <c r="M71" s="38">
        <v>0</v>
      </c>
      <c r="N71" s="38">
        <v>4500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2</v>
      </c>
      <c r="DG71">
        <f t="shared" si="37"/>
        <v>0</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6">
        <v>0</v>
      </c>
      <c r="R76" s="166">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6">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436</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hidden="1"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hidden="1"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hidden="1"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hidden="1"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hidden="1"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hidden="1"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hidden="1"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hidden="1"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hidden="1"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hidden="1"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8">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130916731.54020619</v>
      </c>
      <c r="G89" s="35">
        <f>SUMIF($H$5:$DC$5,"&lt;="&amp;PAL,$H89:$DC89)</f>
        <v>197469865.77715251</v>
      </c>
      <c r="H89" s="11">
        <f t="shared" ref="H89:BR89" si="44">SUM(H90:H99)</f>
        <v>0</v>
      </c>
      <c r="I89" s="11">
        <f t="shared" si="44"/>
        <v>4212500</v>
      </c>
      <c r="J89" s="11">
        <f t="shared" si="44"/>
        <v>5466528.6675319998</v>
      </c>
      <c r="K89" s="11">
        <f t="shared" si="44"/>
        <v>9271690.9378861338</v>
      </c>
      <c r="L89" s="11">
        <f t="shared" si="44"/>
        <v>10497420.3630432</v>
      </c>
      <c r="M89" s="11">
        <f t="shared" si="44"/>
        <v>10497420.3630432</v>
      </c>
      <c r="N89" s="11">
        <f t="shared" si="44"/>
        <v>10497420.3630432</v>
      </c>
      <c r="O89" s="11">
        <f t="shared" si="44"/>
        <v>10501920.3630432</v>
      </c>
      <c r="P89" s="11">
        <f t="shared" si="44"/>
        <v>10501920.3630432</v>
      </c>
      <c r="Q89" s="11">
        <f t="shared" si="44"/>
        <v>10501920.3630432</v>
      </c>
      <c r="R89" s="11">
        <f t="shared" si="44"/>
        <v>10501920.3630432</v>
      </c>
      <c r="S89" s="11">
        <f t="shared" si="44"/>
        <v>10501920.3630432</v>
      </c>
      <c r="T89" s="11">
        <f t="shared" si="44"/>
        <v>10501920.3630432</v>
      </c>
      <c r="U89" s="11">
        <f t="shared" si="44"/>
        <v>10501920.3630432</v>
      </c>
      <c r="V89" s="11">
        <f t="shared" si="44"/>
        <v>10501920.3630432</v>
      </c>
      <c r="W89" s="11">
        <f t="shared" si="44"/>
        <v>10501920.3630432</v>
      </c>
      <c r="X89" s="11">
        <f t="shared" si="44"/>
        <v>10501920.3630432</v>
      </c>
      <c r="Y89" s="11">
        <f t="shared" si="44"/>
        <v>10501920.3630432</v>
      </c>
      <c r="Z89" s="11">
        <f t="shared" si="44"/>
        <v>10501920.3630432</v>
      </c>
      <c r="AA89" s="11">
        <f t="shared" si="44"/>
        <v>10501920.3630432</v>
      </c>
      <c r="AB89" s="11">
        <f t="shared" si="44"/>
        <v>10501920.3630432</v>
      </c>
      <c r="AC89" s="11">
        <f t="shared" si="44"/>
        <v>8523131.8160736002</v>
      </c>
      <c r="AD89" s="11">
        <f t="shared" si="44"/>
        <v>8523131.8160736002</v>
      </c>
      <c r="AE89" s="11">
        <f t="shared" si="44"/>
        <v>8523131.8160736002</v>
      </c>
      <c r="AF89" s="11">
        <f t="shared" si="44"/>
        <v>8523131.8160736002</v>
      </c>
      <c r="AG89" s="11">
        <f t="shared" si="44"/>
        <v>8523131.8160736002</v>
      </c>
      <c r="AH89" s="11">
        <f t="shared" si="44"/>
        <v>8523131.8160736002</v>
      </c>
      <c r="AI89" s="11">
        <f t="shared" si="44"/>
        <v>8523131.8160736002</v>
      </c>
      <c r="AJ89" s="11">
        <f t="shared" si="44"/>
        <v>8523131.8160736002</v>
      </c>
      <c r="AK89" s="11">
        <f t="shared" si="44"/>
        <v>8523131.8160736002</v>
      </c>
      <c r="AL89" s="11">
        <f t="shared" si="44"/>
        <v>8523131.8160736002</v>
      </c>
      <c r="AM89" s="11">
        <f t="shared" si="44"/>
        <v>8523131.8160736002</v>
      </c>
      <c r="AN89" s="11">
        <f t="shared" si="44"/>
        <v>8523131.8160736002</v>
      </c>
      <c r="AO89" s="11">
        <f t="shared" si="44"/>
        <v>8523131.8160736002</v>
      </c>
      <c r="AP89" s="11">
        <f t="shared" si="44"/>
        <v>8523131.8160736002</v>
      </c>
      <c r="AQ89" s="11">
        <f t="shared" si="44"/>
        <v>8523131.8160736002</v>
      </c>
      <c r="AR89" s="11">
        <f t="shared" si="44"/>
        <v>8523131.8160736002</v>
      </c>
      <c r="AS89" s="11">
        <f t="shared" si="44"/>
        <v>8523131.8160736002</v>
      </c>
      <c r="AT89" s="11">
        <f t="shared" si="44"/>
        <v>8523131.8160736002</v>
      </c>
      <c r="AU89" s="11">
        <f t="shared" si="44"/>
        <v>8523131.8160736002</v>
      </c>
      <c r="AV89" s="11">
        <f t="shared" si="44"/>
        <v>8523131.8160736002</v>
      </c>
      <c r="AW89" s="11">
        <f t="shared" si="44"/>
        <v>8523131.8160736002</v>
      </c>
      <c r="AX89" s="11">
        <f t="shared" si="44"/>
        <v>8523131.8160736002</v>
      </c>
      <c r="AY89" s="11">
        <f t="shared" si="44"/>
        <v>8523131.8160736002</v>
      </c>
      <c r="AZ89" s="11">
        <f t="shared" si="44"/>
        <v>8523131.8160736002</v>
      </c>
      <c r="BA89" s="11">
        <f t="shared" si="44"/>
        <v>8523131.8160736002</v>
      </c>
      <c r="BB89" s="11">
        <f t="shared" si="44"/>
        <v>8523131.8160736002</v>
      </c>
      <c r="BC89" s="11">
        <f t="shared" si="44"/>
        <v>8523131.8160736002</v>
      </c>
      <c r="BD89" s="11">
        <f t="shared" si="44"/>
        <v>8523131.8160736002</v>
      </c>
      <c r="BE89" s="11">
        <f t="shared" si="44"/>
        <v>8523131.8160736002</v>
      </c>
      <c r="BF89" s="11">
        <f t="shared" si="44"/>
        <v>8523131.8160736002</v>
      </c>
      <c r="BG89" s="11">
        <f t="shared" si="44"/>
        <v>8523131.8160736002</v>
      </c>
      <c r="BH89" s="11">
        <f t="shared" si="44"/>
        <v>8523131.8160736002</v>
      </c>
      <c r="BI89" s="11">
        <f t="shared" si="44"/>
        <v>8523131.8160736002</v>
      </c>
      <c r="BJ89" s="11">
        <f t="shared" si="44"/>
        <v>8523131.8160736002</v>
      </c>
      <c r="BK89" s="11">
        <f t="shared" si="44"/>
        <v>8523131.8160736002</v>
      </c>
      <c r="BL89" s="11">
        <f t="shared" si="44"/>
        <v>8523131.8160736002</v>
      </c>
      <c r="BM89" s="11">
        <f t="shared" si="44"/>
        <v>8523131.8160736002</v>
      </c>
      <c r="BN89" s="11">
        <f t="shared" si="44"/>
        <v>8523131.8160736002</v>
      </c>
      <c r="BO89" s="11">
        <f t="shared" si="44"/>
        <v>8523131.8160736002</v>
      </c>
      <c r="BP89" s="11">
        <f t="shared" si="44"/>
        <v>8523131.8160736002</v>
      </c>
      <c r="BQ89" s="11">
        <f t="shared" si="44"/>
        <v>8523131.8160736002</v>
      </c>
      <c r="BR89" s="11">
        <f t="shared" si="44"/>
        <v>8523131.8160736002</v>
      </c>
      <c r="BS89" s="11">
        <f t="shared" ref="BS89:DC89" si="45">SUM(BS90:BS99)</f>
        <v>8523131.8160736002</v>
      </c>
      <c r="BT89" s="11">
        <f t="shared" si="45"/>
        <v>8523131.8160736002</v>
      </c>
      <c r="BU89" s="11">
        <f t="shared" si="45"/>
        <v>8523131.8160736002</v>
      </c>
      <c r="BV89" s="11">
        <f t="shared" si="45"/>
        <v>8523131.8160736002</v>
      </c>
      <c r="BW89" s="11">
        <f t="shared" si="45"/>
        <v>8523131.8160736002</v>
      </c>
      <c r="BX89" s="11">
        <f t="shared" si="45"/>
        <v>8523131.8160736002</v>
      </c>
      <c r="BY89" s="11">
        <f t="shared" si="45"/>
        <v>8523131.8160736002</v>
      </c>
      <c r="BZ89" s="11">
        <f t="shared" si="45"/>
        <v>8523131.8160736002</v>
      </c>
      <c r="CA89" s="11">
        <f t="shared" si="45"/>
        <v>8523131.8160736002</v>
      </c>
      <c r="CB89" s="11">
        <f t="shared" si="45"/>
        <v>8523131.8160736002</v>
      </c>
      <c r="CC89" s="11">
        <f t="shared" si="45"/>
        <v>8523131.8160736002</v>
      </c>
      <c r="CD89" s="11">
        <f t="shared" si="45"/>
        <v>8523131.8160736002</v>
      </c>
      <c r="CE89" s="11">
        <f t="shared" si="45"/>
        <v>8523131.8160736002</v>
      </c>
      <c r="CF89" s="11">
        <f t="shared" si="45"/>
        <v>8523131.8160736002</v>
      </c>
      <c r="CG89" s="11">
        <f t="shared" si="45"/>
        <v>8523131.8160736002</v>
      </c>
      <c r="CH89" s="11">
        <f t="shared" si="45"/>
        <v>8523131.8160736002</v>
      </c>
      <c r="CI89" s="11">
        <f t="shared" si="45"/>
        <v>8523131.8160736002</v>
      </c>
      <c r="CJ89" s="11">
        <f t="shared" si="45"/>
        <v>8523131.8160736002</v>
      </c>
      <c r="CK89" s="11">
        <f t="shared" si="45"/>
        <v>8523131.8160736002</v>
      </c>
      <c r="CL89" s="11">
        <f t="shared" si="45"/>
        <v>8523131.8160736002</v>
      </c>
      <c r="CM89" s="11">
        <f t="shared" si="45"/>
        <v>8523131.8160736002</v>
      </c>
      <c r="CN89" s="11">
        <f t="shared" si="45"/>
        <v>8523131.8160736002</v>
      </c>
      <c r="CO89" s="11">
        <f t="shared" si="45"/>
        <v>8523131.8160736002</v>
      </c>
      <c r="CP89" s="11">
        <f t="shared" si="45"/>
        <v>8523131.8160736002</v>
      </c>
      <c r="CQ89" s="11">
        <f t="shared" si="45"/>
        <v>8523131.8160736002</v>
      </c>
      <c r="CR89" s="11">
        <f t="shared" si="45"/>
        <v>8523131.8160736002</v>
      </c>
      <c r="CS89" s="11">
        <f t="shared" si="45"/>
        <v>8523131.8160736002</v>
      </c>
      <c r="CT89" s="11">
        <f t="shared" si="45"/>
        <v>8523131.8160736002</v>
      </c>
      <c r="CU89" s="11">
        <f t="shared" si="45"/>
        <v>8523131.8160736002</v>
      </c>
      <c r="CV89" s="11">
        <f t="shared" si="45"/>
        <v>8523131.8160736002</v>
      </c>
      <c r="CW89" s="11">
        <f t="shared" si="45"/>
        <v>8523131.8160736002</v>
      </c>
      <c r="CX89" s="11">
        <f t="shared" si="45"/>
        <v>8523131.8160736002</v>
      </c>
      <c r="CY89" s="11">
        <f t="shared" si="45"/>
        <v>8523131.8160736002</v>
      </c>
      <c r="CZ89" s="11">
        <f t="shared" si="45"/>
        <v>8523131.8160736002</v>
      </c>
      <c r="DA89" s="11">
        <f t="shared" si="45"/>
        <v>8523131.8160736002</v>
      </c>
      <c r="DB89" s="11">
        <f t="shared" si="45"/>
        <v>8523131.8160736002</v>
      </c>
      <c r="DC89" s="11">
        <f t="shared" si="45"/>
        <v>8523131.8160736002</v>
      </c>
      <c r="DF89" s="46">
        <f t="shared" si="39"/>
        <v>99</v>
      </c>
    </row>
    <row r="90" spans="1:112" ht="14.4">
      <c r="A90" s="124">
        <v>78</v>
      </c>
      <c r="B90" s="5" t="str">
        <f>$B$89&amp;"1."</f>
        <v>G.1.</v>
      </c>
      <c r="C90" s="164" t="s">
        <v>626</v>
      </c>
      <c r="D90" s="5"/>
      <c r="E90" s="193">
        <v>0</v>
      </c>
      <c r="F90" s="35">
        <f>H90+NPV(FD,I90:INDEX(I90:DC90,PAL))</f>
        <v>24145558.859936103</v>
      </c>
      <c r="G90" s="35">
        <f>SUMIF($H$5:$DC$5,"&lt;="&amp;PAL,$H90:$DC90)</f>
        <v>37346779.051397339</v>
      </c>
      <c r="H90" s="38">
        <v>0</v>
      </c>
      <c r="I90" s="38">
        <f>+Prielaidos!AG31</f>
        <v>0</v>
      </c>
      <c r="J90" s="38">
        <f>+Prielaidos!AH31</f>
        <v>186128.66753199999</v>
      </c>
      <c r="K90" s="38">
        <f>+Prielaidos!AI31+Prielaidos!V229</f>
        <v>1314156.3272221333</v>
      </c>
      <c r="L90" s="38">
        <f>+Prielaidos!$AJ31+Prielaidos!$Q$228</f>
        <v>2108617.2974496004</v>
      </c>
      <c r="M90" s="38">
        <f>+Prielaidos!$AJ31+Prielaidos!$Q$228</f>
        <v>2108617.2974496004</v>
      </c>
      <c r="N90" s="38">
        <f>+Prielaidos!$AJ31+Prielaidos!$Q$228</f>
        <v>2108617.2974496004</v>
      </c>
      <c r="O90" s="38">
        <f>+Prielaidos!$AJ31+Prielaidos!$Q$228</f>
        <v>2108617.2974496004</v>
      </c>
      <c r="P90" s="38">
        <f>+Prielaidos!$AJ31+Prielaidos!$Q$228</f>
        <v>2108617.2974496004</v>
      </c>
      <c r="Q90" s="38">
        <f>+Prielaidos!$AJ31+Prielaidos!$Q$228</f>
        <v>2108617.2974496004</v>
      </c>
      <c r="R90" s="38">
        <f>+Prielaidos!$AJ31+Prielaidos!$Q$228</f>
        <v>2108617.2974496004</v>
      </c>
      <c r="S90" s="38">
        <f>+Prielaidos!$AJ31+Prielaidos!$Q$228</f>
        <v>2108617.2974496004</v>
      </c>
      <c r="T90" s="38">
        <f>+Prielaidos!$AJ31+Prielaidos!$Q$228</f>
        <v>2108617.2974496004</v>
      </c>
      <c r="U90" s="38">
        <f>+Prielaidos!$AJ31+Prielaidos!$Q$228</f>
        <v>2108617.2974496004</v>
      </c>
      <c r="V90" s="38">
        <f>+Prielaidos!$AJ31+Prielaidos!$Q$228</f>
        <v>2108617.2974496004</v>
      </c>
      <c r="W90" s="38">
        <f>+Prielaidos!$AJ31+Prielaidos!$Q$228</f>
        <v>2108617.2974496004</v>
      </c>
      <c r="X90" s="38">
        <f>+Prielaidos!$AJ31+Prielaidos!$Q$228</f>
        <v>2108617.2974496004</v>
      </c>
      <c r="Y90" s="38">
        <f>+Prielaidos!$AJ31+Prielaidos!$Q$228</f>
        <v>2108617.2974496004</v>
      </c>
      <c r="Z90" s="38">
        <f>+Prielaidos!$AJ31+Prielaidos!$Q$228</f>
        <v>2108617.2974496004</v>
      </c>
      <c r="AA90" s="38">
        <f>+Prielaidos!$AJ31+Prielaidos!$Q$228</f>
        <v>2108617.2974496004</v>
      </c>
      <c r="AB90" s="38">
        <f>+Prielaidos!$AJ31+Prielaidos!$Q$228</f>
        <v>2108617.2974496004</v>
      </c>
      <c r="AC90" s="38">
        <f>+Prielaidos!$AJ31</f>
        <v>881431.81607360009</v>
      </c>
      <c r="AD90" s="38">
        <f>+Prielaidos!$AJ31</f>
        <v>881431.81607360009</v>
      </c>
      <c r="AE90" s="38">
        <f>+Prielaidos!$AJ31</f>
        <v>881431.81607360009</v>
      </c>
      <c r="AF90" s="38">
        <f>+Prielaidos!$AJ31</f>
        <v>881431.81607360009</v>
      </c>
      <c r="AG90" s="38">
        <f>+Prielaidos!$AJ31</f>
        <v>881431.81607360009</v>
      </c>
      <c r="AH90" s="38">
        <f>+Prielaidos!$AJ31</f>
        <v>881431.81607360009</v>
      </c>
      <c r="AI90" s="38">
        <f>+Prielaidos!$AJ31</f>
        <v>881431.81607360009</v>
      </c>
      <c r="AJ90" s="38">
        <f>+Prielaidos!$AJ31</f>
        <v>881431.81607360009</v>
      </c>
      <c r="AK90" s="38">
        <f>+Prielaidos!$AJ31</f>
        <v>881431.81607360009</v>
      </c>
      <c r="AL90" s="38">
        <f>+Prielaidos!$AJ31</f>
        <v>881431.81607360009</v>
      </c>
      <c r="AM90" s="38">
        <f>+Prielaidos!$AJ31</f>
        <v>881431.81607360009</v>
      </c>
      <c r="AN90" s="38">
        <f>+Prielaidos!$AJ31</f>
        <v>881431.81607360009</v>
      </c>
      <c r="AO90" s="38">
        <f>+Prielaidos!$AJ31</f>
        <v>881431.81607360009</v>
      </c>
      <c r="AP90" s="38">
        <f>+Prielaidos!$AJ31</f>
        <v>881431.81607360009</v>
      </c>
      <c r="AQ90" s="38">
        <f>+Prielaidos!$AJ31</f>
        <v>881431.81607360009</v>
      </c>
      <c r="AR90" s="38">
        <f>+Prielaidos!$AJ31</f>
        <v>881431.81607360009</v>
      </c>
      <c r="AS90" s="38">
        <f>+Prielaidos!$AJ31</f>
        <v>881431.81607360009</v>
      </c>
      <c r="AT90" s="38">
        <f>+Prielaidos!$AJ31</f>
        <v>881431.81607360009</v>
      </c>
      <c r="AU90" s="38">
        <f>+Prielaidos!$AJ31</f>
        <v>881431.81607360009</v>
      </c>
      <c r="AV90" s="38">
        <f>+Prielaidos!$AJ31</f>
        <v>881431.81607360009</v>
      </c>
      <c r="AW90" s="38">
        <f>+Prielaidos!$AJ31</f>
        <v>881431.81607360009</v>
      </c>
      <c r="AX90" s="38">
        <f>+Prielaidos!$AJ31</f>
        <v>881431.81607360009</v>
      </c>
      <c r="AY90" s="38">
        <f>+Prielaidos!$AJ31</f>
        <v>881431.81607360009</v>
      </c>
      <c r="AZ90" s="38">
        <f>+Prielaidos!$AJ31</f>
        <v>881431.81607360009</v>
      </c>
      <c r="BA90" s="38">
        <f>+Prielaidos!$AJ31</f>
        <v>881431.81607360009</v>
      </c>
      <c r="BB90" s="38">
        <f>+Prielaidos!$AJ31</f>
        <v>881431.81607360009</v>
      </c>
      <c r="BC90" s="38">
        <f>+Prielaidos!$AJ31</f>
        <v>881431.81607360009</v>
      </c>
      <c r="BD90" s="38">
        <f>+Prielaidos!$AJ31</f>
        <v>881431.81607360009</v>
      </c>
      <c r="BE90" s="38">
        <f>+Prielaidos!$AJ31</f>
        <v>881431.81607360009</v>
      </c>
      <c r="BF90" s="38">
        <f>+Prielaidos!$AJ31</f>
        <v>881431.81607360009</v>
      </c>
      <c r="BG90" s="38">
        <f>+Prielaidos!$AJ31</f>
        <v>881431.81607360009</v>
      </c>
      <c r="BH90" s="38">
        <f>+Prielaidos!$AJ31</f>
        <v>881431.81607360009</v>
      </c>
      <c r="BI90" s="38">
        <f>+Prielaidos!$AJ31</f>
        <v>881431.81607360009</v>
      </c>
      <c r="BJ90" s="38">
        <f>+Prielaidos!$AJ31</f>
        <v>881431.81607360009</v>
      </c>
      <c r="BK90" s="38">
        <f>+Prielaidos!$AJ31</f>
        <v>881431.81607360009</v>
      </c>
      <c r="BL90" s="38">
        <f>+Prielaidos!$AJ31</f>
        <v>881431.81607360009</v>
      </c>
      <c r="BM90" s="38">
        <f>+Prielaidos!$AJ31</f>
        <v>881431.81607360009</v>
      </c>
      <c r="BN90" s="38">
        <f>+Prielaidos!$AJ31</f>
        <v>881431.81607360009</v>
      </c>
      <c r="BO90" s="38">
        <f>+Prielaidos!$AJ31</f>
        <v>881431.81607360009</v>
      </c>
      <c r="BP90" s="38">
        <f>+Prielaidos!$AJ31</f>
        <v>881431.81607360009</v>
      </c>
      <c r="BQ90" s="38">
        <f>+Prielaidos!$AJ31</f>
        <v>881431.81607360009</v>
      </c>
      <c r="BR90" s="38">
        <f>+Prielaidos!$AJ31</f>
        <v>881431.81607360009</v>
      </c>
      <c r="BS90" s="38">
        <f>+Prielaidos!$AJ31</f>
        <v>881431.81607360009</v>
      </c>
      <c r="BT90" s="38">
        <f>+Prielaidos!$AJ31</f>
        <v>881431.81607360009</v>
      </c>
      <c r="BU90" s="38">
        <f>+Prielaidos!$AJ31</f>
        <v>881431.81607360009</v>
      </c>
      <c r="BV90" s="38">
        <f>+Prielaidos!$AJ31</f>
        <v>881431.81607360009</v>
      </c>
      <c r="BW90" s="38">
        <f>+Prielaidos!$AJ31</f>
        <v>881431.81607360009</v>
      </c>
      <c r="BX90" s="38">
        <f>+Prielaidos!$AJ31</f>
        <v>881431.81607360009</v>
      </c>
      <c r="BY90" s="38">
        <f>+Prielaidos!$AJ31</f>
        <v>881431.81607360009</v>
      </c>
      <c r="BZ90" s="38">
        <f>+Prielaidos!$AJ31</f>
        <v>881431.81607360009</v>
      </c>
      <c r="CA90" s="38">
        <f>+Prielaidos!$AJ31</f>
        <v>881431.81607360009</v>
      </c>
      <c r="CB90" s="38">
        <f>+Prielaidos!$AJ31</f>
        <v>881431.81607360009</v>
      </c>
      <c r="CC90" s="38">
        <f>+Prielaidos!$AJ31</f>
        <v>881431.81607360009</v>
      </c>
      <c r="CD90" s="38">
        <f>+Prielaidos!$AJ31</f>
        <v>881431.81607360009</v>
      </c>
      <c r="CE90" s="38">
        <f>+Prielaidos!$AJ31</f>
        <v>881431.81607360009</v>
      </c>
      <c r="CF90" s="38">
        <f>+Prielaidos!$AJ31</f>
        <v>881431.81607360009</v>
      </c>
      <c r="CG90" s="38">
        <f>+Prielaidos!$AJ31</f>
        <v>881431.81607360009</v>
      </c>
      <c r="CH90" s="38">
        <f>+Prielaidos!$AJ31</f>
        <v>881431.81607360009</v>
      </c>
      <c r="CI90" s="38">
        <f>+Prielaidos!$AJ31</f>
        <v>881431.81607360009</v>
      </c>
      <c r="CJ90" s="38">
        <f>+Prielaidos!$AJ31</f>
        <v>881431.81607360009</v>
      </c>
      <c r="CK90" s="38">
        <f>+Prielaidos!$AJ31</f>
        <v>881431.81607360009</v>
      </c>
      <c r="CL90" s="38">
        <f>+Prielaidos!$AJ31</f>
        <v>881431.81607360009</v>
      </c>
      <c r="CM90" s="38">
        <f>+Prielaidos!$AJ31</f>
        <v>881431.81607360009</v>
      </c>
      <c r="CN90" s="38">
        <f>+Prielaidos!$AJ31</f>
        <v>881431.81607360009</v>
      </c>
      <c r="CO90" s="38">
        <f>+Prielaidos!$AJ31</f>
        <v>881431.81607360009</v>
      </c>
      <c r="CP90" s="38">
        <f>+Prielaidos!$AJ31</f>
        <v>881431.81607360009</v>
      </c>
      <c r="CQ90" s="38">
        <f>+Prielaidos!$AJ31</f>
        <v>881431.81607360009</v>
      </c>
      <c r="CR90" s="38">
        <f>+Prielaidos!$AJ31</f>
        <v>881431.81607360009</v>
      </c>
      <c r="CS90" s="38">
        <f>+Prielaidos!$AJ31</f>
        <v>881431.81607360009</v>
      </c>
      <c r="CT90" s="38">
        <f>+Prielaidos!$AJ31</f>
        <v>881431.81607360009</v>
      </c>
      <c r="CU90" s="38">
        <f>+Prielaidos!$AJ31</f>
        <v>881431.81607360009</v>
      </c>
      <c r="CV90" s="38">
        <f>+Prielaidos!$AJ31</f>
        <v>881431.81607360009</v>
      </c>
      <c r="CW90" s="38">
        <f>+Prielaidos!$AJ31</f>
        <v>881431.81607360009</v>
      </c>
      <c r="CX90" s="38">
        <f>+Prielaidos!$AJ31</f>
        <v>881431.81607360009</v>
      </c>
      <c r="CY90" s="38">
        <f>+Prielaidos!$AJ31</f>
        <v>881431.81607360009</v>
      </c>
      <c r="CZ90" s="38">
        <f>+Prielaidos!$AJ31</f>
        <v>881431.81607360009</v>
      </c>
      <c r="DA90" s="38">
        <f>+Prielaidos!$AJ31</f>
        <v>881431.81607360009</v>
      </c>
      <c r="DB90" s="38">
        <f>+Prielaidos!$AJ31</f>
        <v>881431.81607360009</v>
      </c>
      <c r="DC90" s="38">
        <f>+Prielaidos!$AJ31</f>
        <v>881431.81607360009</v>
      </c>
      <c r="DE90" s="46">
        <f t="shared" ref="DE90:DE116" si="46">COUNTBLANK(H90:DC90)</f>
        <v>0</v>
      </c>
      <c r="DF90" s="46">
        <f t="shared" si="39"/>
        <v>98</v>
      </c>
      <c r="DG90">
        <f t="shared" ref="DG90:DG110" si="47">IF(ISNUMBER(E90),E90*100,0)</f>
        <v>0</v>
      </c>
    </row>
    <row r="91" spans="1:112" ht="14.4">
      <c r="A91" s="124">
        <v>79</v>
      </c>
      <c r="B91" s="5" t="str">
        <f>$B$89&amp;"2."</f>
        <v>G.2.</v>
      </c>
      <c r="C91" s="164" t="s">
        <v>624</v>
      </c>
      <c r="D91" s="5"/>
      <c r="E91" s="193">
        <v>0</v>
      </c>
      <c r="F91" s="35">
        <f>H91+NPV(FD,I91:INDEX(I91:DC91,PAL))</f>
        <v>8183456.1680627093</v>
      </c>
      <c r="G91" s="35">
        <f>SUMIF($H$5:$DC$5,"&lt;="&amp;PAL,$H91:$DC91)</f>
        <v>12742086.725755204</v>
      </c>
      <c r="H91" s="38">
        <v>0</v>
      </c>
      <c r="I91" s="38">
        <f>+Prielaidos!AG42</f>
        <v>0</v>
      </c>
      <c r="J91" s="38">
        <f>+Prielaidos!AH42</f>
        <v>0</v>
      </c>
      <c r="K91" s="38">
        <f>+Prielaidos!AI42</f>
        <v>304834.61066400004</v>
      </c>
      <c r="L91" s="38">
        <f>+Prielaidos!$AJ$42</f>
        <v>731603.06559360004</v>
      </c>
      <c r="M91" s="38">
        <f>+Prielaidos!$AJ$42</f>
        <v>731603.06559360004</v>
      </c>
      <c r="N91" s="38">
        <f>+Prielaidos!$AJ$42</f>
        <v>731603.06559360004</v>
      </c>
      <c r="O91" s="38">
        <f>+Prielaidos!$AJ$42</f>
        <v>731603.06559360004</v>
      </c>
      <c r="P91" s="38">
        <f>+Prielaidos!$AJ$42</f>
        <v>731603.06559360004</v>
      </c>
      <c r="Q91" s="38">
        <f>+Prielaidos!$AJ$42</f>
        <v>731603.06559360004</v>
      </c>
      <c r="R91" s="38">
        <f>+Prielaidos!$AJ$42</f>
        <v>731603.06559360004</v>
      </c>
      <c r="S91" s="38">
        <f>+Prielaidos!$AJ$42</f>
        <v>731603.06559360004</v>
      </c>
      <c r="T91" s="38">
        <f>+Prielaidos!$AJ$42</f>
        <v>731603.06559360004</v>
      </c>
      <c r="U91" s="38">
        <f>+Prielaidos!$AJ$42</f>
        <v>731603.06559360004</v>
      </c>
      <c r="V91" s="38">
        <f>+Prielaidos!$AJ$42</f>
        <v>731603.06559360004</v>
      </c>
      <c r="W91" s="38">
        <f>+Prielaidos!$AJ$42</f>
        <v>731603.06559360004</v>
      </c>
      <c r="X91" s="38">
        <f>+Prielaidos!$AJ$42</f>
        <v>731603.06559360004</v>
      </c>
      <c r="Y91" s="38">
        <f>+Prielaidos!$AJ$42</f>
        <v>731603.06559360004</v>
      </c>
      <c r="Z91" s="38">
        <f>+Prielaidos!$AJ$42</f>
        <v>731603.06559360004</v>
      </c>
      <c r="AA91" s="38">
        <f>+Prielaidos!$AJ$42</f>
        <v>731603.06559360004</v>
      </c>
      <c r="AB91" s="38">
        <f>+Prielaidos!$AJ$42</f>
        <v>731603.06559360004</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18</v>
      </c>
      <c r="DG91">
        <f t="shared" si="47"/>
        <v>0</v>
      </c>
    </row>
    <row r="92" spans="1:112" ht="14.4">
      <c r="A92" s="124">
        <v>80</v>
      </c>
      <c r="B92" s="5" t="str">
        <f>$B$89&amp;"3."</f>
        <v>G.3.</v>
      </c>
      <c r="C92" s="164" t="s">
        <v>729</v>
      </c>
      <c r="D92" s="5"/>
      <c r="E92" s="193">
        <v>0</v>
      </c>
      <c r="F92" s="35">
        <f>H92+NPV(FD,I92:INDEX(I92:DC92,PAL))</f>
        <v>252575.75766858441</v>
      </c>
      <c r="G92" s="35">
        <f>SUMIF($H$5:$DC$5,"&lt;="&amp;PAL,$H92:$DC92)</f>
        <v>380000</v>
      </c>
      <c r="H92" s="38">
        <v>0</v>
      </c>
      <c r="I92" s="38">
        <v>0</v>
      </c>
      <c r="J92" s="38">
        <f>+Prielaidos!$E14</f>
        <v>20000</v>
      </c>
      <c r="K92" s="38">
        <f>+Prielaidos!$E14</f>
        <v>20000</v>
      </c>
      <c r="L92" s="38">
        <f>+Prielaidos!$E14</f>
        <v>20000</v>
      </c>
      <c r="M92" s="38">
        <f>+Prielaidos!$E14</f>
        <v>20000</v>
      </c>
      <c r="N92" s="38">
        <f>+Prielaidos!$E14</f>
        <v>20000</v>
      </c>
      <c r="O92" s="38">
        <f>+Prielaidos!$E14</f>
        <v>20000</v>
      </c>
      <c r="P92" s="38">
        <f>+Prielaidos!$E14</f>
        <v>20000</v>
      </c>
      <c r="Q92" s="38">
        <f>+Prielaidos!$E14</f>
        <v>20000</v>
      </c>
      <c r="R92" s="38">
        <f>+Prielaidos!$E14</f>
        <v>20000</v>
      </c>
      <c r="S92" s="38">
        <f>+Prielaidos!$E14</f>
        <v>20000</v>
      </c>
      <c r="T92" s="38">
        <f>+Prielaidos!$E14</f>
        <v>20000</v>
      </c>
      <c r="U92" s="38">
        <f>+Prielaidos!$E14</f>
        <v>20000</v>
      </c>
      <c r="V92" s="38">
        <f>+Prielaidos!$E14</f>
        <v>20000</v>
      </c>
      <c r="W92" s="38">
        <f>+Prielaidos!$E14</f>
        <v>20000</v>
      </c>
      <c r="X92" s="38">
        <f>+Prielaidos!$E14</f>
        <v>20000</v>
      </c>
      <c r="Y92" s="38">
        <f>+Prielaidos!$E14</f>
        <v>20000</v>
      </c>
      <c r="Z92" s="38">
        <f>+Prielaidos!$E14</f>
        <v>20000</v>
      </c>
      <c r="AA92" s="38">
        <f>+Prielaidos!$E14</f>
        <v>20000</v>
      </c>
      <c r="AB92" s="38">
        <f>+Prielaidos!$E14</f>
        <v>20000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19</v>
      </c>
      <c r="DG92">
        <f t="shared" si="47"/>
        <v>0</v>
      </c>
    </row>
    <row r="93" spans="1:112" ht="14.4">
      <c r="A93" s="124">
        <v>81</v>
      </c>
      <c r="B93" s="5" t="str">
        <f>$B$89&amp;"4."</f>
        <v>G.4.</v>
      </c>
      <c r="C93" s="164" t="s">
        <v>808</v>
      </c>
      <c r="D93" s="5"/>
      <c r="E93" s="193">
        <v>0</v>
      </c>
      <c r="F93" s="35">
        <f>H93+NPV(FD,I93:INDEX(I93:DC93,PAL))</f>
        <v>86235.411599828483</v>
      </c>
      <c r="G93" s="35">
        <f>SUMIF($H$5:$DC$5,"&lt;="&amp;PAL,$H93:$DC93)</f>
        <v>139500</v>
      </c>
      <c r="H93" s="38">
        <v>0</v>
      </c>
      <c r="I93" s="38">
        <v>0</v>
      </c>
      <c r="J93" s="38">
        <v>0</v>
      </c>
      <c r="K93" s="38">
        <v>0</v>
      </c>
      <c r="L93" s="38">
        <f>+Prielaidos!$H6*3*3</f>
        <v>4500</v>
      </c>
      <c r="M93" s="38">
        <f>+Prielaidos!$H6*3*3</f>
        <v>4500</v>
      </c>
      <c r="N93" s="38">
        <f>+Prielaidos!$H6*3*3</f>
        <v>4500</v>
      </c>
      <c r="O93" s="38">
        <f>+Prielaidos!$H6*3*6</f>
        <v>9000</v>
      </c>
      <c r="P93" s="38">
        <f>+Prielaidos!$H6*3*6</f>
        <v>9000</v>
      </c>
      <c r="Q93" s="38">
        <f>+Prielaidos!$H6*3*6</f>
        <v>9000</v>
      </c>
      <c r="R93" s="38">
        <f>+Prielaidos!$H6*3*6</f>
        <v>9000</v>
      </c>
      <c r="S93" s="38">
        <f>+Prielaidos!$H6*3*6</f>
        <v>9000</v>
      </c>
      <c r="T93" s="38">
        <f>+Prielaidos!$H6*3*6</f>
        <v>9000</v>
      </c>
      <c r="U93" s="38">
        <f>+Prielaidos!$H6*3*6</f>
        <v>9000</v>
      </c>
      <c r="V93" s="38">
        <f>+Prielaidos!$H6*3*6</f>
        <v>9000</v>
      </c>
      <c r="W93" s="38">
        <f>+Prielaidos!$H6*3*6</f>
        <v>9000</v>
      </c>
      <c r="X93" s="38">
        <f>+Prielaidos!$H6*3*6</f>
        <v>9000</v>
      </c>
      <c r="Y93" s="38">
        <f>+Prielaidos!$H6*3*6</f>
        <v>9000</v>
      </c>
      <c r="Z93" s="38">
        <f>+Prielaidos!$H6*3*6</f>
        <v>9000</v>
      </c>
      <c r="AA93" s="38">
        <f>+Prielaidos!$H6*3*6</f>
        <v>9000</v>
      </c>
      <c r="AB93" s="38">
        <f>+Prielaidos!$H6*3*6</f>
        <v>9000</v>
      </c>
      <c r="AC93" s="38">
        <f>+Prielaidos!$H6*3*6</f>
        <v>9000</v>
      </c>
      <c r="AD93" s="38">
        <f>+Prielaidos!$H6*3*6</f>
        <v>9000</v>
      </c>
      <c r="AE93" s="38">
        <f>+Prielaidos!$H6*3*6</f>
        <v>9000</v>
      </c>
      <c r="AF93" s="38">
        <f>+Prielaidos!$H6*3*6</f>
        <v>9000</v>
      </c>
      <c r="AG93" s="38">
        <f>+Prielaidos!$H6*3*6</f>
        <v>9000</v>
      </c>
      <c r="AH93" s="38">
        <f>+Prielaidos!$H6*3*6</f>
        <v>9000</v>
      </c>
      <c r="AI93" s="38">
        <f>+Prielaidos!$H6*3*6</f>
        <v>9000</v>
      </c>
      <c r="AJ93" s="38">
        <f>+Prielaidos!$H6*3*6</f>
        <v>9000</v>
      </c>
      <c r="AK93" s="38">
        <f>+Prielaidos!$H6*3*6</f>
        <v>9000</v>
      </c>
      <c r="AL93" s="38">
        <f>+Prielaidos!$H6*3*6</f>
        <v>9000</v>
      </c>
      <c r="AM93" s="38">
        <f>+Prielaidos!$H6*3*6</f>
        <v>9000</v>
      </c>
      <c r="AN93" s="38">
        <f>+Prielaidos!$H6*3*6</f>
        <v>9000</v>
      </c>
      <c r="AO93" s="38">
        <f>+Prielaidos!$H6*3*6</f>
        <v>9000</v>
      </c>
      <c r="AP93" s="38">
        <f>+Prielaidos!$H6*3*6</f>
        <v>9000</v>
      </c>
      <c r="AQ93" s="38">
        <f>+Prielaidos!$H6*3*6</f>
        <v>9000</v>
      </c>
      <c r="AR93" s="38">
        <f>+Prielaidos!$H6*3*6</f>
        <v>9000</v>
      </c>
      <c r="AS93" s="38">
        <f>+Prielaidos!$H6*3*6</f>
        <v>9000</v>
      </c>
      <c r="AT93" s="38">
        <f>+Prielaidos!$H6*3*6</f>
        <v>9000</v>
      </c>
      <c r="AU93" s="38">
        <f>+Prielaidos!$H6*3*6</f>
        <v>9000</v>
      </c>
      <c r="AV93" s="38">
        <f>+Prielaidos!$H6*3*6</f>
        <v>9000</v>
      </c>
      <c r="AW93" s="38">
        <f>+Prielaidos!$H6*3*6</f>
        <v>9000</v>
      </c>
      <c r="AX93" s="38">
        <f>+Prielaidos!$H6*3*6</f>
        <v>9000</v>
      </c>
      <c r="AY93" s="38">
        <f>+Prielaidos!$H6*3*6</f>
        <v>9000</v>
      </c>
      <c r="AZ93" s="38">
        <f>+Prielaidos!$H6*3*6</f>
        <v>9000</v>
      </c>
      <c r="BA93" s="38">
        <f>+Prielaidos!$H6*3*6</f>
        <v>9000</v>
      </c>
      <c r="BB93" s="38">
        <f>+Prielaidos!$H6*3*6</f>
        <v>9000</v>
      </c>
      <c r="BC93" s="38">
        <f>+Prielaidos!$H6*3*6</f>
        <v>9000</v>
      </c>
      <c r="BD93" s="38">
        <f>+Prielaidos!$H6*3*6</f>
        <v>9000</v>
      </c>
      <c r="BE93" s="38">
        <f>+Prielaidos!$H6*3*6</f>
        <v>9000</v>
      </c>
      <c r="BF93" s="38">
        <f>+Prielaidos!$H6*3*6</f>
        <v>9000</v>
      </c>
      <c r="BG93" s="38">
        <f>+Prielaidos!$H6*3*6</f>
        <v>9000</v>
      </c>
      <c r="BH93" s="38">
        <f>+Prielaidos!$H6*3*6</f>
        <v>9000</v>
      </c>
      <c r="BI93" s="38">
        <f>+Prielaidos!$H6*3*6</f>
        <v>9000</v>
      </c>
      <c r="BJ93" s="38">
        <f>+Prielaidos!$H6*3*6</f>
        <v>9000</v>
      </c>
      <c r="BK93" s="38">
        <f>+Prielaidos!$H6*3*6</f>
        <v>9000</v>
      </c>
      <c r="BL93" s="38">
        <f>+Prielaidos!$H6*3*6</f>
        <v>9000</v>
      </c>
      <c r="BM93" s="38">
        <f>+Prielaidos!$H6*3*6</f>
        <v>9000</v>
      </c>
      <c r="BN93" s="38">
        <f>+Prielaidos!$H6*3*6</f>
        <v>9000</v>
      </c>
      <c r="BO93" s="38">
        <f>+Prielaidos!$H6*3*6</f>
        <v>9000</v>
      </c>
      <c r="BP93" s="38">
        <f>+Prielaidos!$H6*3*6</f>
        <v>9000</v>
      </c>
      <c r="BQ93" s="38">
        <f>+Prielaidos!$H6*3*6</f>
        <v>9000</v>
      </c>
      <c r="BR93" s="38">
        <f>+Prielaidos!$H6*3*6</f>
        <v>9000</v>
      </c>
      <c r="BS93" s="38">
        <f>+Prielaidos!$H6*3*6</f>
        <v>9000</v>
      </c>
      <c r="BT93" s="38">
        <f>+Prielaidos!$H6*3*6</f>
        <v>9000</v>
      </c>
      <c r="BU93" s="38">
        <f>+Prielaidos!$H6*3*6</f>
        <v>9000</v>
      </c>
      <c r="BV93" s="38">
        <f>+Prielaidos!$H6*3*6</f>
        <v>9000</v>
      </c>
      <c r="BW93" s="38">
        <f>+Prielaidos!$H6*3*6</f>
        <v>9000</v>
      </c>
      <c r="BX93" s="38">
        <f>+Prielaidos!$H6*3*6</f>
        <v>9000</v>
      </c>
      <c r="BY93" s="38">
        <f>+Prielaidos!$H6*3*6</f>
        <v>9000</v>
      </c>
      <c r="BZ93" s="38">
        <f>+Prielaidos!$H6*3*6</f>
        <v>9000</v>
      </c>
      <c r="CA93" s="38">
        <f>+Prielaidos!$H6*3*6</f>
        <v>9000</v>
      </c>
      <c r="CB93" s="38">
        <f>+Prielaidos!$H6*3*6</f>
        <v>9000</v>
      </c>
      <c r="CC93" s="38">
        <f>+Prielaidos!$H6*3*6</f>
        <v>9000</v>
      </c>
      <c r="CD93" s="38">
        <f>+Prielaidos!$H6*3*6</f>
        <v>9000</v>
      </c>
      <c r="CE93" s="38">
        <f>+Prielaidos!$H6*3*6</f>
        <v>9000</v>
      </c>
      <c r="CF93" s="38">
        <f>+Prielaidos!$H6*3*6</f>
        <v>9000</v>
      </c>
      <c r="CG93" s="38">
        <f>+Prielaidos!$H6*3*6</f>
        <v>9000</v>
      </c>
      <c r="CH93" s="38">
        <f>+Prielaidos!$H6*3*6</f>
        <v>9000</v>
      </c>
      <c r="CI93" s="38">
        <f>+Prielaidos!$H6*3*6</f>
        <v>9000</v>
      </c>
      <c r="CJ93" s="38">
        <f>+Prielaidos!$H6*3*6</f>
        <v>9000</v>
      </c>
      <c r="CK93" s="38">
        <f>+Prielaidos!$H6*3*6</f>
        <v>9000</v>
      </c>
      <c r="CL93" s="38">
        <f>+Prielaidos!$H6*3*6</f>
        <v>9000</v>
      </c>
      <c r="CM93" s="38">
        <f>+Prielaidos!$H6*3*6</f>
        <v>9000</v>
      </c>
      <c r="CN93" s="38">
        <f>+Prielaidos!$H6*3*6</f>
        <v>9000</v>
      </c>
      <c r="CO93" s="38">
        <f>+Prielaidos!$H6*3*6</f>
        <v>9000</v>
      </c>
      <c r="CP93" s="38">
        <f>+Prielaidos!$H6*3*6</f>
        <v>9000</v>
      </c>
      <c r="CQ93" s="38">
        <f>+Prielaidos!$H6*3*6</f>
        <v>9000</v>
      </c>
      <c r="CR93" s="38">
        <f>+Prielaidos!$H6*3*6</f>
        <v>9000</v>
      </c>
      <c r="CS93" s="38">
        <f>+Prielaidos!$H6*3*6</f>
        <v>9000</v>
      </c>
      <c r="CT93" s="38">
        <f>+Prielaidos!$H6*3*6</f>
        <v>9000</v>
      </c>
      <c r="CU93" s="38">
        <f>+Prielaidos!$H6*3*6</f>
        <v>9000</v>
      </c>
      <c r="CV93" s="38">
        <f>+Prielaidos!$H6*3*6</f>
        <v>9000</v>
      </c>
      <c r="CW93" s="38">
        <f>+Prielaidos!$H6*3*6</f>
        <v>9000</v>
      </c>
      <c r="CX93" s="38">
        <f>+Prielaidos!$H6*3*6</f>
        <v>9000</v>
      </c>
      <c r="CY93" s="38">
        <f>+Prielaidos!$H6*3*6</f>
        <v>9000</v>
      </c>
      <c r="CZ93" s="38">
        <f>+Prielaidos!$H6*3*6</f>
        <v>9000</v>
      </c>
      <c r="DA93" s="38">
        <f>+Prielaidos!$H6*3*6</f>
        <v>9000</v>
      </c>
      <c r="DB93" s="38">
        <f>+Prielaidos!$H6*3*6</f>
        <v>9000</v>
      </c>
      <c r="DC93" s="38">
        <f>+Prielaidos!$H6*3*6</f>
        <v>9000</v>
      </c>
      <c r="DE93" s="46">
        <f t="shared" si="46"/>
        <v>0</v>
      </c>
      <c r="DF93" s="46">
        <f t="shared" si="39"/>
        <v>96</v>
      </c>
      <c r="DG93">
        <f t="shared" si="47"/>
        <v>0</v>
      </c>
    </row>
    <row r="94" spans="1:112" ht="14.4">
      <c r="A94" s="124">
        <v>82</v>
      </c>
      <c r="B94" s="5" t="str">
        <f>$B$89&amp;"5."</f>
        <v>G.5.</v>
      </c>
      <c r="C94" s="164" t="s">
        <v>630</v>
      </c>
      <c r="D94" s="5"/>
      <c r="E94" s="193">
        <v>0</v>
      </c>
      <c r="F94" s="35">
        <f>H94+NPV(FD,I94:INDEX(I94:DC94,PAL))</f>
        <v>22179412.594987258</v>
      </c>
      <c r="G94" s="35">
        <f>SUMIF($H$5:$DC$5,"&lt;="&amp;PAL,$H94:$DC94)</f>
        <v>32640000</v>
      </c>
      <c r="H94" s="38">
        <v>0</v>
      </c>
      <c r="I94" s="38">
        <f>+Prielaidos!$AK$165*1000</f>
        <v>1632000</v>
      </c>
      <c r="J94" s="38">
        <f>+Prielaidos!$AK$165*1000</f>
        <v>1632000</v>
      </c>
      <c r="K94" s="38">
        <f>+Prielaidos!$AK$165*1000</f>
        <v>1632000</v>
      </c>
      <c r="L94" s="38">
        <f>+Prielaidos!$AK$165*1000</f>
        <v>1632000</v>
      </c>
      <c r="M94" s="38">
        <f>+Prielaidos!$AK$165*1000</f>
        <v>1632000</v>
      </c>
      <c r="N94" s="38">
        <f>+Prielaidos!$AK$165*1000</f>
        <v>1632000</v>
      </c>
      <c r="O94" s="38">
        <f>+Prielaidos!$AK$165*1000</f>
        <v>1632000</v>
      </c>
      <c r="P94" s="38">
        <f>+Prielaidos!$AK$165*1000</f>
        <v>1632000</v>
      </c>
      <c r="Q94" s="38">
        <f>+Prielaidos!$AK$165*1000</f>
        <v>1632000</v>
      </c>
      <c r="R94" s="38">
        <f>+Prielaidos!$AK$165*1000</f>
        <v>1632000</v>
      </c>
      <c r="S94" s="38">
        <f>+Prielaidos!$AK$165*1000</f>
        <v>1632000</v>
      </c>
      <c r="T94" s="38">
        <f>+Prielaidos!$AK$165*1000</f>
        <v>1632000</v>
      </c>
      <c r="U94" s="38">
        <f>+Prielaidos!$AK$165*1000</f>
        <v>1632000</v>
      </c>
      <c r="V94" s="38">
        <f>+Prielaidos!$AK$165*1000</f>
        <v>1632000</v>
      </c>
      <c r="W94" s="38">
        <f>+Prielaidos!$AK$165*1000</f>
        <v>1632000</v>
      </c>
      <c r="X94" s="38">
        <f>+Prielaidos!$AK$165*1000</f>
        <v>1632000</v>
      </c>
      <c r="Y94" s="38">
        <f>+Prielaidos!$AK$165*1000</f>
        <v>1632000</v>
      </c>
      <c r="Z94" s="38">
        <f>+Prielaidos!$AK$165*1000</f>
        <v>1632000</v>
      </c>
      <c r="AA94" s="38">
        <f>+Prielaidos!$AK$165*1000</f>
        <v>1632000</v>
      </c>
      <c r="AB94" s="38">
        <f>+Prielaidos!$AK$165*1000</f>
        <v>1632000</v>
      </c>
      <c r="AC94" s="38">
        <f>+Prielaidos!$AK$165*1000</f>
        <v>1632000</v>
      </c>
      <c r="AD94" s="38">
        <f>+Prielaidos!$AK$165*1000</f>
        <v>1632000</v>
      </c>
      <c r="AE94" s="38">
        <f>+Prielaidos!$AK$165*1000</f>
        <v>1632000</v>
      </c>
      <c r="AF94" s="38">
        <f>+Prielaidos!$AK$165*1000</f>
        <v>1632000</v>
      </c>
      <c r="AG94" s="38">
        <f>+Prielaidos!$AK$165*1000</f>
        <v>1632000</v>
      </c>
      <c r="AH94" s="38">
        <f>+Prielaidos!$AK$165*1000</f>
        <v>1632000</v>
      </c>
      <c r="AI94" s="38">
        <f>+Prielaidos!$AK$165*1000</f>
        <v>1632000</v>
      </c>
      <c r="AJ94" s="38">
        <f>+Prielaidos!$AK$165*1000</f>
        <v>1632000</v>
      </c>
      <c r="AK94" s="38">
        <f>+Prielaidos!$AK$165*1000</f>
        <v>1632000</v>
      </c>
      <c r="AL94" s="38">
        <f>+Prielaidos!$AK$165*1000</f>
        <v>1632000</v>
      </c>
      <c r="AM94" s="38">
        <f>+Prielaidos!$AK$165*1000</f>
        <v>1632000</v>
      </c>
      <c r="AN94" s="38">
        <f>+Prielaidos!$AK$165*1000</f>
        <v>1632000</v>
      </c>
      <c r="AO94" s="38">
        <f>+Prielaidos!$AK$165*1000</f>
        <v>1632000</v>
      </c>
      <c r="AP94" s="38">
        <f>+Prielaidos!$AK$165*1000</f>
        <v>1632000</v>
      </c>
      <c r="AQ94" s="38">
        <f>+Prielaidos!$AK$165*1000</f>
        <v>1632000</v>
      </c>
      <c r="AR94" s="38">
        <f>+Prielaidos!$AK$165*1000</f>
        <v>1632000</v>
      </c>
      <c r="AS94" s="38">
        <f>+Prielaidos!$AK$165*1000</f>
        <v>1632000</v>
      </c>
      <c r="AT94" s="38">
        <f>+Prielaidos!$AK$165*1000</f>
        <v>1632000</v>
      </c>
      <c r="AU94" s="38">
        <f>+Prielaidos!$AK$165*1000</f>
        <v>1632000</v>
      </c>
      <c r="AV94" s="38">
        <f>+Prielaidos!$AK$165*1000</f>
        <v>1632000</v>
      </c>
      <c r="AW94" s="38">
        <f>+Prielaidos!$AK$165*1000</f>
        <v>1632000</v>
      </c>
      <c r="AX94" s="38">
        <f>+Prielaidos!$AK$165*1000</f>
        <v>1632000</v>
      </c>
      <c r="AY94" s="38">
        <f>+Prielaidos!$AK$165*1000</f>
        <v>1632000</v>
      </c>
      <c r="AZ94" s="38">
        <f>+Prielaidos!$AK$165*1000</f>
        <v>1632000</v>
      </c>
      <c r="BA94" s="38">
        <f>+Prielaidos!$AK$165*1000</f>
        <v>1632000</v>
      </c>
      <c r="BB94" s="38">
        <f>+Prielaidos!$AK$165*1000</f>
        <v>1632000</v>
      </c>
      <c r="BC94" s="38">
        <f>+Prielaidos!$AK$165*1000</f>
        <v>1632000</v>
      </c>
      <c r="BD94" s="38">
        <f>+Prielaidos!$AK$165*1000</f>
        <v>1632000</v>
      </c>
      <c r="BE94" s="38">
        <f>+Prielaidos!$AK$165*1000</f>
        <v>1632000</v>
      </c>
      <c r="BF94" s="38">
        <f>+Prielaidos!$AK$165*1000</f>
        <v>1632000</v>
      </c>
      <c r="BG94" s="38">
        <f>+Prielaidos!$AK$165*1000</f>
        <v>1632000</v>
      </c>
      <c r="BH94" s="38">
        <f>+Prielaidos!$AK$165*1000</f>
        <v>1632000</v>
      </c>
      <c r="BI94" s="38">
        <f>+Prielaidos!$AK$165*1000</f>
        <v>1632000</v>
      </c>
      <c r="BJ94" s="38">
        <f>+Prielaidos!$AK$165*1000</f>
        <v>1632000</v>
      </c>
      <c r="BK94" s="38">
        <f>+Prielaidos!$AK$165*1000</f>
        <v>1632000</v>
      </c>
      <c r="BL94" s="38">
        <f>+Prielaidos!$AK$165*1000</f>
        <v>1632000</v>
      </c>
      <c r="BM94" s="38">
        <f>+Prielaidos!$AK$165*1000</f>
        <v>1632000</v>
      </c>
      <c r="BN94" s="38">
        <f>+Prielaidos!$AK$165*1000</f>
        <v>1632000</v>
      </c>
      <c r="BO94" s="38">
        <f>+Prielaidos!$AK$165*1000</f>
        <v>1632000</v>
      </c>
      <c r="BP94" s="38">
        <f>+Prielaidos!$AK$165*1000</f>
        <v>1632000</v>
      </c>
      <c r="BQ94" s="38">
        <f>+Prielaidos!$AK$165*1000</f>
        <v>1632000</v>
      </c>
      <c r="BR94" s="38">
        <f>+Prielaidos!$AK$165*1000</f>
        <v>1632000</v>
      </c>
      <c r="BS94" s="38">
        <f>+Prielaidos!$AK$165*1000</f>
        <v>1632000</v>
      </c>
      <c r="BT94" s="38">
        <f>+Prielaidos!$AK$165*1000</f>
        <v>1632000</v>
      </c>
      <c r="BU94" s="38">
        <f>+Prielaidos!$AK$165*1000</f>
        <v>1632000</v>
      </c>
      <c r="BV94" s="38">
        <f>+Prielaidos!$AK$165*1000</f>
        <v>1632000</v>
      </c>
      <c r="BW94" s="38">
        <f>+Prielaidos!$AK$165*1000</f>
        <v>1632000</v>
      </c>
      <c r="BX94" s="38">
        <f>+Prielaidos!$AK$165*1000</f>
        <v>1632000</v>
      </c>
      <c r="BY94" s="38">
        <f>+Prielaidos!$AK$165*1000</f>
        <v>1632000</v>
      </c>
      <c r="BZ94" s="38">
        <f>+Prielaidos!$AK$165*1000</f>
        <v>1632000</v>
      </c>
      <c r="CA94" s="38">
        <f>+Prielaidos!$AK$165*1000</f>
        <v>1632000</v>
      </c>
      <c r="CB94" s="38">
        <f>+Prielaidos!$AK$165*1000</f>
        <v>1632000</v>
      </c>
      <c r="CC94" s="38">
        <f>+Prielaidos!$AK$165*1000</f>
        <v>1632000</v>
      </c>
      <c r="CD94" s="38">
        <f>+Prielaidos!$AK$165*1000</f>
        <v>1632000</v>
      </c>
      <c r="CE94" s="38">
        <f>+Prielaidos!$AK$165*1000</f>
        <v>1632000</v>
      </c>
      <c r="CF94" s="38">
        <f>+Prielaidos!$AK$165*1000</f>
        <v>1632000</v>
      </c>
      <c r="CG94" s="38">
        <f>+Prielaidos!$AK$165*1000</f>
        <v>1632000</v>
      </c>
      <c r="CH94" s="38">
        <f>+Prielaidos!$AK$165*1000</f>
        <v>1632000</v>
      </c>
      <c r="CI94" s="38">
        <f>+Prielaidos!$AK$165*1000</f>
        <v>1632000</v>
      </c>
      <c r="CJ94" s="38">
        <f>+Prielaidos!$AK$165*1000</f>
        <v>1632000</v>
      </c>
      <c r="CK94" s="38">
        <f>+Prielaidos!$AK$165*1000</f>
        <v>1632000</v>
      </c>
      <c r="CL94" s="38">
        <f>+Prielaidos!$AK$165*1000</f>
        <v>1632000</v>
      </c>
      <c r="CM94" s="38">
        <f>+Prielaidos!$AK$165*1000</f>
        <v>1632000</v>
      </c>
      <c r="CN94" s="38">
        <f>+Prielaidos!$AK$165*1000</f>
        <v>1632000</v>
      </c>
      <c r="CO94" s="38">
        <f>+Prielaidos!$AK$165*1000</f>
        <v>1632000</v>
      </c>
      <c r="CP94" s="38">
        <f>+Prielaidos!$AK$165*1000</f>
        <v>1632000</v>
      </c>
      <c r="CQ94" s="38">
        <f>+Prielaidos!$AK$165*1000</f>
        <v>1632000</v>
      </c>
      <c r="CR94" s="38">
        <f>+Prielaidos!$AK$165*1000</f>
        <v>1632000</v>
      </c>
      <c r="CS94" s="38">
        <f>+Prielaidos!$AK$165*1000</f>
        <v>1632000</v>
      </c>
      <c r="CT94" s="38">
        <f>+Prielaidos!$AK$165*1000</f>
        <v>1632000</v>
      </c>
      <c r="CU94" s="38">
        <f>+Prielaidos!$AK$165*1000</f>
        <v>1632000</v>
      </c>
      <c r="CV94" s="38">
        <f>+Prielaidos!$AK$165*1000</f>
        <v>1632000</v>
      </c>
      <c r="CW94" s="38">
        <f>+Prielaidos!$AK$165*1000</f>
        <v>1632000</v>
      </c>
      <c r="CX94" s="38">
        <f>+Prielaidos!$AK$165*1000</f>
        <v>1632000</v>
      </c>
      <c r="CY94" s="38">
        <f>+Prielaidos!$AK$165*1000</f>
        <v>1632000</v>
      </c>
      <c r="CZ94" s="38">
        <f>+Prielaidos!$AK$165*1000</f>
        <v>1632000</v>
      </c>
      <c r="DA94" s="38">
        <f>+Prielaidos!$AK$165*1000</f>
        <v>1632000</v>
      </c>
      <c r="DB94" s="38">
        <f>+Prielaidos!$AK$165*1000</f>
        <v>1632000</v>
      </c>
      <c r="DC94" s="38">
        <f>+Prielaidos!$AK$165*1000</f>
        <v>1632000</v>
      </c>
      <c r="DE94" s="46">
        <f t="shared" si="46"/>
        <v>0</v>
      </c>
      <c r="DF94" s="46">
        <f t="shared" si="39"/>
        <v>99</v>
      </c>
      <c r="DG94">
        <f t="shared" si="47"/>
        <v>0</v>
      </c>
    </row>
    <row r="95" spans="1:112" ht="14.4">
      <c r="A95" s="124">
        <v>83</v>
      </c>
      <c r="B95" s="5" t="str">
        <f>$B$89&amp;"6."</f>
        <v>G.6.</v>
      </c>
      <c r="C95" s="164" t="s">
        <v>791</v>
      </c>
      <c r="D95" s="5"/>
      <c r="E95" s="193">
        <v>0</v>
      </c>
      <c r="F95" s="35">
        <f>H95+NPV(FD,I95:INDEX(I95:DC95,PAL))</f>
        <v>76069492.747951716</v>
      </c>
      <c r="G95" s="35">
        <f>SUMIF($H$5:$DC$5,"&lt;="&amp;PAL,$H95:$DC95)</f>
        <v>114221500</v>
      </c>
      <c r="H95" s="38">
        <v>0</v>
      </c>
      <c r="I95" s="38">
        <f>+(Prielaidos!$AJ118+Prielaidos!$AJ51)*1000</f>
        <v>2580500</v>
      </c>
      <c r="J95" s="38">
        <f>+(Prielaidos!$AJ118+Prielaidos!$AJ51+Prielaidos!$AJ85)*1000</f>
        <v>3628400</v>
      </c>
      <c r="K95" s="38">
        <f>+(Prielaidos!$AJ118+Prielaidos!$AJ51+Prielaidos!$AJ85+Prielaidos!$AJ102+Prielaidos!$AJ150)*1000</f>
        <v>6000700.0000000009</v>
      </c>
      <c r="L95" s="38">
        <f>+K95</f>
        <v>6000700.0000000009</v>
      </c>
      <c r="M95" s="38">
        <f t="shared" ref="M95:BX95" si="48">+L95</f>
        <v>6000700.0000000009</v>
      </c>
      <c r="N95" s="38">
        <f t="shared" si="48"/>
        <v>6000700.0000000009</v>
      </c>
      <c r="O95" s="38">
        <f t="shared" si="48"/>
        <v>6000700.0000000009</v>
      </c>
      <c r="P95" s="38">
        <f t="shared" si="48"/>
        <v>6000700.0000000009</v>
      </c>
      <c r="Q95" s="38">
        <f t="shared" si="48"/>
        <v>6000700.0000000009</v>
      </c>
      <c r="R95" s="38">
        <f t="shared" si="48"/>
        <v>6000700.0000000009</v>
      </c>
      <c r="S95" s="38">
        <f t="shared" si="48"/>
        <v>6000700.0000000009</v>
      </c>
      <c r="T95" s="38">
        <f t="shared" si="48"/>
        <v>6000700.0000000009</v>
      </c>
      <c r="U95" s="38">
        <f t="shared" si="48"/>
        <v>6000700.0000000009</v>
      </c>
      <c r="V95" s="38">
        <f t="shared" si="48"/>
        <v>6000700.0000000009</v>
      </c>
      <c r="W95" s="38">
        <f t="shared" si="48"/>
        <v>6000700.0000000009</v>
      </c>
      <c r="X95" s="38">
        <f t="shared" si="48"/>
        <v>6000700.0000000009</v>
      </c>
      <c r="Y95" s="38">
        <f t="shared" si="48"/>
        <v>6000700.0000000009</v>
      </c>
      <c r="Z95" s="38">
        <f t="shared" si="48"/>
        <v>6000700.0000000009</v>
      </c>
      <c r="AA95" s="38">
        <f t="shared" si="48"/>
        <v>6000700.0000000009</v>
      </c>
      <c r="AB95" s="38">
        <f t="shared" si="48"/>
        <v>6000700.0000000009</v>
      </c>
      <c r="AC95" s="38">
        <f t="shared" si="48"/>
        <v>6000700.0000000009</v>
      </c>
      <c r="AD95" s="38">
        <f t="shared" si="48"/>
        <v>6000700.0000000009</v>
      </c>
      <c r="AE95" s="38">
        <f t="shared" si="48"/>
        <v>6000700.0000000009</v>
      </c>
      <c r="AF95" s="38">
        <f t="shared" si="48"/>
        <v>6000700.0000000009</v>
      </c>
      <c r="AG95" s="38">
        <f t="shared" si="48"/>
        <v>6000700.0000000009</v>
      </c>
      <c r="AH95" s="38">
        <f t="shared" si="48"/>
        <v>6000700.0000000009</v>
      </c>
      <c r="AI95" s="38">
        <f t="shared" si="48"/>
        <v>6000700.0000000009</v>
      </c>
      <c r="AJ95" s="38">
        <f t="shared" si="48"/>
        <v>6000700.0000000009</v>
      </c>
      <c r="AK95" s="38">
        <f t="shared" si="48"/>
        <v>6000700.0000000009</v>
      </c>
      <c r="AL95" s="38">
        <f t="shared" si="48"/>
        <v>6000700.0000000009</v>
      </c>
      <c r="AM95" s="38">
        <f t="shared" si="48"/>
        <v>6000700.0000000009</v>
      </c>
      <c r="AN95" s="38">
        <f t="shared" si="48"/>
        <v>6000700.0000000009</v>
      </c>
      <c r="AO95" s="38">
        <f t="shared" si="48"/>
        <v>6000700.0000000009</v>
      </c>
      <c r="AP95" s="38">
        <f t="shared" si="48"/>
        <v>6000700.0000000009</v>
      </c>
      <c r="AQ95" s="38">
        <f t="shared" si="48"/>
        <v>6000700.0000000009</v>
      </c>
      <c r="AR95" s="38">
        <f t="shared" si="48"/>
        <v>6000700.0000000009</v>
      </c>
      <c r="AS95" s="38">
        <f t="shared" si="48"/>
        <v>6000700.0000000009</v>
      </c>
      <c r="AT95" s="38">
        <f t="shared" si="48"/>
        <v>6000700.0000000009</v>
      </c>
      <c r="AU95" s="38">
        <f t="shared" si="48"/>
        <v>6000700.0000000009</v>
      </c>
      <c r="AV95" s="38">
        <f t="shared" si="48"/>
        <v>6000700.0000000009</v>
      </c>
      <c r="AW95" s="38">
        <f t="shared" si="48"/>
        <v>6000700.0000000009</v>
      </c>
      <c r="AX95" s="38">
        <f t="shared" si="48"/>
        <v>6000700.0000000009</v>
      </c>
      <c r="AY95" s="38">
        <f t="shared" si="48"/>
        <v>6000700.0000000009</v>
      </c>
      <c r="AZ95" s="38">
        <f t="shared" si="48"/>
        <v>6000700.0000000009</v>
      </c>
      <c r="BA95" s="38">
        <f t="shared" si="48"/>
        <v>6000700.0000000009</v>
      </c>
      <c r="BB95" s="38">
        <f t="shared" si="48"/>
        <v>6000700.0000000009</v>
      </c>
      <c r="BC95" s="38">
        <f t="shared" si="48"/>
        <v>6000700.0000000009</v>
      </c>
      <c r="BD95" s="38">
        <f t="shared" si="48"/>
        <v>6000700.0000000009</v>
      </c>
      <c r="BE95" s="38">
        <f t="shared" si="48"/>
        <v>6000700.0000000009</v>
      </c>
      <c r="BF95" s="38">
        <f t="shared" si="48"/>
        <v>6000700.0000000009</v>
      </c>
      <c r="BG95" s="38">
        <f t="shared" si="48"/>
        <v>6000700.0000000009</v>
      </c>
      <c r="BH95" s="38">
        <f t="shared" si="48"/>
        <v>6000700.0000000009</v>
      </c>
      <c r="BI95" s="38">
        <f t="shared" si="48"/>
        <v>6000700.0000000009</v>
      </c>
      <c r="BJ95" s="38">
        <f t="shared" si="48"/>
        <v>6000700.0000000009</v>
      </c>
      <c r="BK95" s="38">
        <f t="shared" si="48"/>
        <v>6000700.0000000009</v>
      </c>
      <c r="BL95" s="38">
        <f t="shared" si="48"/>
        <v>6000700.0000000009</v>
      </c>
      <c r="BM95" s="38">
        <f t="shared" si="48"/>
        <v>6000700.0000000009</v>
      </c>
      <c r="BN95" s="38">
        <f t="shared" si="48"/>
        <v>6000700.0000000009</v>
      </c>
      <c r="BO95" s="38">
        <f t="shared" si="48"/>
        <v>6000700.0000000009</v>
      </c>
      <c r="BP95" s="38">
        <f t="shared" si="48"/>
        <v>6000700.0000000009</v>
      </c>
      <c r="BQ95" s="38">
        <f t="shared" si="48"/>
        <v>6000700.0000000009</v>
      </c>
      <c r="BR95" s="38">
        <f t="shared" si="48"/>
        <v>6000700.0000000009</v>
      </c>
      <c r="BS95" s="38">
        <f t="shared" si="48"/>
        <v>6000700.0000000009</v>
      </c>
      <c r="BT95" s="38">
        <f t="shared" si="48"/>
        <v>6000700.0000000009</v>
      </c>
      <c r="BU95" s="38">
        <f t="shared" si="48"/>
        <v>6000700.0000000009</v>
      </c>
      <c r="BV95" s="38">
        <f t="shared" si="48"/>
        <v>6000700.0000000009</v>
      </c>
      <c r="BW95" s="38">
        <f t="shared" si="48"/>
        <v>6000700.0000000009</v>
      </c>
      <c r="BX95" s="38">
        <f t="shared" si="48"/>
        <v>6000700.0000000009</v>
      </c>
      <c r="BY95" s="38">
        <f t="shared" ref="BY95:DC95" si="49">+BX95</f>
        <v>6000700.0000000009</v>
      </c>
      <c r="BZ95" s="38">
        <f t="shared" si="49"/>
        <v>6000700.0000000009</v>
      </c>
      <c r="CA95" s="38">
        <f t="shared" si="49"/>
        <v>6000700.0000000009</v>
      </c>
      <c r="CB95" s="38">
        <f t="shared" si="49"/>
        <v>6000700.0000000009</v>
      </c>
      <c r="CC95" s="38">
        <f t="shared" si="49"/>
        <v>6000700.0000000009</v>
      </c>
      <c r="CD95" s="38">
        <f t="shared" si="49"/>
        <v>6000700.0000000009</v>
      </c>
      <c r="CE95" s="38">
        <f t="shared" si="49"/>
        <v>6000700.0000000009</v>
      </c>
      <c r="CF95" s="38">
        <f t="shared" si="49"/>
        <v>6000700.0000000009</v>
      </c>
      <c r="CG95" s="38">
        <f t="shared" si="49"/>
        <v>6000700.0000000009</v>
      </c>
      <c r="CH95" s="38">
        <f t="shared" si="49"/>
        <v>6000700.0000000009</v>
      </c>
      <c r="CI95" s="38">
        <f t="shared" si="49"/>
        <v>6000700.0000000009</v>
      </c>
      <c r="CJ95" s="38">
        <f t="shared" si="49"/>
        <v>6000700.0000000009</v>
      </c>
      <c r="CK95" s="38">
        <f t="shared" si="49"/>
        <v>6000700.0000000009</v>
      </c>
      <c r="CL95" s="38">
        <f t="shared" si="49"/>
        <v>6000700.0000000009</v>
      </c>
      <c r="CM95" s="38">
        <f t="shared" si="49"/>
        <v>6000700.0000000009</v>
      </c>
      <c r="CN95" s="38">
        <f t="shared" si="49"/>
        <v>6000700.0000000009</v>
      </c>
      <c r="CO95" s="38">
        <f t="shared" si="49"/>
        <v>6000700.0000000009</v>
      </c>
      <c r="CP95" s="38">
        <f t="shared" si="49"/>
        <v>6000700.0000000009</v>
      </c>
      <c r="CQ95" s="38">
        <f t="shared" si="49"/>
        <v>6000700.0000000009</v>
      </c>
      <c r="CR95" s="38">
        <f t="shared" si="49"/>
        <v>6000700.0000000009</v>
      </c>
      <c r="CS95" s="38">
        <f t="shared" si="49"/>
        <v>6000700.0000000009</v>
      </c>
      <c r="CT95" s="38">
        <f t="shared" si="49"/>
        <v>6000700.0000000009</v>
      </c>
      <c r="CU95" s="38">
        <f t="shared" si="49"/>
        <v>6000700.0000000009</v>
      </c>
      <c r="CV95" s="38">
        <f t="shared" si="49"/>
        <v>6000700.0000000009</v>
      </c>
      <c r="CW95" s="38">
        <f t="shared" si="49"/>
        <v>6000700.0000000009</v>
      </c>
      <c r="CX95" s="38">
        <f t="shared" si="49"/>
        <v>6000700.0000000009</v>
      </c>
      <c r="CY95" s="38">
        <f t="shared" si="49"/>
        <v>6000700.0000000009</v>
      </c>
      <c r="CZ95" s="38">
        <f t="shared" si="49"/>
        <v>6000700.0000000009</v>
      </c>
      <c r="DA95" s="38">
        <f t="shared" si="49"/>
        <v>6000700.0000000009</v>
      </c>
      <c r="DB95" s="38">
        <f t="shared" si="49"/>
        <v>6000700.0000000009</v>
      </c>
      <c r="DC95" s="38">
        <f t="shared" si="49"/>
        <v>6000700.0000000009</v>
      </c>
      <c r="DE95" s="46">
        <f t="shared" si="46"/>
        <v>0</v>
      </c>
      <c r="DF95" s="46">
        <f t="shared" si="39"/>
        <v>99</v>
      </c>
      <c r="DG95">
        <f t="shared" si="47"/>
        <v>0</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3712178.2781927013</v>
      </c>
      <c r="G100" s="35">
        <f>SUMIF($H$5:$DC$5,"&lt;="&amp;PAL,$H100:$DC100)</f>
        <v>5552000</v>
      </c>
      <c r="H100" s="11">
        <f t="shared" ref="H100:BR100" si="50">SUM(H101:H110)</f>
        <v>22000</v>
      </c>
      <c r="I100" s="11">
        <f t="shared" si="50"/>
        <v>119000</v>
      </c>
      <c r="J100" s="11">
        <f t="shared" si="50"/>
        <v>209000</v>
      </c>
      <c r="K100" s="11">
        <f t="shared" si="50"/>
        <v>289000</v>
      </c>
      <c r="L100" s="11">
        <f t="shared" si="50"/>
        <v>289000</v>
      </c>
      <c r="M100" s="11">
        <f t="shared" si="50"/>
        <v>289000</v>
      </c>
      <c r="N100" s="11">
        <f t="shared" si="50"/>
        <v>289000</v>
      </c>
      <c r="O100" s="11">
        <f t="shared" si="50"/>
        <v>289000</v>
      </c>
      <c r="P100" s="11">
        <f t="shared" si="50"/>
        <v>289000</v>
      </c>
      <c r="Q100" s="11">
        <f t="shared" si="50"/>
        <v>289000</v>
      </c>
      <c r="R100" s="11">
        <f t="shared" si="50"/>
        <v>289000</v>
      </c>
      <c r="S100" s="11">
        <f t="shared" si="50"/>
        <v>289000</v>
      </c>
      <c r="T100" s="11">
        <f t="shared" si="50"/>
        <v>289000</v>
      </c>
      <c r="U100" s="11">
        <f t="shared" si="50"/>
        <v>289000</v>
      </c>
      <c r="V100" s="11">
        <f t="shared" si="50"/>
        <v>289000</v>
      </c>
      <c r="W100" s="11">
        <f t="shared" si="50"/>
        <v>289000</v>
      </c>
      <c r="X100" s="11">
        <f t="shared" si="50"/>
        <v>289000</v>
      </c>
      <c r="Y100" s="11">
        <f t="shared" si="50"/>
        <v>289000</v>
      </c>
      <c r="Z100" s="11">
        <f t="shared" si="50"/>
        <v>289000</v>
      </c>
      <c r="AA100" s="11">
        <f t="shared" si="50"/>
        <v>289000</v>
      </c>
      <c r="AB100" s="11">
        <f t="shared" si="50"/>
        <v>289000</v>
      </c>
      <c r="AC100" s="11">
        <f t="shared" si="50"/>
        <v>22000</v>
      </c>
      <c r="AD100" s="11">
        <f t="shared" si="50"/>
        <v>22000</v>
      </c>
      <c r="AE100" s="11">
        <f t="shared" si="50"/>
        <v>22000</v>
      </c>
      <c r="AF100" s="11">
        <f t="shared" si="50"/>
        <v>22000</v>
      </c>
      <c r="AG100" s="11">
        <f t="shared" si="50"/>
        <v>22000</v>
      </c>
      <c r="AH100" s="11">
        <f t="shared" si="50"/>
        <v>22000</v>
      </c>
      <c r="AI100" s="11">
        <f t="shared" si="50"/>
        <v>22000</v>
      </c>
      <c r="AJ100" s="11">
        <f t="shared" si="50"/>
        <v>22000</v>
      </c>
      <c r="AK100" s="11">
        <f t="shared" si="50"/>
        <v>22000</v>
      </c>
      <c r="AL100" s="11">
        <f t="shared" si="50"/>
        <v>22000</v>
      </c>
      <c r="AM100" s="11">
        <f t="shared" si="50"/>
        <v>22000</v>
      </c>
      <c r="AN100" s="11">
        <f t="shared" si="50"/>
        <v>22000</v>
      </c>
      <c r="AO100" s="11">
        <f t="shared" si="50"/>
        <v>22000</v>
      </c>
      <c r="AP100" s="11">
        <f t="shared" si="50"/>
        <v>22000</v>
      </c>
      <c r="AQ100" s="11">
        <f t="shared" si="50"/>
        <v>22000</v>
      </c>
      <c r="AR100" s="11">
        <f t="shared" si="50"/>
        <v>22000</v>
      </c>
      <c r="AS100" s="11">
        <f t="shared" si="50"/>
        <v>22000</v>
      </c>
      <c r="AT100" s="11">
        <f t="shared" si="50"/>
        <v>22000</v>
      </c>
      <c r="AU100" s="11">
        <f t="shared" si="50"/>
        <v>22000</v>
      </c>
      <c r="AV100" s="11">
        <f t="shared" si="50"/>
        <v>22000</v>
      </c>
      <c r="AW100" s="11">
        <f t="shared" si="50"/>
        <v>22000</v>
      </c>
      <c r="AX100" s="11">
        <f t="shared" si="50"/>
        <v>22000</v>
      </c>
      <c r="AY100" s="11">
        <f t="shared" si="50"/>
        <v>22000</v>
      </c>
      <c r="AZ100" s="11">
        <f t="shared" si="50"/>
        <v>22000</v>
      </c>
      <c r="BA100" s="11">
        <f t="shared" si="50"/>
        <v>22000</v>
      </c>
      <c r="BB100" s="11">
        <f t="shared" si="50"/>
        <v>22000</v>
      </c>
      <c r="BC100" s="11">
        <f t="shared" si="50"/>
        <v>22000</v>
      </c>
      <c r="BD100" s="11">
        <f t="shared" si="50"/>
        <v>22000</v>
      </c>
      <c r="BE100" s="11">
        <f t="shared" si="50"/>
        <v>22000</v>
      </c>
      <c r="BF100" s="11">
        <f t="shared" si="50"/>
        <v>22000</v>
      </c>
      <c r="BG100" s="11">
        <f t="shared" si="50"/>
        <v>22000</v>
      </c>
      <c r="BH100" s="11">
        <f t="shared" si="50"/>
        <v>22000</v>
      </c>
      <c r="BI100" s="11">
        <f t="shared" si="50"/>
        <v>22000</v>
      </c>
      <c r="BJ100" s="11">
        <f t="shared" si="50"/>
        <v>22000</v>
      </c>
      <c r="BK100" s="11">
        <f t="shared" si="50"/>
        <v>22000</v>
      </c>
      <c r="BL100" s="11">
        <f t="shared" si="50"/>
        <v>22000</v>
      </c>
      <c r="BM100" s="11">
        <f t="shared" si="50"/>
        <v>22000</v>
      </c>
      <c r="BN100" s="11">
        <f t="shared" si="50"/>
        <v>22000</v>
      </c>
      <c r="BO100" s="11">
        <f t="shared" si="50"/>
        <v>22000</v>
      </c>
      <c r="BP100" s="11">
        <f t="shared" si="50"/>
        <v>22000</v>
      </c>
      <c r="BQ100" s="11">
        <f t="shared" si="50"/>
        <v>22000</v>
      </c>
      <c r="BR100" s="11">
        <f t="shared" si="50"/>
        <v>22000</v>
      </c>
      <c r="BS100" s="11">
        <f t="shared" ref="BS100:DC100" si="51">SUM(BS101:BS110)</f>
        <v>22000</v>
      </c>
      <c r="BT100" s="11">
        <f t="shared" si="51"/>
        <v>22000</v>
      </c>
      <c r="BU100" s="11">
        <f t="shared" si="51"/>
        <v>22000</v>
      </c>
      <c r="BV100" s="11">
        <f t="shared" si="51"/>
        <v>22000</v>
      </c>
      <c r="BW100" s="11">
        <f t="shared" si="51"/>
        <v>22000</v>
      </c>
      <c r="BX100" s="11">
        <f t="shared" si="51"/>
        <v>22000</v>
      </c>
      <c r="BY100" s="11">
        <f t="shared" si="51"/>
        <v>22000</v>
      </c>
      <c r="BZ100" s="11">
        <f t="shared" si="51"/>
        <v>22000</v>
      </c>
      <c r="CA100" s="11">
        <f t="shared" si="51"/>
        <v>22000</v>
      </c>
      <c r="CB100" s="11">
        <f t="shared" si="51"/>
        <v>22000</v>
      </c>
      <c r="CC100" s="11">
        <f t="shared" si="51"/>
        <v>22000</v>
      </c>
      <c r="CD100" s="11">
        <f t="shared" si="51"/>
        <v>22000</v>
      </c>
      <c r="CE100" s="11">
        <f t="shared" si="51"/>
        <v>22000</v>
      </c>
      <c r="CF100" s="11">
        <f t="shared" si="51"/>
        <v>22000</v>
      </c>
      <c r="CG100" s="11">
        <f t="shared" si="51"/>
        <v>22000</v>
      </c>
      <c r="CH100" s="11">
        <f t="shared" si="51"/>
        <v>22000</v>
      </c>
      <c r="CI100" s="11">
        <f t="shared" si="51"/>
        <v>22000</v>
      </c>
      <c r="CJ100" s="11">
        <f t="shared" si="51"/>
        <v>22000</v>
      </c>
      <c r="CK100" s="11">
        <f t="shared" si="51"/>
        <v>22000</v>
      </c>
      <c r="CL100" s="11">
        <f t="shared" si="51"/>
        <v>22000</v>
      </c>
      <c r="CM100" s="11">
        <f t="shared" si="51"/>
        <v>22000</v>
      </c>
      <c r="CN100" s="11">
        <f t="shared" si="51"/>
        <v>22000</v>
      </c>
      <c r="CO100" s="11">
        <f t="shared" si="51"/>
        <v>22000</v>
      </c>
      <c r="CP100" s="11">
        <f t="shared" si="51"/>
        <v>22000</v>
      </c>
      <c r="CQ100" s="11">
        <f t="shared" si="51"/>
        <v>22000</v>
      </c>
      <c r="CR100" s="11">
        <f t="shared" si="51"/>
        <v>22000</v>
      </c>
      <c r="CS100" s="11">
        <f t="shared" si="51"/>
        <v>22000</v>
      </c>
      <c r="CT100" s="11">
        <f t="shared" si="51"/>
        <v>22000</v>
      </c>
      <c r="CU100" s="11">
        <f t="shared" si="51"/>
        <v>22000</v>
      </c>
      <c r="CV100" s="11">
        <f t="shared" si="51"/>
        <v>22000</v>
      </c>
      <c r="CW100" s="11">
        <f t="shared" si="51"/>
        <v>22000</v>
      </c>
      <c r="CX100" s="11">
        <f t="shared" si="51"/>
        <v>22000</v>
      </c>
      <c r="CY100" s="11">
        <f t="shared" si="51"/>
        <v>22000</v>
      </c>
      <c r="CZ100" s="11">
        <f t="shared" si="51"/>
        <v>22000</v>
      </c>
      <c r="DA100" s="11">
        <f t="shared" si="51"/>
        <v>22000</v>
      </c>
      <c r="DB100" s="11">
        <f t="shared" si="51"/>
        <v>22000</v>
      </c>
      <c r="DC100" s="11">
        <f t="shared" si="51"/>
        <v>22000</v>
      </c>
      <c r="DF100" s="46">
        <f t="shared" si="39"/>
        <v>100</v>
      </c>
    </row>
    <row r="101" spans="1:111" ht="14.4">
      <c r="A101" s="124">
        <v>89</v>
      </c>
      <c r="B101" s="5" t="str">
        <f>$B$100&amp;"1."</f>
        <v>H.1.</v>
      </c>
      <c r="C101" s="164" t="s">
        <v>629</v>
      </c>
      <c r="D101" s="5"/>
      <c r="E101" s="184" t="s">
        <v>255</v>
      </c>
      <c r="F101" s="35">
        <f>H101+NPV(FD,I101:INDEX(I101:DC101,PAL))</f>
        <v>320987.17958928895</v>
      </c>
      <c r="G101" s="35">
        <f>SUMIF($H$5:$DC$5,"&lt;="&amp;PAL,$H101:$DC101)</f>
        <v>462000</v>
      </c>
      <c r="H101" s="38">
        <f>+Prielaidos!$AJ175*1000</f>
        <v>22000</v>
      </c>
      <c r="I101" s="38">
        <f>+Prielaidos!$AJ175*1000</f>
        <v>22000</v>
      </c>
      <c r="J101" s="38">
        <f>+Prielaidos!$AJ175*1000</f>
        <v>22000</v>
      </c>
      <c r="K101" s="38">
        <f>+Prielaidos!$AJ175*1000</f>
        <v>22000</v>
      </c>
      <c r="L101" s="38">
        <f>+Prielaidos!$AJ175*1000</f>
        <v>22000</v>
      </c>
      <c r="M101" s="38">
        <f>+Prielaidos!$AJ175*1000</f>
        <v>22000</v>
      </c>
      <c r="N101" s="38">
        <f>+Prielaidos!$AJ175*1000</f>
        <v>22000</v>
      </c>
      <c r="O101" s="38">
        <f>+Prielaidos!$AJ175*1000</f>
        <v>22000</v>
      </c>
      <c r="P101" s="38">
        <f>+Prielaidos!$AJ175*1000</f>
        <v>22000</v>
      </c>
      <c r="Q101" s="38">
        <f>+Prielaidos!$AJ175*1000</f>
        <v>22000</v>
      </c>
      <c r="R101" s="38">
        <f>+Prielaidos!$AJ175*1000</f>
        <v>22000</v>
      </c>
      <c r="S101" s="38">
        <f>+Prielaidos!$AJ175*1000</f>
        <v>22000</v>
      </c>
      <c r="T101" s="38">
        <f>+Prielaidos!$AJ175*1000</f>
        <v>22000</v>
      </c>
      <c r="U101" s="38">
        <f>+Prielaidos!$AJ175*1000</f>
        <v>22000</v>
      </c>
      <c r="V101" s="38">
        <f>+Prielaidos!$AJ175*1000</f>
        <v>22000</v>
      </c>
      <c r="W101" s="38">
        <f>+Prielaidos!$AJ175*1000</f>
        <v>22000</v>
      </c>
      <c r="X101" s="38">
        <f>+Prielaidos!$AJ175*1000</f>
        <v>22000</v>
      </c>
      <c r="Y101" s="38">
        <f>+Prielaidos!$AJ175*1000</f>
        <v>22000</v>
      </c>
      <c r="Z101" s="38">
        <f>+Prielaidos!$AJ175*1000</f>
        <v>22000</v>
      </c>
      <c r="AA101" s="38">
        <f>+Prielaidos!$AJ175*1000</f>
        <v>22000</v>
      </c>
      <c r="AB101" s="38">
        <f>+Prielaidos!$AJ175*1000</f>
        <v>22000</v>
      </c>
      <c r="AC101" s="38">
        <f>+Prielaidos!$AJ175*1000</f>
        <v>22000</v>
      </c>
      <c r="AD101" s="38">
        <f>+Prielaidos!$AJ175*1000</f>
        <v>22000</v>
      </c>
      <c r="AE101" s="38">
        <f>+Prielaidos!$AJ175*1000</f>
        <v>22000</v>
      </c>
      <c r="AF101" s="38">
        <f>+Prielaidos!$AJ175*1000</f>
        <v>22000</v>
      </c>
      <c r="AG101" s="38">
        <f>+Prielaidos!$AJ175*1000</f>
        <v>22000</v>
      </c>
      <c r="AH101" s="38">
        <f>+Prielaidos!$AJ175*1000</f>
        <v>22000</v>
      </c>
      <c r="AI101" s="38">
        <f>+Prielaidos!$AJ175*1000</f>
        <v>22000</v>
      </c>
      <c r="AJ101" s="38">
        <f>+Prielaidos!$AJ175*1000</f>
        <v>22000</v>
      </c>
      <c r="AK101" s="38">
        <f>+Prielaidos!$AJ175*1000</f>
        <v>22000</v>
      </c>
      <c r="AL101" s="38">
        <f>+Prielaidos!$AJ175*1000</f>
        <v>22000</v>
      </c>
      <c r="AM101" s="38">
        <f>+Prielaidos!$AJ175*1000</f>
        <v>22000</v>
      </c>
      <c r="AN101" s="38">
        <f>+Prielaidos!$AJ175*1000</f>
        <v>22000</v>
      </c>
      <c r="AO101" s="38">
        <f>+Prielaidos!$AJ175*1000</f>
        <v>22000</v>
      </c>
      <c r="AP101" s="38">
        <f>+Prielaidos!$AJ175*1000</f>
        <v>22000</v>
      </c>
      <c r="AQ101" s="38">
        <f>+Prielaidos!$AJ175*1000</f>
        <v>22000</v>
      </c>
      <c r="AR101" s="38">
        <f>+Prielaidos!$AJ175*1000</f>
        <v>22000</v>
      </c>
      <c r="AS101" s="38">
        <f>+Prielaidos!$AJ175*1000</f>
        <v>22000</v>
      </c>
      <c r="AT101" s="38">
        <f>+Prielaidos!$AJ175*1000</f>
        <v>22000</v>
      </c>
      <c r="AU101" s="38">
        <f>+Prielaidos!$AJ175*1000</f>
        <v>22000</v>
      </c>
      <c r="AV101" s="38">
        <f>+Prielaidos!$AJ175*1000</f>
        <v>22000</v>
      </c>
      <c r="AW101" s="38">
        <f>+Prielaidos!$AJ175*1000</f>
        <v>22000</v>
      </c>
      <c r="AX101" s="38">
        <f>+Prielaidos!$AJ175*1000</f>
        <v>22000</v>
      </c>
      <c r="AY101" s="38">
        <f>+Prielaidos!$AJ175*1000</f>
        <v>22000</v>
      </c>
      <c r="AZ101" s="38">
        <f>+Prielaidos!$AJ175*1000</f>
        <v>22000</v>
      </c>
      <c r="BA101" s="38">
        <f>+Prielaidos!$AJ175*1000</f>
        <v>22000</v>
      </c>
      <c r="BB101" s="38">
        <f>+Prielaidos!$AJ175*1000</f>
        <v>22000</v>
      </c>
      <c r="BC101" s="38">
        <f>+Prielaidos!$AJ175*1000</f>
        <v>22000</v>
      </c>
      <c r="BD101" s="38">
        <f>+Prielaidos!$AJ175*1000</f>
        <v>22000</v>
      </c>
      <c r="BE101" s="38">
        <f>+Prielaidos!$AJ175*1000</f>
        <v>22000</v>
      </c>
      <c r="BF101" s="38">
        <f>+Prielaidos!$AJ175*1000</f>
        <v>22000</v>
      </c>
      <c r="BG101" s="38">
        <f>+Prielaidos!$AJ175*1000</f>
        <v>22000</v>
      </c>
      <c r="BH101" s="38">
        <f>+Prielaidos!$AJ175*1000</f>
        <v>22000</v>
      </c>
      <c r="BI101" s="38">
        <f>+Prielaidos!$AJ175*1000</f>
        <v>22000</v>
      </c>
      <c r="BJ101" s="38">
        <f>+Prielaidos!$AJ175*1000</f>
        <v>22000</v>
      </c>
      <c r="BK101" s="38">
        <f>+Prielaidos!$AJ175*1000</f>
        <v>22000</v>
      </c>
      <c r="BL101" s="38">
        <f>+Prielaidos!$AJ175*1000</f>
        <v>22000</v>
      </c>
      <c r="BM101" s="38">
        <f>+Prielaidos!$AJ175*1000</f>
        <v>22000</v>
      </c>
      <c r="BN101" s="38">
        <f>+Prielaidos!$AJ175*1000</f>
        <v>22000</v>
      </c>
      <c r="BO101" s="38">
        <f>+Prielaidos!$AJ175*1000</f>
        <v>22000</v>
      </c>
      <c r="BP101" s="38">
        <f>+Prielaidos!$AJ175*1000</f>
        <v>22000</v>
      </c>
      <c r="BQ101" s="38">
        <f>+Prielaidos!$AJ175*1000</f>
        <v>22000</v>
      </c>
      <c r="BR101" s="38">
        <f>+Prielaidos!$AJ175*1000</f>
        <v>22000</v>
      </c>
      <c r="BS101" s="38">
        <f>+Prielaidos!$AJ175*1000</f>
        <v>22000</v>
      </c>
      <c r="BT101" s="38">
        <f>+Prielaidos!$AJ175*1000</f>
        <v>22000</v>
      </c>
      <c r="BU101" s="38">
        <f>+Prielaidos!$AJ175*1000</f>
        <v>22000</v>
      </c>
      <c r="BV101" s="38">
        <f>+Prielaidos!$AJ175*1000</f>
        <v>22000</v>
      </c>
      <c r="BW101" s="38">
        <f>+Prielaidos!$AJ175*1000</f>
        <v>22000</v>
      </c>
      <c r="BX101" s="38">
        <f>+Prielaidos!$AJ175*1000</f>
        <v>22000</v>
      </c>
      <c r="BY101" s="38">
        <f>+Prielaidos!$AJ175*1000</f>
        <v>22000</v>
      </c>
      <c r="BZ101" s="38">
        <f>+Prielaidos!$AJ175*1000</f>
        <v>22000</v>
      </c>
      <c r="CA101" s="38">
        <f>+Prielaidos!$AJ175*1000</f>
        <v>22000</v>
      </c>
      <c r="CB101" s="38">
        <f>+Prielaidos!$AJ175*1000</f>
        <v>22000</v>
      </c>
      <c r="CC101" s="38">
        <f>+Prielaidos!$AJ175*1000</f>
        <v>22000</v>
      </c>
      <c r="CD101" s="38">
        <f>+Prielaidos!$AJ175*1000</f>
        <v>22000</v>
      </c>
      <c r="CE101" s="38">
        <f>+Prielaidos!$AJ175*1000</f>
        <v>22000</v>
      </c>
      <c r="CF101" s="38">
        <f>+Prielaidos!$AJ175*1000</f>
        <v>22000</v>
      </c>
      <c r="CG101" s="38">
        <f>+Prielaidos!$AJ175*1000</f>
        <v>22000</v>
      </c>
      <c r="CH101" s="38">
        <f>+Prielaidos!$AJ175*1000</f>
        <v>22000</v>
      </c>
      <c r="CI101" s="38">
        <f>+Prielaidos!$AJ175*1000</f>
        <v>22000</v>
      </c>
      <c r="CJ101" s="38">
        <f>+Prielaidos!$AJ175*1000</f>
        <v>22000</v>
      </c>
      <c r="CK101" s="38">
        <f>+Prielaidos!$AJ175*1000</f>
        <v>22000</v>
      </c>
      <c r="CL101" s="38">
        <f>+Prielaidos!$AJ175*1000</f>
        <v>22000</v>
      </c>
      <c r="CM101" s="38">
        <f>+Prielaidos!$AJ175*1000</f>
        <v>22000</v>
      </c>
      <c r="CN101" s="38">
        <f>+Prielaidos!$AJ175*1000</f>
        <v>22000</v>
      </c>
      <c r="CO101" s="38">
        <f>+Prielaidos!$AJ175*1000</f>
        <v>22000</v>
      </c>
      <c r="CP101" s="38">
        <f>+Prielaidos!$AJ175*1000</f>
        <v>22000</v>
      </c>
      <c r="CQ101" s="38">
        <f>+Prielaidos!$AJ175*1000</f>
        <v>22000</v>
      </c>
      <c r="CR101" s="38">
        <f>+Prielaidos!$AJ175*1000</f>
        <v>22000</v>
      </c>
      <c r="CS101" s="38">
        <f>+Prielaidos!$AJ175*1000</f>
        <v>22000</v>
      </c>
      <c r="CT101" s="38">
        <f>+Prielaidos!$AJ175*1000</f>
        <v>22000</v>
      </c>
      <c r="CU101" s="38">
        <f>+Prielaidos!$AJ175*1000</f>
        <v>22000</v>
      </c>
      <c r="CV101" s="38">
        <f>+Prielaidos!$AJ175*1000</f>
        <v>22000</v>
      </c>
      <c r="CW101" s="38">
        <f>+Prielaidos!$AJ175*1000</f>
        <v>22000</v>
      </c>
      <c r="CX101" s="38">
        <f>+Prielaidos!$AJ175*1000</f>
        <v>22000</v>
      </c>
      <c r="CY101" s="38">
        <f>+Prielaidos!$AJ175*1000</f>
        <v>22000</v>
      </c>
      <c r="CZ101" s="38">
        <f>+Prielaidos!$AJ175*1000</f>
        <v>22000</v>
      </c>
      <c r="DA101" s="38">
        <f>+Prielaidos!$AJ175*1000</f>
        <v>22000</v>
      </c>
      <c r="DB101" s="38">
        <f>+Prielaidos!$AJ175*1000</f>
        <v>22000</v>
      </c>
      <c r="DC101" s="38">
        <f>+Prielaidos!$AJ175*1000</f>
        <v>22000</v>
      </c>
      <c r="DE101" s="46">
        <f>COUNTBLANK(H101:DC101)</f>
        <v>0</v>
      </c>
      <c r="DF101" s="46">
        <f t="shared" si="39"/>
        <v>100</v>
      </c>
      <c r="DG101">
        <f t="shared" si="47"/>
        <v>0</v>
      </c>
    </row>
    <row r="102" spans="1:111" ht="14.4">
      <c r="A102" s="124">
        <v>90</v>
      </c>
      <c r="B102" s="5" t="str">
        <f>$B$100&amp;"2."</f>
        <v>H.2.</v>
      </c>
      <c r="C102" s="164" t="s">
        <v>728</v>
      </c>
      <c r="D102" s="5"/>
      <c r="E102" s="184" t="s">
        <v>255</v>
      </c>
      <c r="F102" s="35">
        <f>H102+NPV(FD,I102:INDEX(I102:DC102,PAL))</f>
        <v>3391191.0986034125</v>
      </c>
      <c r="G102" s="35">
        <f>SUMIF($H$5:$DC$5,"&lt;="&amp;PAL,$H102:$DC102)</f>
        <v>5090000</v>
      </c>
      <c r="H102" s="38">
        <v>0</v>
      </c>
      <c r="I102" s="38">
        <f>+(Prielaidos!$AJ125+Prielaidos!$AJ58)*1000</f>
        <v>97000</v>
      </c>
      <c r="J102" s="38">
        <f>+(Prielaidos!$AJ125+Prielaidos!$AJ58+Prielaidos!$AJ92)*1000</f>
        <v>187000</v>
      </c>
      <c r="K102" s="38">
        <f>+(Prielaidos!$AJ125+Prielaidos!$AJ58+Prielaidos!$AJ92+Prielaidos!$AJ109+Prielaidos!$AJ157)*1000</f>
        <v>267000</v>
      </c>
      <c r="L102" s="38">
        <f>+K102</f>
        <v>267000</v>
      </c>
      <c r="M102" s="38">
        <f t="shared" ref="M102:AB102" si="52">+L102</f>
        <v>267000</v>
      </c>
      <c r="N102" s="38">
        <f t="shared" si="52"/>
        <v>267000</v>
      </c>
      <c r="O102" s="38">
        <f t="shared" si="52"/>
        <v>267000</v>
      </c>
      <c r="P102" s="38">
        <f t="shared" si="52"/>
        <v>267000</v>
      </c>
      <c r="Q102" s="38">
        <f t="shared" si="52"/>
        <v>267000</v>
      </c>
      <c r="R102" s="38">
        <f t="shared" si="52"/>
        <v>267000</v>
      </c>
      <c r="S102" s="38">
        <f t="shared" si="52"/>
        <v>267000</v>
      </c>
      <c r="T102" s="38">
        <f t="shared" si="52"/>
        <v>267000</v>
      </c>
      <c r="U102" s="38">
        <f t="shared" si="52"/>
        <v>267000</v>
      </c>
      <c r="V102" s="38">
        <f t="shared" si="52"/>
        <v>267000</v>
      </c>
      <c r="W102" s="38">
        <f t="shared" si="52"/>
        <v>267000</v>
      </c>
      <c r="X102" s="38">
        <f t="shared" si="52"/>
        <v>267000</v>
      </c>
      <c r="Y102" s="38">
        <f t="shared" si="52"/>
        <v>267000</v>
      </c>
      <c r="Z102" s="38">
        <f t="shared" si="52"/>
        <v>267000</v>
      </c>
      <c r="AA102" s="38">
        <f t="shared" si="52"/>
        <v>267000</v>
      </c>
      <c r="AB102" s="38">
        <f t="shared" si="52"/>
        <v>267000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20</v>
      </c>
      <c r="DG102">
        <f t="shared" si="47"/>
        <v>0</v>
      </c>
    </row>
    <row r="103" spans="1:111" ht="14.4">
      <c r="A103" s="124">
        <v>91</v>
      </c>
      <c r="B103" s="5" t="str">
        <f>$B$100&amp;"3."</f>
        <v>H.3.</v>
      </c>
      <c r="C103" s="164"/>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4.4">
      <c r="A104" s="124">
        <v>92</v>
      </c>
      <c r="B104" s="5" t="str">
        <f>$B$100&amp;"4."</f>
        <v>H.4.</v>
      </c>
      <c r="C104" s="164"/>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4.4">
      <c r="A105" s="124">
        <v>93</v>
      </c>
      <c r="B105" s="5" t="str">
        <f>$B$100&amp;"5."</f>
        <v>H.5.</v>
      </c>
      <c r="C105" s="164"/>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4.4">
      <c r="A106" s="124">
        <v>94</v>
      </c>
      <c r="B106" s="5" t="str">
        <f>$B$100&amp;"6."</f>
        <v>H.6.</v>
      </c>
      <c r="C106" s="164"/>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4.4">
      <c r="A107" s="124">
        <v>95</v>
      </c>
      <c r="B107" s="5" t="str">
        <f>$B$100&amp;"7."</f>
        <v>H.7.</v>
      </c>
      <c r="C107" s="164"/>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4.4">
      <c r="A108" s="124">
        <v>96</v>
      </c>
      <c r="B108" s="5" t="str">
        <f>$B$100&amp;"8."</f>
        <v>H.8.</v>
      </c>
      <c r="C108" s="164"/>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4.4">
      <c r="A109" s="124">
        <v>97</v>
      </c>
      <c r="B109" s="5" t="str">
        <f>$B$100&amp;"9."</f>
        <v>H.9.</v>
      </c>
      <c r="C109" s="164"/>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4.4">
      <c r="A110" s="124">
        <v>98</v>
      </c>
      <c r="B110" s="5" t="str">
        <f>$B$100&amp;"10."</f>
        <v>H.10.</v>
      </c>
      <c r="C110" s="164"/>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9.25" customHeight="1">
      <c r="A112" s="124">
        <v>102</v>
      </c>
      <c r="B112" s="5" t="s">
        <v>150</v>
      </c>
      <c r="C112" s="15" t="s">
        <v>163</v>
      </c>
      <c r="D112" s="15"/>
      <c r="E112" s="3"/>
      <c r="F112" s="11">
        <f>F113+F114-F115</f>
        <v>1660834.7597731682</v>
      </c>
      <c r="G112" s="35">
        <f>SUMIF($H$5:$DC$5,"&lt;="&amp;PAL,$H112:$DC112)</f>
        <v>1809419.0082644629</v>
      </c>
      <c r="H112" s="11">
        <f>H113+H114-H115</f>
        <v>300247.93388429756</v>
      </c>
      <c r="I112" s="11">
        <f t="shared" ref="I112:BR112" si="53">I113+I114-I115</f>
        <v>550252.0661157025</v>
      </c>
      <c r="J112" s="11">
        <f t="shared" si="53"/>
        <v>317238.84297520661</v>
      </c>
      <c r="K112" s="11">
        <f t="shared" si="53"/>
        <v>511514.87603305781</v>
      </c>
      <c r="L112" s="11">
        <f t="shared" si="53"/>
        <v>867.76859504132233</v>
      </c>
      <c r="M112" s="11">
        <f t="shared" si="53"/>
        <v>4338.8429752066113</v>
      </c>
      <c r="N112" s="11">
        <f t="shared" si="53"/>
        <v>0</v>
      </c>
      <c r="O112" s="11">
        <f t="shared" si="53"/>
        <v>0</v>
      </c>
      <c r="P112" s="11">
        <f t="shared" si="53"/>
        <v>0</v>
      </c>
      <c r="Q112" s="11">
        <f t="shared" si="53"/>
        <v>0</v>
      </c>
      <c r="R112" s="11">
        <f t="shared" si="53"/>
        <v>20826.446280991735</v>
      </c>
      <c r="S112" s="11">
        <f t="shared" si="53"/>
        <v>41652.89256198347</v>
      </c>
      <c r="T112" s="11">
        <f t="shared" si="53"/>
        <v>20826.446280991735</v>
      </c>
      <c r="U112" s="11">
        <f t="shared" si="53"/>
        <v>41652.89256198347</v>
      </c>
      <c r="V112" s="11">
        <f t="shared" si="53"/>
        <v>0</v>
      </c>
      <c r="W112" s="11">
        <f t="shared" si="53"/>
        <v>0</v>
      </c>
      <c r="X112" s="11">
        <f t="shared" si="53"/>
        <v>0</v>
      </c>
      <c r="Y112" s="11">
        <f t="shared" si="53"/>
        <v>0</v>
      </c>
      <c r="Z112" s="11">
        <f t="shared" si="53"/>
        <v>0</v>
      </c>
      <c r="AA112" s="11">
        <f t="shared" si="53"/>
        <v>0</v>
      </c>
      <c r="AB112" s="11">
        <f t="shared" si="53"/>
        <v>0</v>
      </c>
      <c r="AC112" s="11">
        <f t="shared" si="53"/>
        <v>0</v>
      </c>
      <c r="AD112" s="11">
        <f t="shared" si="53"/>
        <v>0</v>
      </c>
      <c r="AE112" s="11">
        <f t="shared" si="53"/>
        <v>0</v>
      </c>
      <c r="AF112" s="11">
        <f t="shared" si="53"/>
        <v>0</v>
      </c>
      <c r="AG112" s="11">
        <f t="shared" si="53"/>
        <v>0</v>
      </c>
      <c r="AH112" s="11">
        <f t="shared" si="53"/>
        <v>0</v>
      </c>
      <c r="AI112" s="11">
        <f t="shared" si="53"/>
        <v>0</v>
      </c>
      <c r="AJ112" s="11">
        <f t="shared" si="53"/>
        <v>0</v>
      </c>
      <c r="AK112" s="11">
        <f t="shared" si="53"/>
        <v>0</v>
      </c>
      <c r="AL112" s="11">
        <f t="shared" si="53"/>
        <v>0</v>
      </c>
      <c r="AM112" s="11">
        <f t="shared" si="53"/>
        <v>0</v>
      </c>
      <c r="AN112" s="11">
        <f t="shared" si="53"/>
        <v>0</v>
      </c>
      <c r="AO112" s="11">
        <f t="shared" si="53"/>
        <v>0</v>
      </c>
      <c r="AP112" s="11">
        <f t="shared" si="53"/>
        <v>0</v>
      </c>
      <c r="AQ112" s="11">
        <f t="shared" si="53"/>
        <v>0</v>
      </c>
      <c r="AR112" s="11">
        <f t="shared" si="53"/>
        <v>0</v>
      </c>
      <c r="AS112" s="11">
        <f t="shared" si="53"/>
        <v>0</v>
      </c>
      <c r="AT112" s="11">
        <f t="shared" si="53"/>
        <v>0</v>
      </c>
      <c r="AU112" s="11">
        <f t="shared" si="53"/>
        <v>0</v>
      </c>
      <c r="AV112" s="11">
        <f t="shared" si="53"/>
        <v>0</v>
      </c>
      <c r="AW112" s="11">
        <f t="shared" si="53"/>
        <v>0</v>
      </c>
      <c r="AX112" s="11">
        <f t="shared" si="53"/>
        <v>0</v>
      </c>
      <c r="AY112" s="11">
        <f t="shared" si="53"/>
        <v>0</v>
      </c>
      <c r="AZ112" s="11">
        <f t="shared" si="53"/>
        <v>0</v>
      </c>
      <c r="BA112" s="11">
        <f t="shared" si="53"/>
        <v>0</v>
      </c>
      <c r="BB112" s="11">
        <f t="shared" si="53"/>
        <v>0</v>
      </c>
      <c r="BC112" s="11">
        <f t="shared" si="53"/>
        <v>0</v>
      </c>
      <c r="BD112" s="11">
        <f t="shared" si="53"/>
        <v>0</v>
      </c>
      <c r="BE112" s="11">
        <f t="shared" si="53"/>
        <v>0</v>
      </c>
      <c r="BF112" s="11">
        <f t="shared" si="53"/>
        <v>0</v>
      </c>
      <c r="BG112" s="11">
        <f t="shared" si="53"/>
        <v>0</v>
      </c>
      <c r="BH112" s="11">
        <f t="shared" si="53"/>
        <v>0</v>
      </c>
      <c r="BI112" s="11">
        <f t="shared" si="53"/>
        <v>0</v>
      </c>
      <c r="BJ112" s="11">
        <f t="shared" si="53"/>
        <v>0</v>
      </c>
      <c r="BK112" s="11">
        <f t="shared" si="53"/>
        <v>0</v>
      </c>
      <c r="BL112" s="11">
        <f t="shared" si="53"/>
        <v>0</v>
      </c>
      <c r="BM112" s="11">
        <f t="shared" si="53"/>
        <v>0</v>
      </c>
      <c r="BN112" s="11">
        <f t="shared" si="53"/>
        <v>0</v>
      </c>
      <c r="BO112" s="11">
        <f t="shared" si="53"/>
        <v>0</v>
      </c>
      <c r="BP112" s="11">
        <f t="shared" si="53"/>
        <v>0</v>
      </c>
      <c r="BQ112" s="11">
        <f t="shared" si="53"/>
        <v>0</v>
      </c>
      <c r="BR112" s="11">
        <f t="shared" si="53"/>
        <v>0</v>
      </c>
      <c r="BS112" s="11">
        <f t="shared" ref="BS112:DC112" si="54">BS113+BS114-BS115</f>
        <v>0</v>
      </c>
      <c r="BT112" s="11">
        <f t="shared" si="54"/>
        <v>0</v>
      </c>
      <c r="BU112" s="11">
        <f t="shared" si="54"/>
        <v>0</v>
      </c>
      <c r="BV112" s="11">
        <f t="shared" si="54"/>
        <v>0</v>
      </c>
      <c r="BW112" s="11">
        <f t="shared" si="54"/>
        <v>0</v>
      </c>
      <c r="BX112" s="11">
        <f t="shared" si="54"/>
        <v>0</v>
      </c>
      <c r="BY112" s="11">
        <f t="shared" si="54"/>
        <v>0</v>
      </c>
      <c r="BZ112" s="11">
        <f t="shared" si="54"/>
        <v>0</v>
      </c>
      <c r="CA112" s="11">
        <f t="shared" si="54"/>
        <v>0</v>
      </c>
      <c r="CB112" s="11">
        <f t="shared" si="54"/>
        <v>0</v>
      </c>
      <c r="CC112" s="11">
        <f t="shared" si="54"/>
        <v>0</v>
      </c>
      <c r="CD112" s="11">
        <f t="shared" si="54"/>
        <v>0</v>
      </c>
      <c r="CE112" s="11">
        <f t="shared" si="54"/>
        <v>0</v>
      </c>
      <c r="CF112" s="11">
        <f t="shared" si="54"/>
        <v>0</v>
      </c>
      <c r="CG112" s="11">
        <f t="shared" si="54"/>
        <v>0</v>
      </c>
      <c r="CH112" s="11">
        <f t="shared" si="54"/>
        <v>0</v>
      </c>
      <c r="CI112" s="11">
        <f t="shared" si="54"/>
        <v>0</v>
      </c>
      <c r="CJ112" s="11">
        <f t="shared" si="54"/>
        <v>0</v>
      </c>
      <c r="CK112" s="11">
        <f t="shared" si="54"/>
        <v>0</v>
      </c>
      <c r="CL112" s="11">
        <f t="shared" si="54"/>
        <v>0</v>
      </c>
      <c r="CM112" s="11">
        <f t="shared" si="54"/>
        <v>0</v>
      </c>
      <c r="CN112" s="11">
        <f t="shared" si="54"/>
        <v>0</v>
      </c>
      <c r="CO112" s="11">
        <f t="shared" si="54"/>
        <v>0</v>
      </c>
      <c r="CP112" s="11">
        <f t="shared" si="54"/>
        <v>0</v>
      </c>
      <c r="CQ112" s="11">
        <f t="shared" si="54"/>
        <v>0</v>
      </c>
      <c r="CR112" s="11">
        <f t="shared" si="54"/>
        <v>0</v>
      </c>
      <c r="CS112" s="11">
        <f t="shared" si="54"/>
        <v>0</v>
      </c>
      <c r="CT112" s="11">
        <f t="shared" si="54"/>
        <v>0</v>
      </c>
      <c r="CU112" s="11">
        <f t="shared" si="54"/>
        <v>0</v>
      </c>
      <c r="CV112" s="11">
        <f t="shared" si="54"/>
        <v>0</v>
      </c>
      <c r="CW112" s="11">
        <f t="shared" si="54"/>
        <v>0</v>
      </c>
      <c r="CX112" s="11">
        <f t="shared" si="54"/>
        <v>0</v>
      </c>
      <c r="CY112" s="11">
        <f t="shared" si="54"/>
        <v>0</v>
      </c>
      <c r="CZ112" s="11">
        <f t="shared" si="54"/>
        <v>0</v>
      </c>
      <c r="DA112" s="11">
        <f t="shared" si="54"/>
        <v>0</v>
      </c>
      <c r="DB112" s="11">
        <f t="shared" si="54"/>
        <v>0</v>
      </c>
      <c r="DC112" s="11">
        <f t="shared" si="54"/>
        <v>0</v>
      </c>
      <c r="DF112" s="46">
        <f t="shared" si="39"/>
        <v>10</v>
      </c>
    </row>
    <row r="113" spans="1:110" ht="15" customHeight="1">
      <c r="A113" s="124">
        <v>103</v>
      </c>
      <c r="B113" s="5" t="s">
        <v>151</v>
      </c>
      <c r="C113" s="24" t="s">
        <v>203</v>
      </c>
      <c r="D113" s="5"/>
      <c r="E113" s="5"/>
      <c r="F113" s="35">
        <f>H113+NPV(FD,I113:INDEX(I113:DC113,PAL))</f>
        <v>1660834.7597731682</v>
      </c>
      <c r="G113" s="35">
        <f>SUMIF($H$5:$DC$5,"&lt;="&amp;PAL,$H113:$DC113)</f>
        <v>1809419.0082644629</v>
      </c>
      <c r="H113" s="66">
        <f t="shared" ref="H113:AM113" si="55">SUMPRODUCT($DG12:$DG20,H12:H20,1/($DG12:$DG20+100))+SUMPRODUCT($DG23:$DG31,H23:H31,1/($DG23:$DG31+100))+SUMPRODUCT($DG34:$DG42,H34:H42,1/($DG34:$DG42+100))+SUMPRODUCT($DG46:$DG54,H46:H54,1/($DG46:$DG54+100))+SUMPRODUCT($DG57:$DG65,H57:H65,1/($DG57:$DG65+100))+SUMPRODUCT($DG68:$DG76,H68:H76,1/($DG68:$DG76+100))+SUMPRODUCT($DG79:$DG87,H79:H87,1/($DG79:$DG87+100))</f>
        <v>300247.93388429756</v>
      </c>
      <c r="I113" s="66">
        <f t="shared" si="55"/>
        <v>550252.0661157025</v>
      </c>
      <c r="J113" s="66">
        <f t="shared" si="55"/>
        <v>317238.84297520661</v>
      </c>
      <c r="K113" s="66">
        <f t="shared" si="55"/>
        <v>511514.87603305781</v>
      </c>
      <c r="L113" s="66">
        <f t="shared" si="55"/>
        <v>867.76859504132233</v>
      </c>
      <c r="M113" s="66">
        <f t="shared" si="55"/>
        <v>4338.8429752066113</v>
      </c>
      <c r="N113" s="66">
        <f t="shared" si="55"/>
        <v>0</v>
      </c>
      <c r="O113" s="66">
        <f t="shared" si="55"/>
        <v>0</v>
      </c>
      <c r="P113" s="66">
        <f t="shared" si="55"/>
        <v>0</v>
      </c>
      <c r="Q113" s="66">
        <f t="shared" si="55"/>
        <v>0</v>
      </c>
      <c r="R113" s="66">
        <f t="shared" si="55"/>
        <v>20826.446280991735</v>
      </c>
      <c r="S113" s="66">
        <f t="shared" si="55"/>
        <v>41652.89256198347</v>
      </c>
      <c r="T113" s="66">
        <f t="shared" si="55"/>
        <v>20826.446280991735</v>
      </c>
      <c r="U113" s="66">
        <f t="shared" si="55"/>
        <v>41652.89256198347</v>
      </c>
      <c r="V113" s="66">
        <f t="shared" si="55"/>
        <v>0</v>
      </c>
      <c r="W113" s="66">
        <f t="shared" si="55"/>
        <v>0</v>
      </c>
      <c r="X113" s="66">
        <f t="shared" si="55"/>
        <v>0</v>
      </c>
      <c r="Y113" s="66">
        <f t="shared" si="55"/>
        <v>0</v>
      </c>
      <c r="Z113" s="66">
        <f t="shared" si="55"/>
        <v>0</v>
      </c>
      <c r="AA113" s="66">
        <f t="shared" si="55"/>
        <v>0</v>
      </c>
      <c r="AB113" s="66">
        <f t="shared" si="55"/>
        <v>0</v>
      </c>
      <c r="AC113" s="66">
        <f t="shared" si="55"/>
        <v>0</v>
      </c>
      <c r="AD113" s="66">
        <f t="shared" si="55"/>
        <v>0</v>
      </c>
      <c r="AE113" s="66">
        <f t="shared" si="55"/>
        <v>0</v>
      </c>
      <c r="AF113" s="66">
        <f t="shared" si="55"/>
        <v>0</v>
      </c>
      <c r="AG113" s="66">
        <f t="shared" si="55"/>
        <v>0</v>
      </c>
      <c r="AH113" s="66">
        <f t="shared" si="55"/>
        <v>0</v>
      </c>
      <c r="AI113" s="66">
        <f t="shared" si="55"/>
        <v>0</v>
      </c>
      <c r="AJ113" s="66">
        <f t="shared" si="55"/>
        <v>0</v>
      </c>
      <c r="AK113" s="66">
        <f t="shared" si="55"/>
        <v>0</v>
      </c>
      <c r="AL113" s="66">
        <f t="shared" si="55"/>
        <v>0</v>
      </c>
      <c r="AM113" s="66">
        <f t="shared" si="55"/>
        <v>0</v>
      </c>
      <c r="AN113" s="66">
        <f t="shared" ref="AN113:BS113" si="56">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6"/>
        <v>0</v>
      </c>
      <c r="AP113" s="66">
        <f t="shared" si="56"/>
        <v>0</v>
      </c>
      <c r="AQ113" s="66">
        <f t="shared" si="56"/>
        <v>0</v>
      </c>
      <c r="AR113" s="66">
        <f t="shared" si="56"/>
        <v>0</v>
      </c>
      <c r="AS113" s="66">
        <f t="shared" si="56"/>
        <v>0</v>
      </c>
      <c r="AT113" s="66">
        <f t="shared" si="56"/>
        <v>0</v>
      </c>
      <c r="AU113" s="66">
        <f t="shared" si="56"/>
        <v>0</v>
      </c>
      <c r="AV113" s="66">
        <f t="shared" si="56"/>
        <v>0</v>
      </c>
      <c r="AW113" s="66">
        <f t="shared" si="56"/>
        <v>0</v>
      </c>
      <c r="AX113" s="66">
        <f t="shared" si="56"/>
        <v>0</v>
      </c>
      <c r="AY113" s="66">
        <f t="shared" si="56"/>
        <v>0</v>
      </c>
      <c r="AZ113" s="66">
        <f t="shared" si="56"/>
        <v>0</v>
      </c>
      <c r="BA113" s="66">
        <f t="shared" si="56"/>
        <v>0</v>
      </c>
      <c r="BB113" s="66">
        <f t="shared" si="56"/>
        <v>0</v>
      </c>
      <c r="BC113" s="66">
        <f t="shared" si="56"/>
        <v>0</v>
      </c>
      <c r="BD113" s="66">
        <f t="shared" si="56"/>
        <v>0</v>
      </c>
      <c r="BE113" s="66">
        <f t="shared" si="56"/>
        <v>0</v>
      </c>
      <c r="BF113" s="66">
        <f t="shared" si="56"/>
        <v>0</v>
      </c>
      <c r="BG113" s="66">
        <f t="shared" si="56"/>
        <v>0</v>
      </c>
      <c r="BH113" s="66">
        <f t="shared" si="56"/>
        <v>0</v>
      </c>
      <c r="BI113" s="66">
        <f t="shared" si="56"/>
        <v>0</v>
      </c>
      <c r="BJ113" s="66">
        <f t="shared" si="56"/>
        <v>0</v>
      </c>
      <c r="BK113" s="66">
        <f t="shared" si="56"/>
        <v>0</v>
      </c>
      <c r="BL113" s="66">
        <f t="shared" si="56"/>
        <v>0</v>
      </c>
      <c r="BM113" s="66">
        <f t="shared" si="56"/>
        <v>0</v>
      </c>
      <c r="BN113" s="66">
        <f t="shared" si="56"/>
        <v>0</v>
      </c>
      <c r="BO113" s="66">
        <f t="shared" si="56"/>
        <v>0</v>
      </c>
      <c r="BP113" s="66">
        <f t="shared" si="56"/>
        <v>0</v>
      </c>
      <c r="BQ113" s="66">
        <f t="shared" si="56"/>
        <v>0</v>
      </c>
      <c r="BR113" s="66">
        <f t="shared" si="56"/>
        <v>0</v>
      </c>
      <c r="BS113" s="66">
        <f t="shared" si="56"/>
        <v>0</v>
      </c>
      <c r="BT113" s="66">
        <f t="shared" ref="BT113:DC113" si="57">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7"/>
        <v>0</v>
      </c>
      <c r="BV113" s="66">
        <f t="shared" si="57"/>
        <v>0</v>
      </c>
      <c r="BW113" s="66">
        <f t="shared" si="57"/>
        <v>0</v>
      </c>
      <c r="BX113" s="66">
        <f t="shared" si="57"/>
        <v>0</v>
      </c>
      <c r="BY113" s="66">
        <f t="shared" si="57"/>
        <v>0</v>
      </c>
      <c r="BZ113" s="66">
        <f t="shared" si="57"/>
        <v>0</v>
      </c>
      <c r="CA113" s="66">
        <f t="shared" si="57"/>
        <v>0</v>
      </c>
      <c r="CB113" s="66">
        <f t="shared" si="57"/>
        <v>0</v>
      </c>
      <c r="CC113" s="66">
        <f t="shared" si="57"/>
        <v>0</v>
      </c>
      <c r="CD113" s="66">
        <f t="shared" si="57"/>
        <v>0</v>
      </c>
      <c r="CE113" s="66">
        <f t="shared" si="57"/>
        <v>0</v>
      </c>
      <c r="CF113" s="66">
        <f t="shared" si="57"/>
        <v>0</v>
      </c>
      <c r="CG113" s="66">
        <f t="shared" si="57"/>
        <v>0</v>
      </c>
      <c r="CH113" s="66">
        <f t="shared" si="57"/>
        <v>0</v>
      </c>
      <c r="CI113" s="66">
        <f t="shared" si="57"/>
        <v>0</v>
      </c>
      <c r="CJ113" s="66">
        <f t="shared" si="57"/>
        <v>0</v>
      </c>
      <c r="CK113" s="66">
        <f t="shared" si="57"/>
        <v>0</v>
      </c>
      <c r="CL113" s="66">
        <f t="shared" si="57"/>
        <v>0</v>
      </c>
      <c r="CM113" s="66">
        <f t="shared" si="57"/>
        <v>0</v>
      </c>
      <c r="CN113" s="66">
        <f t="shared" si="57"/>
        <v>0</v>
      </c>
      <c r="CO113" s="66">
        <f t="shared" si="57"/>
        <v>0</v>
      </c>
      <c r="CP113" s="66">
        <f t="shared" si="57"/>
        <v>0</v>
      </c>
      <c r="CQ113" s="66">
        <f t="shared" si="57"/>
        <v>0</v>
      </c>
      <c r="CR113" s="66">
        <f t="shared" si="57"/>
        <v>0</v>
      </c>
      <c r="CS113" s="66">
        <f t="shared" si="57"/>
        <v>0</v>
      </c>
      <c r="CT113" s="66">
        <f t="shared" si="57"/>
        <v>0</v>
      </c>
      <c r="CU113" s="66">
        <f t="shared" si="57"/>
        <v>0</v>
      </c>
      <c r="CV113" s="66">
        <f t="shared" si="57"/>
        <v>0</v>
      </c>
      <c r="CW113" s="66">
        <f t="shared" si="57"/>
        <v>0</v>
      </c>
      <c r="CX113" s="66">
        <f t="shared" si="57"/>
        <v>0</v>
      </c>
      <c r="CY113" s="66">
        <f t="shared" si="57"/>
        <v>0</v>
      </c>
      <c r="CZ113" s="66">
        <f t="shared" si="57"/>
        <v>0</v>
      </c>
      <c r="DA113" s="66">
        <f t="shared" si="57"/>
        <v>0</v>
      </c>
      <c r="DB113" s="66">
        <f t="shared" si="57"/>
        <v>0</v>
      </c>
      <c r="DC113" s="66">
        <f t="shared" si="57"/>
        <v>0</v>
      </c>
      <c r="DF113" s="46">
        <f t="shared" si="39"/>
        <v>10</v>
      </c>
    </row>
    <row r="114" spans="1:110" ht="15" hidden="1" customHeight="1">
      <c r="A114" s="124">
        <v>104</v>
      </c>
      <c r="B114" s="5" t="s">
        <v>152</v>
      </c>
      <c r="C114" s="24" t="s">
        <v>204</v>
      </c>
      <c r="D114" s="5"/>
      <c r="E114" s="5"/>
      <c r="F114" s="35">
        <f>H114+NPV(FD,I114:INDEX(I114:DC114,PAL))</f>
        <v>0</v>
      </c>
      <c r="G114" s="35">
        <f>SUMIF($H$5:$DC$5,"&lt;="&amp;PAL,$H114:$DC114)</f>
        <v>0</v>
      </c>
      <c r="H114" s="66">
        <f t="shared" ref="H114:AM114" si="58">SUMPRODUCT($DG90:$DG99,H90:H99,1/($DG90:$DG99+100))</f>
        <v>0</v>
      </c>
      <c r="I114" s="66">
        <f t="shared" si="58"/>
        <v>0</v>
      </c>
      <c r="J114" s="66">
        <f t="shared" si="58"/>
        <v>0</v>
      </c>
      <c r="K114" s="66">
        <f t="shared" si="58"/>
        <v>0</v>
      </c>
      <c r="L114" s="66">
        <f t="shared" si="58"/>
        <v>0</v>
      </c>
      <c r="M114" s="66">
        <f t="shared" si="58"/>
        <v>0</v>
      </c>
      <c r="N114" s="66">
        <f t="shared" si="58"/>
        <v>0</v>
      </c>
      <c r="O114" s="66">
        <f t="shared" si="58"/>
        <v>0</v>
      </c>
      <c r="P114" s="66">
        <f t="shared" si="58"/>
        <v>0</v>
      </c>
      <c r="Q114" s="66">
        <f t="shared" si="58"/>
        <v>0</v>
      </c>
      <c r="R114" s="66">
        <f t="shared" si="58"/>
        <v>0</v>
      </c>
      <c r="S114" s="66">
        <f t="shared" si="58"/>
        <v>0</v>
      </c>
      <c r="T114" s="66">
        <f t="shared" si="58"/>
        <v>0</v>
      </c>
      <c r="U114" s="66">
        <f t="shared" si="58"/>
        <v>0</v>
      </c>
      <c r="V114" s="66">
        <f t="shared" si="58"/>
        <v>0</v>
      </c>
      <c r="W114" s="66">
        <f t="shared" si="58"/>
        <v>0</v>
      </c>
      <c r="X114" s="66">
        <f t="shared" si="58"/>
        <v>0</v>
      </c>
      <c r="Y114" s="66">
        <f t="shared" si="58"/>
        <v>0</v>
      </c>
      <c r="Z114" s="66">
        <f t="shared" si="58"/>
        <v>0</v>
      </c>
      <c r="AA114" s="66">
        <f t="shared" si="58"/>
        <v>0</v>
      </c>
      <c r="AB114" s="66">
        <f t="shared" si="58"/>
        <v>0</v>
      </c>
      <c r="AC114" s="66">
        <f t="shared" si="58"/>
        <v>0</v>
      </c>
      <c r="AD114" s="66">
        <f t="shared" si="58"/>
        <v>0</v>
      </c>
      <c r="AE114" s="66">
        <f t="shared" si="58"/>
        <v>0</v>
      </c>
      <c r="AF114" s="66">
        <f t="shared" si="58"/>
        <v>0</v>
      </c>
      <c r="AG114" s="66">
        <f t="shared" si="58"/>
        <v>0</v>
      </c>
      <c r="AH114" s="66">
        <f t="shared" si="58"/>
        <v>0</v>
      </c>
      <c r="AI114" s="66">
        <f t="shared" si="58"/>
        <v>0</v>
      </c>
      <c r="AJ114" s="66">
        <f t="shared" si="58"/>
        <v>0</v>
      </c>
      <c r="AK114" s="66">
        <f t="shared" si="58"/>
        <v>0</v>
      </c>
      <c r="AL114" s="66">
        <f t="shared" si="58"/>
        <v>0</v>
      </c>
      <c r="AM114" s="66">
        <f t="shared" si="58"/>
        <v>0</v>
      </c>
      <c r="AN114" s="66">
        <f t="shared" ref="AN114:BS114" si="59">SUMPRODUCT($DG90:$DG99,AN90:AN99,1/($DG90:$DG99+100))</f>
        <v>0</v>
      </c>
      <c r="AO114" s="66">
        <f t="shared" si="59"/>
        <v>0</v>
      </c>
      <c r="AP114" s="66">
        <f t="shared" si="59"/>
        <v>0</v>
      </c>
      <c r="AQ114" s="66">
        <f t="shared" si="59"/>
        <v>0</v>
      </c>
      <c r="AR114" s="66">
        <f t="shared" si="59"/>
        <v>0</v>
      </c>
      <c r="AS114" s="66">
        <f t="shared" si="59"/>
        <v>0</v>
      </c>
      <c r="AT114" s="66">
        <f t="shared" si="59"/>
        <v>0</v>
      </c>
      <c r="AU114" s="66">
        <f t="shared" si="59"/>
        <v>0</v>
      </c>
      <c r="AV114" s="66">
        <f t="shared" si="59"/>
        <v>0</v>
      </c>
      <c r="AW114" s="66">
        <f t="shared" si="59"/>
        <v>0</v>
      </c>
      <c r="AX114" s="66">
        <f t="shared" si="59"/>
        <v>0</v>
      </c>
      <c r="AY114" s="66">
        <f t="shared" si="59"/>
        <v>0</v>
      </c>
      <c r="AZ114" s="66">
        <f t="shared" si="59"/>
        <v>0</v>
      </c>
      <c r="BA114" s="66">
        <f t="shared" si="59"/>
        <v>0</v>
      </c>
      <c r="BB114" s="66">
        <f t="shared" si="59"/>
        <v>0</v>
      </c>
      <c r="BC114" s="66">
        <f t="shared" si="59"/>
        <v>0</v>
      </c>
      <c r="BD114" s="66">
        <f t="shared" si="59"/>
        <v>0</v>
      </c>
      <c r="BE114" s="66">
        <f t="shared" si="59"/>
        <v>0</v>
      </c>
      <c r="BF114" s="66">
        <f t="shared" si="59"/>
        <v>0</v>
      </c>
      <c r="BG114" s="66">
        <f t="shared" si="59"/>
        <v>0</v>
      </c>
      <c r="BH114" s="66">
        <f t="shared" si="59"/>
        <v>0</v>
      </c>
      <c r="BI114" s="66">
        <f t="shared" si="59"/>
        <v>0</v>
      </c>
      <c r="BJ114" s="66">
        <f t="shared" si="59"/>
        <v>0</v>
      </c>
      <c r="BK114" s="66">
        <f t="shared" si="59"/>
        <v>0</v>
      </c>
      <c r="BL114" s="66">
        <f t="shared" si="59"/>
        <v>0</v>
      </c>
      <c r="BM114" s="66">
        <f t="shared" si="59"/>
        <v>0</v>
      </c>
      <c r="BN114" s="66">
        <f t="shared" si="59"/>
        <v>0</v>
      </c>
      <c r="BO114" s="66">
        <f t="shared" si="59"/>
        <v>0</v>
      </c>
      <c r="BP114" s="66">
        <f t="shared" si="59"/>
        <v>0</v>
      </c>
      <c r="BQ114" s="66">
        <f t="shared" si="59"/>
        <v>0</v>
      </c>
      <c r="BR114" s="66">
        <f t="shared" si="59"/>
        <v>0</v>
      </c>
      <c r="BS114" s="66">
        <f t="shared" si="59"/>
        <v>0</v>
      </c>
      <c r="BT114" s="66">
        <f t="shared" ref="BT114:DC114" si="60">SUMPRODUCT($DG90:$DG99,BT90:BT99,1/($DG90:$DG99+100))</f>
        <v>0</v>
      </c>
      <c r="BU114" s="66">
        <f t="shared" si="60"/>
        <v>0</v>
      </c>
      <c r="BV114" s="66">
        <f t="shared" si="60"/>
        <v>0</v>
      </c>
      <c r="BW114" s="66">
        <f t="shared" si="60"/>
        <v>0</v>
      </c>
      <c r="BX114" s="66">
        <f t="shared" si="60"/>
        <v>0</v>
      </c>
      <c r="BY114" s="66">
        <f t="shared" si="60"/>
        <v>0</v>
      </c>
      <c r="BZ114" s="66">
        <f t="shared" si="60"/>
        <v>0</v>
      </c>
      <c r="CA114" s="66">
        <f t="shared" si="60"/>
        <v>0</v>
      </c>
      <c r="CB114" s="66">
        <f t="shared" si="60"/>
        <v>0</v>
      </c>
      <c r="CC114" s="66">
        <f t="shared" si="60"/>
        <v>0</v>
      </c>
      <c r="CD114" s="66">
        <f t="shared" si="60"/>
        <v>0</v>
      </c>
      <c r="CE114" s="66">
        <f t="shared" si="60"/>
        <v>0</v>
      </c>
      <c r="CF114" s="66">
        <f t="shared" si="60"/>
        <v>0</v>
      </c>
      <c r="CG114" s="66">
        <f t="shared" si="60"/>
        <v>0</v>
      </c>
      <c r="CH114" s="66">
        <f t="shared" si="60"/>
        <v>0</v>
      </c>
      <c r="CI114" s="66">
        <f t="shared" si="60"/>
        <v>0</v>
      </c>
      <c r="CJ114" s="66">
        <f t="shared" si="60"/>
        <v>0</v>
      </c>
      <c r="CK114" s="66">
        <f t="shared" si="60"/>
        <v>0</v>
      </c>
      <c r="CL114" s="66">
        <f t="shared" si="60"/>
        <v>0</v>
      </c>
      <c r="CM114" s="66">
        <f t="shared" si="60"/>
        <v>0</v>
      </c>
      <c r="CN114" s="66">
        <f t="shared" si="60"/>
        <v>0</v>
      </c>
      <c r="CO114" s="66">
        <f t="shared" si="60"/>
        <v>0</v>
      </c>
      <c r="CP114" s="66">
        <f t="shared" si="60"/>
        <v>0</v>
      </c>
      <c r="CQ114" s="66">
        <f t="shared" si="60"/>
        <v>0</v>
      </c>
      <c r="CR114" s="66">
        <f t="shared" si="60"/>
        <v>0</v>
      </c>
      <c r="CS114" s="66">
        <f t="shared" si="60"/>
        <v>0</v>
      </c>
      <c r="CT114" s="66">
        <f t="shared" si="60"/>
        <v>0</v>
      </c>
      <c r="CU114" s="66">
        <f t="shared" si="60"/>
        <v>0</v>
      </c>
      <c r="CV114" s="66">
        <f t="shared" si="60"/>
        <v>0</v>
      </c>
      <c r="CW114" s="66">
        <f t="shared" si="60"/>
        <v>0</v>
      </c>
      <c r="CX114" s="66">
        <f t="shared" si="60"/>
        <v>0</v>
      </c>
      <c r="CY114" s="66">
        <f t="shared" si="60"/>
        <v>0</v>
      </c>
      <c r="CZ114" s="66">
        <f t="shared" si="60"/>
        <v>0</v>
      </c>
      <c r="DA114" s="66">
        <f t="shared" si="60"/>
        <v>0</v>
      </c>
      <c r="DB114" s="66">
        <f t="shared" si="60"/>
        <v>0</v>
      </c>
      <c r="DC114" s="66">
        <f t="shared" si="60"/>
        <v>0</v>
      </c>
      <c r="DD114" s="65"/>
      <c r="DF114" s="46">
        <f t="shared" si="39"/>
        <v>0</v>
      </c>
    </row>
    <row r="115" spans="1:110" ht="15" hidden="1"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61">SUMPRODUCT($DG101:$DG110,I101:I110,1/($DG101:$DG110+100))</f>
        <v>0</v>
      </c>
      <c r="J115" s="66">
        <f t="shared" si="61"/>
        <v>0</v>
      </c>
      <c r="K115" s="66">
        <f t="shared" si="61"/>
        <v>0</v>
      </c>
      <c r="L115" s="66">
        <f t="shared" si="61"/>
        <v>0</v>
      </c>
      <c r="M115" s="66">
        <f t="shared" si="61"/>
        <v>0</v>
      </c>
      <c r="N115" s="66">
        <f t="shared" si="61"/>
        <v>0</v>
      </c>
      <c r="O115" s="66">
        <f t="shared" si="61"/>
        <v>0</v>
      </c>
      <c r="P115" s="66">
        <f t="shared" si="61"/>
        <v>0</v>
      </c>
      <c r="Q115" s="66">
        <f t="shared" si="61"/>
        <v>0</v>
      </c>
      <c r="R115" s="66">
        <f t="shared" si="61"/>
        <v>0</v>
      </c>
      <c r="S115" s="66">
        <f t="shared" si="61"/>
        <v>0</v>
      </c>
      <c r="T115" s="66">
        <f t="shared" si="61"/>
        <v>0</v>
      </c>
      <c r="U115" s="66">
        <f t="shared" si="61"/>
        <v>0</v>
      </c>
      <c r="V115" s="66">
        <f t="shared" si="61"/>
        <v>0</v>
      </c>
      <c r="W115" s="66">
        <f t="shared" si="61"/>
        <v>0</v>
      </c>
      <c r="X115" s="66">
        <f t="shared" si="61"/>
        <v>0</v>
      </c>
      <c r="Y115" s="66">
        <f t="shared" si="61"/>
        <v>0</v>
      </c>
      <c r="Z115" s="66">
        <f t="shared" si="61"/>
        <v>0</v>
      </c>
      <c r="AA115" s="66">
        <f t="shared" si="61"/>
        <v>0</v>
      </c>
      <c r="AB115" s="66">
        <f t="shared" si="61"/>
        <v>0</v>
      </c>
      <c r="AC115" s="66">
        <f t="shared" si="61"/>
        <v>0</v>
      </c>
      <c r="AD115" s="66">
        <f t="shared" si="61"/>
        <v>0</v>
      </c>
      <c r="AE115" s="66">
        <f t="shared" si="61"/>
        <v>0</v>
      </c>
      <c r="AF115" s="66">
        <f t="shared" si="61"/>
        <v>0</v>
      </c>
      <c r="AG115" s="66">
        <f t="shared" si="61"/>
        <v>0</v>
      </c>
      <c r="AH115" s="66">
        <f t="shared" si="61"/>
        <v>0</v>
      </c>
      <c r="AI115" s="66">
        <f t="shared" si="61"/>
        <v>0</v>
      </c>
      <c r="AJ115" s="66">
        <f t="shared" si="61"/>
        <v>0</v>
      </c>
      <c r="AK115" s="66">
        <f t="shared" si="61"/>
        <v>0</v>
      </c>
      <c r="AL115" s="66">
        <f t="shared" si="61"/>
        <v>0</v>
      </c>
      <c r="AM115" s="66">
        <f t="shared" si="61"/>
        <v>0</v>
      </c>
      <c r="AN115" s="66">
        <f t="shared" si="61"/>
        <v>0</v>
      </c>
      <c r="AO115" s="66">
        <f t="shared" si="61"/>
        <v>0</v>
      </c>
      <c r="AP115" s="66">
        <f t="shared" si="61"/>
        <v>0</v>
      </c>
      <c r="AQ115" s="66">
        <f t="shared" si="61"/>
        <v>0</v>
      </c>
      <c r="AR115" s="66">
        <f t="shared" si="61"/>
        <v>0</v>
      </c>
      <c r="AS115" s="66">
        <f t="shared" si="61"/>
        <v>0</v>
      </c>
      <c r="AT115" s="66">
        <f t="shared" si="61"/>
        <v>0</v>
      </c>
      <c r="AU115" s="66">
        <f t="shared" si="61"/>
        <v>0</v>
      </c>
      <c r="AV115" s="66">
        <f t="shared" si="61"/>
        <v>0</v>
      </c>
      <c r="AW115" s="66">
        <f t="shared" si="61"/>
        <v>0</v>
      </c>
      <c r="AX115" s="66">
        <f t="shared" si="61"/>
        <v>0</v>
      </c>
      <c r="AY115" s="66">
        <f t="shared" si="61"/>
        <v>0</v>
      </c>
      <c r="AZ115" s="66">
        <f t="shared" si="61"/>
        <v>0</v>
      </c>
      <c r="BA115" s="66">
        <f t="shared" si="61"/>
        <v>0</v>
      </c>
      <c r="BB115" s="66">
        <f t="shared" si="61"/>
        <v>0</v>
      </c>
      <c r="BC115" s="66">
        <f t="shared" si="61"/>
        <v>0</v>
      </c>
      <c r="BD115" s="66">
        <f t="shared" si="61"/>
        <v>0</v>
      </c>
      <c r="BE115" s="66">
        <f t="shared" si="61"/>
        <v>0</v>
      </c>
      <c r="BF115" s="66">
        <f t="shared" si="61"/>
        <v>0</v>
      </c>
      <c r="BG115" s="66">
        <f t="shared" si="61"/>
        <v>0</v>
      </c>
      <c r="BH115" s="66">
        <f t="shared" si="61"/>
        <v>0</v>
      </c>
      <c r="BI115" s="66">
        <f t="shared" si="61"/>
        <v>0</v>
      </c>
      <c r="BJ115" s="66">
        <f t="shared" si="61"/>
        <v>0</v>
      </c>
      <c r="BK115" s="66">
        <f t="shared" si="61"/>
        <v>0</v>
      </c>
      <c r="BL115" s="66">
        <f t="shared" si="61"/>
        <v>0</v>
      </c>
      <c r="BM115" s="66">
        <f t="shared" si="61"/>
        <v>0</v>
      </c>
      <c r="BN115" s="66">
        <f t="shared" si="61"/>
        <v>0</v>
      </c>
      <c r="BO115" s="66">
        <f t="shared" si="61"/>
        <v>0</v>
      </c>
      <c r="BP115" s="66">
        <f t="shared" si="61"/>
        <v>0</v>
      </c>
      <c r="BQ115" s="66">
        <f t="shared" si="61"/>
        <v>0</v>
      </c>
      <c r="BR115" s="66">
        <f t="shared" si="61"/>
        <v>0</v>
      </c>
      <c r="BS115" s="66">
        <f t="shared" si="61"/>
        <v>0</v>
      </c>
      <c r="BT115" s="66">
        <f t="shared" si="61"/>
        <v>0</v>
      </c>
      <c r="BU115" s="66">
        <f t="shared" ref="BU115:DC115" si="62">SUMPRODUCT($DG101:$DG110,BU101:BU110,1/($DG101:$DG110+100))</f>
        <v>0</v>
      </c>
      <c r="BV115" s="66">
        <f t="shared" si="62"/>
        <v>0</v>
      </c>
      <c r="BW115" s="66">
        <f t="shared" si="62"/>
        <v>0</v>
      </c>
      <c r="BX115" s="66">
        <f t="shared" si="62"/>
        <v>0</v>
      </c>
      <c r="BY115" s="66">
        <f t="shared" si="62"/>
        <v>0</v>
      </c>
      <c r="BZ115" s="66">
        <f t="shared" si="62"/>
        <v>0</v>
      </c>
      <c r="CA115" s="66">
        <f t="shared" si="62"/>
        <v>0</v>
      </c>
      <c r="CB115" s="66">
        <f t="shared" si="62"/>
        <v>0</v>
      </c>
      <c r="CC115" s="66">
        <f t="shared" si="62"/>
        <v>0</v>
      </c>
      <c r="CD115" s="66">
        <f t="shared" si="62"/>
        <v>0</v>
      </c>
      <c r="CE115" s="66">
        <f t="shared" si="62"/>
        <v>0</v>
      </c>
      <c r="CF115" s="66">
        <f t="shared" si="62"/>
        <v>0</v>
      </c>
      <c r="CG115" s="66">
        <f t="shared" si="62"/>
        <v>0</v>
      </c>
      <c r="CH115" s="66">
        <f t="shared" si="62"/>
        <v>0</v>
      </c>
      <c r="CI115" s="66">
        <f t="shared" si="62"/>
        <v>0</v>
      </c>
      <c r="CJ115" s="66">
        <f t="shared" si="62"/>
        <v>0</v>
      </c>
      <c r="CK115" s="66">
        <f t="shared" si="62"/>
        <v>0</v>
      </c>
      <c r="CL115" s="66">
        <f t="shared" si="62"/>
        <v>0</v>
      </c>
      <c r="CM115" s="66">
        <f t="shared" si="62"/>
        <v>0</v>
      </c>
      <c r="CN115" s="66">
        <f t="shared" si="62"/>
        <v>0</v>
      </c>
      <c r="CO115" s="66">
        <f t="shared" si="62"/>
        <v>0</v>
      </c>
      <c r="CP115" s="66">
        <f t="shared" si="62"/>
        <v>0</v>
      </c>
      <c r="CQ115" s="66">
        <f t="shared" si="62"/>
        <v>0</v>
      </c>
      <c r="CR115" s="66">
        <f t="shared" si="62"/>
        <v>0</v>
      </c>
      <c r="CS115" s="66">
        <f t="shared" si="62"/>
        <v>0</v>
      </c>
      <c r="CT115" s="66">
        <f t="shared" si="62"/>
        <v>0</v>
      </c>
      <c r="CU115" s="66">
        <f t="shared" si="62"/>
        <v>0</v>
      </c>
      <c r="CV115" s="66">
        <f t="shared" si="62"/>
        <v>0</v>
      </c>
      <c r="CW115" s="66">
        <f t="shared" si="62"/>
        <v>0</v>
      </c>
      <c r="CX115" s="66">
        <f t="shared" si="62"/>
        <v>0</v>
      </c>
      <c r="CY115" s="66">
        <f t="shared" si="62"/>
        <v>0</v>
      </c>
      <c r="CZ115" s="66">
        <f t="shared" si="62"/>
        <v>0</v>
      </c>
      <c r="DA115" s="66">
        <f t="shared" si="62"/>
        <v>0</v>
      </c>
      <c r="DB115" s="66">
        <f t="shared" si="62"/>
        <v>0</v>
      </c>
      <c r="DC115" s="66">
        <f t="shared" si="62"/>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24"/>
      <c r="E116" s="5"/>
      <c r="F116" s="35">
        <f>H116+NPV(FD,I116:INDEX(I116:DC116,PAL))</f>
        <v>34.342439635093235</v>
      </c>
      <c r="G116" s="35">
        <f>SUMIF($H$5:$DC$5,"&lt;="&amp;PAL,$H116:$DC116)</f>
        <v>47</v>
      </c>
      <c r="H116" s="38">
        <v>0</v>
      </c>
      <c r="I116" s="38">
        <v>0</v>
      </c>
      <c r="J116" s="38">
        <v>0</v>
      </c>
      <c r="K116" s="38">
        <v>0</v>
      </c>
      <c r="L116" s="38">
        <v>0</v>
      </c>
      <c r="M116" s="38">
        <v>0</v>
      </c>
      <c r="N116" s="38">
        <v>0</v>
      </c>
      <c r="O116" s="38">
        <v>0</v>
      </c>
      <c r="P116" s="38">
        <v>47</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1</v>
      </c>
    </row>
    <row r="117" spans="1:110" ht="14.4">
      <c r="A117" s="124">
        <v>107</v>
      </c>
      <c r="B117" s="5" t="s">
        <v>18</v>
      </c>
      <c r="C117" s="15" t="s">
        <v>274</v>
      </c>
      <c r="D117" s="24"/>
      <c r="E117" s="5"/>
      <c r="F117" s="11">
        <f>SUM(F118-F126)</f>
        <v>988477747.94712663</v>
      </c>
      <c r="G117" s="35">
        <f>SUMIF($H$5:$DC$5,"&lt;="&amp;PAL,$H117:$DC117)</f>
        <v>1735206785.7969191</v>
      </c>
      <c r="H117" s="11">
        <f>SUM(H118-H126)</f>
        <v>0</v>
      </c>
      <c r="I117" s="11">
        <f t="shared" ref="I117:BT117" si="63">SUM(I118-I126)</f>
        <v>986517.07499999995</v>
      </c>
      <c r="J117" s="11">
        <f t="shared" si="63"/>
        <v>29971710.582949981</v>
      </c>
      <c r="K117" s="11">
        <f t="shared" si="63"/>
        <v>39813188.262664638</v>
      </c>
      <c r="L117" s="11">
        <f t="shared" si="63"/>
        <v>79520148.871179372</v>
      </c>
      <c r="M117" s="11">
        <f t="shared" si="63"/>
        <v>81514279.737973094</v>
      </c>
      <c r="N117" s="11">
        <f t="shared" si="63"/>
        <v>83563403.610845983</v>
      </c>
      <c r="O117" s="11">
        <f t="shared" si="63"/>
        <v>85669077.066347316</v>
      </c>
      <c r="P117" s="11">
        <f t="shared" si="63"/>
        <v>87832901.073600665</v>
      </c>
      <c r="Q117" s="11">
        <f t="shared" si="63"/>
        <v>90056522.263752237</v>
      </c>
      <c r="R117" s="11">
        <f t="shared" si="63"/>
        <v>92341634.235762566</v>
      </c>
      <c r="S117" s="11">
        <f t="shared" si="63"/>
        <v>94689978.899589747</v>
      </c>
      <c r="T117" s="11">
        <f t="shared" si="63"/>
        <v>97103347.857829988</v>
      </c>
      <c r="U117" s="11">
        <f t="shared" si="63"/>
        <v>99583583.826922372</v>
      </c>
      <c r="V117" s="11">
        <f t="shared" si="63"/>
        <v>102132582.09904696</v>
      </c>
      <c r="W117" s="11">
        <f t="shared" si="63"/>
        <v>104752292.04588586</v>
      </c>
      <c r="X117" s="11">
        <f t="shared" si="63"/>
        <v>107444718.66544548</v>
      </c>
      <c r="Y117" s="11">
        <f t="shared" si="63"/>
        <v>110211924.17317317</v>
      </c>
      <c r="Z117" s="11">
        <f t="shared" si="63"/>
        <v>113056029.63863987</v>
      </c>
      <c r="AA117" s="11">
        <f t="shared" si="63"/>
        <v>115979216.66909198</v>
      </c>
      <c r="AB117" s="11">
        <f t="shared" si="63"/>
        <v>118983729.14121771</v>
      </c>
      <c r="AC117" s="11">
        <f t="shared" si="63"/>
        <v>0</v>
      </c>
      <c r="AD117" s="11">
        <f t="shared" si="63"/>
        <v>0</v>
      </c>
      <c r="AE117" s="11">
        <f t="shared" si="63"/>
        <v>0</v>
      </c>
      <c r="AF117" s="11">
        <f t="shared" si="63"/>
        <v>0</v>
      </c>
      <c r="AG117" s="11">
        <f t="shared" si="63"/>
        <v>0</v>
      </c>
      <c r="AH117" s="11">
        <f t="shared" si="63"/>
        <v>0</v>
      </c>
      <c r="AI117" s="11">
        <f t="shared" si="63"/>
        <v>0</v>
      </c>
      <c r="AJ117" s="11">
        <f t="shared" si="63"/>
        <v>0</v>
      </c>
      <c r="AK117" s="11">
        <f t="shared" si="63"/>
        <v>0</v>
      </c>
      <c r="AL117" s="11">
        <f t="shared" si="63"/>
        <v>0</v>
      </c>
      <c r="AM117" s="11" t="e">
        <f t="shared" si="63"/>
        <v>#REF!</v>
      </c>
      <c r="AN117" s="11">
        <f t="shared" si="63"/>
        <v>0</v>
      </c>
      <c r="AO117" s="11">
        <f t="shared" si="63"/>
        <v>0</v>
      </c>
      <c r="AP117" s="11">
        <f t="shared" si="63"/>
        <v>0</v>
      </c>
      <c r="AQ117" s="11">
        <f t="shared" si="63"/>
        <v>0</v>
      </c>
      <c r="AR117" s="11">
        <f t="shared" si="63"/>
        <v>0</v>
      </c>
      <c r="AS117" s="11">
        <f t="shared" si="63"/>
        <v>0</v>
      </c>
      <c r="AT117" s="11">
        <f t="shared" si="63"/>
        <v>0</v>
      </c>
      <c r="AU117" s="11">
        <f t="shared" si="63"/>
        <v>0</v>
      </c>
      <c r="AV117" s="11">
        <f t="shared" si="63"/>
        <v>0</v>
      </c>
      <c r="AW117" s="11">
        <f t="shared" si="63"/>
        <v>0</v>
      </c>
      <c r="AX117" s="11">
        <f t="shared" si="63"/>
        <v>0</v>
      </c>
      <c r="AY117" s="11">
        <f t="shared" si="63"/>
        <v>0</v>
      </c>
      <c r="AZ117" s="11">
        <f t="shared" si="63"/>
        <v>0</v>
      </c>
      <c r="BA117" s="11">
        <f t="shared" si="63"/>
        <v>0</v>
      </c>
      <c r="BB117" s="11">
        <f t="shared" si="63"/>
        <v>0</v>
      </c>
      <c r="BC117" s="11">
        <f t="shared" si="63"/>
        <v>0</v>
      </c>
      <c r="BD117" s="11">
        <f t="shared" si="63"/>
        <v>0</v>
      </c>
      <c r="BE117" s="11">
        <f t="shared" si="63"/>
        <v>0</v>
      </c>
      <c r="BF117" s="11">
        <f t="shared" si="63"/>
        <v>0</v>
      </c>
      <c r="BG117" s="11">
        <f t="shared" si="63"/>
        <v>0</v>
      </c>
      <c r="BH117" s="11">
        <f t="shared" si="63"/>
        <v>0</v>
      </c>
      <c r="BI117" s="11">
        <f t="shared" si="63"/>
        <v>0</v>
      </c>
      <c r="BJ117" s="11">
        <f t="shared" si="63"/>
        <v>0</v>
      </c>
      <c r="BK117" s="11">
        <f t="shared" si="63"/>
        <v>0</v>
      </c>
      <c r="BL117" s="11">
        <f t="shared" si="63"/>
        <v>0</v>
      </c>
      <c r="BM117" s="11">
        <f t="shared" si="63"/>
        <v>0</v>
      </c>
      <c r="BN117" s="11">
        <f t="shared" si="63"/>
        <v>0</v>
      </c>
      <c r="BO117" s="11">
        <f t="shared" si="63"/>
        <v>0</v>
      </c>
      <c r="BP117" s="11">
        <f t="shared" si="63"/>
        <v>0</v>
      </c>
      <c r="BQ117" s="11">
        <f t="shared" si="63"/>
        <v>0</v>
      </c>
      <c r="BR117" s="11">
        <f t="shared" si="63"/>
        <v>0</v>
      </c>
      <c r="BS117" s="11">
        <f t="shared" si="63"/>
        <v>0</v>
      </c>
      <c r="BT117" s="11">
        <f t="shared" si="63"/>
        <v>0</v>
      </c>
      <c r="BU117" s="11">
        <f t="shared" ref="BU117:DC117" si="64">SUM(BU118-BU126)</f>
        <v>0</v>
      </c>
      <c r="BV117" s="11">
        <f t="shared" si="64"/>
        <v>0</v>
      </c>
      <c r="BW117" s="11">
        <f t="shared" si="64"/>
        <v>0</v>
      </c>
      <c r="BX117" s="11">
        <f t="shared" si="64"/>
        <v>0</v>
      </c>
      <c r="BY117" s="11">
        <f t="shared" si="64"/>
        <v>0</v>
      </c>
      <c r="BZ117" s="11">
        <f t="shared" si="64"/>
        <v>0</v>
      </c>
      <c r="CA117" s="11">
        <f t="shared" si="64"/>
        <v>0</v>
      </c>
      <c r="CB117" s="11">
        <f t="shared" si="64"/>
        <v>0</v>
      </c>
      <c r="CC117" s="11">
        <f t="shared" si="64"/>
        <v>0</v>
      </c>
      <c r="CD117" s="11">
        <f t="shared" si="64"/>
        <v>0</v>
      </c>
      <c r="CE117" s="11">
        <f t="shared" si="64"/>
        <v>0</v>
      </c>
      <c r="CF117" s="11">
        <f t="shared" si="64"/>
        <v>0</v>
      </c>
      <c r="CG117" s="11">
        <f t="shared" si="64"/>
        <v>0</v>
      </c>
      <c r="CH117" s="11">
        <f t="shared" si="64"/>
        <v>0</v>
      </c>
      <c r="CI117" s="11">
        <f t="shared" si="64"/>
        <v>0</v>
      </c>
      <c r="CJ117" s="11">
        <f t="shared" si="64"/>
        <v>0</v>
      </c>
      <c r="CK117" s="11">
        <f t="shared" si="64"/>
        <v>0</v>
      </c>
      <c r="CL117" s="11">
        <f t="shared" si="64"/>
        <v>0</v>
      </c>
      <c r="CM117" s="11">
        <f t="shared" si="64"/>
        <v>0</v>
      </c>
      <c r="CN117" s="11">
        <f t="shared" si="64"/>
        <v>0</v>
      </c>
      <c r="CO117" s="11">
        <f t="shared" si="64"/>
        <v>0</v>
      </c>
      <c r="CP117" s="11">
        <f t="shared" si="64"/>
        <v>0</v>
      </c>
      <c r="CQ117" s="11">
        <f t="shared" si="64"/>
        <v>0</v>
      </c>
      <c r="CR117" s="11">
        <f t="shared" si="64"/>
        <v>0</v>
      </c>
      <c r="CS117" s="11">
        <f t="shared" si="64"/>
        <v>0</v>
      </c>
      <c r="CT117" s="11">
        <f t="shared" si="64"/>
        <v>0</v>
      </c>
      <c r="CU117" s="11">
        <f t="shared" si="64"/>
        <v>0</v>
      </c>
      <c r="CV117" s="11">
        <f t="shared" si="64"/>
        <v>0</v>
      </c>
      <c r="CW117" s="11">
        <f t="shared" si="64"/>
        <v>0</v>
      </c>
      <c r="CX117" s="11">
        <f t="shared" si="64"/>
        <v>0</v>
      </c>
      <c r="CY117" s="11">
        <f t="shared" si="64"/>
        <v>0</v>
      </c>
      <c r="CZ117" s="11">
        <f t="shared" si="64"/>
        <v>0</v>
      </c>
      <c r="DA117" s="11">
        <f t="shared" si="64"/>
        <v>0</v>
      </c>
      <c r="DB117" s="11">
        <f t="shared" si="64"/>
        <v>0</v>
      </c>
      <c r="DC117" s="11">
        <f t="shared" si="64"/>
        <v>0</v>
      </c>
      <c r="DF117" s="46">
        <f t="shared" si="39"/>
        <v>21</v>
      </c>
    </row>
    <row r="118" spans="1:110" ht="14.4">
      <c r="A118" s="124">
        <v>108</v>
      </c>
      <c r="B118" s="5" t="s">
        <v>192</v>
      </c>
      <c r="C118" s="24" t="s">
        <v>275</v>
      </c>
      <c r="D118" s="24"/>
      <c r="E118" s="5"/>
      <c r="F118" s="11">
        <f>SUM(F119:F125)</f>
        <v>988477747.94712663</v>
      </c>
      <c r="G118" s="35">
        <f>SUMIF($H$5:$DC$5,"&lt;="&amp;PAL,$H118:$DC118)</f>
        <v>1735206785.7969191</v>
      </c>
      <c r="H118" s="11">
        <f>SUM(H119:H125)</f>
        <v>0</v>
      </c>
      <c r="I118" s="11">
        <f t="shared" ref="I118:BT118" si="65">SUM(I119:I125)</f>
        <v>986517.07499999995</v>
      </c>
      <c r="J118" s="11">
        <f t="shared" si="65"/>
        <v>29971710.582949981</v>
      </c>
      <c r="K118" s="11">
        <f t="shared" si="65"/>
        <v>39813188.262664638</v>
      </c>
      <c r="L118" s="11">
        <f t="shared" si="65"/>
        <v>79520148.871179372</v>
      </c>
      <c r="M118" s="11">
        <f t="shared" si="65"/>
        <v>81514279.737973094</v>
      </c>
      <c r="N118" s="11">
        <f t="shared" si="65"/>
        <v>83563403.610845983</v>
      </c>
      <c r="O118" s="11">
        <f t="shared" si="65"/>
        <v>85669077.066347316</v>
      </c>
      <c r="P118" s="11">
        <f t="shared" si="65"/>
        <v>87832901.073600665</v>
      </c>
      <c r="Q118" s="11">
        <f t="shared" si="65"/>
        <v>90056522.263752237</v>
      </c>
      <c r="R118" s="11">
        <f t="shared" si="65"/>
        <v>92341634.235762566</v>
      </c>
      <c r="S118" s="11">
        <f t="shared" si="65"/>
        <v>94689978.899589747</v>
      </c>
      <c r="T118" s="11">
        <f t="shared" si="65"/>
        <v>97103347.857829988</v>
      </c>
      <c r="U118" s="11">
        <f t="shared" si="65"/>
        <v>99583583.826922372</v>
      </c>
      <c r="V118" s="11">
        <f t="shared" si="65"/>
        <v>102132582.09904696</v>
      </c>
      <c r="W118" s="11">
        <f t="shared" si="65"/>
        <v>104752292.04588586</v>
      </c>
      <c r="X118" s="11">
        <f t="shared" si="65"/>
        <v>107444718.66544548</v>
      </c>
      <c r="Y118" s="11">
        <f t="shared" si="65"/>
        <v>110211924.17317317</v>
      </c>
      <c r="Z118" s="11">
        <f t="shared" si="65"/>
        <v>113056029.63863987</v>
      </c>
      <c r="AA118" s="11">
        <f t="shared" si="65"/>
        <v>115979216.66909198</v>
      </c>
      <c r="AB118" s="11">
        <f t="shared" si="65"/>
        <v>118983729.14121771</v>
      </c>
      <c r="AC118" s="11">
        <f t="shared" si="65"/>
        <v>0</v>
      </c>
      <c r="AD118" s="11">
        <f t="shared" si="65"/>
        <v>0</v>
      </c>
      <c r="AE118" s="11">
        <f t="shared" si="65"/>
        <v>0</v>
      </c>
      <c r="AF118" s="11">
        <f t="shared" si="65"/>
        <v>0</v>
      </c>
      <c r="AG118" s="11">
        <f t="shared" si="65"/>
        <v>0</v>
      </c>
      <c r="AH118" s="11">
        <f t="shared" si="65"/>
        <v>0</v>
      </c>
      <c r="AI118" s="11">
        <f t="shared" si="65"/>
        <v>0</v>
      </c>
      <c r="AJ118" s="11">
        <f t="shared" si="65"/>
        <v>0</v>
      </c>
      <c r="AK118" s="11">
        <f t="shared" si="65"/>
        <v>0</v>
      </c>
      <c r="AL118" s="11">
        <f t="shared" si="65"/>
        <v>0</v>
      </c>
      <c r="AM118" s="11" t="e">
        <f t="shared" si="65"/>
        <v>#REF!</v>
      </c>
      <c r="AN118" s="11">
        <f t="shared" si="65"/>
        <v>0</v>
      </c>
      <c r="AO118" s="11">
        <f t="shared" si="65"/>
        <v>0</v>
      </c>
      <c r="AP118" s="11">
        <f t="shared" si="65"/>
        <v>0</v>
      </c>
      <c r="AQ118" s="11">
        <f t="shared" si="65"/>
        <v>0</v>
      </c>
      <c r="AR118" s="11">
        <f t="shared" si="65"/>
        <v>0</v>
      </c>
      <c r="AS118" s="11">
        <f t="shared" si="65"/>
        <v>0</v>
      </c>
      <c r="AT118" s="11">
        <f t="shared" si="65"/>
        <v>0</v>
      </c>
      <c r="AU118" s="11">
        <f t="shared" si="65"/>
        <v>0</v>
      </c>
      <c r="AV118" s="11">
        <f t="shared" si="65"/>
        <v>0</v>
      </c>
      <c r="AW118" s="11">
        <f t="shared" si="65"/>
        <v>0</v>
      </c>
      <c r="AX118" s="11">
        <f t="shared" si="65"/>
        <v>0</v>
      </c>
      <c r="AY118" s="11">
        <f t="shared" si="65"/>
        <v>0</v>
      </c>
      <c r="AZ118" s="11">
        <f t="shared" si="65"/>
        <v>0</v>
      </c>
      <c r="BA118" s="11">
        <f t="shared" si="65"/>
        <v>0</v>
      </c>
      <c r="BB118" s="11">
        <f t="shared" si="65"/>
        <v>0</v>
      </c>
      <c r="BC118" s="11">
        <f t="shared" si="65"/>
        <v>0</v>
      </c>
      <c r="BD118" s="11">
        <f t="shared" si="65"/>
        <v>0</v>
      </c>
      <c r="BE118" s="11">
        <f t="shared" si="65"/>
        <v>0</v>
      </c>
      <c r="BF118" s="11">
        <f t="shared" si="65"/>
        <v>0</v>
      </c>
      <c r="BG118" s="11">
        <f t="shared" si="65"/>
        <v>0</v>
      </c>
      <c r="BH118" s="11">
        <f t="shared" si="65"/>
        <v>0</v>
      </c>
      <c r="BI118" s="11">
        <f t="shared" si="65"/>
        <v>0</v>
      </c>
      <c r="BJ118" s="11">
        <f t="shared" si="65"/>
        <v>0</v>
      </c>
      <c r="BK118" s="11">
        <f t="shared" si="65"/>
        <v>0</v>
      </c>
      <c r="BL118" s="11">
        <f t="shared" si="65"/>
        <v>0</v>
      </c>
      <c r="BM118" s="11">
        <f t="shared" si="65"/>
        <v>0</v>
      </c>
      <c r="BN118" s="11">
        <f t="shared" si="65"/>
        <v>0</v>
      </c>
      <c r="BO118" s="11">
        <f t="shared" si="65"/>
        <v>0</v>
      </c>
      <c r="BP118" s="11">
        <f t="shared" si="65"/>
        <v>0</v>
      </c>
      <c r="BQ118" s="11">
        <f t="shared" si="65"/>
        <v>0</v>
      </c>
      <c r="BR118" s="11">
        <f t="shared" si="65"/>
        <v>0</v>
      </c>
      <c r="BS118" s="11">
        <f t="shared" si="65"/>
        <v>0</v>
      </c>
      <c r="BT118" s="11">
        <f t="shared" si="65"/>
        <v>0</v>
      </c>
      <c r="BU118" s="11">
        <f t="shared" ref="BU118:DC118" si="66">SUM(BU119:BU125)</f>
        <v>0</v>
      </c>
      <c r="BV118" s="11">
        <f t="shared" si="66"/>
        <v>0</v>
      </c>
      <c r="BW118" s="11">
        <f t="shared" si="66"/>
        <v>0</v>
      </c>
      <c r="BX118" s="11">
        <f t="shared" si="66"/>
        <v>0</v>
      </c>
      <c r="BY118" s="11">
        <f t="shared" si="66"/>
        <v>0</v>
      </c>
      <c r="BZ118" s="11">
        <f t="shared" si="66"/>
        <v>0</v>
      </c>
      <c r="CA118" s="11">
        <f t="shared" si="66"/>
        <v>0</v>
      </c>
      <c r="CB118" s="11">
        <f t="shared" si="66"/>
        <v>0</v>
      </c>
      <c r="CC118" s="11">
        <f t="shared" si="66"/>
        <v>0</v>
      </c>
      <c r="CD118" s="11">
        <f t="shared" si="66"/>
        <v>0</v>
      </c>
      <c r="CE118" s="11">
        <f t="shared" si="66"/>
        <v>0</v>
      </c>
      <c r="CF118" s="11">
        <f t="shared" si="66"/>
        <v>0</v>
      </c>
      <c r="CG118" s="11">
        <f t="shared" si="66"/>
        <v>0</v>
      </c>
      <c r="CH118" s="11">
        <f t="shared" si="66"/>
        <v>0</v>
      </c>
      <c r="CI118" s="11">
        <f t="shared" si="66"/>
        <v>0</v>
      </c>
      <c r="CJ118" s="11">
        <f t="shared" si="66"/>
        <v>0</v>
      </c>
      <c r="CK118" s="11">
        <f t="shared" si="66"/>
        <v>0</v>
      </c>
      <c r="CL118" s="11">
        <f t="shared" si="66"/>
        <v>0</v>
      </c>
      <c r="CM118" s="11">
        <f t="shared" si="66"/>
        <v>0</v>
      </c>
      <c r="CN118" s="11">
        <f t="shared" si="66"/>
        <v>0</v>
      </c>
      <c r="CO118" s="11">
        <f t="shared" si="66"/>
        <v>0</v>
      </c>
      <c r="CP118" s="11">
        <f t="shared" si="66"/>
        <v>0</v>
      </c>
      <c r="CQ118" s="11">
        <f t="shared" si="66"/>
        <v>0</v>
      </c>
      <c r="CR118" s="11">
        <f t="shared" si="66"/>
        <v>0</v>
      </c>
      <c r="CS118" s="11">
        <f t="shared" si="66"/>
        <v>0</v>
      </c>
      <c r="CT118" s="11">
        <f t="shared" si="66"/>
        <v>0</v>
      </c>
      <c r="CU118" s="11">
        <f t="shared" si="66"/>
        <v>0</v>
      </c>
      <c r="CV118" s="11">
        <f t="shared" si="66"/>
        <v>0</v>
      </c>
      <c r="CW118" s="11">
        <f t="shared" si="66"/>
        <v>0</v>
      </c>
      <c r="CX118" s="11">
        <f t="shared" si="66"/>
        <v>0</v>
      </c>
      <c r="CY118" s="11">
        <f t="shared" si="66"/>
        <v>0</v>
      </c>
      <c r="CZ118" s="11">
        <f t="shared" si="66"/>
        <v>0</v>
      </c>
      <c r="DA118" s="11">
        <f t="shared" si="66"/>
        <v>0</v>
      </c>
      <c r="DB118" s="11">
        <f t="shared" si="66"/>
        <v>0</v>
      </c>
      <c r="DC118" s="11">
        <f t="shared" si="66"/>
        <v>0</v>
      </c>
      <c r="DF118" s="46">
        <f t="shared" si="39"/>
        <v>21</v>
      </c>
    </row>
    <row r="119" spans="1:110" ht="14.4">
      <c r="A119" s="124">
        <v>109</v>
      </c>
      <c r="B119" s="5" t="str">
        <f>$B$118&amp;"1."</f>
        <v>L.1.1.</v>
      </c>
      <c r="C119" s="170" t="s">
        <v>761</v>
      </c>
      <c r="D119" s="24"/>
      <c r="E119" s="5"/>
      <c r="F119" s="35">
        <f>H119+NPV(SD,I119:INDEX(I119:DC119,PAL))</f>
        <v>857433405.79222178</v>
      </c>
      <c r="G119" s="35">
        <f>SUMIF($H$5:$DC$5,"&lt;="&amp;PAL,$H119:$DC119)</f>
        <v>1515715508.6061361</v>
      </c>
      <c r="H119" s="38">
        <v>0</v>
      </c>
      <c r="I119" s="38">
        <f>+Prielaidos!G396</f>
        <v>0</v>
      </c>
      <c r="J119" s="38">
        <f>+Prielaidos!H396+Prielaidos!H623</f>
        <v>20837071.555999976</v>
      </c>
      <c r="K119" s="38">
        <f>+Prielaidos!I396+Prielaidos!I623</f>
        <v>29659896.624052979</v>
      </c>
      <c r="L119" s="38">
        <f>+Prielaidos!J396+Prielaidos!J623</f>
        <v>68548109.700628564</v>
      </c>
      <c r="M119" s="38">
        <f>+Prielaidos!K396+Prielaidos!K623</f>
        <v>70453951.40923135</v>
      </c>
      <c r="N119" s="38">
        <f>+Prielaidos!L396+Prielaidos!L623</f>
        <v>72413829.707424104</v>
      </c>
      <c r="O119" s="38">
        <f>+Prielaidos!M396+Prielaidos!M623</f>
        <v>74429287.326307654</v>
      </c>
      <c r="P119" s="38">
        <f>+Prielaidos!N396+Prielaidos!N623</f>
        <v>76501911.152452901</v>
      </c>
      <c r="Q119" s="38">
        <f>+Prielaidos!O396+Prielaidos!O623</f>
        <v>78633333.492998987</v>
      </c>
      <c r="R119" s="38">
        <f>+Prielaidos!P396+Prielaidos!P623</f>
        <v>80825233.377014697</v>
      </c>
      <c r="S119" s="38">
        <f>+Prielaidos!Q396+Prielaidos!Q623</f>
        <v>83079337.894167215</v>
      </c>
      <c r="T119" s="38">
        <f>+Prielaidos!R396+Prielaidos!R623</f>
        <v>85397423.571763933</v>
      </c>
      <c r="U119" s="38">
        <f>+Prielaidos!S396+Prielaidos!S623</f>
        <v>87781317.791271195</v>
      </c>
      <c r="V119" s="38">
        <f>+Prielaidos!T396+Prielaidos!T623</f>
        <v>90232900.245439783</v>
      </c>
      <c r="W119" s="38">
        <f>+Prielaidos!U396+Prielaidos!U623</f>
        <v>92754104.437201709</v>
      </c>
      <c r="X119" s="38">
        <f>+Prielaidos!V396+Prielaidos!V623</f>
        <v>95346919.221538752</v>
      </c>
      <c r="Y119" s="38">
        <f>+Prielaidos!W396+Prielaidos!W623</f>
        <v>98013390.391550809</v>
      </c>
      <c r="Z119" s="38">
        <f>+Prielaidos!X396+Prielaidos!X623</f>
        <v>100755622.30999547</v>
      </c>
      <c r="AA119" s="38">
        <f>+Prielaidos!Y396+Prielaidos!Y623</f>
        <v>103575779.58760116</v>
      </c>
      <c r="AB119" s="38">
        <f>+Prielaidos!Z396+Prielaidos!Z623</f>
        <v>106476088.80949479</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7">COUNTBLANK(H119:DC119)</f>
        <v>0</v>
      </c>
      <c r="DF119" s="46">
        <f t="shared" si="39"/>
        <v>19</v>
      </c>
    </row>
    <row r="120" spans="1:110" ht="14.4">
      <c r="A120" s="124">
        <v>110</v>
      </c>
      <c r="B120" s="5" t="str">
        <f>$B$118&amp;"2."</f>
        <v>L.1.2.</v>
      </c>
      <c r="C120" s="170" t="s">
        <v>760</v>
      </c>
      <c r="D120" s="24"/>
      <c r="E120" s="5"/>
      <c r="F120" s="35">
        <f>H120+NPV(SD,I120:INDEX(I120:DC120,PAL))</f>
        <v>131044342.15490489</v>
      </c>
      <c r="G120" s="35">
        <f>SUMIF($H$5:$DC$5,"&lt;="&amp;PAL,$H120:$DC120)</f>
        <v>219491277.1907829</v>
      </c>
      <c r="H120" s="38">
        <v>0</v>
      </c>
      <c r="I120" s="38">
        <f>+Prielaidos!G355</f>
        <v>986517.07499999995</v>
      </c>
      <c r="J120" s="38">
        <f>+Prielaidos!H355</f>
        <v>9134639.0269500073</v>
      </c>
      <c r="K120" s="38">
        <f>+Prielaidos!I355</f>
        <v>10153291.638611658</v>
      </c>
      <c r="L120" s="38">
        <f>+Prielaidos!J355</f>
        <v>10972039.170550812</v>
      </c>
      <c r="M120" s="38">
        <f>+Prielaidos!K355</f>
        <v>11060328.32874174</v>
      </c>
      <c r="N120" s="38">
        <f>+Prielaidos!L355</f>
        <v>11149573.903421871</v>
      </c>
      <c r="O120" s="38">
        <f>+Prielaidos!M355</f>
        <v>11239789.740039658</v>
      </c>
      <c r="P120" s="38">
        <f>+Prielaidos!N355</f>
        <v>11330989.92114776</v>
      </c>
      <c r="Q120" s="38">
        <f>+Prielaidos!O355</f>
        <v>11423188.770753244</v>
      </c>
      <c r="R120" s="38">
        <f>+Prielaidos!P355</f>
        <v>11516400.858747862</v>
      </c>
      <c r="S120" s="38">
        <f>+Prielaidos!Q355</f>
        <v>11610641.00542254</v>
      </c>
      <c r="T120" s="38">
        <f>+Prielaidos!R355</f>
        <v>11705924.286066063</v>
      </c>
      <c r="U120" s="38">
        <f>+Prielaidos!S355</f>
        <v>11802266.035651183</v>
      </c>
      <c r="V120" s="38">
        <f>+Prielaidos!T355</f>
        <v>11899681.853607183</v>
      </c>
      <c r="W120" s="38">
        <f>+Prielaidos!U355</f>
        <v>11998187.608684145</v>
      </c>
      <c r="X120" s="38">
        <f>+Prielaidos!V355</f>
        <v>12097799.443906723</v>
      </c>
      <c r="Y120" s="38">
        <f>+Prielaidos!W355</f>
        <v>12198533.781622365</v>
      </c>
      <c r="Z120" s="38">
        <f>+Prielaidos!X355</f>
        <v>12300407.328644395</v>
      </c>
      <c r="AA120" s="38">
        <f>+Prielaidos!Y355</f>
        <v>12403437.081490824</v>
      </c>
      <c r="AB120" s="38">
        <f>+Prielaidos!Z355</f>
        <v>12507640.33172291</v>
      </c>
      <c r="AC120" s="38">
        <f>+Prielaidos!AA355</f>
        <v>0</v>
      </c>
      <c r="AD120" s="38">
        <f>+Prielaidos!AB355</f>
        <v>0</v>
      </c>
      <c r="AE120" s="38">
        <f>+Prielaidos!AC355</f>
        <v>0</v>
      </c>
      <c r="AF120" s="38">
        <f>+Prielaidos!AD355</f>
        <v>0</v>
      </c>
      <c r="AG120" s="38">
        <f>+Prielaidos!AE355</f>
        <v>0</v>
      </c>
      <c r="AH120" s="38">
        <f>+Prielaidos!AF355</f>
        <v>0</v>
      </c>
      <c r="AI120" s="38">
        <f>+Prielaidos!AG355</f>
        <v>0</v>
      </c>
      <c r="AJ120" s="38">
        <f>+Prielaidos!AH355</f>
        <v>0</v>
      </c>
      <c r="AK120" s="38">
        <f>+Prielaidos!AI355</f>
        <v>0</v>
      </c>
      <c r="AL120" s="38">
        <f>+Prielaidos!AJ355</f>
        <v>0</v>
      </c>
      <c r="AM120" s="38" t="e">
        <f>+Prielaidos!#REF!</f>
        <v>#REF!</v>
      </c>
      <c r="AN120" s="38">
        <f>+Prielaidos!AK355</f>
        <v>0</v>
      </c>
      <c r="AO120" s="38">
        <f>+Prielaidos!AL355</f>
        <v>0</v>
      </c>
      <c r="AP120" s="38">
        <f>+Prielaidos!AM355</f>
        <v>0</v>
      </c>
      <c r="AQ120" s="38">
        <f>+Prielaidos!AN355</f>
        <v>0</v>
      </c>
      <c r="AR120" s="38">
        <f>+Prielaidos!AO355</f>
        <v>0</v>
      </c>
      <c r="AS120" s="38">
        <f>+Prielaidos!AP355</f>
        <v>0</v>
      </c>
      <c r="AT120" s="38">
        <f>+Prielaidos!AQ355</f>
        <v>0</v>
      </c>
      <c r="AU120" s="38">
        <f>+Prielaidos!AR355</f>
        <v>0</v>
      </c>
      <c r="AV120" s="38">
        <f>+Prielaidos!AS355</f>
        <v>0</v>
      </c>
      <c r="AW120" s="38">
        <f>+Prielaidos!AT355</f>
        <v>0</v>
      </c>
      <c r="AX120" s="38">
        <f>+Prielaidos!AU355</f>
        <v>0</v>
      </c>
      <c r="AY120" s="38">
        <f>+Prielaidos!AV355</f>
        <v>0</v>
      </c>
      <c r="AZ120" s="38">
        <f>+Prielaidos!AW355</f>
        <v>0</v>
      </c>
      <c r="BA120" s="38">
        <f>+Prielaidos!AX355</f>
        <v>0</v>
      </c>
      <c r="BB120" s="38">
        <f>+Prielaidos!AY355</f>
        <v>0</v>
      </c>
      <c r="BC120" s="38">
        <f>+Prielaidos!AZ355</f>
        <v>0</v>
      </c>
      <c r="BD120" s="38">
        <f>+Prielaidos!BA355</f>
        <v>0</v>
      </c>
      <c r="BE120" s="38">
        <f>+Prielaidos!BB355</f>
        <v>0</v>
      </c>
      <c r="BF120" s="38">
        <f>+Prielaidos!BC355</f>
        <v>0</v>
      </c>
      <c r="BG120" s="38">
        <f>+Prielaidos!BD355</f>
        <v>0</v>
      </c>
      <c r="BH120" s="38">
        <f>+Prielaidos!BE355</f>
        <v>0</v>
      </c>
      <c r="BI120" s="38">
        <f>+Prielaidos!BF355</f>
        <v>0</v>
      </c>
      <c r="BJ120" s="38">
        <f>+Prielaidos!BG355</f>
        <v>0</v>
      </c>
      <c r="BK120" s="38">
        <f>+Prielaidos!BH355</f>
        <v>0</v>
      </c>
      <c r="BL120" s="38">
        <f>+Prielaidos!BI355</f>
        <v>0</v>
      </c>
      <c r="BM120" s="38">
        <f>+Prielaidos!BJ355</f>
        <v>0</v>
      </c>
      <c r="BN120" s="38">
        <f>+Prielaidos!BK355</f>
        <v>0</v>
      </c>
      <c r="BO120" s="38">
        <f>+Prielaidos!BL355</f>
        <v>0</v>
      </c>
      <c r="BP120" s="38">
        <f>+Prielaidos!BM355</f>
        <v>0</v>
      </c>
      <c r="BQ120" s="38">
        <f>+Prielaidos!BN355</f>
        <v>0</v>
      </c>
      <c r="BR120" s="38">
        <f>+Prielaidos!BO355</f>
        <v>0</v>
      </c>
      <c r="BS120" s="38">
        <f>+Prielaidos!BP355</f>
        <v>0</v>
      </c>
      <c r="BT120" s="38">
        <f>+Prielaidos!BQ355</f>
        <v>0</v>
      </c>
      <c r="BU120" s="38">
        <f>+Prielaidos!BR355</f>
        <v>0</v>
      </c>
      <c r="BV120" s="38">
        <f>+Prielaidos!BS355</f>
        <v>0</v>
      </c>
      <c r="BW120" s="38">
        <f>+Prielaidos!BT355</f>
        <v>0</v>
      </c>
      <c r="BX120" s="38">
        <f>+Prielaidos!BU355</f>
        <v>0</v>
      </c>
      <c r="BY120" s="38">
        <f>+Prielaidos!BV355</f>
        <v>0</v>
      </c>
      <c r="BZ120" s="38">
        <f>+Prielaidos!BW355</f>
        <v>0</v>
      </c>
      <c r="CA120" s="38">
        <f>+Prielaidos!BX355</f>
        <v>0</v>
      </c>
      <c r="CB120" s="38">
        <f>+Prielaidos!BY355</f>
        <v>0</v>
      </c>
      <c r="CC120" s="38">
        <f>+Prielaidos!BZ355</f>
        <v>0</v>
      </c>
      <c r="CD120" s="38">
        <f>+Prielaidos!CA355</f>
        <v>0</v>
      </c>
      <c r="CE120" s="38">
        <f>+Prielaidos!CB355</f>
        <v>0</v>
      </c>
      <c r="CF120" s="38">
        <f>+Prielaidos!CC355</f>
        <v>0</v>
      </c>
      <c r="CG120" s="38">
        <f>+Prielaidos!CD355</f>
        <v>0</v>
      </c>
      <c r="CH120" s="38">
        <f>+Prielaidos!CE355</f>
        <v>0</v>
      </c>
      <c r="CI120" s="38">
        <f>+Prielaidos!CF355</f>
        <v>0</v>
      </c>
      <c r="CJ120" s="38">
        <f>+Prielaidos!CG355</f>
        <v>0</v>
      </c>
      <c r="CK120" s="38">
        <f>+Prielaidos!CH355</f>
        <v>0</v>
      </c>
      <c r="CL120" s="38">
        <f>+Prielaidos!CI355</f>
        <v>0</v>
      </c>
      <c r="CM120" s="38">
        <f>+Prielaidos!CJ355</f>
        <v>0</v>
      </c>
      <c r="CN120" s="38">
        <f>+Prielaidos!CK355</f>
        <v>0</v>
      </c>
      <c r="CO120" s="38">
        <f>+Prielaidos!CL355</f>
        <v>0</v>
      </c>
      <c r="CP120" s="38">
        <f>+Prielaidos!CM355</f>
        <v>0</v>
      </c>
      <c r="CQ120" s="38">
        <f>+Prielaidos!CN355</f>
        <v>0</v>
      </c>
      <c r="CR120" s="38">
        <f>+Prielaidos!CO355</f>
        <v>0</v>
      </c>
      <c r="CS120" s="38">
        <f>+Prielaidos!CP355</f>
        <v>0</v>
      </c>
      <c r="CT120" s="38">
        <f>+Prielaidos!CQ355</f>
        <v>0</v>
      </c>
      <c r="CU120" s="38">
        <f>+Prielaidos!CR355</f>
        <v>0</v>
      </c>
      <c r="CV120" s="38">
        <f>+Prielaidos!CS355</f>
        <v>0</v>
      </c>
      <c r="CW120" s="38">
        <f>+Prielaidos!CT355</f>
        <v>0</v>
      </c>
      <c r="CX120" s="38">
        <f>+Prielaidos!CU355</f>
        <v>0</v>
      </c>
      <c r="CY120" s="38">
        <f>+Prielaidos!CV355</f>
        <v>0</v>
      </c>
      <c r="CZ120" s="38">
        <f>+Prielaidos!CW355</f>
        <v>0</v>
      </c>
      <c r="DA120" s="38">
        <f>+Prielaidos!CX355</f>
        <v>0</v>
      </c>
      <c r="DB120" s="38">
        <f>+Prielaidos!CY355</f>
        <v>0</v>
      </c>
      <c r="DC120" s="38">
        <f>+Prielaidos!CZ355</f>
        <v>0</v>
      </c>
      <c r="DE120" s="46">
        <f t="shared" si="67"/>
        <v>0</v>
      </c>
      <c r="DF120" s="46">
        <f t="shared" si="39"/>
        <v>21</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7"/>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7"/>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7"/>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7"/>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7"/>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8">SUM(I127:I129)</f>
        <v>0</v>
      </c>
      <c r="J126" s="11">
        <f t="shared" si="68"/>
        <v>0</v>
      </c>
      <c r="K126" s="11">
        <f t="shared" si="68"/>
        <v>0</v>
      </c>
      <c r="L126" s="11">
        <f t="shared" si="68"/>
        <v>0</v>
      </c>
      <c r="M126" s="11">
        <f t="shared" si="68"/>
        <v>0</v>
      </c>
      <c r="N126" s="11">
        <f t="shared" si="68"/>
        <v>0</v>
      </c>
      <c r="O126" s="11">
        <f t="shared" si="68"/>
        <v>0</v>
      </c>
      <c r="P126" s="11">
        <f t="shared" si="68"/>
        <v>0</v>
      </c>
      <c r="Q126" s="11">
        <f t="shared" si="68"/>
        <v>0</v>
      </c>
      <c r="R126" s="11">
        <f t="shared" si="68"/>
        <v>0</v>
      </c>
      <c r="S126" s="11">
        <f t="shared" si="68"/>
        <v>0</v>
      </c>
      <c r="T126" s="11">
        <f t="shared" si="68"/>
        <v>0</v>
      </c>
      <c r="U126" s="11">
        <f t="shared" si="68"/>
        <v>0</v>
      </c>
      <c r="V126" s="11">
        <f t="shared" si="68"/>
        <v>0</v>
      </c>
      <c r="W126" s="11">
        <f t="shared" si="68"/>
        <v>0</v>
      </c>
      <c r="X126" s="11">
        <f t="shared" si="68"/>
        <v>0</v>
      </c>
      <c r="Y126" s="11">
        <f t="shared" si="68"/>
        <v>0</v>
      </c>
      <c r="Z126" s="11">
        <f t="shared" si="68"/>
        <v>0</v>
      </c>
      <c r="AA126" s="11">
        <f t="shared" si="68"/>
        <v>0</v>
      </c>
      <c r="AB126" s="11">
        <f t="shared" si="68"/>
        <v>0</v>
      </c>
      <c r="AC126" s="11">
        <f t="shared" si="68"/>
        <v>0</v>
      </c>
      <c r="AD126" s="11">
        <f t="shared" si="68"/>
        <v>0</v>
      </c>
      <c r="AE126" s="11">
        <f t="shared" si="68"/>
        <v>0</v>
      </c>
      <c r="AF126" s="11">
        <f t="shared" si="68"/>
        <v>0</v>
      </c>
      <c r="AG126" s="11">
        <f t="shared" si="68"/>
        <v>0</v>
      </c>
      <c r="AH126" s="11">
        <f t="shared" si="68"/>
        <v>0</v>
      </c>
      <c r="AI126" s="11">
        <f t="shared" si="68"/>
        <v>0</v>
      </c>
      <c r="AJ126" s="11">
        <f t="shared" si="68"/>
        <v>0</v>
      </c>
      <c r="AK126" s="11">
        <f t="shared" si="68"/>
        <v>0</v>
      </c>
      <c r="AL126" s="11">
        <f t="shared" si="68"/>
        <v>0</v>
      </c>
      <c r="AM126" s="11">
        <f t="shared" si="68"/>
        <v>0</v>
      </c>
      <c r="AN126" s="11">
        <f t="shared" si="68"/>
        <v>0</v>
      </c>
      <c r="AO126" s="11">
        <f t="shared" si="68"/>
        <v>0</v>
      </c>
      <c r="AP126" s="11">
        <f t="shared" si="68"/>
        <v>0</v>
      </c>
      <c r="AQ126" s="11">
        <f t="shared" si="68"/>
        <v>0</v>
      </c>
      <c r="AR126" s="11">
        <f t="shared" si="68"/>
        <v>0</v>
      </c>
      <c r="AS126" s="11">
        <f t="shared" si="68"/>
        <v>0</v>
      </c>
      <c r="AT126" s="11">
        <f t="shared" si="68"/>
        <v>0</v>
      </c>
      <c r="AU126" s="11">
        <f t="shared" si="68"/>
        <v>0</v>
      </c>
      <c r="AV126" s="11">
        <f t="shared" si="68"/>
        <v>0</v>
      </c>
      <c r="AW126" s="11">
        <f t="shared" si="68"/>
        <v>0</v>
      </c>
      <c r="AX126" s="11">
        <f t="shared" si="68"/>
        <v>0</v>
      </c>
      <c r="AY126" s="11">
        <f t="shared" si="68"/>
        <v>0</v>
      </c>
      <c r="AZ126" s="11">
        <f t="shared" si="68"/>
        <v>0</v>
      </c>
      <c r="BA126" s="11">
        <f t="shared" si="68"/>
        <v>0</v>
      </c>
      <c r="BB126" s="11">
        <f t="shared" si="68"/>
        <v>0</v>
      </c>
      <c r="BC126" s="11">
        <f t="shared" si="68"/>
        <v>0</v>
      </c>
      <c r="BD126" s="11">
        <f t="shared" si="68"/>
        <v>0</v>
      </c>
      <c r="BE126" s="11">
        <f t="shared" si="68"/>
        <v>0</v>
      </c>
      <c r="BF126" s="11">
        <f t="shared" si="68"/>
        <v>0</v>
      </c>
      <c r="BG126" s="11">
        <f t="shared" si="68"/>
        <v>0</v>
      </c>
      <c r="BH126" s="11">
        <f t="shared" si="68"/>
        <v>0</v>
      </c>
      <c r="BI126" s="11">
        <f t="shared" si="68"/>
        <v>0</v>
      </c>
      <c r="BJ126" s="11">
        <f t="shared" si="68"/>
        <v>0</v>
      </c>
      <c r="BK126" s="11">
        <f t="shared" si="68"/>
        <v>0</v>
      </c>
      <c r="BL126" s="11">
        <f t="shared" si="68"/>
        <v>0</v>
      </c>
      <c r="BM126" s="11">
        <f t="shared" si="68"/>
        <v>0</v>
      </c>
      <c r="BN126" s="11">
        <f t="shared" si="68"/>
        <v>0</v>
      </c>
      <c r="BO126" s="11">
        <f t="shared" si="68"/>
        <v>0</v>
      </c>
      <c r="BP126" s="11">
        <f t="shared" si="68"/>
        <v>0</v>
      </c>
      <c r="BQ126" s="11">
        <f t="shared" si="68"/>
        <v>0</v>
      </c>
      <c r="BR126" s="11">
        <f t="shared" si="68"/>
        <v>0</v>
      </c>
      <c r="BS126" s="11">
        <f t="shared" si="68"/>
        <v>0</v>
      </c>
      <c r="BT126" s="11">
        <f t="shared" si="68"/>
        <v>0</v>
      </c>
      <c r="BU126" s="11">
        <f t="shared" ref="BU126:DC126" si="69">SUM(BU127:BU129)</f>
        <v>0</v>
      </c>
      <c r="BV126" s="11">
        <f t="shared" si="69"/>
        <v>0</v>
      </c>
      <c r="BW126" s="11">
        <f t="shared" si="69"/>
        <v>0</v>
      </c>
      <c r="BX126" s="11">
        <f t="shared" si="69"/>
        <v>0</v>
      </c>
      <c r="BY126" s="11">
        <f t="shared" si="69"/>
        <v>0</v>
      </c>
      <c r="BZ126" s="11">
        <f t="shared" si="69"/>
        <v>0</v>
      </c>
      <c r="CA126" s="11">
        <f t="shared" si="69"/>
        <v>0</v>
      </c>
      <c r="CB126" s="11">
        <f t="shared" si="69"/>
        <v>0</v>
      </c>
      <c r="CC126" s="11">
        <f t="shared" si="69"/>
        <v>0</v>
      </c>
      <c r="CD126" s="11">
        <f t="shared" si="69"/>
        <v>0</v>
      </c>
      <c r="CE126" s="11">
        <f t="shared" si="69"/>
        <v>0</v>
      </c>
      <c r="CF126" s="11">
        <f t="shared" si="69"/>
        <v>0</v>
      </c>
      <c r="CG126" s="11">
        <f t="shared" si="69"/>
        <v>0</v>
      </c>
      <c r="CH126" s="11">
        <f t="shared" si="69"/>
        <v>0</v>
      </c>
      <c r="CI126" s="11">
        <f t="shared" si="69"/>
        <v>0</v>
      </c>
      <c r="CJ126" s="11">
        <f t="shared" si="69"/>
        <v>0</v>
      </c>
      <c r="CK126" s="11">
        <f t="shared" si="69"/>
        <v>0</v>
      </c>
      <c r="CL126" s="11">
        <f t="shared" si="69"/>
        <v>0</v>
      </c>
      <c r="CM126" s="11">
        <f t="shared" si="69"/>
        <v>0</v>
      </c>
      <c r="CN126" s="11">
        <f t="shared" si="69"/>
        <v>0</v>
      </c>
      <c r="CO126" s="11">
        <f t="shared" si="69"/>
        <v>0</v>
      </c>
      <c r="CP126" s="11">
        <f t="shared" si="69"/>
        <v>0</v>
      </c>
      <c r="CQ126" s="11">
        <f t="shared" si="69"/>
        <v>0</v>
      </c>
      <c r="CR126" s="11">
        <f t="shared" si="69"/>
        <v>0</v>
      </c>
      <c r="CS126" s="11">
        <f t="shared" si="69"/>
        <v>0</v>
      </c>
      <c r="CT126" s="11">
        <f t="shared" si="69"/>
        <v>0</v>
      </c>
      <c r="CU126" s="11">
        <f t="shared" si="69"/>
        <v>0</v>
      </c>
      <c r="CV126" s="11">
        <f t="shared" si="69"/>
        <v>0</v>
      </c>
      <c r="CW126" s="11">
        <f t="shared" si="69"/>
        <v>0</v>
      </c>
      <c r="CX126" s="11">
        <f t="shared" si="69"/>
        <v>0</v>
      </c>
      <c r="CY126" s="11">
        <f t="shared" si="69"/>
        <v>0</v>
      </c>
      <c r="CZ126" s="11">
        <f t="shared" si="69"/>
        <v>0</v>
      </c>
      <c r="DA126" s="11">
        <f t="shared" si="69"/>
        <v>0</v>
      </c>
      <c r="DB126" s="11">
        <f t="shared" si="69"/>
        <v>0</v>
      </c>
      <c r="DC126" s="11">
        <f t="shared" si="69"/>
        <v>0</v>
      </c>
      <c r="DF126" s="46">
        <f t="shared" si="39"/>
        <v>0</v>
      </c>
    </row>
    <row r="127" spans="1:110" ht="14.4">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7"/>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7"/>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7"/>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afkhS0ECu4/Y58CMMV2GPIlkNh76ixzJEZdlEvNrAcse7q3nuZL4F76nIciCDOkQiKWb39nbLr7nqnkXlFc0Xw==" saltValue="3DOsl2jj0Jzd1pOMqOKfrw=="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77" priority="28">
      <formula>LEN(TRIM(H111))=0</formula>
    </cfRule>
  </conditionalFormatting>
  <conditionalFormatting sqref="F7">
    <cfRule type="containsBlanks" dxfId="76" priority="26">
      <formula>LEN(TRIM(F7))=0</formula>
    </cfRule>
  </conditionalFormatting>
  <conditionalFormatting sqref="F8">
    <cfRule type="containsBlanks" dxfId="75" priority="25">
      <formula>LEN(TRIM(F8))=0</formula>
    </cfRule>
  </conditionalFormatting>
  <conditionalFormatting sqref="H100:DC100 L106:DC110 H37:DC45 AB34:DC36 H112:DC114 I22:DC22 V54:DC54 T46:DC53 X95:DC99 H96:W99 H7:DC11 H13:DC21 H23:DC33 H55:DC56 H72:DC89 AB68:DC71 H58:DC67 H57:J57 N57:DC57">
    <cfRule type="containsBlanks" dxfId="74" priority="34">
      <formula>LEN(TRIM(H7))=0</formula>
    </cfRule>
  </conditionalFormatting>
  <conditionalFormatting sqref="V116:DC116 I116:T116 H117:DC129">
    <cfRule type="containsBlanks" dxfId="73" priority="33">
      <formula>LEN(TRIM(H116))=0</formula>
    </cfRule>
  </conditionalFormatting>
  <conditionalFormatting sqref="X94:DC94 AC91:DC92">
    <cfRule type="containsBlanks" dxfId="72" priority="32">
      <formula>LEN(TRIM(X91))=0</formula>
    </cfRule>
  </conditionalFormatting>
  <conditionalFormatting sqref="H102:DC111">
    <cfRule type="containsBlanks" dxfId="71" priority="31">
      <formula>LEN(TRIM(H102))=0</formula>
    </cfRule>
  </conditionalFormatting>
  <conditionalFormatting sqref="H34:DC41">
    <cfRule type="containsBlanks" dxfId="70" priority="30">
      <formula>LEN(TRIM(H34))=0</formula>
    </cfRule>
  </conditionalFormatting>
  <conditionalFormatting sqref="K79">
    <cfRule type="containsBlanks" dxfId="69" priority="29">
      <formula>LEN(TRIM(K79))=0</formula>
    </cfRule>
  </conditionalFormatting>
  <conditionalFormatting sqref="H22:DC22">
    <cfRule type="containsBlanks" dxfId="68" priority="24">
      <formula>LEN(TRIM(H22))=0</formula>
    </cfRule>
  </conditionalFormatting>
  <conditionalFormatting sqref="D106:D110">
    <cfRule type="expression" dxfId="67" priority="23">
      <formula>AND($F106&lt;&gt;0,$E106="")</formula>
    </cfRule>
  </conditionalFormatting>
  <conditionalFormatting sqref="E106:E110">
    <cfRule type="expression" dxfId="66" priority="22">
      <formula>AND($F106&lt;&gt;0,$E106="")</formula>
    </cfRule>
  </conditionalFormatting>
  <conditionalFormatting sqref="H115:DC115">
    <cfRule type="containsBlanks" dxfId="65" priority="21">
      <formula>LEN(TRIM(H115))=0</formula>
    </cfRule>
  </conditionalFormatting>
  <conditionalFormatting sqref="I115:DC115">
    <cfRule type="containsBlanks" dxfId="64" priority="20">
      <formula>LEN(TRIM(I115))=0</formula>
    </cfRule>
  </conditionalFormatting>
  <conditionalFormatting sqref="H54:Q54 H49:DC53 L46:DC48">
    <cfRule type="containsBlanks" dxfId="63" priority="19">
      <formula>LEN(TRIM(H46))=0</formula>
    </cfRule>
  </conditionalFormatting>
  <conditionalFormatting sqref="H95:DC95">
    <cfRule type="containsBlanks" dxfId="62" priority="18">
      <formula>LEN(TRIM(H95))=0</formula>
    </cfRule>
  </conditionalFormatting>
  <conditionalFormatting sqref="H90:H93 AC91:DC92 H94:DC99">
    <cfRule type="containsBlanks" dxfId="61" priority="17">
      <formula>LEN(TRIM(H90))=0</formula>
    </cfRule>
  </conditionalFormatting>
  <conditionalFormatting sqref="H116:DC116">
    <cfRule type="containsBlanks" dxfId="60" priority="16">
      <formula>LEN(TRIM(H116))=0</formula>
    </cfRule>
  </conditionalFormatting>
  <conditionalFormatting sqref="U116">
    <cfRule type="containsBlanks" dxfId="59" priority="15">
      <formula>LEN(TRIM(U116))=0</formula>
    </cfRule>
  </conditionalFormatting>
  <conditionalFormatting sqref="H12:DC12">
    <cfRule type="containsBlanks" dxfId="58" priority="13">
      <formula>LEN(TRIM(H12))=0</formula>
    </cfRule>
  </conditionalFormatting>
  <conditionalFormatting sqref="H46:K48">
    <cfRule type="containsBlanks" dxfId="57" priority="8">
      <formula>LEN(TRIM(H46))=0</formula>
    </cfRule>
  </conditionalFormatting>
  <conditionalFormatting sqref="H68:AA71">
    <cfRule type="containsBlanks" dxfId="56" priority="7">
      <formula>LEN(TRIM(H68))=0</formula>
    </cfRule>
  </conditionalFormatting>
  <conditionalFormatting sqref="K57:M57">
    <cfRule type="containsBlanks" dxfId="55" priority="6">
      <formula>LEN(TRIM(K57))=0</formula>
    </cfRule>
  </conditionalFormatting>
  <conditionalFormatting sqref="H101:DC101">
    <cfRule type="containsBlanks" dxfId="54" priority="4">
      <formula>LEN(TRIM(H101))=0</formula>
    </cfRule>
  </conditionalFormatting>
  <conditionalFormatting sqref="I93:DC93 I90:DC90 I91:AB92">
    <cfRule type="containsBlanks" dxfId="53" priority="3">
      <formula>LEN(TRIM(I90))=0</formula>
    </cfRule>
  </conditionalFormatting>
  <conditionalFormatting sqref="R54:U54">
    <cfRule type="containsBlanks" dxfId="52" priority="1">
      <formula>LEN(TRIM(R54))=0</formula>
    </cfRule>
  </conditionalFormatting>
  <dataValidations disablePrompts="1"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qref="C127:C129" xr:uid="{00000000-0002-0000-0500-000003000000}">
      <formula1>Zalos</formula1>
    </dataValidation>
    <dataValidation type="list" allowBlank="1" showInput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30480</xdr:colOff>
                    <xdr:row>116</xdr:row>
                    <xdr:rowOff>7620</xdr:rowOff>
                  </from>
                  <to>
                    <xdr:col>3</xdr:col>
                    <xdr:colOff>1371600</xdr:colOff>
                    <xdr:row>116</xdr:row>
                    <xdr:rowOff>228600</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30480</xdr:colOff>
                    <xdr:row>10</xdr:row>
                    <xdr:rowOff>0</xdr:rowOff>
                  </from>
                  <to>
                    <xdr:col>3</xdr:col>
                    <xdr:colOff>381000</xdr:colOff>
                    <xdr:row>10</xdr:row>
                    <xdr:rowOff>228600</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7620</xdr:colOff>
                    <xdr:row>6</xdr:row>
                    <xdr:rowOff>7620</xdr:rowOff>
                  </from>
                  <to>
                    <xdr:col>3</xdr:col>
                    <xdr:colOff>373380</xdr:colOff>
                    <xdr:row>6</xdr:row>
                    <xdr:rowOff>236220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7620</xdr:colOff>
                    <xdr:row>88</xdr:row>
                    <xdr:rowOff>0</xdr:rowOff>
                  </from>
                  <to>
                    <xdr:col>3</xdr:col>
                    <xdr:colOff>373380</xdr:colOff>
                    <xdr:row>89</xdr:row>
                    <xdr:rowOff>7620</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7620</xdr:colOff>
                    <xdr:row>99</xdr:row>
                    <xdr:rowOff>38100</xdr:rowOff>
                  </from>
                  <to>
                    <xdr:col>3</xdr:col>
                    <xdr:colOff>373380</xdr:colOff>
                    <xdr:row>99</xdr:row>
                    <xdr:rowOff>266700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7620</xdr:colOff>
                    <xdr:row>116</xdr:row>
                    <xdr:rowOff>7620</xdr:rowOff>
                  </from>
                  <to>
                    <xdr:col>3</xdr:col>
                    <xdr:colOff>373380</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106680</xdr:colOff>
                    <xdr:row>4</xdr:row>
                    <xdr:rowOff>7620</xdr:rowOff>
                  </from>
                  <to>
                    <xdr:col>4</xdr:col>
                    <xdr:colOff>441960</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45720</xdr:colOff>
                    <xdr:row>1</xdr:row>
                    <xdr:rowOff>175260</xdr:rowOff>
                  </from>
                  <to>
                    <xdr:col>6</xdr:col>
                    <xdr:colOff>906780</xdr:colOff>
                    <xdr:row>2</xdr:row>
                    <xdr:rowOff>228600</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106680</xdr:colOff>
                    <xdr:row>10</xdr:row>
                    <xdr:rowOff>38100</xdr:rowOff>
                  </from>
                  <to>
                    <xdr:col>0</xdr:col>
                    <xdr:colOff>274320</xdr:colOff>
                    <xdr:row>43</xdr:row>
                    <xdr:rowOff>144780</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99060</xdr:colOff>
                    <xdr:row>44</xdr:row>
                    <xdr:rowOff>38100</xdr:rowOff>
                  </from>
                  <to>
                    <xdr:col>0</xdr:col>
                    <xdr:colOff>251460</xdr:colOff>
                    <xdr:row>44</xdr:row>
                    <xdr:rowOff>220980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99060</xdr:colOff>
                    <xdr:row>55</xdr:row>
                    <xdr:rowOff>38100</xdr:rowOff>
                  </from>
                  <to>
                    <xdr:col>0</xdr:col>
                    <xdr:colOff>251460</xdr:colOff>
                    <xdr:row>55</xdr:row>
                    <xdr:rowOff>220980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99060</xdr:colOff>
                    <xdr:row>66</xdr:row>
                    <xdr:rowOff>30480</xdr:rowOff>
                  </from>
                  <to>
                    <xdr:col>0</xdr:col>
                    <xdr:colOff>251460</xdr:colOff>
                    <xdr:row>66</xdr:row>
                    <xdr:rowOff>190500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99060</xdr:colOff>
                    <xdr:row>77</xdr:row>
                    <xdr:rowOff>38100</xdr:rowOff>
                  </from>
                  <to>
                    <xdr:col>0</xdr:col>
                    <xdr:colOff>251460</xdr:colOff>
                    <xdr:row>77</xdr:row>
                    <xdr:rowOff>198120</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7620</xdr:colOff>
                    <xdr:row>9</xdr:row>
                    <xdr:rowOff>30480</xdr:rowOff>
                  </from>
                  <to>
                    <xdr:col>1</xdr:col>
                    <xdr:colOff>0</xdr:colOff>
                    <xdr:row>9</xdr:row>
                    <xdr:rowOff>190500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99060</xdr:colOff>
                    <xdr:row>88</xdr:row>
                    <xdr:rowOff>30480</xdr:rowOff>
                  </from>
                  <to>
                    <xdr:col>0</xdr:col>
                    <xdr:colOff>251460</xdr:colOff>
                    <xdr:row>88</xdr:row>
                    <xdr:rowOff>198120</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83820</xdr:colOff>
                    <xdr:row>99</xdr:row>
                    <xdr:rowOff>45720</xdr:rowOff>
                  </from>
                  <to>
                    <xdr:col>0</xdr:col>
                    <xdr:colOff>236220</xdr:colOff>
                    <xdr:row>99</xdr:row>
                    <xdr:rowOff>220980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7620</xdr:colOff>
                    <xdr:row>110</xdr:row>
                    <xdr:rowOff>7620</xdr:rowOff>
                  </from>
                  <to>
                    <xdr:col>3</xdr:col>
                    <xdr:colOff>373380</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106680</xdr:colOff>
                    <xdr:row>21</xdr:row>
                    <xdr:rowOff>38100</xdr:rowOff>
                  </from>
                  <to>
                    <xdr:col>0</xdr:col>
                    <xdr:colOff>274320</xdr:colOff>
                    <xdr:row>43</xdr:row>
                    <xdr:rowOff>144780</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106680</xdr:colOff>
                    <xdr:row>32</xdr:row>
                    <xdr:rowOff>38100</xdr:rowOff>
                  </from>
                  <to>
                    <xdr:col>0</xdr:col>
                    <xdr:colOff>274320</xdr:colOff>
                    <xdr:row>43</xdr:row>
                    <xdr:rowOff>144780</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45720</xdr:rowOff>
                  </from>
                  <to>
                    <xdr:col>1</xdr:col>
                    <xdr:colOff>0</xdr:colOff>
                    <xdr:row>44</xdr:row>
                    <xdr:rowOff>0</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7620</xdr:colOff>
                    <xdr:row>8</xdr:row>
                    <xdr:rowOff>7620</xdr:rowOff>
                  </from>
                  <to>
                    <xdr:col>3</xdr:col>
                    <xdr:colOff>373380</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30480</xdr:colOff>
                    <xdr:row>21</xdr:row>
                    <xdr:rowOff>0</xdr:rowOff>
                  </from>
                  <to>
                    <xdr:col>4</xdr:col>
                    <xdr:colOff>0</xdr:colOff>
                    <xdr:row>21</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6" hidden="1" customWidth="1"/>
    <col min="110" max="111" width="9.109375" hidden="1" customWidth="1"/>
    <col min="112" max="112" width="13.6640625" hidden="1" customWidth="1"/>
  </cols>
  <sheetData>
    <row r="1" spans="1:112" ht="9" customHeight="1"/>
    <row r="2" spans="1:112" ht="14.4">
      <c r="B2" s="18" t="s">
        <v>166</v>
      </c>
      <c r="C2"/>
    </row>
    <row r="3" spans="1:112" ht="14.4">
      <c r="B3" s="180" t="str">
        <f>IF(INDEX(A4_pav,1,1)=0,"",INDEX(A4_pav,1,1))</f>
        <v/>
      </c>
      <c r="C3" s="181"/>
      <c r="D3" s="181"/>
      <c r="E3" s="182"/>
      <c r="F3" s="179"/>
      <c r="G3" s="2"/>
    </row>
    <row r="4" spans="1:112" ht="15" customHeight="1">
      <c r="B4" s="128"/>
      <c r="C4" s="128"/>
      <c r="D4" s="9"/>
      <c r="E4" s="191"/>
      <c r="F4" s="9"/>
    </row>
    <row r="5" spans="1:112" ht="14.4">
      <c r="B5" s="18" t="s">
        <v>206</v>
      </c>
      <c r="C5" s="128"/>
      <c r="F5" s="752" t="s">
        <v>32</v>
      </c>
      <c r="G5" s="753"/>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432</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433</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6">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434</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6">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6">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435</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6">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6">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6">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436</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8">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1"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1"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1"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1"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1"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1"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1"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1"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1"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1"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row>
    <row r="107" spans="1:111"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row>
    <row r="108" spans="1:111"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row>
    <row r="109" spans="1:111"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1"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1"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1"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 t="shared" si="59"/>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2JTnKC9egTHV/BgE4QPMHYjOKTjSfyOCQF5xJii7ZqOui0kkqlhPRrg947qAesyVGSdu3xVZmY8Xcz3kp9f55Q==" saltValue="X/1L0xbVfxpjBAjDXW0H/w=="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51" priority="16">
      <formula>LEN(TRIM(H111))=0</formula>
    </cfRule>
  </conditionalFormatting>
  <conditionalFormatting sqref="F7">
    <cfRule type="containsBlanks" dxfId="50" priority="14">
      <formula>LEN(TRIM(F7))=0</formula>
    </cfRule>
  </conditionalFormatting>
  <conditionalFormatting sqref="F8">
    <cfRule type="containsBlanks" dxfId="49" priority="13">
      <formula>LEN(TRIM(F8))=0</formula>
    </cfRule>
  </conditionalFormatting>
  <conditionalFormatting sqref="L106:DC110 H37:DC45 AB34:DC36 H112:DC114 H7:DC11 I22:DC22 R46:DC53 H55:V55 X54:DC55 H95:DC100 H13:DC21 H23:DC33 H56:DC89">
    <cfRule type="containsBlanks" dxfId="48" priority="22">
      <formula>LEN(TRIM(H7))=0</formula>
    </cfRule>
  </conditionalFormatting>
  <conditionalFormatting sqref="I116:J116 L116:DC116 H117:DC129">
    <cfRule type="containsBlanks" dxfId="47" priority="21">
      <formula>LEN(TRIM(H116))=0</formula>
    </cfRule>
  </conditionalFormatting>
  <conditionalFormatting sqref="H90:DC99">
    <cfRule type="containsBlanks" dxfId="46" priority="20">
      <formula>LEN(TRIM(H90))=0</formula>
    </cfRule>
  </conditionalFormatting>
  <conditionalFormatting sqref="H101:DC111">
    <cfRule type="containsBlanks" dxfId="45" priority="19">
      <formula>LEN(TRIM(H101))=0</formula>
    </cfRule>
  </conditionalFormatting>
  <conditionalFormatting sqref="H34:DC41">
    <cfRule type="containsBlanks" dxfId="44" priority="18">
      <formula>LEN(TRIM(H34))=0</formula>
    </cfRule>
  </conditionalFormatting>
  <conditionalFormatting sqref="K79">
    <cfRule type="containsBlanks" dxfId="43" priority="17">
      <formula>LEN(TRIM(K79))=0</formula>
    </cfRule>
  </conditionalFormatting>
  <conditionalFormatting sqref="H22:DC22">
    <cfRule type="containsBlanks" dxfId="42" priority="12">
      <formula>LEN(TRIM(H22))=0</formula>
    </cfRule>
  </conditionalFormatting>
  <conditionalFormatting sqref="D106:D110">
    <cfRule type="expression" dxfId="41" priority="11">
      <formula>AND($F106&lt;&gt;0,$E106="")</formula>
    </cfRule>
  </conditionalFormatting>
  <conditionalFormatting sqref="E106:E110">
    <cfRule type="expression" dxfId="40" priority="10">
      <formula>AND($F106&lt;&gt;0,$E106="")</formula>
    </cfRule>
  </conditionalFormatting>
  <conditionalFormatting sqref="H115:DC115">
    <cfRule type="containsBlanks" dxfId="39" priority="9">
      <formula>LEN(TRIM(H115))=0</formula>
    </cfRule>
  </conditionalFormatting>
  <conditionalFormatting sqref="I115:DC115">
    <cfRule type="containsBlanks" dxfId="38" priority="8">
      <formula>LEN(TRIM(I115))=0</formula>
    </cfRule>
  </conditionalFormatting>
  <conditionalFormatting sqref="H54:W54 W55 H46:DC53">
    <cfRule type="containsBlanks" dxfId="37" priority="7">
      <formula>LEN(TRIM(H46))=0</formula>
    </cfRule>
  </conditionalFormatting>
  <conditionalFormatting sqref="K116">
    <cfRule type="containsBlanks" dxfId="36" priority="6">
      <formula>LEN(TRIM(K116))=0</formula>
    </cfRule>
  </conditionalFormatting>
  <conditionalFormatting sqref="H116:DC116">
    <cfRule type="containsBlanks" dxfId="35" priority="5">
      <formula>LEN(TRIM(H116))=0</formula>
    </cfRule>
  </conditionalFormatting>
  <conditionalFormatting sqref="H12:DC19">
    <cfRule type="containsBlanks" dxfId="34" priority="2">
      <formula>LEN(TRIM(H12))=0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qref="C119:C125" xr:uid="{00000000-0002-0000-0600-000002000000}">
      <formula1>Naudos</formula1>
    </dataValidation>
    <dataValidation type="list" allowBlank="1" showInput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30480</xdr:colOff>
                    <xdr:row>10</xdr:row>
                    <xdr:rowOff>0</xdr:rowOff>
                  </from>
                  <to>
                    <xdr:col>3</xdr:col>
                    <xdr:colOff>381000</xdr:colOff>
                    <xdr:row>10</xdr:row>
                    <xdr:rowOff>228600</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7620</xdr:colOff>
                    <xdr:row>6</xdr:row>
                    <xdr:rowOff>7620</xdr:rowOff>
                  </from>
                  <to>
                    <xdr:col>3</xdr:col>
                    <xdr:colOff>373380</xdr:colOff>
                    <xdr:row>6</xdr:row>
                    <xdr:rowOff>236220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7620</xdr:colOff>
                    <xdr:row>88</xdr:row>
                    <xdr:rowOff>0</xdr:rowOff>
                  </from>
                  <to>
                    <xdr:col>3</xdr:col>
                    <xdr:colOff>373380</xdr:colOff>
                    <xdr:row>89</xdr:row>
                    <xdr:rowOff>7620</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7620</xdr:colOff>
                    <xdr:row>99</xdr:row>
                    <xdr:rowOff>38100</xdr:rowOff>
                  </from>
                  <to>
                    <xdr:col>3</xdr:col>
                    <xdr:colOff>373380</xdr:colOff>
                    <xdr:row>99</xdr:row>
                    <xdr:rowOff>266700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7620</xdr:colOff>
                    <xdr:row>116</xdr:row>
                    <xdr:rowOff>7620</xdr:rowOff>
                  </from>
                  <to>
                    <xdr:col>3</xdr:col>
                    <xdr:colOff>373380</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106680</xdr:colOff>
                    <xdr:row>4</xdr:row>
                    <xdr:rowOff>0</xdr:rowOff>
                  </from>
                  <to>
                    <xdr:col>4</xdr:col>
                    <xdr:colOff>441960</xdr:colOff>
                    <xdr:row>4</xdr:row>
                    <xdr:rowOff>228600</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45720</xdr:colOff>
                    <xdr:row>1</xdr:row>
                    <xdr:rowOff>175260</xdr:rowOff>
                  </from>
                  <to>
                    <xdr:col>6</xdr:col>
                    <xdr:colOff>906780</xdr:colOff>
                    <xdr:row>2</xdr:row>
                    <xdr:rowOff>228600</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106680</xdr:colOff>
                    <xdr:row>10</xdr:row>
                    <xdr:rowOff>38100</xdr:rowOff>
                  </from>
                  <to>
                    <xdr:col>0</xdr:col>
                    <xdr:colOff>274320</xdr:colOff>
                    <xdr:row>10</xdr:row>
                    <xdr:rowOff>198120</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106680</xdr:colOff>
                    <xdr:row>21</xdr:row>
                    <xdr:rowOff>30480</xdr:rowOff>
                  </from>
                  <to>
                    <xdr:col>0</xdr:col>
                    <xdr:colOff>266700</xdr:colOff>
                    <xdr:row>21</xdr:row>
                    <xdr:rowOff>190500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99060</xdr:colOff>
                    <xdr:row>44</xdr:row>
                    <xdr:rowOff>38100</xdr:rowOff>
                  </from>
                  <to>
                    <xdr:col>0</xdr:col>
                    <xdr:colOff>251460</xdr:colOff>
                    <xdr:row>44</xdr:row>
                    <xdr:rowOff>220980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99060</xdr:colOff>
                    <xdr:row>55</xdr:row>
                    <xdr:rowOff>38100</xdr:rowOff>
                  </from>
                  <to>
                    <xdr:col>0</xdr:col>
                    <xdr:colOff>251460</xdr:colOff>
                    <xdr:row>55</xdr:row>
                    <xdr:rowOff>220980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99060</xdr:colOff>
                    <xdr:row>66</xdr:row>
                    <xdr:rowOff>30480</xdr:rowOff>
                  </from>
                  <to>
                    <xdr:col>0</xdr:col>
                    <xdr:colOff>251460</xdr:colOff>
                    <xdr:row>66</xdr:row>
                    <xdr:rowOff>190500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99060</xdr:colOff>
                    <xdr:row>77</xdr:row>
                    <xdr:rowOff>38100</xdr:rowOff>
                  </from>
                  <to>
                    <xdr:col>0</xdr:col>
                    <xdr:colOff>251460</xdr:colOff>
                    <xdr:row>77</xdr:row>
                    <xdr:rowOff>198120</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99060</xdr:colOff>
                    <xdr:row>88</xdr:row>
                    <xdr:rowOff>30480</xdr:rowOff>
                  </from>
                  <to>
                    <xdr:col>0</xdr:col>
                    <xdr:colOff>251460</xdr:colOff>
                    <xdr:row>88</xdr:row>
                    <xdr:rowOff>198120</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83820</xdr:colOff>
                    <xdr:row>99</xdr:row>
                    <xdr:rowOff>45720</xdr:rowOff>
                  </from>
                  <to>
                    <xdr:col>0</xdr:col>
                    <xdr:colOff>236220</xdr:colOff>
                    <xdr:row>99</xdr:row>
                    <xdr:rowOff>220980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7620</xdr:colOff>
                    <xdr:row>110</xdr:row>
                    <xdr:rowOff>7620</xdr:rowOff>
                  </from>
                  <to>
                    <xdr:col>3</xdr:col>
                    <xdr:colOff>373380</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106680</xdr:colOff>
                    <xdr:row>32</xdr:row>
                    <xdr:rowOff>38100</xdr:rowOff>
                  </from>
                  <to>
                    <xdr:col>0</xdr:col>
                    <xdr:colOff>274320</xdr:colOff>
                    <xdr:row>32</xdr:row>
                    <xdr:rowOff>198120</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45720</xdr:rowOff>
                  </from>
                  <to>
                    <xdr:col>1</xdr:col>
                    <xdr:colOff>0</xdr:colOff>
                    <xdr:row>43</xdr:row>
                    <xdr:rowOff>198120</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7620</xdr:colOff>
                    <xdr:row>9</xdr:row>
                    <xdr:rowOff>30480</xdr:rowOff>
                  </from>
                  <to>
                    <xdr:col>1</xdr:col>
                    <xdr:colOff>0</xdr:colOff>
                    <xdr:row>9</xdr:row>
                    <xdr:rowOff>190500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7620</xdr:colOff>
                    <xdr:row>8</xdr:row>
                    <xdr:rowOff>7620</xdr:rowOff>
                  </from>
                  <to>
                    <xdr:col>3</xdr:col>
                    <xdr:colOff>373380</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30480</xdr:colOff>
                    <xdr:row>21</xdr:row>
                    <xdr:rowOff>0</xdr:rowOff>
                  </from>
                  <to>
                    <xdr:col>4</xdr:col>
                    <xdr:colOff>0</xdr:colOff>
                    <xdr:row>21</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6640625" style="92" customWidth="1"/>
    <col min="2" max="2" width="6.5546875" customWidth="1"/>
    <col min="3" max="3" width="65.88671875" style="2" customWidth="1"/>
    <col min="4" max="4" width="4.5546875" customWidth="1"/>
    <col min="5" max="5" width="16" customWidth="1"/>
    <col min="6" max="7" width="16.33203125" customWidth="1"/>
    <col min="8" max="28" width="13.6640625" customWidth="1"/>
    <col min="29" max="107" width="13.6640625" hidden="1" customWidth="1"/>
    <col min="108" max="108" width="9.109375" customWidth="1"/>
    <col min="109" max="109" width="9.109375" style="46" hidden="1" customWidth="1"/>
    <col min="110" max="111" width="9.109375" hidden="1" customWidth="1"/>
    <col min="112" max="112" width="13.6640625" hidden="1" customWidth="1"/>
    <col min="113" max="113" width="0" hidden="1" customWidth="1"/>
  </cols>
  <sheetData>
    <row r="1" spans="1:112" ht="9" customHeight="1"/>
    <row r="2" spans="1:112" ht="14.4">
      <c r="B2" s="18" t="s">
        <v>167</v>
      </c>
      <c r="C2"/>
    </row>
    <row r="3" spans="1:112" ht="14.4">
      <c r="B3" s="180" t="str">
        <f>IF(INDEX(A5_pav,1,1)=0,"",INDEX(A5_pav,1,1))</f>
        <v/>
      </c>
      <c r="C3" s="181"/>
      <c r="D3" s="181"/>
      <c r="E3" s="182"/>
      <c r="F3" s="179"/>
      <c r="G3" s="2"/>
    </row>
    <row r="4" spans="1:112" ht="15" customHeight="1">
      <c r="B4" s="128"/>
      <c r="C4" s="128"/>
      <c r="D4" s="9"/>
      <c r="E4" s="191"/>
      <c r="F4" s="9"/>
    </row>
    <row r="5" spans="1:112" ht="14.4">
      <c r="B5" s="18" t="s">
        <v>206</v>
      </c>
      <c r="C5" s="128"/>
      <c r="F5" s="752" t="s">
        <v>32</v>
      </c>
      <c r="G5" s="753"/>
      <c r="H5" s="34">
        <v>0</v>
      </c>
      <c r="I5" s="34">
        <v>1</v>
      </c>
      <c r="J5" s="34">
        <v>2</v>
      </c>
      <c r="K5" s="34">
        <v>3</v>
      </c>
      <c r="L5" s="34">
        <v>4</v>
      </c>
      <c r="M5" s="34">
        <v>5</v>
      </c>
      <c r="N5" s="34">
        <v>6</v>
      </c>
      <c r="O5" s="34">
        <v>7</v>
      </c>
      <c r="P5" s="34">
        <v>8</v>
      </c>
      <c r="Q5" s="34">
        <v>9</v>
      </c>
      <c r="R5" s="34">
        <v>10</v>
      </c>
      <c r="S5" s="34">
        <v>11</v>
      </c>
      <c r="T5" s="34">
        <v>12</v>
      </c>
      <c r="U5" s="34">
        <v>13</v>
      </c>
      <c r="V5" s="34">
        <v>14</v>
      </c>
      <c r="W5" s="34">
        <v>15</v>
      </c>
      <c r="X5" s="34">
        <v>16</v>
      </c>
      <c r="Y5" s="34">
        <v>17</v>
      </c>
      <c r="Z5" s="34">
        <v>18</v>
      </c>
      <c r="AA5" s="34">
        <v>19</v>
      </c>
      <c r="AB5" s="34">
        <v>20</v>
      </c>
      <c r="AC5" s="34">
        <v>21</v>
      </c>
      <c r="AD5" s="34">
        <v>22</v>
      </c>
      <c r="AE5" s="34">
        <v>23</v>
      </c>
      <c r="AF5" s="34">
        <v>24</v>
      </c>
      <c r="AG5" s="34">
        <v>25</v>
      </c>
      <c r="AH5" s="34">
        <v>26</v>
      </c>
      <c r="AI5" s="34">
        <v>27</v>
      </c>
      <c r="AJ5" s="34">
        <v>28</v>
      </c>
      <c r="AK5" s="34">
        <v>29</v>
      </c>
      <c r="AL5" s="34">
        <v>30</v>
      </c>
      <c r="AM5" s="34">
        <v>31</v>
      </c>
      <c r="AN5" s="34">
        <v>32</v>
      </c>
      <c r="AO5" s="34">
        <v>33</v>
      </c>
      <c r="AP5" s="34">
        <v>34</v>
      </c>
      <c r="AQ5" s="34">
        <v>35</v>
      </c>
      <c r="AR5" s="34">
        <v>36</v>
      </c>
      <c r="AS5" s="34">
        <v>37</v>
      </c>
      <c r="AT5" s="34">
        <v>38</v>
      </c>
      <c r="AU5" s="34">
        <v>39</v>
      </c>
      <c r="AV5" s="34">
        <v>40</v>
      </c>
      <c r="AW5" s="34">
        <v>41</v>
      </c>
      <c r="AX5" s="34">
        <v>42</v>
      </c>
      <c r="AY5" s="34">
        <v>43</v>
      </c>
      <c r="AZ5" s="34">
        <v>44</v>
      </c>
      <c r="BA5" s="34">
        <v>45</v>
      </c>
      <c r="BB5" s="34">
        <v>46</v>
      </c>
      <c r="BC5" s="34">
        <v>47</v>
      </c>
      <c r="BD5" s="34">
        <v>48</v>
      </c>
      <c r="BE5" s="34">
        <v>49</v>
      </c>
      <c r="BF5" s="34">
        <v>50</v>
      </c>
      <c r="BG5" s="34">
        <v>51</v>
      </c>
      <c r="BH5" s="34">
        <v>52</v>
      </c>
      <c r="BI5" s="34">
        <v>53</v>
      </c>
      <c r="BJ5" s="34">
        <v>54</v>
      </c>
      <c r="BK5" s="34">
        <v>55</v>
      </c>
      <c r="BL5" s="34">
        <v>56</v>
      </c>
      <c r="BM5" s="34">
        <v>57</v>
      </c>
      <c r="BN5" s="34">
        <v>58</v>
      </c>
      <c r="BO5" s="34">
        <v>59</v>
      </c>
      <c r="BP5" s="34">
        <v>60</v>
      </c>
      <c r="BQ5" s="34">
        <v>61</v>
      </c>
      <c r="BR5" s="34">
        <v>62</v>
      </c>
      <c r="BS5" s="34">
        <v>63</v>
      </c>
      <c r="BT5" s="34">
        <v>64</v>
      </c>
      <c r="BU5" s="34">
        <v>65</v>
      </c>
      <c r="BV5" s="34">
        <v>66</v>
      </c>
      <c r="BW5" s="34">
        <v>67</v>
      </c>
      <c r="BX5" s="34">
        <v>68</v>
      </c>
      <c r="BY5" s="34">
        <v>69</v>
      </c>
      <c r="BZ5" s="34">
        <v>70</v>
      </c>
      <c r="CA5" s="34">
        <v>71</v>
      </c>
      <c r="CB5" s="34">
        <v>72</v>
      </c>
      <c r="CC5" s="34">
        <v>73</v>
      </c>
      <c r="CD5" s="34">
        <v>74</v>
      </c>
      <c r="CE5" s="34">
        <v>75</v>
      </c>
      <c r="CF5" s="34">
        <v>76</v>
      </c>
      <c r="CG5" s="34">
        <v>77</v>
      </c>
      <c r="CH5" s="34">
        <v>78</v>
      </c>
      <c r="CI5" s="34">
        <v>79</v>
      </c>
      <c r="CJ5" s="34">
        <v>80</v>
      </c>
      <c r="CK5" s="34">
        <v>81</v>
      </c>
      <c r="CL5" s="34">
        <v>82</v>
      </c>
      <c r="CM5" s="34">
        <v>83</v>
      </c>
      <c r="CN5" s="34">
        <v>84</v>
      </c>
      <c r="CO5" s="34">
        <v>85</v>
      </c>
      <c r="CP5" s="34">
        <v>86</v>
      </c>
      <c r="CQ5" s="34">
        <v>87</v>
      </c>
      <c r="CR5" s="34">
        <v>88</v>
      </c>
      <c r="CS5" s="34">
        <v>89</v>
      </c>
      <c r="CT5" s="34">
        <v>90</v>
      </c>
      <c r="CU5" s="34">
        <v>91</v>
      </c>
      <c r="CV5" s="34">
        <v>92</v>
      </c>
      <c r="CW5" s="34">
        <v>93</v>
      </c>
      <c r="CX5" s="34">
        <v>94</v>
      </c>
      <c r="CY5" s="34">
        <v>95</v>
      </c>
      <c r="CZ5" s="34">
        <v>96</v>
      </c>
      <c r="DA5" s="34">
        <v>97</v>
      </c>
      <c r="DB5" s="34">
        <v>98</v>
      </c>
      <c r="DC5" s="34">
        <v>99</v>
      </c>
    </row>
    <row r="6" spans="1:112" s="25" customFormat="1" ht="32.25" customHeight="1">
      <c r="A6" s="176"/>
      <c r="B6" s="12" t="s">
        <v>3</v>
      </c>
      <c r="C6" s="13" t="s">
        <v>161</v>
      </c>
      <c r="D6" s="13"/>
      <c r="E6" s="12" t="s">
        <v>210</v>
      </c>
      <c r="F6" s="13" t="s">
        <v>34</v>
      </c>
      <c r="G6" s="12" t="s">
        <v>33</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7">
        <f>SUM(DE7:DE117)</f>
        <v>0</v>
      </c>
      <c r="DF6" s="47">
        <f>SUM(DF7:DF117)</f>
        <v>0</v>
      </c>
      <c r="DG6" s="25" t="s">
        <v>231</v>
      </c>
      <c r="DH6" s="25" t="s">
        <v>253</v>
      </c>
    </row>
    <row r="7" spans="1:112" ht="14.4">
      <c r="B7" s="5" t="s">
        <v>17</v>
      </c>
      <c r="C7" s="15" t="s">
        <v>39</v>
      </c>
      <c r="D7" s="5"/>
      <c r="E7" s="5"/>
      <c r="F7" s="35">
        <f>F8+F9+F89-F100+F111</f>
        <v>0</v>
      </c>
      <c r="G7" s="35">
        <f>SUMIF($H$5:$DC$5,"&lt;="&amp;PAL,$H7:$DC7)</f>
        <v>0</v>
      </c>
      <c r="H7" s="35">
        <f>H8+H9+H89-H100-H111</f>
        <v>0</v>
      </c>
      <c r="I7" s="35">
        <f t="shared" ref="I7:BT7" si="2">I8+I9+I89-I100-I111</f>
        <v>0</v>
      </c>
      <c r="J7" s="35">
        <f t="shared" si="2"/>
        <v>0</v>
      </c>
      <c r="K7" s="35">
        <f t="shared" si="2"/>
        <v>0</v>
      </c>
      <c r="L7" s="35">
        <f t="shared" si="2"/>
        <v>0</v>
      </c>
      <c r="M7" s="35">
        <f t="shared" si="2"/>
        <v>0</v>
      </c>
      <c r="N7" s="35">
        <f t="shared" si="2"/>
        <v>0</v>
      </c>
      <c r="O7" s="35">
        <f t="shared" si="2"/>
        <v>0</v>
      </c>
      <c r="P7" s="35">
        <f t="shared" si="2"/>
        <v>0</v>
      </c>
      <c r="Q7" s="35">
        <f t="shared" si="2"/>
        <v>0</v>
      </c>
      <c r="R7" s="35">
        <f t="shared" si="2"/>
        <v>0</v>
      </c>
      <c r="S7" s="35">
        <f t="shared" si="2"/>
        <v>0</v>
      </c>
      <c r="T7" s="35">
        <f t="shared" si="2"/>
        <v>0</v>
      </c>
      <c r="U7" s="35">
        <f t="shared" si="2"/>
        <v>0</v>
      </c>
      <c r="V7" s="35">
        <f t="shared" si="2"/>
        <v>0</v>
      </c>
      <c r="W7" s="35">
        <f t="shared" si="2"/>
        <v>0</v>
      </c>
      <c r="X7" s="35">
        <f t="shared" si="2"/>
        <v>0</v>
      </c>
      <c r="Y7" s="35">
        <f t="shared" si="2"/>
        <v>0</v>
      </c>
      <c r="Z7" s="35">
        <f t="shared" si="2"/>
        <v>0</v>
      </c>
      <c r="AA7" s="35">
        <f t="shared" si="2"/>
        <v>0</v>
      </c>
      <c r="AB7" s="35">
        <f t="shared" si="2"/>
        <v>0</v>
      </c>
      <c r="AC7" s="35">
        <f t="shared" si="2"/>
        <v>0</v>
      </c>
      <c r="AD7" s="35">
        <f t="shared" si="2"/>
        <v>0</v>
      </c>
      <c r="AE7" s="35">
        <f t="shared" si="2"/>
        <v>0</v>
      </c>
      <c r="AF7" s="35">
        <f t="shared" si="2"/>
        <v>0</v>
      </c>
      <c r="AG7" s="35">
        <f t="shared" si="2"/>
        <v>0</v>
      </c>
      <c r="AH7" s="35">
        <f t="shared" si="2"/>
        <v>0</v>
      </c>
      <c r="AI7" s="35">
        <f t="shared" si="2"/>
        <v>0</v>
      </c>
      <c r="AJ7" s="35">
        <f t="shared" si="2"/>
        <v>0</v>
      </c>
      <c r="AK7" s="35">
        <f t="shared" si="2"/>
        <v>0</v>
      </c>
      <c r="AL7" s="35">
        <f t="shared" si="2"/>
        <v>0</v>
      </c>
      <c r="AM7" s="35">
        <f t="shared" si="2"/>
        <v>0</v>
      </c>
      <c r="AN7" s="35">
        <f t="shared" si="2"/>
        <v>0</v>
      </c>
      <c r="AO7" s="35">
        <f t="shared" si="2"/>
        <v>0</v>
      </c>
      <c r="AP7" s="35">
        <f t="shared" si="2"/>
        <v>0</v>
      </c>
      <c r="AQ7" s="35">
        <f t="shared" si="2"/>
        <v>0</v>
      </c>
      <c r="AR7" s="35">
        <f t="shared" si="2"/>
        <v>0</v>
      </c>
      <c r="AS7" s="35">
        <f t="shared" si="2"/>
        <v>0</v>
      </c>
      <c r="AT7" s="35">
        <f t="shared" si="2"/>
        <v>0</v>
      </c>
      <c r="AU7" s="35">
        <f t="shared" si="2"/>
        <v>0</v>
      </c>
      <c r="AV7" s="35">
        <f t="shared" si="2"/>
        <v>0</v>
      </c>
      <c r="AW7" s="35">
        <f t="shared" si="2"/>
        <v>0</v>
      </c>
      <c r="AX7" s="35">
        <f t="shared" si="2"/>
        <v>0</v>
      </c>
      <c r="AY7" s="35">
        <f t="shared" si="2"/>
        <v>0</v>
      </c>
      <c r="AZ7" s="35">
        <f t="shared" si="2"/>
        <v>0</v>
      </c>
      <c r="BA7" s="35">
        <f t="shared" si="2"/>
        <v>0</v>
      </c>
      <c r="BB7" s="35">
        <f t="shared" si="2"/>
        <v>0</v>
      </c>
      <c r="BC7" s="35">
        <f t="shared" si="2"/>
        <v>0</v>
      </c>
      <c r="BD7" s="35">
        <f t="shared" si="2"/>
        <v>0</v>
      </c>
      <c r="BE7" s="35">
        <f t="shared" si="2"/>
        <v>0</v>
      </c>
      <c r="BF7" s="35">
        <f t="shared" si="2"/>
        <v>0</v>
      </c>
      <c r="BG7" s="35">
        <f t="shared" si="2"/>
        <v>0</v>
      </c>
      <c r="BH7" s="35">
        <f t="shared" si="2"/>
        <v>0</v>
      </c>
      <c r="BI7" s="35">
        <f t="shared" si="2"/>
        <v>0</v>
      </c>
      <c r="BJ7" s="35">
        <f t="shared" si="2"/>
        <v>0</v>
      </c>
      <c r="BK7" s="35">
        <f t="shared" si="2"/>
        <v>0</v>
      </c>
      <c r="BL7" s="35">
        <f t="shared" si="2"/>
        <v>0</v>
      </c>
      <c r="BM7" s="35">
        <f t="shared" si="2"/>
        <v>0</v>
      </c>
      <c r="BN7" s="35">
        <f t="shared" si="2"/>
        <v>0</v>
      </c>
      <c r="BO7" s="35">
        <f t="shared" si="2"/>
        <v>0</v>
      </c>
      <c r="BP7" s="35">
        <f t="shared" si="2"/>
        <v>0</v>
      </c>
      <c r="BQ7" s="35">
        <f t="shared" si="2"/>
        <v>0</v>
      </c>
      <c r="BR7" s="35">
        <f t="shared" si="2"/>
        <v>0</v>
      </c>
      <c r="BS7" s="35">
        <f t="shared" si="2"/>
        <v>0</v>
      </c>
      <c r="BT7" s="35">
        <f t="shared" si="2"/>
        <v>0</v>
      </c>
      <c r="BU7" s="35">
        <f t="shared" ref="BU7:DC7" si="3">BU8+BU9+BU89-BU100-BU111</f>
        <v>0</v>
      </c>
      <c r="BV7" s="35">
        <f t="shared" si="3"/>
        <v>0</v>
      </c>
      <c r="BW7" s="35">
        <f t="shared" si="3"/>
        <v>0</v>
      </c>
      <c r="BX7" s="35">
        <f t="shared" si="3"/>
        <v>0</v>
      </c>
      <c r="BY7" s="35">
        <f t="shared" si="3"/>
        <v>0</v>
      </c>
      <c r="BZ7" s="35">
        <f t="shared" si="3"/>
        <v>0</v>
      </c>
      <c r="CA7" s="35">
        <f t="shared" si="3"/>
        <v>0</v>
      </c>
      <c r="CB7" s="35">
        <f t="shared" si="3"/>
        <v>0</v>
      </c>
      <c r="CC7" s="35">
        <f t="shared" si="3"/>
        <v>0</v>
      </c>
      <c r="CD7" s="35">
        <f t="shared" si="3"/>
        <v>0</v>
      </c>
      <c r="CE7" s="35">
        <f t="shared" si="3"/>
        <v>0</v>
      </c>
      <c r="CF7" s="35">
        <f t="shared" si="3"/>
        <v>0</v>
      </c>
      <c r="CG7" s="35">
        <f t="shared" si="3"/>
        <v>0</v>
      </c>
      <c r="CH7" s="35">
        <f t="shared" si="3"/>
        <v>0</v>
      </c>
      <c r="CI7" s="35">
        <f t="shared" si="3"/>
        <v>0</v>
      </c>
      <c r="CJ7" s="35">
        <f t="shared" si="3"/>
        <v>0</v>
      </c>
      <c r="CK7" s="35">
        <f t="shared" si="3"/>
        <v>0</v>
      </c>
      <c r="CL7" s="35">
        <f t="shared" si="3"/>
        <v>0</v>
      </c>
      <c r="CM7" s="35">
        <f t="shared" si="3"/>
        <v>0</v>
      </c>
      <c r="CN7" s="35">
        <f t="shared" si="3"/>
        <v>0</v>
      </c>
      <c r="CO7" s="35">
        <f t="shared" si="3"/>
        <v>0</v>
      </c>
      <c r="CP7" s="35">
        <f t="shared" si="3"/>
        <v>0</v>
      </c>
      <c r="CQ7" s="35">
        <f t="shared" si="3"/>
        <v>0</v>
      </c>
      <c r="CR7" s="35">
        <f t="shared" si="3"/>
        <v>0</v>
      </c>
      <c r="CS7" s="35">
        <f t="shared" si="3"/>
        <v>0</v>
      </c>
      <c r="CT7" s="35">
        <f t="shared" si="3"/>
        <v>0</v>
      </c>
      <c r="CU7" s="35">
        <f t="shared" si="3"/>
        <v>0</v>
      </c>
      <c r="CV7" s="35">
        <f t="shared" si="3"/>
        <v>0</v>
      </c>
      <c r="CW7" s="35">
        <f t="shared" si="3"/>
        <v>0</v>
      </c>
      <c r="CX7" s="35">
        <f t="shared" si="3"/>
        <v>0</v>
      </c>
      <c r="CY7" s="35">
        <f t="shared" si="3"/>
        <v>0</v>
      </c>
      <c r="CZ7" s="35">
        <f t="shared" si="3"/>
        <v>0</v>
      </c>
      <c r="DA7" s="35">
        <f t="shared" si="3"/>
        <v>0</v>
      </c>
      <c r="DB7" s="35">
        <f t="shared" si="3"/>
        <v>0</v>
      </c>
      <c r="DC7" s="35">
        <f t="shared" si="3"/>
        <v>0</v>
      </c>
      <c r="DF7" s="46">
        <f t="shared" ref="DF7:DF12" si="4">COUNTIF($H7:$DC7,"&lt;&gt;0")</f>
        <v>0</v>
      </c>
    </row>
    <row r="8" spans="1:112" ht="14.4">
      <c r="B8" s="5" t="s">
        <v>19</v>
      </c>
      <c r="C8" s="15" t="s">
        <v>158</v>
      </c>
      <c r="D8" s="15"/>
      <c r="E8" s="3"/>
      <c r="F8" s="11">
        <f>SUM(F20,F31,F42,F54,F65,F76,F87)</f>
        <v>0</v>
      </c>
      <c r="G8" s="35">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6">
        <f t="shared" si="4"/>
        <v>0</v>
      </c>
    </row>
    <row r="9" spans="1:112" ht="14.4">
      <c r="B9" s="36" t="s">
        <v>20</v>
      </c>
      <c r="C9" s="160" t="s">
        <v>4</v>
      </c>
      <c r="D9" s="7"/>
      <c r="E9" s="7"/>
      <c r="F9" s="8">
        <f>F10+F44+F78-F8</f>
        <v>0</v>
      </c>
      <c r="G9" s="35">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CZ10+CZ44+CZ78-CZ8</f>
        <v>0</v>
      </c>
      <c r="DA9" s="8">
        <f>DA10+DA44+DA78-DA8</f>
        <v>0</v>
      </c>
      <c r="DB9" s="8">
        <f>DB10+DB44+DB78-DB8</f>
        <v>0</v>
      </c>
      <c r="DC9" s="8">
        <f>DC10+DC44+DC78-DC8</f>
        <v>0</v>
      </c>
      <c r="DF9" s="46">
        <f t="shared" si="4"/>
        <v>0</v>
      </c>
    </row>
    <row r="10" spans="1:112" ht="14.4">
      <c r="B10" s="37" t="s">
        <v>21</v>
      </c>
      <c r="C10" s="161" t="s">
        <v>432</v>
      </c>
      <c r="D10" s="3"/>
      <c r="E10" s="3"/>
      <c r="F10" s="11">
        <f>F11+F22+F33</f>
        <v>0</v>
      </c>
      <c r="G10" s="35">
        <f>SUMIF($H$5:$DC$5,"&lt;="&amp;PAL,$H10:$DC10)</f>
        <v>0</v>
      </c>
      <c r="H10" s="11">
        <f>H11+H22+H33</f>
        <v>0</v>
      </c>
      <c r="I10" s="11">
        <f t="shared" ref="I10:BT10" si="10">I11+I22+I33</f>
        <v>0</v>
      </c>
      <c r="J10" s="11">
        <f t="shared" si="10"/>
        <v>0</v>
      </c>
      <c r="K10" s="11">
        <f t="shared" si="10"/>
        <v>0</v>
      </c>
      <c r="L10" s="11">
        <f t="shared" si="10"/>
        <v>0</v>
      </c>
      <c r="M10" s="11">
        <f t="shared" si="10"/>
        <v>0</v>
      </c>
      <c r="N10" s="11">
        <f t="shared" si="10"/>
        <v>0</v>
      </c>
      <c r="O10" s="11">
        <f t="shared" si="10"/>
        <v>0</v>
      </c>
      <c r="P10" s="11">
        <f t="shared" si="10"/>
        <v>0</v>
      </c>
      <c r="Q10" s="11">
        <f t="shared" si="10"/>
        <v>0</v>
      </c>
      <c r="R10" s="11">
        <f t="shared" si="10"/>
        <v>0</v>
      </c>
      <c r="S10" s="11">
        <f t="shared" si="10"/>
        <v>0</v>
      </c>
      <c r="T10" s="11">
        <f t="shared" si="10"/>
        <v>0</v>
      </c>
      <c r="U10" s="11">
        <f t="shared" si="10"/>
        <v>0</v>
      </c>
      <c r="V10" s="11">
        <f t="shared" si="10"/>
        <v>0</v>
      </c>
      <c r="W10" s="11">
        <f t="shared" si="10"/>
        <v>0</v>
      </c>
      <c r="X10" s="11">
        <f t="shared" si="10"/>
        <v>0</v>
      </c>
      <c r="Y10" s="11">
        <f t="shared" si="10"/>
        <v>0</v>
      </c>
      <c r="Z10" s="11">
        <f t="shared" si="10"/>
        <v>0</v>
      </c>
      <c r="AA10" s="11">
        <f t="shared" si="10"/>
        <v>0</v>
      </c>
      <c r="AB10" s="11">
        <f t="shared" si="10"/>
        <v>0</v>
      </c>
      <c r="AC10" s="11">
        <f t="shared" si="10"/>
        <v>0</v>
      </c>
      <c r="AD10" s="11">
        <f t="shared" si="10"/>
        <v>0</v>
      </c>
      <c r="AE10" s="11">
        <f t="shared" si="10"/>
        <v>0</v>
      </c>
      <c r="AF10" s="11">
        <f t="shared" si="10"/>
        <v>0</v>
      </c>
      <c r="AG10" s="11">
        <f t="shared" si="10"/>
        <v>0</v>
      </c>
      <c r="AH10" s="11">
        <f t="shared" si="10"/>
        <v>0</v>
      </c>
      <c r="AI10" s="11">
        <f t="shared" si="10"/>
        <v>0</v>
      </c>
      <c r="AJ10" s="11">
        <f t="shared" si="10"/>
        <v>0</v>
      </c>
      <c r="AK10" s="11">
        <f t="shared" si="10"/>
        <v>0</v>
      </c>
      <c r="AL10" s="11">
        <f t="shared" si="10"/>
        <v>0</v>
      </c>
      <c r="AM10" s="11">
        <f t="shared" si="10"/>
        <v>0</v>
      </c>
      <c r="AN10" s="11">
        <f t="shared" si="10"/>
        <v>0</v>
      </c>
      <c r="AO10" s="11">
        <f t="shared" si="10"/>
        <v>0</v>
      </c>
      <c r="AP10" s="11">
        <f t="shared" si="10"/>
        <v>0</v>
      </c>
      <c r="AQ10" s="11">
        <f t="shared" si="10"/>
        <v>0</v>
      </c>
      <c r="AR10" s="11">
        <f t="shared" si="10"/>
        <v>0</v>
      </c>
      <c r="AS10" s="11">
        <f t="shared" si="10"/>
        <v>0</v>
      </c>
      <c r="AT10" s="11">
        <f t="shared" si="10"/>
        <v>0</v>
      </c>
      <c r="AU10" s="11">
        <f t="shared" si="10"/>
        <v>0</v>
      </c>
      <c r="AV10" s="11">
        <f t="shared" si="10"/>
        <v>0</v>
      </c>
      <c r="AW10" s="11">
        <f t="shared" si="10"/>
        <v>0</v>
      </c>
      <c r="AX10" s="11">
        <f t="shared" si="10"/>
        <v>0</v>
      </c>
      <c r="AY10" s="11">
        <f t="shared" si="10"/>
        <v>0</v>
      </c>
      <c r="AZ10" s="11">
        <f t="shared" si="10"/>
        <v>0</v>
      </c>
      <c r="BA10" s="11">
        <f t="shared" si="10"/>
        <v>0</v>
      </c>
      <c r="BB10" s="11">
        <f t="shared" si="10"/>
        <v>0</v>
      </c>
      <c r="BC10" s="11">
        <f t="shared" si="10"/>
        <v>0</v>
      </c>
      <c r="BD10" s="11">
        <f t="shared" si="10"/>
        <v>0</v>
      </c>
      <c r="BE10" s="11">
        <f t="shared" si="10"/>
        <v>0</v>
      </c>
      <c r="BF10" s="11">
        <f t="shared" si="10"/>
        <v>0</v>
      </c>
      <c r="BG10" s="11">
        <f t="shared" si="10"/>
        <v>0</v>
      </c>
      <c r="BH10" s="11">
        <f t="shared" si="10"/>
        <v>0</v>
      </c>
      <c r="BI10" s="11">
        <f t="shared" si="10"/>
        <v>0</v>
      </c>
      <c r="BJ10" s="11">
        <f t="shared" si="10"/>
        <v>0</v>
      </c>
      <c r="BK10" s="11">
        <f t="shared" si="10"/>
        <v>0</v>
      </c>
      <c r="BL10" s="11">
        <f t="shared" si="10"/>
        <v>0</v>
      </c>
      <c r="BM10" s="11">
        <f t="shared" si="10"/>
        <v>0</v>
      </c>
      <c r="BN10" s="11">
        <f t="shared" si="10"/>
        <v>0</v>
      </c>
      <c r="BO10" s="11">
        <f t="shared" si="10"/>
        <v>0</v>
      </c>
      <c r="BP10" s="11">
        <f t="shared" si="10"/>
        <v>0</v>
      </c>
      <c r="BQ10" s="11">
        <f t="shared" si="10"/>
        <v>0</v>
      </c>
      <c r="BR10" s="11">
        <f t="shared" si="10"/>
        <v>0</v>
      </c>
      <c r="BS10" s="11">
        <f t="shared" si="10"/>
        <v>0</v>
      </c>
      <c r="BT10" s="11">
        <f t="shared" si="10"/>
        <v>0</v>
      </c>
      <c r="BU10" s="11">
        <f t="shared" ref="BU10:DC10" si="11">BU11+BU22+BU33</f>
        <v>0</v>
      </c>
      <c r="BV10" s="11">
        <f t="shared" si="11"/>
        <v>0</v>
      </c>
      <c r="BW10" s="11">
        <f t="shared" si="11"/>
        <v>0</v>
      </c>
      <c r="BX10" s="11">
        <f t="shared" si="11"/>
        <v>0</v>
      </c>
      <c r="BY10" s="11">
        <f t="shared" si="11"/>
        <v>0</v>
      </c>
      <c r="BZ10" s="11">
        <f t="shared" si="11"/>
        <v>0</v>
      </c>
      <c r="CA10" s="11">
        <f t="shared" si="11"/>
        <v>0</v>
      </c>
      <c r="CB10" s="11">
        <f t="shared" si="11"/>
        <v>0</v>
      </c>
      <c r="CC10" s="11">
        <f t="shared" si="11"/>
        <v>0</v>
      </c>
      <c r="CD10" s="11">
        <f t="shared" si="11"/>
        <v>0</v>
      </c>
      <c r="CE10" s="11">
        <f t="shared" si="11"/>
        <v>0</v>
      </c>
      <c r="CF10" s="11">
        <f t="shared" si="11"/>
        <v>0</v>
      </c>
      <c r="CG10" s="11">
        <f t="shared" si="11"/>
        <v>0</v>
      </c>
      <c r="CH10" s="11">
        <f t="shared" si="11"/>
        <v>0</v>
      </c>
      <c r="CI10" s="11">
        <f t="shared" si="11"/>
        <v>0</v>
      </c>
      <c r="CJ10" s="11">
        <f t="shared" si="11"/>
        <v>0</v>
      </c>
      <c r="CK10" s="11">
        <f t="shared" si="11"/>
        <v>0</v>
      </c>
      <c r="CL10" s="11">
        <f t="shared" si="11"/>
        <v>0</v>
      </c>
      <c r="CM10" s="11">
        <f t="shared" si="11"/>
        <v>0</v>
      </c>
      <c r="CN10" s="11">
        <f t="shared" si="11"/>
        <v>0</v>
      </c>
      <c r="CO10" s="11">
        <f t="shared" si="11"/>
        <v>0</v>
      </c>
      <c r="CP10" s="11">
        <f t="shared" si="11"/>
        <v>0</v>
      </c>
      <c r="CQ10" s="11">
        <f t="shared" si="11"/>
        <v>0</v>
      </c>
      <c r="CR10" s="11">
        <f t="shared" si="11"/>
        <v>0</v>
      </c>
      <c r="CS10" s="11">
        <f t="shared" si="11"/>
        <v>0</v>
      </c>
      <c r="CT10" s="11">
        <f t="shared" si="11"/>
        <v>0</v>
      </c>
      <c r="CU10" s="11">
        <f t="shared" si="11"/>
        <v>0</v>
      </c>
      <c r="CV10" s="11">
        <f t="shared" si="11"/>
        <v>0</v>
      </c>
      <c r="CW10" s="11">
        <f t="shared" si="11"/>
        <v>0</v>
      </c>
      <c r="CX10" s="11">
        <f t="shared" si="11"/>
        <v>0</v>
      </c>
      <c r="CY10" s="11">
        <f t="shared" si="11"/>
        <v>0</v>
      </c>
      <c r="CZ10" s="11">
        <f t="shared" si="11"/>
        <v>0</v>
      </c>
      <c r="DA10" s="11">
        <f t="shared" si="11"/>
        <v>0</v>
      </c>
      <c r="DB10" s="11">
        <f t="shared" si="11"/>
        <v>0</v>
      </c>
      <c r="DC10" s="11">
        <f t="shared" si="11"/>
        <v>0</v>
      </c>
      <c r="DF10" s="46">
        <f t="shared" si="4"/>
        <v>0</v>
      </c>
    </row>
    <row r="11" spans="1:112" ht="14.4">
      <c r="B11" s="5" t="s">
        <v>153</v>
      </c>
      <c r="C11" s="15" t="s">
        <v>433</v>
      </c>
      <c r="D11" s="3"/>
      <c r="E11" s="3"/>
      <c r="F11" s="11">
        <f>SUM(F12:F19)+F20</f>
        <v>0</v>
      </c>
      <c r="G11" s="35">
        <f>SUMIF($H$5:$DC$5,"&lt;="&amp;PAL,$H11:$DC11)</f>
        <v>0</v>
      </c>
      <c r="H11" s="11">
        <f>SUM(H12:H19)+H20</f>
        <v>0</v>
      </c>
      <c r="I11" s="11">
        <f t="shared" ref="I11:BT11" si="12">SUM(I12:I19)+I20</f>
        <v>0</v>
      </c>
      <c r="J11" s="11">
        <f t="shared" si="12"/>
        <v>0</v>
      </c>
      <c r="K11" s="11">
        <f t="shared" si="12"/>
        <v>0</v>
      </c>
      <c r="L11" s="11">
        <f t="shared" si="12"/>
        <v>0</v>
      </c>
      <c r="M11" s="11">
        <f t="shared" si="12"/>
        <v>0</v>
      </c>
      <c r="N11" s="11">
        <f t="shared" si="12"/>
        <v>0</v>
      </c>
      <c r="O11" s="11">
        <f t="shared" si="12"/>
        <v>0</v>
      </c>
      <c r="P11" s="11">
        <f t="shared" si="12"/>
        <v>0</v>
      </c>
      <c r="Q11" s="11">
        <f t="shared" si="12"/>
        <v>0</v>
      </c>
      <c r="R11" s="11">
        <f t="shared" si="12"/>
        <v>0</v>
      </c>
      <c r="S11" s="11">
        <f t="shared" si="12"/>
        <v>0</v>
      </c>
      <c r="T11" s="11">
        <f t="shared" si="12"/>
        <v>0</v>
      </c>
      <c r="U11" s="11">
        <f t="shared" si="12"/>
        <v>0</v>
      </c>
      <c r="V11" s="11">
        <f t="shared" si="12"/>
        <v>0</v>
      </c>
      <c r="W11" s="11">
        <f t="shared" si="12"/>
        <v>0</v>
      </c>
      <c r="X11" s="11">
        <f t="shared" si="12"/>
        <v>0</v>
      </c>
      <c r="Y11" s="11">
        <f t="shared" si="12"/>
        <v>0</v>
      </c>
      <c r="Z11" s="11">
        <f t="shared" si="12"/>
        <v>0</v>
      </c>
      <c r="AA11" s="11">
        <f t="shared" si="12"/>
        <v>0</v>
      </c>
      <c r="AB11" s="11">
        <f t="shared" si="12"/>
        <v>0</v>
      </c>
      <c r="AC11" s="11">
        <f t="shared" si="12"/>
        <v>0</v>
      </c>
      <c r="AD11" s="11">
        <f t="shared" si="12"/>
        <v>0</v>
      </c>
      <c r="AE11" s="11">
        <f t="shared" si="12"/>
        <v>0</v>
      </c>
      <c r="AF11" s="11">
        <f t="shared" si="12"/>
        <v>0</v>
      </c>
      <c r="AG11" s="11">
        <f t="shared" si="12"/>
        <v>0</v>
      </c>
      <c r="AH11" s="11">
        <f t="shared" si="12"/>
        <v>0</v>
      </c>
      <c r="AI11" s="11">
        <f t="shared" si="12"/>
        <v>0</v>
      </c>
      <c r="AJ11" s="11">
        <f t="shared" si="12"/>
        <v>0</v>
      </c>
      <c r="AK11" s="11">
        <f t="shared" si="12"/>
        <v>0</v>
      </c>
      <c r="AL11" s="11">
        <f t="shared" si="12"/>
        <v>0</v>
      </c>
      <c r="AM11" s="11">
        <f t="shared" si="12"/>
        <v>0</v>
      </c>
      <c r="AN11" s="11">
        <f t="shared" si="12"/>
        <v>0</v>
      </c>
      <c r="AO11" s="11">
        <f t="shared" si="12"/>
        <v>0</v>
      </c>
      <c r="AP11" s="11">
        <f t="shared" si="12"/>
        <v>0</v>
      </c>
      <c r="AQ11" s="11">
        <f t="shared" si="12"/>
        <v>0</v>
      </c>
      <c r="AR11" s="11">
        <f t="shared" si="12"/>
        <v>0</v>
      </c>
      <c r="AS11" s="11">
        <f t="shared" si="12"/>
        <v>0</v>
      </c>
      <c r="AT11" s="11">
        <f t="shared" si="12"/>
        <v>0</v>
      </c>
      <c r="AU11" s="11">
        <f t="shared" si="12"/>
        <v>0</v>
      </c>
      <c r="AV11" s="11">
        <f t="shared" si="12"/>
        <v>0</v>
      </c>
      <c r="AW11" s="11">
        <f t="shared" si="12"/>
        <v>0</v>
      </c>
      <c r="AX11" s="11">
        <f t="shared" si="12"/>
        <v>0</v>
      </c>
      <c r="AY11" s="11">
        <f t="shared" si="12"/>
        <v>0</v>
      </c>
      <c r="AZ11" s="11">
        <f t="shared" si="12"/>
        <v>0</v>
      </c>
      <c r="BA11" s="11">
        <f t="shared" si="12"/>
        <v>0</v>
      </c>
      <c r="BB11" s="11">
        <f t="shared" si="12"/>
        <v>0</v>
      </c>
      <c r="BC11" s="11">
        <f t="shared" si="12"/>
        <v>0</v>
      </c>
      <c r="BD11" s="11">
        <f t="shared" si="12"/>
        <v>0</v>
      </c>
      <c r="BE11" s="11">
        <f t="shared" si="12"/>
        <v>0</v>
      </c>
      <c r="BF11" s="11">
        <f t="shared" si="12"/>
        <v>0</v>
      </c>
      <c r="BG11" s="11">
        <f t="shared" si="12"/>
        <v>0</v>
      </c>
      <c r="BH11" s="11">
        <f t="shared" si="12"/>
        <v>0</v>
      </c>
      <c r="BI11" s="11">
        <f t="shared" si="12"/>
        <v>0</v>
      </c>
      <c r="BJ11" s="11">
        <f t="shared" si="12"/>
        <v>0</v>
      </c>
      <c r="BK11" s="11">
        <f t="shared" si="12"/>
        <v>0</v>
      </c>
      <c r="BL11" s="11">
        <f t="shared" si="12"/>
        <v>0</v>
      </c>
      <c r="BM11" s="11">
        <f t="shared" si="12"/>
        <v>0</v>
      </c>
      <c r="BN11" s="11">
        <f t="shared" si="12"/>
        <v>0</v>
      </c>
      <c r="BO11" s="11">
        <f t="shared" si="12"/>
        <v>0</v>
      </c>
      <c r="BP11" s="11">
        <f t="shared" si="12"/>
        <v>0</v>
      </c>
      <c r="BQ11" s="11">
        <f t="shared" si="12"/>
        <v>0</v>
      </c>
      <c r="BR11" s="11">
        <f t="shared" si="12"/>
        <v>0</v>
      </c>
      <c r="BS11" s="11">
        <f t="shared" si="12"/>
        <v>0</v>
      </c>
      <c r="BT11" s="11">
        <f t="shared" si="12"/>
        <v>0</v>
      </c>
      <c r="BU11" s="11">
        <f t="shared" ref="BU11:DC11" si="13">SUM(BU12:BU19)+BU20</f>
        <v>0</v>
      </c>
      <c r="BV11" s="11">
        <f t="shared" si="13"/>
        <v>0</v>
      </c>
      <c r="BW11" s="11">
        <f t="shared" si="13"/>
        <v>0</v>
      </c>
      <c r="BX11" s="11">
        <f t="shared" si="13"/>
        <v>0</v>
      </c>
      <c r="BY11" s="11">
        <f t="shared" si="13"/>
        <v>0</v>
      </c>
      <c r="BZ11" s="11">
        <f t="shared" si="13"/>
        <v>0</v>
      </c>
      <c r="CA11" s="11">
        <f t="shared" si="13"/>
        <v>0</v>
      </c>
      <c r="CB11" s="11">
        <f t="shared" si="13"/>
        <v>0</v>
      </c>
      <c r="CC11" s="11">
        <f t="shared" si="13"/>
        <v>0</v>
      </c>
      <c r="CD11" s="11">
        <f t="shared" si="13"/>
        <v>0</v>
      </c>
      <c r="CE11" s="11">
        <f t="shared" si="13"/>
        <v>0</v>
      </c>
      <c r="CF11" s="11">
        <f t="shared" si="13"/>
        <v>0</v>
      </c>
      <c r="CG11" s="11">
        <f t="shared" si="13"/>
        <v>0</v>
      </c>
      <c r="CH11" s="11">
        <f t="shared" si="13"/>
        <v>0</v>
      </c>
      <c r="CI11" s="11">
        <f t="shared" si="13"/>
        <v>0</v>
      </c>
      <c r="CJ11" s="11">
        <f t="shared" si="13"/>
        <v>0</v>
      </c>
      <c r="CK11" s="11">
        <f t="shared" si="13"/>
        <v>0</v>
      </c>
      <c r="CL11" s="11">
        <f t="shared" si="13"/>
        <v>0</v>
      </c>
      <c r="CM11" s="11">
        <f t="shared" si="13"/>
        <v>0</v>
      </c>
      <c r="CN11" s="11">
        <f t="shared" si="13"/>
        <v>0</v>
      </c>
      <c r="CO11" s="11">
        <f t="shared" si="13"/>
        <v>0</v>
      </c>
      <c r="CP11" s="11">
        <f t="shared" si="13"/>
        <v>0</v>
      </c>
      <c r="CQ11" s="11">
        <f t="shared" si="13"/>
        <v>0</v>
      </c>
      <c r="CR11" s="11">
        <f t="shared" si="13"/>
        <v>0</v>
      </c>
      <c r="CS11" s="11">
        <f t="shared" si="13"/>
        <v>0</v>
      </c>
      <c r="CT11" s="11">
        <f t="shared" si="13"/>
        <v>0</v>
      </c>
      <c r="CU11" s="11">
        <f t="shared" si="13"/>
        <v>0</v>
      </c>
      <c r="CV11" s="11">
        <f t="shared" si="13"/>
        <v>0</v>
      </c>
      <c r="CW11" s="11">
        <f t="shared" si="13"/>
        <v>0</v>
      </c>
      <c r="CX11" s="11">
        <f t="shared" si="13"/>
        <v>0</v>
      </c>
      <c r="CY11" s="11">
        <f t="shared" si="13"/>
        <v>0</v>
      </c>
      <c r="CZ11" s="11">
        <f t="shared" si="13"/>
        <v>0</v>
      </c>
      <c r="DA11" s="11">
        <f t="shared" si="13"/>
        <v>0</v>
      </c>
      <c r="DB11" s="11">
        <f t="shared" si="13"/>
        <v>0</v>
      </c>
      <c r="DC11" s="11">
        <f t="shared" si="13"/>
        <v>0</v>
      </c>
      <c r="DF11" s="46">
        <f t="shared" si="4"/>
        <v>0</v>
      </c>
    </row>
    <row r="12" spans="1:112" ht="28.8">
      <c r="A12" s="124">
        <v>0</v>
      </c>
      <c r="B12" s="5" t="str">
        <f>$B$11&amp;"1."</f>
        <v>D.1.1.</v>
      </c>
      <c r="C12" s="164" t="s">
        <v>278</v>
      </c>
      <c r="D12" s="24"/>
      <c r="E12" s="192">
        <v>0.21</v>
      </c>
      <c r="F12" s="35">
        <f>H12+NPV(FD,I12:INDEX(I12:DC12,PAL))</f>
        <v>0</v>
      </c>
      <c r="G12" s="35">
        <f>SUMIF($H$5:$DC$5,"&lt;="&amp;PAL,$H12:$DC12)</f>
        <v>0</v>
      </c>
      <c r="H12" s="38">
        <v>0</v>
      </c>
      <c r="I12" s="38">
        <v>0</v>
      </c>
      <c r="J12" s="38">
        <v>0</v>
      </c>
      <c r="K12" s="38">
        <v>0</v>
      </c>
      <c r="L12" s="38">
        <v>0</v>
      </c>
      <c r="M12" s="38">
        <v>0</v>
      </c>
      <c r="N12" s="38">
        <v>0</v>
      </c>
      <c r="O12" s="38">
        <v>0</v>
      </c>
      <c r="P12" s="38">
        <v>0</v>
      </c>
      <c r="Q12" s="38">
        <v>0</v>
      </c>
      <c r="R12" s="38">
        <v>0</v>
      </c>
      <c r="S12" s="38">
        <v>0</v>
      </c>
      <c r="T12" s="38">
        <v>0</v>
      </c>
      <c r="U12" s="38">
        <v>0</v>
      </c>
      <c r="V12" s="38">
        <v>0</v>
      </c>
      <c r="W12" s="38">
        <v>0</v>
      </c>
      <c r="X12" s="38">
        <v>0</v>
      </c>
      <c r="Y12" s="38">
        <v>0</v>
      </c>
      <c r="Z12" s="38">
        <v>0</v>
      </c>
      <c r="AA12" s="38">
        <v>0</v>
      </c>
      <c r="AB12" s="38">
        <v>0</v>
      </c>
      <c r="AC12" s="38">
        <v>0</v>
      </c>
      <c r="AD12" s="38">
        <v>0</v>
      </c>
      <c r="AE12" s="38">
        <v>0</v>
      </c>
      <c r="AF12" s="38">
        <v>0</v>
      </c>
      <c r="AG12" s="38">
        <v>0</v>
      </c>
      <c r="AH12" s="38">
        <v>0</v>
      </c>
      <c r="AI12" s="38">
        <v>0</v>
      </c>
      <c r="AJ12" s="38">
        <v>0</v>
      </c>
      <c r="AK12" s="38">
        <v>0</v>
      </c>
      <c r="AL12" s="38">
        <v>0</v>
      </c>
      <c r="AM12" s="38">
        <v>0</v>
      </c>
      <c r="AN12" s="38">
        <v>0</v>
      </c>
      <c r="AO12" s="38">
        <v>0</v>
      </c>
      <c r="AP12" s="38">
        <v>0</v>
      </c>
      <c r="AQ12" s="38">
        <v>0</v>
      </c>
      <c r="AR12" s="38">
        <v>0</v>
      </c>
      <c r="AS12" s="38">
        <v>0</v>
      </c>
      <c r="AT12" s="38">
        <v>0</v>
      </c>
      <c r="AU12" s="38">
        <v>0</v>
      </c>
      <c r="AV12" s="38">
        <v>0</v>
      </c>
      <c r="AW12" s="38">
        <v>0</v>
      </c>
      <c r="AX12" s="38">
        <v>0</v>
      </c>
      <c r="AY12" s="38">
        <v>0</v>
      </c>
      <c r="AZ12" s="38">
        <v>0</v>
      </c>
      <c r="BA12" s="38">
        <v>0</v>
      </c>
      <c r="BB12" s="38">
        <v>0</v>
      </c>
      <c r="BC12" s="38">
        <v>0</v>
      </c>
      <c r="BD12" s="38">
        <v>0</v>
      </c>
      <c r="BE12" s="38">
        <v>0</v>
      </c>
      <c r="BF12" s="38">
        <v>0</v>
      </c>
      <c r="BG12" s="38">
        <v>0</v>
      </c>
      <c r="BH12" s="38">
        <v>0</v>
      </c>
      <c r="BI12" s="38">
        <v>0</v>
      </c>
      <c r="BJ12" s="38">
        <v>0</v>
      </c>
      <c r="BK12" s="38">
        <v>0</v>
      </c>
      <c r="BL12" s="38">
        <v>0</v>
      </c>
      <c r="BM12" s="38">
        <v>0</v>
      </c>
      <c r="BN12" s="38">
        <v>0</v>
      </c>
      <c r="BO12" s="38">
        <v>0</v>
      </c>
      <c r="BP12" s="38">
        <v>0</v>
      </c>
      <c r="BQ12" s="38">
        <v>0</v>
      </c>
      <c r="BR12" s="38">
        <v>0</v>
      </c>
      <c r="BS12" s="38">
        <v>0</v>
      </c>
      <c r="BT12" s="38">
        <v>0</v>
      </c>
      <c r="BU12" s="38">
        <v>0</v>
      </c>
      <c r="BV12" s="38">
        <v>0</v>
      </c>
      <c r="BW12" s="38">
        <v>0</v>
      </c>
      <c r="BX12" s="38">
        <v>0</v>
      </c>
      <c r="BY12" s="38">
        <v>0</v>
      </c>
      <c r="BZ12" s="38">
        <v>0</v>
      </c>
      <c r="CA12" s="38">
        <v>0</v>
      </c>
      <c r="CB12" s="38">
        <v>0</v>
      </c>
      <c r="CC12" s="38">
        <v>0</v>
      </c>
      <c r="CD12" s="38">
        <v>0</v>
      </c>
      <c r="CE12" s="38">
        <v>0</v>
      </c>
      <c r="CF12" s="38">
        <v>0</v>
      </c>
      <c r="CG12" s="38">
        <v>0</v>
      </c>
      <c r="CH12" s="38">
        <v>0</v>
      </c>
      <c r="CI12" s="38">
        <v>0</v>
      </c>
      <c r="CJ12" s="38">
        <v>0</v>
      </c>
      <c r="CK12" s="38">
        <v>0</v>
      </c>
      <c r="CL12" s="38">
        <v>0</v>
      </c>
      <c r="CM12" s="38">
        <v>0</v>
      </c>
      <c r="CN12" s="38">
        <v>0</v>
      </c>
      <c r="CO12" s="38">
        <v>0</v>
      </c>
      <c r="CP12" s="38">
        <v>0</v>
      </c>
      <c r="CQ12" s="38">
        <v>0</v>
      </c>
      <c r="CR12" s="38">
        <v>0</v>
      </c>
      <c r="CS12" s="38">
        <v>0</v>
      </c>
      <c r="CT12" s="38">
        <v>0</v>
      </c>
      <c r="CU12" s="38">
        <v>0</v>
      </c>
      <c r="CV12" s="38">
        <v>0</v>
      </c>
      <c r="CW12" s="38">
        <v>0</v>
      </c>
      <c r="CX12" s="38">
        <v>0</v>
      </c>
      <c r="CY12" s="38">
        <v>0</v>
      </c>
      <c r="CZ12" s="38">
        <v>0</v>
      </c>
      <c r="DA12" s="38">
        <v>0</v>
      </c>
      <c r="DB12" s="38">
        <v>0</v>
      </c>
      <c r="DC12" s="38">
        <v>0</v>
      </c>
      <c r="DE12" s="46">
        <f>COUNTBLANK($H12:$DC12)</f>
        <v>0</v>
      </c>
      <c r="DF12" s="46">
        <f t="shared" si="4"/>
        <v>0</v>
      </c>
      <c r="DG12">
        <f t="shared" ref="DG12:DG21" si="14">IF(ISNUMBER(E12),E12*100,0)</f>
        <v>21</v>
      </c>
      <c r="DH12">
        <v>0</v>
      </c>
    </row>
    <row r="13" spans="1:112" ht="14.4">
      <c r="A13" s="124">
        <v>1</v>
      </c>
      <c r="B13" s="5" t="str">
        <f>$B$11&amp;"2."</f>
        <v>D.1.2.</v>
      </c>
      <c r="C13" s="164" t="s">
        <v>42</v>
      </c>
      <c r="D13" s="24"/>
      <c r="E13" s="192">
        <v>0.21</v>
      </c>
      <c r="F13" s="35">
        <f>H13+NPV(FD,I13:INDEX(I13:DC13,PAL))</f>
        <v>0</v>
      </c>
      <c r="G13" s="35">
        <f>SUMIF($H$5:$DC$5,"&lt;="&amp;PAL,$H13:$DC13)</f>
        <v>0</v>
      </c>
      <c r="H13" s="38">
        <v>0</v>
      </c>
      <c r="I13" s="38">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0</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0</v>
      </c>
      <c r="CJ13" s="38">
        <v>0</v>
      </c>
      <c r="CK13" s="38">
        <v>0</v>
      </c>
      <c r="CL13" s="38">
        <v>0</v>
      </c>
      <c r="CM13" s="38">
        <v>0</v>
      </c>
      <c r="CN13" s="38">
        <v>0</v>
      </c>
      <c r="CO13" s="38">
        <v>0</v>
      </c>
      <c r="CP13" s="38">
        <v>0</v>
      </c>
      <c r="CQ13" s="38">
        <v>0</v>
      </c>
      <c r="CR13" s="38">
        <v>0</v>
      </c>
      <c r="CS13" s="38">
        <v>0</v>
      </c>
      <c r="CT13" s="38">
        <v>0</v>
      </c>
      <c r="CU13" s="38">
        <v>0</v>
      </c>
      <c r="CV13" s="38">
        <v>0</v>
      </c>
      <c r="CW13" s="38">
        <v>0</v>
      </c>
      <c r="CX13" s="38">
        <v>0</v>
      </c>
      <c r="CY13" s="38">
        <v>0</v>
      </c>
      <c r="CZ13" s="38">
        <v>0</v>
      </c>
      <c r="DA13" s="38">
        <v>0</v>
      </c>
      <c r="DB13" s="38">
        <v>0</v>
      </c>
      <c r="DC13" s="38">
        <v>0</v>
      </c>
      <c r="DE13" s="46">
        <f t="shared" ref="DE13:DE21" si="15">COUNTBLANK(H13:DC13)</f>
        <v>0</v>
      </c>
      <c r="DF13" s="46">
        <f t="shared" ref="DF13:DF76" si="16">COUNTIF($H13:$DC13,"&lt;&gt;0")</f>
        <v>0</v>
      </c>
      <c r="DG13">
        <f t="shared" si="14"/>
        <v>21</v>
      </c>
      <c r="DH13">
        <v>0</v>
      </c>
    </row>
    <row r="14" spans="1:112" ht="14.4">
      <c r="A14" s="124">
        <v>2</v>
      </c>
      <c r="B14" s="5" t="str">
        <f>$B$11&amp;"3."</f>
        <v>D.1.3.</v>
      </c>
      <c r="C14" s="164" t="s">
        <v>42</v>
      </c>
      <c r="D14" s="24"/>
      <c r="E14" s="192">
        <v>0.21</v>
      </c>
      <c r="F14" s="35">
        <f>H14+NPV(FD,I14:INDEX(I14:DC14,PAL))</f>
        <v>0</v>
      </c>
      <c r="G14" s="35">
        <f>SUMIF($H$5:$DC$5,"&lt;="&amp;PAL,$H14:$DC14)</f>
        <v>0</v>
      </c>
      <c r="H14" s="38">
        <v>0</v>
      </c>
      <c r="I14" s="38">
        <v>0</v>
      </c>
      <c r="J14" s="38">
        <v>0</v>
      </c>
      <c r="K14" s="38">
        <v>0</v>
      </c>
      <c r="L14" s="38">
        <v>0</v>
      </c>
      <c r="M14" s="38">
        <v>0</v>
      </c>
      <c r="N14" s="38">
        <v>0</v>
      </c>
      <c r="O14" s="38">
        <v>0</v>
      </c>
      <c r="P14" s="38">
        <v>0</v>
      </c>
      <c r="Q14" s="38">
        <v>0</v>
      </c>
      <c r="R14" s="38">
        <v>0</v>
      </c>
      <c r="S14" s="38">
        <v>0</v>
      </c>
      <c r="T14" s="38">
        <v>0</v>
      </c>
      <c r="U14" s="38">
        <v>0</v>
      </c>
      <c r="V14" s="38">
        <v>0</v>
      </c>
      <c r="W14" s="38">
        <v>0</v>
      </c>
      <c r="X14" s="38">
        <v>0</v>
      </c>
      <c r="Y14" s="38">
        <v>0</v>
      </c>
      <c r="Z14" s="38">
        <v>0</v>
      </c>
      <c r="AA14" s="38">
        <v>0</v>
      </c>
      <c r="AB14" s="38">
        <v>0</v>
      </c>
      <c r="AC14" s="38">
        <v>0</v>
      </c>
      <c r="AD14" s="38">
        <v>0</v>
      </c>
      <c r="AE14" s="38">
        <v>0</v>
      </c>
      <c r="AF14" s="38">
        <v>0</v>
      </c>
      <c r="AG14" s="38">
        <v>0</v>
      </c>
      <c r="AH14" s="38">
        <v>0</v>
      </c>
      <c r="AI14" s="38">
        <v>0</v>
      </c>
      <c r="AJ14" s="38">
        <v>0</v>
      </c>
      <c r="AK14" s="38">
        <v>0</v>
      </c>
      <c r="AL14" s="38">
        <v>0</v>
      </c>
      <c r="AM14" s="38">
        <v>0</v>
      </c>
      <c r="AN14" s="38">
        <v>0</v>
      </c>
      <c r="AO14" s="38">
        <v>0</v>
      </c>
      <c r="AP14" s="38">
        <v>0</v>
      </c>
      <c r="AQ14" s="38">
        <v>0</v>
      </c>
      <c r="AR14" s="38">
        <v>0</v>
      </c>
      <c r="AS14" s="38">
        <v>0</v>
      </c>
      <c r="AT14" s="38">
        <v>0</v>
      </c>
      <c r="AU14" s="38">
        <v>0</v>
      </c>
      <c r="AV14" s="38">
        <v>0</v>
      </c>
      <c r="AW14" s="38">
        <v>0</v>
      </c>
      <c r="AX14" s="38">
        <v>0</v>
      </c>
      <c r="AY14" s="38">
        <v>0</v>
      </c>
      <c r="AZ14" s="38">
        <v>0</v>
      </c>
      <c r="BA14" s="38">
        <v>0</v>
      </c>
      <c r="BB14" s="38">
        <v>0</v>
      </c>
      <c r="BC14" s="38">
        <v>0</v>
      </c>
      <c r="BD14" s="38">
        <v>0</v>
      </c>
      <c r="BE14" s="38">
        <v>0</v>
      </c>
      <c r="BF14" s="38">
        <v>0</v>
      </c>
      <c r="BG14" s="38">
        <v>0</v>
      </c>
      <c r="BH14" s="38">
        <v>0</v>
      </c>
      <c r="BI14" s="38">
        <v>0</v>
      </c>
      <c r="BJ14" s="38">
        <v>0</v>
      </c>
      <c r="BK14" s="38">
        <v>0</v>
      </c>
      <c r="BL14" s="38">
        <v>0</v>
      </c>
      <c r="BM14" s="38">
        <v>0</v>
      </c>
      <c r="BN14" s="38">
        <v>0</v>
      </c>
      <c r="BO14" s="38">
        <v>0</v>
      </c>
      <c r="BP14" s="38">
        <v>0</v>
      </c>
      <c r="BQ14" s="38">
        <v>0</v>
      </c>
      <c r="BR14" s="38">
        <v>0</v>
      </c>
      <c r="BS14" s="38">
        <v>0</v>
      </c>
      <c r="BT14" s="38">
        <v>0</v>
      </c>
      <c r="BU14" s="38">
        <v>0</v>
      </c>
      <c r="BV14" s="38">
        <v>0</v>
      </c>
      <c r="BW14" s="38">
        <v>0</v>
      </c>
      <c r="BX14" s="38">
        <v>0</v>
      </c>
      <c r="BY14" s="38">
        <v>0</v>
      </c>
      <c r="BZ14" s="38">
        <v>0</v>
      </c>
      <c r="CA14" s="38">
        <v>0</v>
      </c>
      <c r="CB14" s="38">
        <v>0</v>
      </c>
      <c r="CC14" s="38">
        <v>0</v>
      </c>
      <c r="CD14" s="38">
        <v>0</v>
      </c>
      <c r="CE14" s="38">
        <v>0</v>
      </c>
      <c r="CF14" s="38">
        <v>0</v>
      </c>
      <c r="CG14" s="38">
        <v>0</v>
      </c>
      <c r="CH14" s="38">
        <v>0</v>
      </c>
      <c r="CI14" s="38">
        <v>0</v>
      </c>
      <c r="CJ14" s="38">
        <v>0</v>
      </c>
      <c r="CK14" s="38">
        <v>0</v>
      </c>
      <c r="CL14" s="38">
        <v>0</v>
      </c>
      <c r="CM14" s="38">
        <v>0</v>
      </c>
      <c r="CN14" s="38">
        <v>0</v>
      </c>
      <c r="CO14" s="38">
        <v>0</v>
      </c>
      <c r="CP14" s="38">
        <v>0</v>
      </c>
      <c r="CQ14" s="38">
        <v>0</v>
      </c>
      <c r="CR14" s="38">
        <v>0</v>
      </c>
      <c r="CS14" s="38">
        <v>0</v>
      </c>
      <c r="CT14" s="38">
        <v>0</v>
      </c>
      <c r="CU14" s="38">
        <v>0</v>
      </c>
      <c r="CV14" s="38">
        <v>0</v>
      </c>
      <c r="CW14" s="38">
        <v>0</v>
      </c>
      <c r="CX14" s="38">
        <v>0</v>
      </c>
      <c r="CY14" s="38">
        <v>0</v>
      </c>
      <c r="CZ14" s="38">
        <v>0</v>
      </c>
      <c r="DA14" s="38">
        <v>0</v>
      </c>
      <c r="DB14" s="38">
        <v>0</v>
      </c>
      <c r="DC14" s="38">
        <v>0</v>
      </c>
      <c r="DE14" s="46">
        <f t="shared" si="15"/>
        <v>0</v>
      </c>
      <c r="DF14" s="46">
        <f t="shared" si="16"/>
        <v>0</v>
      </c>
      <c r="DG14">
        <f t="shared" si="14"/>
        <v>21</v>
      </c>
      <c r="DH14">
        <v>0</v>
      </c>
    </row>
    <row r="15" spans="1:112" ht="14.4">
      <c r="A15" s="124">
        <v>3</v>
      </c>
      <c r="B15" s="5" t="str">
        <f>$B$11&amp;"4."</f>
        <v>D.1.4.</v>
      </c>
      <c r="C15" s="164" t="s">
        <v>42</v>
      </c>
      <c r="D15" s="24"/>
      <c r="E15" s="192">
        <v>0.21</v>
      </c>
      <c r="F15" s="35">
        <f>H15+NPV(FD,I15:INDEX(I15:DC15,PAL))</f>
        <v>0</v>
      </c>
      <c r="G15" s="35">
        <f>SUMIF($H$5:$DC$5,"&lt;="&amp;PAL,$H15:$DC15)</f>
        <v>0</v>
      </c>
      <c r="H15" s="38">
        <v>0</v>
      </c>
      <c r="I15" s="38">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0</v>
      </c>
      <c r="AG15" s="38">
        <v>0</v>
      </c>
      <c r="AH15" s="38">
        <v>0</v>
      </c>
      <c r="AI15" s="38">
        <v>0</v>
      </c>
      <c r="AJ15" s="38">
        <v>0</v>
      </c>
      <c r="AK15" s="38">
        <v>0</v>
      </c>
      <c r="AL15" s="38">
        <v>0</v>
      </c>
      <c r="AM15" s="38">
        <v>0</v>
      </c>
      <c r="AN15" s="38">
        <v>0</v>
      </c>
      <c r="AO15" s="38">
        <v>0</v>
      </c>
      <c r="AP15" s="38">
        <v>0</v>
      </c>
      <c r="AQ15" s="38">
        <v>0</v>
      </c>
      <c r="AR15" s="38">
        <v>0</v>
      </c>
      <c r="AS15" s="38">
        <v>0</v>
      </c>
      <c r="AT15" s="38">
        <v>0</v>
      </c>
      <c r="AU15" s="38">
        <v>0</v>
      </c>
      <c r="AV15" s="38">
        <v>0</v>
      </c>
      <c r="AW15" s="38">
        <v>0</v>
      </c>
      <c r="AX15" s="38">
        <v>0</v>
      </c>
      <c r="AY15" s="38">
        <v>0</v>
      </c>
      <c r="AZ15" s="38">
        <v>0</v>
      </c>
      <c r="BA15" s="38">
        <v>0</v>
      </c>
      <c r="BB15" s="38">
        <v>0</v>
      </c>
      <c r="BC15" s="38">
        <v>0</v>
      </c>
      <c r="BD15" s="38">
        <v>0</v>
      </c>
      <c r="BE15" s="38">
        <v>0</v>
      </c>
      <c r="BF15" s="38">
        <v>0</v>
      </c>
      <c r="BG15" s="38">
        <v>0</v>
      </c>
      <c r="BH15" s="38">
        <v>0</v>
      </c>
      <c r="BI15" s="38">
        <v>0</v>
      </c>
      <c r="BJ15" s="38">
        <v>0</v>
      </c>
      <c r="BK15" s="38">
        <v>0</v>
      </c>
      <c r="BL15" s="38">
        <v>0</v>
      </c>
      <c r="BM15" s="38">
        <v>0</v>
      </c>
      <c r="BN15" s="38">
        <v>0</v>
      </c>
      <c r="BO15" s="38">
        <v>0</v>
      </c>
      <c r="BP15" s="38">
        <v>0</v>
      </c>
      <c r="BQ15" s="38">
        <v>0</v>
      </c>
      <c r="BR15" s="38">
        <v>0</v>
      </c>
      <c r="BS15" s="38">
        <v>0</v>
      </c>
      <c r="BT15" s="38">
        <v>0</v>
      </c>
      <c r="BU15" s="38">
        <v>0</v>
      </c>
      <c r="BV15" s="38">
        <v>0</v>
      </c>
      <c r="BW15" s="38">
        <v>0</v>
      </c>
      <c r="BX15" s="38">
        <v>0</v>
      </c>
      <c r="BY15" s="38">
        <v>0</v>
      </c>
      <c r="BZ15" s="38">
        <v>0</v>
      </c>
      <c r="CA15" s="38">
        <v>0</v>
      </c>
      <c r="CB15" s="38">
        <v>0</v>
      </c>
      <c r="CC15" s="38">
        <v>0</v>
      </c>
      <c r="CD15" s="38">
        <v>0</v>
      </c>
      <c r="CE15" s="38">
        <v>0</v>
      </c>
      <c r="CF15" s="38">
        <v>0</v>
      </c>
      <c r="CG15" s="38">
        <v>0</v>
      </c>
      <c r="CH15" s="38">
        <v>0</v>
      </c>
      <c r="CI15" s="38">
        <v>0</v>
      </c>
      <c r="CJ15" s="38">
        <v>0</v>
      </c>
      <c r="CK15" s="38">
        <v>0</v>
      </c>
      <c r="CL15" s="38">
        <v>0</v>
      </c>
      <c r="CM15" s="38">
        <v>0</v>
      </c>
      <c r="CN15" s="38">
        <v>0</v>
      </c>
      <c r="CO15" s="38">
        <v>0</v>
      </c>
      <c r="CP15" s="38">
        <v>0</v>
      </c>
      <c r="CQ15" s="38">
        <v>0</v>
      </c>
      <c r="CR15" s="38">
        <v>0</v>
      </c>
      <c r="CS15" s="38">
        <v>0</v>
      </c>
      <c r="CT15" s="38">
        <v>0</v>
      </c>
      <c r="CU15" s="38">
        <v>0</v>
      </c>
      <c r="CV15" s="38">
        <v>0</v>
      </c>
      <c r="CW15" s="38">
        <v>0</v>
      </c>
      <c r="CX15" s="38">
        <v>0</v>
      </c>
      <c r="CY15" s="38">
        <v>0</v>
      </c>
      <c r="CZ15" s="38">
        <v>0</v>
      </c>
      <c r="DA15" s="38">
        <v>0</v>
      </c>
      <c r="DB15" s="38">
        <v>0</v>
      </c>
      <c r="DC15" s="38">
        <v>0</v>
      </c>
      <c r="DE15" s="46">
        <f t="shared" si="15"/>
        <v>0</v>
      </c>
      <c r="DF15" s="46">
        <f t="shared" si="16"/>
        <v>0</v>
      </c>
      <c r="DG15">
        <f t="shared" si="14"/>
        <v>21</v>
      </c>
      <c r="DH15">
        <v>0</v>
      </c>
    </row>
    <row r="16" spans="1:112" ht="14.4">
      <c r="A16" s="124">
        <v>4</v>
      </c>
      <c r="B16" s="5" t="str">
        <f>$B$11&amp;"5."</f>
        <v>D.1.5.</v>
      </c>
      <c r="C16" s="164" t="s">
        <v>42</v>
      </c>
      <c r="D16" s="24"/>
      <c r="E16" s="192">
        <v>0.21</v>
      </c>
      <c r="F16" s="35">
        <f>H16+NPV(FD,I16:INDEX(I16:DC16,PAL))</f>
        <v>0</v>
      </c>
      <c r="G16" s="35">
        <f>SUMIF($H$5:$DC$5,"&lt;="&amp;PAL,$H16:$DC16)</f>
        <v>0</v>
      </c>
      <c r="H16" s="38">
        <v>0</v>
      </c>
      <c r="I16" s="38">
        <v>0</v>
      </c>
      <c r="J16" s="38">
        <v>0</v>
      </c>
      <c r="K16" s="38">
        <v>0</v>
      </c>
      <c r="L16" s="38">
        <v>0</v>
      </c>
      <c r="M16" s="38">
        <v>0</v>
      </c>
      <c r="N16" s="38">
        <v>0</v>
      </c>
      <c r="O16" s="38">
        <v>0</v>
      </c>
      <c r="P16" s="38">
        <v>0</v>
      </c>
      <c r="Q16" s="38">
        <v>0</v>
      </c>
      <c r="R16" s="38">
        <v>0</v>
      </c>
      <c r="S16" s="38">
        <v>0</v>
      </c>
      <c r="T16" s="38">
        <v>0</v>
      </c>
      <c r="U16" s="38">
        <v>0</v>
      </c>
      <c r="V16" s="38">
        <v>0</v>
      </c>
      <c r="W16" s="38">
        <v>0</v>
      </c>
      <c r="X16" s="38">
        <v>0</v>
      </c>
      <c r="Y16" s="38">
        <v>0</v>
      </c>
      <c r="Z16" s="38">
        <v>0</v>
      </c>
      <c r="AA16" s="38">
        <v>0</v>
      </c>
      <c r="AB16" s="38">
        <v>0</v>
      </c>
      <c r="AC16" s="38">
        <v>0</v>
      </c>
      <c r="AD16" s="38">
        <v>0</v>
      </c>
      <c r="AE16" s="38">
        <v>0</v>
      </c>
      <c r="AF16" s="38">
        <v>0</v>
      </c>
      <c r="AG16" s="38">
        <v>0</v>
      </c>
      <c r="AH16" s="38">
        <v>0</v>
      </c>
      <c r="AI16" s="38">
        <v>0</v>
      </c>
      <c r="AJ16" s="38">
        <v>0</v>
      </c>
      <c r="AK16" s="38">
        <v>0</v>
      </c>
      <c r="AL16" s="38">
        <v>0</v>
      </c>
      <c r="AM16" s="38">
        <v>0</v>
      </c>
      <c r="AN16" s="38">
        <v>0</v>
      </c>
      <c r="AO16" s="38">
        <v>0</v>
      </c>
      <c r="AP16" s="38">
        <v>0</v>
      </c>
      <c r="AQ16" s="38">
        <v>0</v>
      </c>
      <c r="AR16" s="38">
        <v>0</v>
      </c>
      <c r="AS16" s="38">
        <v>0</v>
      </c>
      <c r="AT16" s="38">
        <v>0</v>
      </c>
      <c r="AU16" s="38">
        <v>0</v>
      </c>
      <c r="AV16" s="38">
        <v>0</v>
      </c>
      <c r="AW16" s="38">
        <v>0</v>
      </c>
      <c r="AX16" s="38">
        <v>0</v>
      </c>
      <c r="AY16" s="38">
        <v>0</v>
      </c>
      <c r="AZ16" s="38">
        <v>0</v>
      </c>
      <c r="BA16" s="38">
        <v>0</v>
      </c>
      <c r="BB16" s="38">
        <v>0</v>
      </c>
      <c r="BC16" s="38">
        <v>0</v>
      </c>
      <c r="BD16" s="38">
        <v>0</v>
      </c>
      <c r="BE16" s="38">
        <v>0</v>
      </c>
      <c r="BF16" s="38">
        <v>0</v>
      </c>
      <c r="BG16" s="38">
        <v>0</v>
      </c>
      <c r="BH16" s="38">
        <v>0</v>
      </c>
      <c r="BI16" s="38">
        <v>0</v>
      </c>
      <c r="BJ16" s="38">
        <v>0</v>
      </c>
      <c r="BK16" s="38">
        <v>0</v>
      </c>
      <c r="BL16" s="38">
        <v>0</v>
      </c>
      <c r="BM16" s="38">
        <v>0</v>
      </c>
      <c r="BN16" s="38">
        <v>0</v>
      </c>
      <c r="BO16" s="38">
        <v>0</v>
      </c>
      <c r="BP16" s="38">
        <v>0</v>
      </c>
      <c r="BQ16" s="38">
        <v>0</v>
      </c>
      <c r="BR16" s="38">
        <v>0</v>
      </c>
      <c r="BS16" s="38">
        <v>0</v>
      </c>
      <c r="BT16" s="38">
        <v>0</v>
      </c>
      <c r="BU16" s="38">
        <v>0</v>
      </c>
      <c r="BV16" s="38">
        <v>0</v>
      </c>
      <c r="BW16" s="38">
        <v>0</v>
      </c>
      <c r="BX16" s="38">
        <v>0</v>
      </c>
      <c r="BY16" s="38">
        <v>0</v>
      </c>
      <c r="BZ16" s="38">
        <v>0</v>
      </c>
      <c r="CA16" s="38">
        <v>0</v>
      </c>
      <c r="CB16" s="38">
        <v>0</v>
      </c>
      <c r="CC16" s="38">
        <v>0</v>
      </c>
      <c r="CD16" s="38">
        <v>0</v>
      </c>
      <c r="CE16" s="38">
        <v>0</v>
      </c>
      <c r="CF16" s="38">
        <v>0</v>
      </c>
      <c r="CG16" s="38">
        <v>0</v>
      </c>
      <c r="CH16" s="38">
        <v>0</v>
      </c>
      <c r="CI16" s="38">
        <v>0</v>
      </c>
      <c r="CJ16" s="38">
        <v>0</v>
      </c>
      <c r="CK16" s="38">
        <v>0</v>
      </c>
      <c r="CL16" s="38">
        <v>0</v>
      </c>
      <c r="CM16" s="38">
        <v>0</v>
      </c>
      <c r="CN16" s="38">
        <v>0</v>
      </c>
      <c r="CO16" s="38">
        <v>0</v>
      </c>
      <c r="CP16" s="38">
        <v>0</v>
      </c>
      <c r="CQ16" s="38">
        <v>0</v>
      </c>
      <c r="CR16" s="38">
        <v>0</v>
      </c>
      <c r="CS16" s="38">
        <v>0</v>
      </c>
      <c r="CT16" s="38">
        <v>0</v>
      </c>
      <c r="CU16" s="38">
        <v>0</v>
      </c>
      <c r="CV16" s="38">
        <v>0</v>
      </c>
      <c r="CW16" s="38">
        <v>0</v>
      </c>
      <c r="CX16" s="38">
        <v>0</v>
      </c>
      <c r="CY16" s="38">
        <v>0</v>
      </c>
      <c r="CZ16" s="38">
        <v>0</v>
      </c>
      <c r="DA16" s="38">
        <v>0</v>
      </c>
      <c r="DB16" s="38">
        <v>0</v>
      </c>
      <c r="DC16" s="38">
        <v>0</v>
      </c>
      <c r="DE16" s="46">
        <f t="shared" si="15"/>
        <v>0</v>
      </c>
      <c r="DF16" s="46">
        <f t="shared" si="16"/>
        <v>0</v>
      </c>
      <c r="DG16">
        <f t="shared" si="14"/>
        <v>21</v>
      </c>
      <c r="DH16">
        <v>0</v>
      </c>
    </row>
    <row r="17" spans="1:112" ht="14.4">
      <c r="A17" s="124">
        <v>5</v>
      </c>
      <c r="B17" s="5" t="str">
        <f>$B$11&amp;"6."</f>
        <v>D.1.6.</v>
      </c>
      <c r="C17" s="164" t="s">
        <v>42</v>
      </c>
      <c r="D17" s="24"/>
      <c r="E17" s="192">
        <v>0.21</v>
      </c>
      <c r="F17" s="35">
        <f>H17+NPV(FD,I17:INDEX(I17:DC17,PAL))</f>
        <v>0</v>
      </c>
      <c r="G17" s="35">
        <f>SUMIF($H$5:$DC$5,"&lt;="&amp;PAL,$H17:$DC17)</f>
        <v>0</v>
      </c>
      <c r="H17" s="38">
        <v>0</v>
      </c>
      <c r="I17" s="38">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0</v>
      </c>
      <c r="BD17" s="38">
        <v>0</v>
      </c>
      <c r="BE17" s="38">
        <v>0</v>
      </c>
      <c r="BF17" s="38">
        <v>0</v>
      </c>
      <c r="BG17" s="38">
        <v>0</v>
      </c>
      <c r="BH17" s="38">
        <v>0</v>
      </c>
      <c r="BI17" s="38">
        <v>0</v>
      </c>
      <c r="BJ17" s="38">
        <v>0</v>
      </c>
      <c r="BK17" s="38">
        <v>0</v>
      </c>
      <c r="BL17" s="38">
        <v>0</v>
      </c>
      <c r="BM17" s="38">
        <v>0</v>
      </c>
      <c r="BN17" s="38">
        <v>0</v>
      </c>
      <c r="BO17" s="38">
        <v>0</v>
      </c>
      <c r="BP17" s="38">
        <v>0</v>
      </c>
      <c r="BQ17" s="38">
        <v>0</v>
      </c>
      <c r="BR17" s="38">
        <v>0</v>
      </c>
      <c r="BS17" s="38">
        <v>0</v>
      </c>
      <c r="BT17" s="38">
        <v>0</v>
      </c>
      <c r="BU17" s="38">
        <v>0</v>
      </c>
      <c r="BV17" s="38">
        <v>0</v>
      </c>
      <c r="BW17" s="38">
        <v>0</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E17" s="46">
        <f t="shared" si="15"/>
        <v>0</v>
      </c>
      <c r="DF17" s="46">
        <f t="shared" si="16"/>
        <v>0</v>
      </c>
      <c r="DG17">
        <f t="shared" si="14"/>
        <v>21</v>
      </c>
      <c r="DH17">
        <v>0</v>
      </c>
    </row>
    <row r="18" spans="1:112" ht="14.4">
      <c r="A18" s="124">
        <v>6</v>
      </c>
      <c r="B18" s="5" t="str">
        <f>$B$11&amp;"7."</f>
        <v>D.1.7.</v>
      </c>
      <c r="C18" s="164" t="s">
        <v>42</v>
      </c>
      <c r="D18" s="24"/>
      <c r="E18" s="192">
        <v>0.21</v>
      </c>
      <c r="F18" s="35">
        <f>H18+NPV(FD,I18:INDEX(I18:DC18,PAL))</f>
        <v>0</v>
      </c>
      <c r="G18" s="35">
        <f>SUMIF($H$5:$DC$5,"&lt;="&amp;PAL,$H18:$DC18)</f>
        <v>0</v>
      </c>
      <c r="H18" s="38">
        <v>0</v>
      </c>
      <c r="I18" s="38">
        <v>0</v>
      </c>
      <c r="J18" s="38">
        <v>0</v>
      </c>
      <c r="K18" s="38">
        <v>0</v>
      </c>
      <c r="L18" s="38">
        <v>0</v>
      </c>
      <c r="M18" s="38">
        <v>0</v>
      </c>
      <c r="N18" s="38">
        <v>0</v>
      </c>
      <c r="O18" s="38">
        <v>0</v>
      </c>
      <c r="P18" s="38">
        <v>0</v>
      </c>
      <c r="Q18" s="38">
        <v>0</v>
      </c>
      <c r="R18" s="38">
        <v>0</v>
      </c>
      <c r="S18" s="38">
        <v>0</v>
      </c>
      <c r="T18" s="38">
        <v>0</v>
      </c>
      <c r="U18" s="38">
        <v>0</v>
      </c>
      <c r="V18" s="38">
        <v>0</v>
      </c>
      <c r="W18" s="38">
        <v>0</v>
      </c>
      <c r="X18" s="38">
        <v>0</v>
      </c>
      <c r="Y18" s="38">
        <v>0</v>
      </c>
      <c r="Z18" s="38">
        <v>0</v>
      </c>
      <c r="AA18" s="38">
        <v>0</v>
      </c>
      <c r="AB18" s="38">
        <v>0</v>
      </c>
      <c r="AC18" s="38">
        <v>0</v>
      </c>
      <c r="AD18" s="38">
        <v>0</v>
      </c>
      <c r="AE18" s="38">
        <v>0</v>
      </c>
      <c r="AF18" s="38">
        <v>0</v>
      </c>
      <c r="AG18" s="38">
        <v>0</v>
      </c>
      <c r="AH18" s="38">
        <v>0</v>
      </c>
      <c r="AI18" s="38">
        <v>0</v>
      </c>
      <c r="AJ18" s="38">
        <v>0</v>
      </c>
      <c r="AK18" s="38">
        <v>0</v>
      </c>
      <c r="AL18" s="38">
        <v>0</v>
      </c>
      <c r="AM18" s="38">
        <v>0</v>
      </c>
      <c r="AN18" s="38">
        <v>0</v>
      </c>
      <c r="AO18" s="38">
        <v>0</v>
      </c>
      <c r="AP18" s="38">
        <v>0</v>
      </c>
      <c r="AQ18" s="38">
        <v>0</v>
      </c>
      <c r="AR18" s="38">
        <v>0</v>
      </c>
      <c r="AS18" s="38">
        <v>0</v>
      </c>
      <c r="AT18" s="38">
        <v>0</v>
      </c>
      <c r="AU18" s="38">
        <v>0</v>
      </c>
      <c r="AV18" s="38">
        <v>0</v>
      </c>
      <c r="AW18" s="38">
        <v>0</v>
      </c>
      <c r="AX18" s="38">
        <v>0</v>
      </c>
      <c r="AY18" s="38">
        <v>0</v>
      </c>
      <c r="AZ18" s="38">
        <v>0</v>
      </c>
      <c r="BA18" s="38">
        <v>0</v>
      </c>
      <c r="BB18" s="38">
        <v>0</v>
      </c>
      <c r="BC18" s="38">
        <v>0</v>
      </c>
      <c r="BD18" s="38">
        <v>0</v>
      </c>
      <c r="BE18" s="38">
        <v>0</v>
      </c>
      <c r="BF18" s="38">
        <v>0</v>
      </c>
      <c r="BG18" s="38">
        <v>0</v>
      </c>
      <c r="BH18" s="38">
        <v>0</v>
      </c>
      <c r="BI18" s="38">
        <v>0</v>
      </c>
      <c r="BJ18" s="38">
        <v>0</v>
      </c>
      <c r="BK18" s="38">
        <v>0</v>
      </c>
      <c r="BL18" s="38">
        <v>0</v>
      </c>
      <c r="BM18" s="38">
        <v>0</v>
      </c>
      <c r="BN18" s="38">
        <v>0</v>
      </c>
      <c r="BO18" s="38">
        <v>0</v>
      </c>
      <c r="BP18" s="38">
        <v>0</v>
      </c>
      <c r="BQ18" s="38">
        <v>0</v>
      </c>
      <c r="BR18" s="38">
        <v>0</v>
      </c>
      <c r="BS18" s="38">
        <v>0</v>
      </c>
      <c r="BT18" s="38">
        <v>0</v>
      </c>
      <c r="BU18" s="38">
        <v>0</v>
      </c>
      <c r="BV18" s="38">
        <v>0</v>
      </c>
      <c r="BW18" s="38">
        <v>0</v>
      </c>
      <c r="BX18" s="38">
        <v>0</v>
      </c>
      <c r="BY18" s="38">
        <v>0</v>
      </c>
      <c r="BZ18" s="38">
        <v>0</v>
      </c>
      <c r="CA18" s="38">
        <v>0</v>
      </c>
      <c r="CB18" s="38">
        <v>0</v>
      </c>
      <c r="CC18" s="38">
        <v>0</v>
      </c>
      <c r="CD18" s="38">
        <v>0</v>
      </c>
      <c r="CE18" s="38">
        <v>0</v>
      </c>
      <c r="CF18" s="38">
        <v>0</v>
      </c>
      <c r="CG18" s="38">
        <v>0</v>
      </c>
      <c r="CH18" s="38">
        <v>0</v>
      </c>
      <c r="CI18" s="38">
        <v>0</v>
      </c>
      <c r="CJ18" s="38">
        <v>0</v>
      </c>
      <c r="CK18" s="38">
        <v>0</v>
      </c>
      <c r="CL18" s="38">
        <v>0</v>
      </c>
      <c r="CM18" s="38">
        <v>0</v>
      </c>
      <c r="CN18" s="38">
        <v>0</v>
      </c>
      <c r="CO18" s="38">
        <v>0</v>
      </c>
      <c r="CP18" s="38">
        <v>0</v>
      </c>
      <c r="CQ18" s="38">
        <v>0</v>
      </c>
      <c r="CR18" s="38">
        <v>0</v>
      </c>
      <c r="CS18" s="38">
        <v>0</v>
      </c>
      <c r="CT18" s="38">
        <v>0</v>
      </c>
      <c r="CU18" s="38">
        <v>0</v>
      </c>
      <c r="CV18" s="38">
        <v>0</v>
      </c>
      <c r="CW18" s="38">
        <v>0</v>
      </c>
      <c r="CX18" s="38">
        <v>0</v>
      </c>
      <c r="CY18" s="38">
        <v>0</v>
      </c>
      <c r="CZ18" s="38">
        <v>0</v>
      </c>
      <c r="DA18" s="38">
        <v>0</v>
      </c>
      <c r="DB18" s="38">
        <v>0</v>
      </c>
      <c r="DC18" s="38">
        <v>0</v>
      </c>
      <c r="DE18" s="46">
        <f t="shared" si="15"/>
        <v>0</v>
      </c>
      <c r="DF18" s="46">
        <f t="shared" si="16"/>
        <v>0</v>
      </c>
      <c r="DG18">
        <f t="shared" si="14"/>
        <v>21</v>
      </c>
      <c r="DH18">
        <v>0</v>
      </c>
    </row>
    <row r="19" spans="1:112" ht="14.4">
      <c r="A19" s="124">
        <v>7</v>
      </c>
      <c r="B19" s="5" t="str">
        <f>$B$11&amp;"8."</f>
        <v>D.1.8.</v>
      </c>
      <c r="C19" s="164" t="s">
        <v>42</v>
      </c>
      <c r="D19" s="24"/>
      <c r="E19" s="192">
        <v>0.21</v>
      </c>
      <c r="F19" s="35">
        <f>H19+NPV(FD,I19:INDEX(I19:DC19,PAL))</f>
        <v>0</v>
      </c>
      <c r="G19" s="35">
        <f>SUMIF($H$5:$DC$5,"&lt;="&amp;PAL,$H19:$DC19)</f>
        <v>0</v>
      </c>
      <c r="H19" s="38">
        <v>0</v>
      </c>
      <c r="I19" s="38">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0</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0</v>
      </c>
      <c r="CQ19" s="38">
        <v>0</v>
      </c>
      <c r="CR19" s="38">
        <v>0</v>
      </c>
      <c r="CS19" s="38">
        <v>0</v>
      </c>
      <c r="CT19" s="38">
        <v>0</v>
      </c>
      <c r="CU19" s="38">
        <v>0</v>
      </c>
      <c r="CV19" s="38">
        <v>0</v>
      </c>
      <c r="CW19" s="38">
        <v>0</v>
      </c>
      <c r="CX19" s="38">
        <v>0</v>
      </c>
      <c r="CY19" s="38">
        <v>0</v>
      </c>
      <c r="CZ19" s="38">
        <v>0</v>
      </c>
      <c r="DA19" s="38">
        <v>0</v>
      </c>
      <c r="DB19" s="38">
        <v>0</v>
      </c>
      <c r="DC19" s="38">
        <v>0</v>
      </c>
      <c r="DE19" s="46">
        <f t="shared" si="15"/>
        <v>0</v>
      </c>
      <c r="DF19" s="46">
        <f t="shared" si="16"/>
        <v>0</v>
      </c>
      <c r="DG19">
        <f t="shared" si="14"/>
        <v>21</v>
      </c>
      <c r="DH19">
        <v>0</v>
      </c>
    </row>
    <row r="20" spans="1:112" ht="14.4">
      <c r="A20" s="124">
        <v>8</v>
      </c>
      <c r="B20" s="5" t="str">
        <f>$B$11&amp;"9."</f>
        <v>D.1.9.</v>
      </c>
      <c r="C20" s="17" t="s">
        <v>155</v>
      </c>
      <c r="D20" s="24"/>
      <c r="E20" s="192">
        <v>0.21</v>
      </c>
      <c r="F20" s="35">
        <f>H20+NPV(FD,I20:INDEX(I20:DC20,PAL))</f>
        <v>0</v>
      </c>
      <c r="G20" s="35">
        <f>SUMIF($H$5:$DC$5,"&lt;="&amp;PAL,$H20:$DC20)</f>
        <v>0</v>
      </c>
      <c r="H20" s="165">
        <v>0</v>
      </c>
      <c r="I20" s="165">
        <v>0</v>
      </c>
      <c r="J20" s="165">
        <v>0</v>
      </c>
      <c r="K20" s="165">
        <v>0</v>
      </c>
      <c r="L20" s="165">
        <v>0</v>
      </c>
      <c r="M20" s="165">
        <v>0</v>
      </c>
      <c r="N20" s="165">
        <v>0</v>
      </c>
      <c r="O20" s="165">
        <v>0</v>
      </c>
      <c r="P20" s="165">
        <v>0</v>
      </c>
      <c r="Q20" s="165">
        <v>0</v>
      </c>
      <c r="R20" s="165">
        <v>0</v>
      </c>
      <c r="S20" s="166">
        <v>0</v>
      </c>
      <c r="T20" s="166">
        <v>0</v>
      </c>
      <c r="U20" s="166">
        <v>0</v>
      </c>
      <c r="V20" s="166">
        <v>0</v>
      </c>
      <c r="W20" s="166">
        <v>0</v>
      </c>
      <c r="X20" s="166">
        <v>0</v>
      </c>
      <c r="Y20" s="166">
        <v>0</v>
      </c>
      <c r="Z20" s="166">
        <v>0</v>
      </c>
      <c r="AA20" s="166">
        <v>0</v>
      </c>
      <c r="AB20" s="166">
        <v>0</v>
      </c>
      <c r="AC20" s="166">
        <v>0</v>
      </c>
      <c r="AD20" s="166">
        <v>0</v>
      </c>
      <c r="AE20" s="166">
        <v>0</v>
      </c>
      <c r="AF20" s="166">
        <v>0</v>
      </c>
      <c r="AG20" s="166">
        <v>0</v>
      </c>
      <c r="AH20" s="166">
        <v>0</v>
      </c>
      <c r="AI20" s="166">
        <v>0</v>
      </c>
      <c r="AJ20" s="166">
        <v>0</v>
      </c>
      <c r="AK20" s="166">
        <v>0</v>
      </c>
      <c r="AL20" s="166">
        <v>0</v>
      </c>
      <c r="AM20" s="166">
        <v>0</v>
      </c>
      <c r="AN20" s="166">
        <v>0</v>
      </c>
      <c r="AO20" s="166">
        <v>0</v>
      </c>
      <c r="AP20" s="166">
        <v>0</v>
      </c>
      <c r="AQ20" s="166">
        <v>0</v>
      </c>
      <c r="AR20" s="166">
        <v>0</v>
      </c>
      <c r="AS20" s="166">
        <v>0</v>
      </c>
      <c r="AT20" s="166">
        <v>0</v>
      </c>
      <c r="AU20" s="166">
        <v>0</v>
      </c>
      <c r="AV20" s="166">
        <v>0</v>
      </c>
      <c r="AW20" s="166">
        <v>0</v>
      </c>
      <c r="AX20" s="166">
        <v>0</v>
      </c>
      <c r="AY20" s="166">
        <v>0</v>
      </c>
      <c r="AZ20" s="166">
        <v>0</v>
      </c>
      <c r="BA20" s="166">
        <v>0</v>
      </c>
      <c r="BB20" s="166">
        <v>0</v>
      </c>
      <c r="BC20" s="166">
        <v>0</v>
      </c>
      <c r="BD20" s="166">
        <v>0</v>
      </c>
      <c r="BE20" s="166">
        <v>0</v>
      </c>
      <c r="BF20" s="166">
        <v>0</v>
      </c>
      <c r="BG20" s="166">
        <v>0</v>
      </c>
      <c r="BH20" s="166">
        <v>0</v>
      </c>
      <c r="BI20" s="166">
        <v>0</v>
      </c>
      <c r="BJ20" s="166">
        <v>0</v>
      </c>
      <c r="BK20" s="166">
        <v>0</v>
      </c>
      <c r="BL20" s="166">
        <v>0</v>
      </c>
      <c r="BM20" s="166">
        <v>0</v>
      </c>
      <c r="BN20" s="166">
        <v>0</v>
      </c>
      <c r="BO20" s="166">
        <v>0</v>
      </c>
      <c r="BP20" s="166">
        <v>0</v>
      </c>
      <c r="BQ20" s="166">
        <v>0</v>
      </c>
      <c r="BR20" s="166">
        <v>0</v>
      </c>
      <c r="BS20" s="166">
        <v>0</v>
      </c>
      <c r="BT20" s="166">
        <v>0</v>
      </c>
      <c r="BU20" s="166">
        <v>0</v>
      </c>
      <c r="BV20" s="166">
        <v>0</v>
      </c>
      <c r="BW20" s="166">
        <v>0</v>
      </c>
      <c r="BX20" s="166">
        <v>0</v>
      </c>
      <c r="BY20" s="166">
        <v>0</v>
      </c>
      <c r="BZ20" s="166">
        <v>0</v>
      </c>
      <c r="CA20" s="166">
        <v>0</v>
      </c>
      <c r="CB20" s="166">
        <v>0</v>
      </c>
      <c r="CC20" s="166">
        <v>0</v>
      </c>
      <c r="CD20" s="166">
        <v>0</v>
      </c>
      <c r="CE20" s="166">
        <v>0</v>
      </c>
      <c r="CF20" s="166">
        <v>0</v>
      </c>
      <c r="CG20" s="166">
        <v>0</v>
      </c>
      <c r="CH20" s="166">
        <v>0</v>
      </c>
      <c r="CI20" s="166">
        <v>0</v>
      </c>
      <c r="CJ20" s="166">
        <v>0</v>
      </c>
      <c r="CK20" s="166">
        <v>0</v>
      </c>
      <c r="CL20" s="166">
        <v>0</v>
      </c>
      <c r="CM20" s="166">
        <v>0</v>
      </c>
      <c r="CN20" s="166">
        <v>0</v>
      </c>
      <c r="CO20" s="166">
        <v>0</v>
      </c>
      <c r="CP20" s="166">
        <v>0</v>
      </c>
      <c r="CQ20" s="166">
        <v>0</v>
      </c>
      <c r="CR20" s="166">
        <v>0</v>
      </c>
      <c r="CS20" s="166">
        <v>0</v>
      </c>
      <c r="CT20" s="166">
        <v>0</v>
      </c>
      <c r="CU20" s="166">
        <v>0</v>
      </c>
      <c r="CV20" s="166">
        <v>0</v>
      </c>
      <c r="CW20" s="166">
        <v>0</v>
      </c>
      <c r="CX20" s="166">
        <v>0</v>
      </c>
      <c r="CY20" s="166">
        <v>0</v>
      </c>
      <c r="CZ20" s="166">
        <v>0</v>
      </c>
      <c r="DA20" s="166">
        <v>0</v>
      </c>
      <c r="DB20" s="166">
        <v>0</v>
      </c>
      <c r="DC20" s="166">
        <v>0</v>
      </c>
      <c r="DE20" s="46">
        <f t="shared" si="15"/>
        <v>0</v>
      </c>
      <c r="DF20" s="46">
        <f t="shared" si="16"/>
        <v>0</v>
      </c>
      <c r="DG20">
        <f t="shared" si="14"/>
        <v>21</v>
      </c>
      <c r="DH20">
        <v>0</v>
      </c>
    </row>
    <row r="21" spans="1:112" ht="14.4">
      <c r="A21" s="124">
        <v>9</v>
      </c>
      <c r="B21" s="5" t="str">
        <f>$B$11&amp;"L."</f>
        <v>D.1.L.</v>
      </c>
      <c r="C21" s="17" t="s">
        <v>16</v>
      </c>
      <c r="D21" s="24"/>
      <c r="E21" s="192">
        <v>0.21</v>
      </c>
      <c r="F21" s="35">
        <f>H21+NPV(FD,I21:INDEX(I21:DC21,PAL))</f>
        <v>0</v>
      </c>
      <c r="G21" s="35">
        <f>SUMIF($H$5:$DC$5,"&lt;="&amp;PAL,$H21:$DC21)</f>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6">
        <v>0</v>
      </c>
      <c r="AC21" s="165">
        <v>0</v>
      </c>
      <c r="AD21" s="165">
        <v>0</v>
      </c>
      <c r="AE21" s="165">
        <v>0</v>
      </c>
      <c r="AF21" s="165">
        <v>0</v>
      </c>
      <c r="AG21" s="165">
        <v>0</v>
      </c>
      <c r="AH21" s="165">
        <v>0</v>
      </c>
      <c r="AI21" s="165">
        <v>0</v>
      </c>
      <c r="AJ21" s="165">
        <v>0</v>
      </c>
      <c r="AK21" s="165">
        <v>0</v>
      </c>
      <c r="AL21" s="166">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0</v>
      </c>
      <c r="DB21" s="165">
        <v>0</v>
      </c>
      <c r="DC21" s="166">
        <v>0</v>
      </c>
      <c r="DE21" s="46">
        <f t="shared" si="15"/>
        <v>0</v>
      </c>
      <c r="DF21" s="46">
        <f t="shared" si="16"/>
        <v>0</v>
      </c>
      <c r="DG21">
        <f t="shared" si="14"/>
        <v>21</v>
      </c>
      <c r="DH21">
        <f>DG21/(100+DG21)</f>
        <v>0.17355371900826447</v>
      </c>
    </row>
    <row r="22" spans="1:112" ht="14.4">
      <c r="A22" s="124">
        <v>10</v>
      </c>
      <c r="B22" s="5" t="s">
        <v>22</v>
      </c>
      <c r="C22" s="15" t="s">
        <v>434</v>
      </c>
      <c r="D22" s="3"/>
      <c r="E22" s="3"/>
      <c r="F22" s="11">
        <f>SUM(F23:F30)+F31</f>
        <v>0</v>
      </c>
      <c r="G22" s="35">
        <f>SUMIF($H$5:$DC$5,"&lt;="&amp;PAL,$H22:$DC22)</f>
        <v>0</v>
      </c>
      <c r="H22" s="11">
        <f>SUM(H23:H30)+H31</f>
        <v>0</v>
      </c>
      <c r="I22" s="11">
        <f t="shared" ref="I22:BT22" si="17">SUM(I23:I30)+I31</f>
        <v>0</v>
      </c>
      <c r="J22" s="11">
        <f t="shared" si="17"/>
        <v>0</v>
      </c>
      <c r="K22" s="11">
        <f t="shared" si="17"/>
        <v>0</v>
      </c>
      <c r="L22" s="11">
        <f t="shared" si="17"/>
        <v>0</v>
      </c>
      <c r="M22" s="11">
        <f t="shared" si="17"/>
        <v>0</v>
      </c>
      <c r="N22" s="11">
        <f t="shared" si="17"/>
        <v>0</v>
      </c>
      <c r="O22" s="11">
        <f t="shared" si="17"/>
        <v>0</v>
      </c>
      <c r="P22" s="11">
        <f t="shared" si="17"/>
        <v>0</v>
      </c>
      <c r="Q22" s="11">
        <f t="shared" si="17"/>
        <v>0</v>
      </c>
      <c r="R22" s="11">
        <f t="shared" si="17"/>
        <v>0</v>
      </c>
      <c r="S22" s="11">
        <f t="shared" si="17"/>
        <v>0</v>
      </c>
      <c r="T22" s="11">
        <f t="shared" si="17"/>
        <v>0</v>
      </c>
      <c r="U22" s="11">
        <f t="shared" si="17"/>
        <v>0</v>
      </c>
      <c r="V22" s="11">
        <f t="shared" si="17"/>
        <v>0</v>
      </c>
      <c r="W22" s="11">
        <f t="shared" si="17"/>
        <v>0</v>
      </c>
      <c r="X22" s="11">
        <f t="shared" si="17"/>
        <v>0</v>
      </c>
      <c r="Y22" s="11">
        <f t="shared" si="17"/>
        <v>0</v>
      </c>
      <c r="Z22" s="11">
        <f t="shared" si="17"/>
        <v>0</v>
      </c>
      <c r="AA22" s="11">
        <f t="shared" si="17"/>
        <v>0</v>
      </c>
      <c r="AB22" s="11">
        <f t="shared" si="17"/>
        <v>0</v>
      </c>
      <c r="AC22" s="11">
        <f t="shared" si="17"/>
        <v>0</v>
      </c>
      <c r="AD22" s="11">
        <f t="shared" si="17"/>
        <v>0</v>
      </c>
      <c r="AE22" s="11">
        <f t="shared" si="17"/>
        <v>0</v>
      </c>
      <c r="AF22" s="11">
        <f t="shared" si="17"/>
        <v>0</v>
      </c>
      <c r="AG22" s="11">
        <f t="shared" si="17"/>
        <v>0</v>
      </c>
      <c r="AH22" s="11">
        <f t="shared" si="17"/>
        <v>0</v>
      </c>
      <c r="AI22" s="11">
        <f t="shared" si="17"/>
        <v>0</v>
      </c>
      <c r="AJ22" s="11">
        <f t="shared" si="17"/>
        <v>0</v>
      </c>
      <c r="AK22" s="11">
        <f t="shared" si="17"/>
        <v>0</v>
      </c>
      <c r="AL22" s="11">
        <f t="shared" si="17"/>
        <v>0</v>
      </c>
      <c r="AM22" s="11">
        <f t="shared" si="17"/>
        <v>0</v>
      </c>
      <c r="AN22" s="11">
        <f t="shared" si="17"/>
        <v>0</v>
      </c>
      <c r="AO22" s="11">
        <f t="shared" si="17"/>
        <v>0</v>
      </c>
      <c r="AP22" s="11">
        <f t="shared" si="17"/>
        <v>0</v>
      </c>
      <c r="AQ22" s="11">
        <f t="shared" si="17"/>
        <v>0</v>
      </c>
      <c r="AR22" s="11">
        <f t="shared" si="17"/>
        <v>0</v>
      </c>
      <c r="AS22" s="11">
        <f t="shared" si="17"/>
        <v>0</v>
      </c>
      <c r="AT22" s="11">
        <f t="shared" si="17"/>
        <v>0</v>
      </c>
      <c r="AU22" s="11">
        <f t="shared" si="17"/>
        <v>0</v>
      </c>
      <c r="AV22" s="11">
        <f t="shared" si="17"/>
        <v>0</v>
      </c>
      <c r="AW22" s="11">
        <f t="shared" si="17"/>
        <v>0</v>
      </c>
      <c r="AX22" s="11">
        <f t="shared" si="17"/>
        <v>0</v>
      </c>
      <c r="AY22" s="11">
        <f t="shared" si="17"/>
        <v>0</v>
      </c>
      <c r="AZ22" s="11">
        <f t="shared" si="17"/>
        <v>0</v>
      </c>
      <c r="BA22" s="11">
        <f t="shared" si="17"/>
        <v>0</v>
      </c>
      <c r="BB22" s="11">
        <f t="shared" si="17"/>
        <v>0</v>
      </c>
      <c r="BC22" s="11">
        <f t="shared" si="17"/>
        <v>0</v>
      </c>
      <c r="BD22" s="11">
        <f t="shared" si="17"/>
        <v>0</v>
      </c>
      <c r="BE22" s="11">
        <f t="shared" si="17"/>
        <v>0</v>
      </c>
      <c r="BF22" s="11">
        <f t="shared" si="17"/>
        <v>0</v>
      </c>
      <c r="BG22" s="11">
        <f t="shared" si="17"/>
        <v>0</v>
      </c>
      <c r="BH22" s="11">
        <f t="shared" si="17"/>
        <v>0</v>
      </c>
      <c r="BI22" s="11">
        <f t="shared" si="17"/>
        <v>0</v>
      </c>
      <c r="BJ22" s="11">
        <f t="shared" si="17"/>
        <v>0</v>
      </c>
      <c r="BK22" s="11">
        <f t="shared" si="17"/>
        <v>0</v>
      </c>
      <c r="BL22" s="11">
        <f t="shared" si="17"/>
        <v>0</v>
      </c>
      <c r="BM22" s="11">
        <f t="shared" si="17"/>
        <v>0</v>
      </c>
      <c r="BN22" s="11">
        <f t="shared" si="17"/>
        <v>0</v>
      </c>
      <c r="BO22" s="11">
        <f t="shared" si="17"/>
        <v>0</v>
      </c>
      <c r="BP22" s="11">
        <f t="shared" si="17"/>
        <v>0</v>
      </c>
      <c r="BQ22" s="11">
        <f t="shared" si="17"/>
        <v>0</v>
      </c>
      <c r="BR22" s="11">
        <f t="shared" si="17"/>
        <v>0</v>
      </c>
      <c r="BS22" s="11">
        <f t="shared" si="17"/>
        <v>0</v>
      </c>
      <c r="BT22" s="11">
        <f t="shared" si="17"/>
        <v>0</v>
      </c>
      <c r="BU22" s="11">
        <f t="shared" ref="BU22:DC22" si="18">SUM(BU23:BU30)+BU31</f>
        <v>0</v>
      </c>
      <c r="BV22" s="11">
        <f t="shared" si="18"/>
        <v>0</v>
      </c>
      <c r="BW22" s="11">
        <f t="shared" si="18"/>
        <v>0</v>
      </c>
      <c r="BX22" s="11">
        <f t="shared" si="18"/>
        <v>0</v>
      </c>
      <c r="BY22" s="11">
        <f t="shared" si="18"/>
        <v>0</v>
      </c>
      <c r="BZ22" s="11">
        <f t="shared" si="18"/>
        <v>0</v>
      </c>
      <c r="CA22" s="11">
        <f t="shared" si="18"/>
        <v>0</v>
      </c>
      <c r="CB22" s="11">
        <f t="shared" si="18"/>
        <v>0</v>
      </c>
      <c r="CC22" s="11">
        <f t="shared" si="18"/>
        <v>0</v>
      </c>
      <c r="CD22" s="11">
        <f t="shared" si="18"/>
        <v>0</v>
      </c>
      <c r="CE22" s="11">
        <f t="shared" si="18"/>
        <v>0</v>
      </c>
      <c r="CF22" s="11">
        <f t="shared" si="18"/>
        <v>0</v>
      </c>
      <c r="CG22" s="11">
        <f t="shared" si="18"/>
        <v>0</v>
      </c>
      <c r="CH22" s="11">
        <f t="shared" si="18"/>
        <v>0</v>
      </c>
      <c r="CI22" s="11">
        <f t="shared" si="18"/>
        <v>0</v>
      </c>
      <c r="CJ22" s="11">
        <f t="shared" si="18"/>
        <v>0</v>
      </c>
      <c r="CK22" s="11">
        <f t="shared" si="18"/>
        <v>0</v>
      </c>
      <c r="CL22" s="11">
        <f t="shared" si="18"/>
        <v>0</v>
      </c>
      <c r="CM22" s="11">
        <f t="shared" si="18"/>
        <v>0</v>
      </c>
      <c r="CN22" s="11">
        <f t="shared" si="18"/>
        <v>0</v>
      </c>
      <c r="CO22" s="11">
        <f t="shared" si="18"/>
        <v>0</v>
      </c>
      <c r="CP22" s="11">
        <f t="shared" si="18"/>
        <v>0</v>
      </c>
      <c r="CQ22" s="11">
        <f t="shared" si="18"/>
        <v>0</v>
      </c>
      <c r="CR22" s="11">
        <f t="shared" si="18"/>
        <v>0</v>
      </c>
      <c r="CS22" s="11">
        <f t="shared" si="18"/>
        <v>0</v>
      </c>
      <c r="CT22" s="11">
        <f t="shared" si="18"/>
        <v>0</v>
      </c>
      <c r="CU22" s="11">
        <f t="shared" si="18"/>
        <v>0</v>
      </c>
      <c r="CV22" s="11">
        <f t="shared" si="18"/>
        <v>0</v>
      </c>
      <c r="CW22" s="11">
        <f t="shared" si="18"/>
        <v>0</v>
      </c>
      <c r="CX22" s="11">
        <f t="shared" si="18"/>
        <v>0</v>
      </c>
      <c r="CY22" s="11">
        <f t="shared" si="18"/>
        <v>0</v>
      </c>
      <c r="CZ22" s="11">
        <f t="shared" si="18"/>
        <v>0</v>
      </c>
      <c r="DA22" s="11">
        <f t="shared" si="18"/>
        <v>0</v>
      </c>
      <c r="DB22" s="11">
        <f t="shared" si="18"/>
        <v>0</v>
      </c>
      <c r="DC22" s="11">
        <f t="shared" si="18"/>
        <v>0</v>
      </c>
      <c r="DF22" s="46">
        <f t="shared" si="16"/>
        <v>0</v>
      </c>
    </row>
    <row r="23" spans="1:112" ht="14.4">
      <c r="A23" s="124">
        <v>11</v>
      </c>
      <c r="B23" s="5" t="str">
        <f>$B$22&amp;"1."</f>
        <v>D.2.1.</v>
      </c>
      <c r="C23" s="164" t="s">
        <v>42</v>
      </c>
      <c r="D23" s="6"/>
      <c r="E23" s="192">
        <v>0.21</v>
      </c>
      <c r="F23" s="35">
        <f>H23+NPV(FD,I23:INDEX(I23:DC23,PAL))</f>
        <v>0</v>
      </c>
      <c r="G23" s="35">
        <f>SUMIF($H$5:$DC$5,"&lt;="&amp;PAL,$H23:$DC23)</f>
        <v>0</v>
      </c>
      <c r="H23" s="38">
        <v>0</v>
      </c>
      <c r="I23" s="38">
        <v>0</v>
      </c>
      <c r="J23" s="38">
        <v>0</v>
      </c>
      <c r="K23" s="38">
        <v>0</v>
      </c>
      <c r="L23" s="38">
        <v>0</v>
      </c>
      <c r="M23" s="38">
        <v>0</v>
      </c>
      <c r="N23" s="38">
        <v>0</v>
      </c>
      <c r="O23" s="38">
        <v>0</v>
      </c>
      <c r="P23" s="38">
        <v>0</v>
      </c>
      <c r="Q23" s="38">
        <v>0</v>
      </c>
      <c r="R23" s="38">
        <v>0</v>
      </c>
      <c r="S23" s="38">
        <v>0</v>
      </c>
      <c r="T23" s="38">
        <v>0</v>
      </c>
      <c r="U23" s="38">
        <v>0</v>
      </c>
      <c r="V23" s="38">
        <v>0</v>
      </c>
      <c r="W23" s="38">
        <v>0</v>
      </c>
      <c r="X23" s="38">
        <v>0</v>
      </c>
      <c r="Y23" s="38">
        <v>0</v>
      </c>
      <c r="Z23" s="38">
        <v>0</v>
      </c>
      <c r="AA23" s="38">
        <v>0</v>
      </c>
      <c r="AB23" s="38">
        <v>0</v>
      </c>
      <c r="AC23" s="38">
        <v>0</v>
      </c>
      <c r="AD23" s="38">
        <v>0</v>
      </c>
      <c r="AE23" s="38">
        <v>0</v>
      </c>
      <c r="AF23" s="38">
        <v>0</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0</v>
      </c>
      <c r="BO23" s="38">
        <v>0</v>
      </c>
      <c r="BP23" s="38">
        <v>0</v>
      </c>
      <c r="BQ23" s="38">
        <v>0</v>
      </c>
      <c r="BR23" s="38">
        <v>0</v>
      </c>
      <c r="BS23" s="38">
        <v>0</v>
      </c>
      <c r="BT23" s="38">
        <v>0</v>
      </c>
      <c r="BU23" s="38">
        <v>0</v>
      </c>
      <c r="BV23" s="38">
        <v>0</v>
      </c>
      <c r="BW23" s="38">
        <v>0</v>
      </c>
      <c r="BX23" s="38">
        <v>0</v>
      </c>
      <c r="BY23" s="38">
        <v>0</v>
      </c>
      <c r="BZ23" s="38">
        <v>0</v>
      </c>
      <c r="CA23" s="38">
        <v>0</v>
      </c>
      <c r="CB23" s="38">
        <v>0</v>
      </c>
      <c r="CC23" s="38">
        <v>0</v>
      </c>
      <c r="CD23" s="38">
        <v>0</v>
      </c>
      <c r="CE23" s="38">
        <v>0</v>
      </c>
      <c r="CF23" s="38">
        <v>0</v>
      </c>
      <c r="CG23" s="38">
        <v>0</v>
      </c>
      <c r="CH23" s="38">
        <v>0</v>
      </c>
      <c r="CI23" s="38">
        <v>0</v>
      </c>
      <c r="CJ23" s="38">
        <v>0</v>
      </c>
      <c r="CK23" s="38">
        <v>0</v>
      </c>
      <c r="CL23" s="38">
        <v>0</v>
      </c>
      <c r="CM23" s="38">
        <v>0</v>
      </c>
      <c r="CN23" s="38">
        <v>0</v>
      </c>
      <c r="CO23" s="38">
        <v>0</v>
      </c>
      <c r="CP23" s="38">
        <v>0</v>
      </c>
      <c r="CQ23" s="38">
        <v>0</v>
      </c>
      <c r="CR23" s="38">
        <v>0</v>
      </c>
      <c r="CS23" s="38">
        <v>0</v>
      </c>
      <c r="CT23" s="38">
        <v>0</v>
      </c>
      <c r="CU23" s="38">
        <v>0</v>
      </c>
      <c r="CV23" s="38">
        <v>0</v>
      </c>
      <c r="CW23" s="38">
        <v>0</v>
      </c>
      <c r="CX23" s="38">
        <v>0</v>
      </c>
      <c r="CY23" s="38">
        <v>0</v>
      </c>
      <c r="CZ23" s="38">
        <v>0</v>
      </c>
      <c r="DA23" s="38">
        <v>0</v>
      </c>
      <c r="DB23" s="38">
        <v>0</v>
      </c>
      <c r="DC23" s="38">
        <v>0</v>
      </c>
      <c r="DE23" s="46">
        <f>COUNTBLANK(H23:DC23)</f>
        <v>0</v>
      </c>
      <c r="DF23" s="46">
        <f t="shared" si="16"/>
        <v>0</v>
      </c>
      <c r="DG23">
        <f t="shared" ref="DG23:DG32" si="19">IF(ISNUMBER(E23),E23*100,0)</f>
        <v>21</v>
      </c>
      <c r="DH23">
        <v>0</v>
      </c>
    </row>
    <row r="24" spans="1:112" ht="14.4">
      <c r="A24" s="124">
        <v>12</v>
      </c>
      <c r="B24" s="5" t="str">
        <f>$B$22&amp;"2."</f>
        <v>D.2.2.</v>
      </c>
      <c r="C24" s="164" t="s">
        <v>42</v>
      </c>
      <c r="D24" s="6"/>
      <c r="E24" s="192">
        <v>0.21</v>
      </c>
      <c r="F24" s="35">
        <f>H24+NPV(FD,I24:INDEX(I24:DC24,PAL))</f>
        <v>0</v>
      </c>
      <c r="G24" s="35">
        <f>SUMIF($H$5:$DC$5,"&lt;="&amp;PAL,$H24:$DC24)</f>
        <v>0</v>
      </c>
      <c r="H24" s="38">
        <v>0</v>
      </c>
      <c r="I24" s="38">
        <v>0</v>
      </c>
      <c r="J24" s="38">
        <v>0</v>
      </c>
      <c r="K24" s="38">
        <v>0</v>
      </c>
      <c r="L24" s="38">
        <v>0</v>
      </c>
      <c r="M24" s="38">
        <v>0</v>
      </c>
      <c r="N24" s="38">
        <v>0</v>
      </c>
      <c r="O24" s="38">
        <v>0</v>
      </c>
      <c r="P24" s="38">
        <v>0</v>
      </c>
      <c r="Q24" s="38">
        <v>0</v>
      </c>
      <c r="R24" s="38">
        <v>0</v>
      </c>
      <c r="S24" s="38">
        <v>0</v>
      </c>
      <c r="T24" s="38">
        <v>0</v>
      </c>
      <c r="U24" s="38">
        <v>0</v>
      </c>
      <c r="V24" s="38">
        <v>0</v>
      </c>
      <c r="W24" s="38">
        <v>0</v>
      </c>
      <c r="X24" s="38">
        <v>0</v>
      </c>
      <c r="Y24" s="38">
        <v>0</v>
      </c>
      <c r="Z24" s="38">
        <v>0</v>
      </c>
      <c r="AA24" s="38">
        <v>0</v>
      </c>
      <c r="AB24" s="38">
        <v>0</v>
      </c>
      <c r="AC24" s="38">
        <v>0</v>
      </c>
      <c r="AD24" s="38">
        <v>0</v>
      </c>
      <c r="AE24" s="38">
        <v>0</v>
      </c>
      <c r="AF24" s="38">
        <v>0</v>
      </c>
      <c r="AG24" s="38">
        <v>0</v>
      </c>
      <c r="AH24" s="38">
        <v>0</v>
      </c>
      <c r="AI24" s="38">
        <v>0</v>
      </c>
      <c r="AJ24" s="38">
        <v>0</v>
      </c>
      <c r="AK24" s="38">
        <v>0</v>
      </c>
      <c r="AL24" s="38">
        <v>0</v>
      </c>
      <c r="AM24" s="38">
        <v>0</v>
      </c>
      <c r="AN24" s="38">
        <v>0</v>
      </c>
      <c r="AO24" s="38">
        <v>0</v>
      </c>
      <c r="AP24" s="38">
        <v>0</v>
      </c>
      <c r="AQ24" s="38">
        <v>0</v>
      </c>
      <c r="AR24" s="38">
        <v>0</v>
      </c>
      <c r="AS24" s="38">
        <v>0</v>
      </c>
      <c r="AT24" s="38">
        <v>0</v>
      </c>
      <c r="AU24" s="38">
        <v>0</v>
      </c>
      <c r="AV24" s="38">
        <v>0</v>
      </c>
      <c r="AW24" s="38">
        <v>0</v>
      </c>
      <c r="AX24" s="38">
        <v>0</v>
      </c>
      <c r="AY24" s="38">
        <v>0</v>
      </c>
      <c r="AZ24" s="38">
        <v>0</v>
      </c>
      <c r="BA24" s="38">
        <v>0</v>
      </c>
      <c r="BB24" s="38">
        <v>0</v>
      </c>
      <c r="BC24" s="38">
        <v>0</v>
      </c>
      <c r="BD24" s="38">
        <v>0</v>
      </c>
      <c r="BE24" s="38">
        <v>0</v>
      </c>
      <c r="BF24" s="38">
        <v>0</v>
      </c>
      <c r="BG24" s="38">
        <v>0</v>
      </c>
      <c r="BH24" s="38">
        <v>0</v>
      </c>
      <c r="BI24" s="38">
        <v>0</v>
      </c>
      <c r="BJ24" s="38">
        <v>0</v>
      </c>
      <c r="BK24" s="38">
        <v>0</v>
      </c>
      <c r="BL24" s="38">
        <v>0</v>
      </c>
      <c r="BM24" s="38">
        <v>0</v>
      </c>
      <c r="BN24" s="38">
        <v>0</v>
      </c>
      <c r="BO24" s="38">
        <v>0</v>
      </c>
      <c r="BP24" s="38">
        <v>0</v>
      </c>
      <c r="BQ24" s="38">
        <v>0</v>
      </c>
      <c r="BR24" s="38">
        <v>0</v>
      </c>
      <c r="BS24" s="38">
        <v>0</v>
      </c>
      <c r="BT24" s="38">
        <v>0</v>
      </c>
      <c r="BU24" s="38">
        <v>0</v>
      </c>
      <c r="BV24" s="38">
        <v>0</v>
      </c>
      <c r="BW24" s="38">
        <v>0</v>
      </c>
      <c r="BX24" s="38">
        <v>0</v>
      </c>
      <c r="BY24" s="38">
        <v>0</v>
      </c>
      <c r="BZ24" s="38">
        <v>0</v>
      </c>
      <c r="CA24" s="38">
        <v>0</v>
      </c>
      <c r="CB24" s="38">
        <v>0</v>
      </c>
      <c r="CC24" s="38">
        <v>0</v>
      </c>
      <c r="CD24" s="38">
        <v>0</v>
      </c>
      <c r="CE24" s="38">
        <v>0</v>
      </c>
      <c r="CF24" s="38">
        <v>0</v>
      </c>
      <c r="CG24" s="38">
        <v>0</v>
      </c>
      <c r="CH24" s="38">
        <v>0</v>
      </c>
      <c r="CI24" s="38">
        <v>0</v>
      </c>
      <c r="CJ24" s="38">
        <v>0</v>
      </c>
      <c r="CK24" s="38">
        <v>0</v>
      </c>
      <c r="CL24" s="38">
        <v>0</v>
      </c>
      <c r="CM24" s="38">
        <v>0</v>
      </c>
      <c r="CN24" s="38">
        <v>0</v>
      </c>
      <c r="CO24" s="38">
        <v>0</v>
      </c>
      <c r="CP24" s="38">
        <v>0</v>
      </c>
      <c r="CQ24" s="38">
        <v>0</v>
      </c>
      <c r="CR24" s="38">
        <v>0</v>
      </c>
      <c r="CS24" s="38">
        <v>0</v>
      </c>
      <c r="CT24" s="38">
        <v>0</v>
      </c>
      <c r="CU24" s="38">
        <v>0</v>
      </c>
      <c r="CV24" s="38">
        <v>0</v>
      </c>
      <c r="CW24" s="38">
        <v>0</v>
      </c>
      <c r="CX24" s="38">
        <v>0</v>
      </c>
      <c r="CY24" s="38">
        <v>0</v>
      </c>
      <c r="CZ24" s="38">
        <v>0</v>
      </c>
      <c r="DA24" s="38">
        <v>0</v>
      </c>
      <c r="DB24" s="38">
        <v>0</v>
      </c>
      <c r="DC24" s="38">
        <v>0</v>
      </c>
      <c r="DE24" s="46">
        <f t="shared" ref="DE24:DE32" si="20">COUNTBLANK(H24:DC24)</f>
        <v>0</v>
      </c>
      <c r="DF24" s="46">
        <f t="shared" si="16"/>
        <v>0</v>
      </c>
      <c r="DG24">
        <f t="shared" si="19"/>
        <v>21</v>
      </c>
      <c r="DH24">
        <v>0</v>
      </c>
    </row>
    <row r="25" spans="1:112" ht="14.4">
      <c r="A25" s="124">
        <v>13</v>
      </c>
      <c r="B25" s="5" t="str">
        <f>$B$22&amp;"3."</f>
        <v>D.2.3.</v>
      </c>
      <c r="C25" s="164" t="s">
        <v>42</v>
      </c>
      <c r="D25" s="6"/>
      <c r="E25" s="192">
        <v>0.21</v>
      </c>
      <c r="F25" s="35">
        <f>H25+NPV(FD,I25:INDEX(I25:DC25,PAL))</f>
        <v>0</v>
      </c>
      <c r="G25" s="35">
        <f>SUMIF($H$5:$DC$5,"&lt;="&amp;PAL,$H25:$DC25)</f>
        <v>0</v>
      </c>
      <c r="H25" s="38">
        <v>0</v>
      </c>
      <c r="I25" s="38">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0</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0</v>
      </c>
      <c r="BO25" s="38">
        <v>0</v>
      </c>
      <c r="BP25" s="38">
        <v>0</v>
      </c>
      <c r="BQ25" s="38">
        <v>0</v>
      </c>
      <c r="BR25" s="38">
        <v>0</v>
      </c>
      <c r="BS25" s="38">
        <v>0</v>
      </c>
      <c r="BT25" s="38">
        <v>0</v>
      </c>
      <c r="BU25" s="38">
        <v>0</v>
      </c>
      <c r="BV25" s="38">
        <v>0</v>
      </c>
      <c r="BW25" s="38">
        <v>0</v>
      </c>
      <c r="BX25" s="38">
        <v>0</v>
      </c>
      <c r="BY25" s="38">
        <v>0</v>
      </c>
      <c r="BZ25" s="38">
        <v>0</v>
      </c>
      <c r="CA25" s="38">
        <v>0</v>
      </c>
      <c r="CB25" s="38">
        <v>0</v>
      </c>
      <c r="CC25" s="38">
        <v>0</v>
      </c>
      <c r="CD25" s="38">
        <v>0</v>
      </c>
      <c r="CE25" s="38">
        <v>0</v>
      </c>
      <c r="CF25" s="38">
        <v>0</v>
      </c>
      <c r="CG25" s="38">
        <v>0</v>
      </c>
      <c r="CH25" s="38">
        <v>0</v>
      </c>
      <c r="CI25" s="38">
        <v>0</v>
      </c>
      <c r="CJ25" s="38">
        <v>0</v>
      </c>
      <c r="CK25" s="38">
        <v>0</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E25" s="46">
        <f t="shared" si="20"/>
        <v>0</v>
      </c>
      <c r="DF25" s="46">
        <f t="shared" si="16"/>
        <v>0</v>
      </c>
      <c r="DG25">
        <f t="shared" si="19"/>
        <v>21</v>
      </c>
      <c r="DH25">
        <v>0</v>
      </c>
    </row>
    <row r="26" spans="1:112" ht="14.4">
      <c r="A26" s="124">
        <v>14</v>
      </c>
      <c r="B26" s="5" t="str">
        <f>$B$22&amp;"4."</f>
        <v>D.2.4.</v>
      </c>
      <c r="C26" s="164" t="s">
        <v>42</v>
      </c>
      <c r="D26" s="6"/>
      <c r="E26" s="192">
        <v>0.21</v>
      </c>
      <c r="F26" s="35">
        <f>H26+NPV(FD,I26:INDEX(I26:DC26,PAL))</f>
        <v>0</v>
      </c>
      <c r="G26" s="35">
        <f>SUMIF($H$5:$DC$5,"&lt;="&amp;PAL,$H26:$DC26)</f>
        <v>0</v>
      </c>
      <c r="H26" s="38">
        <v>0</v>
      </c>
      <c r="I26" s="38">
        <v>0</v>
      </c>
      <c r="J26" s="38">
        <v>0</v>
      </c>
      <c r="K26" s="38">
        <v>0</v>
      </c>
      <c r="L26" s="38">
        <v>0</v>
      </c>
      <c r="M26" s="38">
        <v>0</v>
      </c>
      <c r="N26" s="38">
        <v>0</v>
      </c>
      <c r="O26" s="38">
        <v>0</v>
      </c>
      <c r="P26" s="38">
        <v>0</v>
      </c>
      <c r="Q26" s="38">
        <v>0</v>
      </c>
      <c r="R26" s="38">
        <v>0</v>
      </c>
      <c r="S26" s="38">
        <v>0</v>
      </c>
      <c r="T26" s="38">
        <v>0</v>
      </c>
      <c r="U26" s="38">
        <v>0</v>
      </c>
      <c r="V26" s="38">
        <v>0</v>
      </c>
      <c r="W26" s="38">
        <v>0</v>
      </c>
      <c r="X26" s="38">
        <v>0</v>
      </c>
      <c r="Y26" s="38">
        <v>0</v>
      </c>
      <c r="Z26" s="38">
        <v>0</v>
      </c>
      <c r="AA26" s="38">
        <v>0</v>
      </c>
      <c r="AB26" s="38">
        <v>0</v>
      </c>
      <c r="AC26" s="38">
        <v>0</v>
      </c>
      <c r="AD26" s="38">
        <v>0</v>
      </c>
      <c r="AE26" s="38">
        <v>0</v>
      </c>
      <c r="AF26" s="38">
        <v>0</v>
      </c>
      <c r="AG26" s="38">
        <v>0</v>
      </c>
      <c r="AH26" s="38">
        <v>0</v>
      </c>
      <c r="AI26" s="38">
        <v>0</v>
      </c>
      <c r="AJ26" s="38">
        <v>0</v>
      </c>
      <c r="AK26" s="38">
        <v>0</v>
      </c>
      <c r="AL26" s="38">
        <v>0</v>
      </c>
      <c r="AM26" s="38">
        <v>0</v>
      </c>
      <c r="AN26" s="38">
        <v>0</v>
      </c>
      <c r="AO26" s="38">
        <v>0</v>
      </c>
      <c r="AP26" s="38">
        <v>0</v>
      </c>
      <c r="AQ26" s="38">
        <v>0</v>
      </c>
      <c r="AR26" s="38">
        <v>0</v>
      </c>
      <c r="AS26" s="38">
        <v>0</v>
      </c>
      <c r="AT26" s="38">
        <v>0</v>
      </c>
      <c r="AU26" s="38">
        <v>0</v>
      </c>
      <c r="AV26" s="38">
        <v>0</v>
      </c>
      <c r="AW26" s="38">
        <v>0</v>
      </c>
      <c r="AX26" s="38">
        <v>0</v>
      </c>
      <c r="AY26" s="38">
        <v>0</v>
      </c>
      <c r="AZ26" s="38">
        <v>0</v>
      </c>
      <c r="BA26" s="38">
        <v>0</v>
      </c>
      <c r="BB26" s="38">
        <v>0</v>
      </c>
      <c r="BC26" s="38">
        <v>0</v>
      </c>
      <c r="BD26" s="38">
        <v>0</v>
      </c>
      <c r="BE26" s="38">
        <v>0</v>
      </c>
      <c r="BF26" s="38">
        <v>0</v>
      </c>
      <c r="BG26" s="38">
        <v>0</v>
      </c>
      <c r="BH26" s="38">
        <v>0</v>
      </c>
      <c r="BI26" s="38">
        <v>0</v>
      </c>
      <c r="BJ26" s="38">
        <v>0</v>
      </c>
      <c r="BK26" s="38">
        <v>0</v>
      </c>
      <c r="BL26" s="38">
        <v>0</v>
      </c>
      <c r="BM26" s="38">
        <v>0</v>
      </c>
      <c r="BN26" s="38">
        <v>0</v>
      </c>
      <c r="BO26" s="38">
        <v>0</v>
      </c>
      <c r="BP26" s="38">
        <v>0</v>
      </c>
      <c r="BQ26" s="38">
        <v>0</v>
      </c>
      <c r="BR26" s="38">
        <v>0</v>
      </c>
      <c r="BS26" s="38">
        <v>0</v>
      </c>
      <c r="BT26" s="38">
        <v>0</v>
      </c>
      <c r="BU26" s="38">
        <v>0</v>
      </c>
      <c r="BV26" s="38">
        <v>0</v>
      </c>
      <c r="BW26" s="38">
        <v>0</v>
      </c>
      <c r="BX26" s="38">
        <v>0</v>
      </c>
      <c r="BY26" s="38">
        <v>0</v>
      </c>
      <c r="BZ26" s="38">
        <v>0</v>
      </c>
      <c r="CA26" s="38">
        <v>0</v>
      </c>
      <c r="CB26" s="38">
        <v>0</v>
      </c>
      <c r="CC26" s="38">
        <v>0</v>
      </c>
      <c r="CD26" s="38">
        <v>0</v>
      </c>
      <c r="CE26" s="38">
        <v>0</v>
      </c>
      <c r="CF26" s="38">
        <v>0</v>
      </c>
      <c r="CG26" s="38">
        <v>0</v>
      </c>
      <c r="CH26" s="38">
        <v>0</v>
      </c>
      <c r="CI26" s="38">
        <v>0</v>
      </c>
      <c r="CJ26" s="38">
        <v>0</v>
      </c>
      <c r="CK26" s="38">
        <v>0</v>
      </c>
      <c r="CL26" s="38">
        <v>0</v>
      </c>
      <c r="CM26" s="38">
        <v>0</v>
      </c>
      <c r="CN26" s="38">
        <v>0</v>
      </c>
      <c r="CO26" s="38">
        <v>0</v>
      </c>
      <c r="CP26" s="38">
        <v>0</v>
      </c>
      <c r="CQ26" s="38">
        <v>0</v>
      </c>
      <c r="CR26" s="38">
        <v>0</v>
      </c>
      <c r="CS26" s="38">
        <v>0</v>
      </c>
      <c r="CT26" s="38">
        <v>0</v>
      </c>
      <c r="CU26" s="38">
        <v>0</v>
      </c>
      <c r="CV26" s="38">
        <v>0</v>
      </c>
      <c r="CW26" s="38">
        <v>0</v>
      </c>
      <c r="CX26" s="38">
        <v>0</v>
      </c>
      <c r="CY26" s="38">
        <v>0</v>
      </c>
      <c r="CZ26" s="38">
        <v>0</v>
      </c>
      <c r="DA26" s="38">
        <v>0</v>
      </c>
      <c r="DB26" s="38">
        <v>0</v>
      </c>
      <c r="DC26" s="38">
        <v>0</v>
      </c>
      <c r="DE26" s="46">
        <f t="shared" si="20"/>
        <v>0</v>
      </c>
      <c r="DF26" s="46">
        <f t="shared" si="16"/>
        <v>0</v>
      </c>
      <c r="DG26">
        <f t="shared" si="19"/>
        <v>21</v>
      </c>
      <c r="DH26">
        <v>0</v>
      </c>
    </row>
    <row r="27" spans="1:112" ht="14.4">
      <c r="A27" s="124">
        <v>15</v>
      </c>
      <c r="B27" s="5" t="str">
        <f>$B$22&amp;"5."</f>
        <v>D.2.5.</v>
      </c>
      <c r="C27" s="164" t="s">
        <v>42</v>
      </c>
      <c r="D27" s="6"/>
      <c r="E27" s="192">
        <v>0.21</v>
      </c>
      <c r="F27" s="35">
        <f>H27+NPV(FD,I27:INDEX(I27:DC27,PAL))</f>
        <v>0</v>
      </c>
      <c r="G27" s="35">
        <f>SUMIF($H$5:$DC$5,"&lt;="&amp;PAL,$H27:$DC27)</f>
        <v>0</v>
      </c>
      <c r="H27" s="38">
        <v>0</v>
      </c>
      <c r="I27" s="38">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0</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0</v>
      </c>
      <c r="AT27" s="38">
        <v>0</v>
      </c>
      <c r="AU27" s="38">
        <v>0</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0</v>
      </c>
      <c r="BO27" s="38">
        <v>0</v>
      </c>
      <c r="BP27" s="38">
        <v>0</v>
      </c>
      <c r="BQ27" s="38">
        <v>0</v>
      </c>
      <c r="BR27" s="38">
        <v>0</v>
      </c>
      <c r="BS27" s="38">
        <v>0</v>
      </c>
      <c r="BT27" s="38">
        <v>0</v>
      </c>
      <c r="BU27" s="38">
        <v>0</v>
      </c>
      <c r="BV27" s="38">
        <v>0</v>
      </c>
      <c r="BW27" s="38">
        <v>0</v>
      </c>
      <c r="BX27" s="38">
        <v>0</v>
      </c>
      <c r="BY27" s="38">
        <v>0</v>
      </c>
      <c r="BZ27" s="38">
        <v>0</v>
      </c>
      <c r="CA27" s="38">
        <v>0</v>
      </c>
      <c r="CB27" s="38">
        <v>0</v>
      </c>
      <c r="CC27" s="38">
        <v>0</v>
      </c>
      <c r="CD27" s="38">
        <v>0</v>
      </c>
      <c r="CE27" s="38">
        <v>0</v>
      </c>
      <c r="CF27" s="38">
        <v>0</v>
      </c>
      <c r="CG27" s="38">
        <v>0</v>
      </c>
      <c r="CH27" s="38">
        <v>0</v>
      </c>
      <c r="CI27" s="38">
        <v>0</v>
      </c>
      <c r="CJ27" s="38">
        <v>0</v>
      </c>
      <c r="CK27" s="38">
        <v>0</v>
      </c>
      <c r="CL27" s="38">
        <v>0</v>
      </c>
      <c r="CM27" s="38">
        <v>0</v>
      </c>
      <c r="CN27" s="38">
        <v>0</v>
      </c>
      <c r="CO27" s="38">
        <v>0</v>
      </c>
      <c r="CP27" s="38">
        <v>0</v>
      </c>
      <c r="CQ27" s="38">
        <v>0</v>
      </c>
      <c r="CR27" s="38">
        <v>0</v>
      </c>
      <c r="CS27" s="38">
        <v>0</v>
      </c>
      <c r="CT27" s="38">
        <v>0</v>
      </c>
      <c r="CU27" s="38">
        <v>0</v>
      </c>
      <c r="CV27" s="38">
        <v>0</v>
      </c>
      <c r="CW27" s="38">
        <v>0</v>
      </c>
      <c r="CX27" s="38">
        <v>0</v>
      </c>
      <c r="CY27" s="38">
        <v>0</v>
      </c>
      <c r="CZ27" s="38">
        <v>0</v>
      </c>
      <c r="DA27" s="38">
        <v>0</v>
      </c>
      <c r="DB27" s="38">
        <v>0</v>
      </c>
      <c r="DC27" s="38">
        <v>0</v>
      </c>
      <c r="DE27" s="46">
        <f t="shared" si="20"/>
        <v>0</v>
      </c>
      <c r="DF27" s="46">
        <f t="shared" si="16"/>
        <v>0</v>
      </c>
      <c r="DG27">
        <f t="shared" si="19"/>
        <v>21</v>
      </c>
      <c r="DH27">
        <v>0</v>
      </c>
    </row>
    <row r="28" spans="1:112" ht="14.4">
      <c r="A28" s="124">
        <v>16</v>
      </c>
      <c r="B28" s="5" t="str">
        <f>$B$22&amp;"6."</f>
        <v>D.2.6.</v>
      </c>
      <c r="C28" s="164" t="s">
        <v>42</v>
      </c>
      <c r="D28" s="6"/>
      <c r="E28" s="192">
        <v>0.21</v>
      </c>
      <c r="F28" s="35">
        <f>H28+NPV(FD,I28:INDEX(I28:DC28,PAL))</f>
        <v>0</v>
      </c>
      <c r="G28" s="35">
        <f>SUMIF($H$5:$DC$5,"&lt;="&amp;PAL,$H28:$DC28)</f>
        <v>0</v>
      </c>
      <c r="H28" s="38">
        <v>0</v>
      </c>
      <c r="I28" s="38">
        <v>0</v>
      </c>
      <c r="J28" s="38">
        <v>0</v>
      </c>
      <c r="K28" s="38">
        <v>0</v>
      </c>
      <c r="L28" s="38">
        <v>0</v>
      </c>
      <c r="M28" s="38">
        <v>0</v>
      </c>
      <c r="N28" s="38">
        <v>0</v>
      </c>
      <c r="O28" s="38">
        <v>0</v>
      </c>
      <c r="P28" s="38">
        <v>0</v>
      </c>
      <c r="Q28" s="38">
        <v>0</v>
      </c>
      <c r="R28" s="38">
        <v>0</v>
      </c>
      <c r="S28" s="38">
        <v>0</v>
      </c>
      <c r="T28" s="38">
        <v>0</v>
      </c>
      <c r="U28" s="38">
        <v>0</v>
      </c>
      <c r="V28" s="38">
        <v>0</v>
      </c>
      <c r="W28" s="38">
        <v>0</v>
      </c>
      <c r="X28" s="38">
        <v>0</v>
      </c>
      <c r="Y28" s="38">
        <v>0</v>
      </c>
      <c r="Z28" s="38">
        <v>0</v>
      </c>
      <c r="AA28" s="38">
        <v>0</v>
      </c>
      <c r="AB28" s="38">
        <v>0</v>
      </c>
      <c r="AC28" s="38">
        <v>0</v>
      </c>
      <c r="AD28" s="38">
        <v>0</v>
      </c>
      <c r="AE28" s="38">
        <v>0</v>
      </c>
      <c r="AF28" s="38">
        <v>0</v>
      </c>
      <c r="AG28" s="38">
        <v>0</v>
      </c>
      <c r="AH28" s="38">
        <v>0</v>
      </c>
      <c r="AI28" s="38">
        <v>0</v>
      </c>
      <c r="AJ28" s="38">
        <v>0</v>
      </c>
      <c r="AK28" s="38">
        <v>0</v>
      </c>
      <c r="AL28" s="38">
        <v>0</v>
      </c>
      <c r="AM28" s="38">
        <v>0</v>
      </c>
      <c r="AN28" s="38">
        <v>0</v>
      </c>
      <c r="AO28" s="38">
        <v>0</v>
      </c>
      <c r="AP28" s="38">
        <v>0</v>
      </c>
      <c r="AQ28" s="38">
        <v>0</v>
      </c>
      <c r="AR28" s="38">
        <v>0</v>
      </c>
      <c r="AS28" s="38">
        <v>0</v>
      </c>
      <c r="AT28" s="38">
        <v>0</v>
      </c>
      <c r="AU28" s="38">
        <v>0</v>
      </c>
      <c r="AV28" s="38">
        <v>0</v>
      </c>
      <c r="AW28" s="38">
        <v>0</v>
      </c>
      <c r="AX28" s="38">
        <v>0</v>
      </c>
      <c r="AY28" s="38">
        <v>0</v>
      </c>
      <c r="AZ28" s="38">
        <v>0</v>
      </c>
      <c r="BA28" s="38">
        <v>0</v>
      </c>
      <c r="BB28" s="38">
        <v>0</v>
      </c>
      <c r="BC28" s="38">
        <v>0</v>
      </c>
      <c r="BD28" s="38">
        <v>0</v>
      </c>
      <c r="BE28" s="38">
        <v>0</v>
      </c>
      <c r="BF28" s="38">
        <v>0</v>
      </c>
      <c r="BG28" s="38">
        <v>0</v>
      </c>
      <c r="BH28" s="38">
        <v>0</v>
      </c>
      <c r="BI28" s="38">
        <v>0</v>
      </c>
      <c r="BJ28" s="38">
        <v>0</v>
      </c>
      <c r="BK28" s="38">
        <v>0</v>
      </c>
      <c r="BL28" s="38">
        <v>0</v>
      </c>
      <c r="BM28" s="38">
        <v>0</v>
      </c>
      <c r="BN28" s="38">
        <v>0</v>
      </c>
      <c r="BO28" s="38">
        <v>0</v>
      </c>
      <c r="BP28" s="38">
        <v>0</v>
      </c>
      <c r="BQ28" s="38">
        <v>0</v>
      </c>
      <c r="BR28" s="38">
        <v>0</v>
      </c>
      <c r="BS28" s="38">
        <v>0</v>
      </c>
      <c r="BT28" s="38">
        <v>0</v>
      </c>
      <c r="BU28" s="38">
        <v>0</v>
      </c>
      <c r="BV28" s="38">
        <v>0</v>
      </c>
      <c r="BW28" s="38">
        <v>0</v>
      </c>
      <c r="BX28" s="38">
        <v>0</v>
      </c>
      <c r="BY28" s="38">
        <v>0</v>
      </c>
      <c r="BZ28" s="38">
        <v>0</v>
      </c>
      <c r="CA28" s="38">
        <v>0</v>
      </c>
      <c r="CB28" s="38">
        <v>0</v>
      </c>
      <c r="CC28" s="38">
        <v>0</v>
      </c>
      <c r="CD28" s="38">
        <v>0</v>
      </c>
      <c r="CE28" s="38">
        <v>0</v>
      </c>
      <c r="CF28" s="38">
        <v>0</v>
      </c>
      <c r="CG28" s="38">
        <v>0</v>
      </c>
      <c r="CH28" s="38">
        <v>0</v>
      </c>
      <c r="CI28" s="38">
        <v>0</v>
      </c>
      <c r="CJ28" s="38">
        <v>0</v>
      </c>
      <c r="CK28" s="38">
        <v>0</v>
      </c>
      <c r="CL28" s="38">
        <v>0</v>
      </c>
      <c r="CM28" s="38">
        <v>0</v>
      </c>
      <c r="CN28" s="38">
        <v>0</v>
      </c>
      <c r="CO28" s="38">
        <v>0</v>
      </c>
      <c r="CP28" s="38">
        <v>0</v>
      </c>
      <c r="CQ28" s="38">
        <v>0</v>
      </c>
      <c r="CR28" s="38">
        <v>0</v>
      </c>
      <c r="CS28" s="38">
        <v>0</v>
      </c>
      <c r="CT28" s="38">
        <v>0</v>
      </c>
      <c r="CU28" s="38">
        <v>0</v>
      </c>
      <c r="CV28" s="38">
        <v>0</v>
      </c>
      <c r="CW28" s="38">
        <v>0</v>
      </c>
      <c r="CX28" s="38">
        <v>0</v>
      </c>
      <c r="CY28" s="38">
        <v>0</v>
      </c>
      <c r="CZ28" s="38">
        <v>0</v>
      </c>
      <c r="DA28" s="38">
        <v>0</v>
      </c>
      <c r="DB28" s="38">
        <v>0</v>
      </c>
      <c r="DC28" s="38">
        <v>0</v>
      </c>
      <c r="DE28" s="46">
        <f t="shared" si="20"/>
        <v>0</v>
      </c>
      <c r="DF28" s="46">
        <f t="shared" si="16"/>
        <v>0</v>
      </c>
      <c r="DG28">
        <f t="shared" si="19"/>
        <v>21</v>
      </c>
      <c r="DH28">
        <v>0</v>
      </c>
    </row>
    <row r="29" spans="1:112" ht="14.4">
      <c r="A29" s="124">
        <v>17</v>
      </c>
      <c r="B29" s="5" t="str">
        <f>$B$22&amp;"7."</f>
        <v>D.2.7.</v>
      </c>
      <c r="C29" s="164" t="s">
        <v>42</v>
      </c>
      <c r="D29" s="6"/>
      <c r="E29" s="192">
        <v>0.21</v>
      </c>
      <c r="F29" s="35">
        <f>H29+NPV(FD,I29:INDEX(I29:DC29,PAL))</f>
        <v>0</v>
      </c>
      <c r="G29" s="35">
        <f>SUMIF($H$5:$DC$5,"&lt;="&amp;PAL,$H29:$DC29)</f>
        <v>0</v>
      </c>
      <c r="H29" s="38">
        <v>0</v>
      </c>
      <c r="I29" s="38">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0</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0</v>
      </c>
      <c r="CQ29" s="38">
        <v>0</v>
      </c>
      <c r="CR29" s="38">
        <v>0</v>
      </c>
      <c r="CS29" s="38">
        <v>0</v>
      </c>
      <c r="CT29" s="38">
        <v>0</v>
      </c>
      <c r="CU29" s="38">
        <v>0</v>
      </c>
      <c r="CV29" s="38">
        <v>0</v>
      </c>
      <c r="CW29" s="38">
        <v>0</v>
      </c>
      <c r="CX29" s="38">
        <v>0</v>
      </c>
      <c r="CY29" s="38">
        <v>0</v>
      </c>
      <c r="CZ29" s="38">
        <v>0</v>
      </c>
      <c r="DA29" s="38">
        <v>0</v>
      </c>
      <c r="DB29" s="38">
        <v>0</v>
      </c>
      <c r="DC29" s="38">
        <v>0</v>
      </c>
      <c r="DE29" s="46">
        <f t="shared" si="20"/>
        <v>0</v>
      </c>
      <c r="DF29" s="46">
        <f t="shared" si="16"/>
        <v>0</v>
      </c>
      <c r="DG29">
        <f t="shared" si="19"/>
        <v>21</v>
      </c>
      <c r="DH29">
        <v>0</v>
      </c>
    </row>
    <row r="30" spans="1:112" ht="14.4">
      <c r="A30" s="124">
        <v>18</v>
      </c>
      <c r="B30" s="5" t="str">
        <f>$B$22&amp;"8."</f>
        <v>D.2.8.</v>
      </c>
      <c r="C30" s="164" t="s">
        <v>42</v>
      </c>
      <c r="D30" s="17"/>
      <c r="E30" s="192">
        <v>0.21</v>
      </c>
      <c r="F30" s="35">
        <f>H30+NPV(FD,I30:INDEX(I30:DC30,PAL))</f>
        <v>0</v>
      </c>
      <c r="G30" s="35">
        <f>SUMIF($H$5:$DC$5,"&lt;="&amp;PAL,$H30:$DC30)</f>
        <v>0</v>
      </c>
      <c r="H30" s="38">
        <v>0</v>
      </c>
      <c r="I30" s="38">
        <v>0</v>
      </c>
      <c r="J30" s="38">
        <v>0</v>
      </c>
      <c r="K30" s="38">
        <v>0</v>
      </c>
      <c r="L30" s="38">
        <v>0</v>
      </c>
      <c r="M30" s="38">
        <v>0</v>
      </c>
      <c r="N30" s="38">
        <v>0</v>
      </c>
      <c r="O30" s="38">
        <v>0</v>
      </c>
      <c r="P30" s="38">
        <v>0</v>
      </c>
      <c r="Q30" s="38">
        <v>0</v>
      </c>
      <c r="R30" s="38">
        <v>0</v>
      </c>
      <c r="S30" s="38">
        <v>0</v>
      </c>
      <c r="T30" s="38">
        <v>0</v>
      </c>
      <c r="U30" s="38">
        <v>0</v>
      </c>
      <c r="V30" s="38">
        <v>0</v>
      </c>
      <c r="W30" s="38">
        <v>0</v>
      </c>
      <c r="X30" s="38">
        <v>0</v>
      </c>
      <c r="Y30" s="38">
        <v>0</v>
      </c>
      <c r="Z30" s="38">
        <v>0</v>
      </c>
      <c r="AA30" s="38">
        <v>0</v>
      </c>
      <c r="AB30" s="38">
        <v>0</v>
      </c>
      <c r="AC30" s="38">
        <v>0</v>
      </c>
      <c r="AD30" s="38">
        <v>0</v>
      </c>
      <c r="AE30" s="38">
        <v>0</v>
      </c>
      <c r="AF30" s="38">
        <v>0</v>
      </c>
      <c r="AG30" s="38">
        <v>0</v>
      </c>
      <c r="AH30" s="38">
        <v>0</v>
      </c>
      <c r="AI30" s="38">
        <v>0</v>
      </c>
      <c r="AJ30" s="38">
        <v>0</v>
      </c>
      <c r="AK30" s="38">
        <v>0</v>
      </c>
      <c r="AL30" s="38">
        <v>0</v>
      </c>
      <c r="AM30" s="38">
        <v>0</v>
      </c>
      <c r="AN30" s="38">
        <v>0</v>
      </c>
      <c r="AO30" s="38">
        <v>0</v>
      </c>
      <c r="AP30" s="38">
        <v>0</v>
      </c>
      <c r="AQ30" s="38">
        <v>0</v>
      </c>
      <c r="AR30" s="38">
        <v>0</v>
      </c>
      <c r="AS30" s="38">
        <v>0</v>
      </c>
      <c r="AT30" s="38">
        <v>0</v>
      </c>
      <c r="AU30" s="38">
        <v>0</v>
      </c>
      <c r="AV30" s="38">
        <v>0</v>
      </c>
      <c r="AW30" s="38">
        <v>0</v>
      </c>
      <c r="AX30" s="38">
        <v>0</v>
      </c>
      <c r="AY30" s="38">
        <v>0</v>
      </c>
      <c r="AZ30" s="38">
        <v>0</v>
      </c>
      <c r="BA30" s="38">
        <v>0</v>
      </c>
      <c r="BB30" s="38">
        <v>0</v>
      </c>
      <c r="BC30" s="38">
        <v>0</v>
      </c>
      <c r="BD30" s="38">
        <v>0</v>
      </c>
      <c r="BE30" s="38">
        <v>0</v>
      </c>
      <c r="BF30" s="38">
        <v>0</v>
      </c>
      <c r="BG30" s="38">
        <v>0</v>
      </c>
      <c r="BH30" s="38">
        <v>0</v>
      </c>
      <c r="BI30" s="38">
        <v>0</v>
      </c>
      <c r="BJ30" s="38">
        <v>0</v>
      </c>
      <c r="BK30" s="38">
        <v>0</v>
      </c>
      <c r="BL30" s="38">
        <v>0</v>
      </c>
      <c r="BM30" s="38">
        <v>0</v>
      </c>
      <c r="BN30" s="38">
        <v>0</v>
      </c>
      <c r="BO30" s="38">
        <v>0</v>
      </c>
      <c r="BP30" s="38">
        <v>0</v>
      </c>
      <c r="BQ30" s="38">
        <v>0</v>
      </c>
      <c r="BR30" s="38">
        <v>0</v>
      </c>
      <c r="BS30" s="38">
        <v>0</v>
      </c>
      <c r="BT30" s="38">
        <v>0</v>
      </c>
      <c r="BU30" s="38">
        <v>0</v>
      </c>
      <c r="BV30" s="38">
        <v>0</v>
      </c>
      <c r="BW30" s="38">
        <v>0</v>
      </c>
      <c r="BX30" s="38">
        <v>0</v>
      </c>
      <c r="BY30" s="38">
        <v>0</v>
      </c>
      <c r="BZ30" s="38">
        <v>0</v>
      </c>
      <c r="CA30" s="38">
        <v>0</v>
      </c>
      <c r="CB30" s="38">
        <v>0</v>
      </c>
      <c r="CC30" s="38">
        <v>0</v>
      </c>
      <c r="CD30" s="38">
        <v>0</v>
      </c>
      <c r="CE30" s="38">
        <v>0</v>
      </c>
      <c r="CF30" s="38">
        <v>0</v>
      </c>
      <c r="CG30" s="38">
        <v>0</v>
      </c>
      <c r="CH30" s="38">
        <v>0</v>
      </c>
      <c r="CI30" s="38">
        <v>0</v>
      </c>
      <c r="CJ30" s="38">
        <v>0</v>
      </c>
      <c r="CK30" s="38">
        <v>0</v>
      </c>
      <c r="CL30" s="38">
        <v>0</v>
      </c>
      <c r="CM30" s="38">
        <v>0</v>
      </c>
      <c r="CN30" s="38">
        <v>0</v>
      </c>
      <c r="CO30" s="38">
        <v>0</v>
      </c>
      <c r="CP30" s="38">
        <v>0</v>
      </c>
      <c r="CQ30" s="38">
        <v>0</v>
      </c>
      <c r="CR30" s="38">
        <v>0</v>
      </c>
      <c r="CS30" s="38">
        <v>0</v>
      </c>
      <c r="CT30" s="38">
        <v>0</v>
      </c>
      <c r="CU30" s="38">
        <v>0</v>
      </c>
      <c r="CV30" s="38">
        <v>0</v>
      </c>
      <c r="CW30" s="38">
        <v>0</v>
      </c>
      <c r="CX30" s="38">
        <v>0</v>
      </c>
      <c r="CY30" s="38">
        <v>0</v>
      </c>
      <c r="CZ30" s="38">
        <v>0</v>
      </c>
      <c r="DA30" s="38">
        <v>0</v>
      </c>
      <c r="DB30" s="38">
        <v>0</v>
      </c>
      <c r="DC30" s="38">
        <v>0</v>
      </c>
      <c r="DE30" s="46">
        <f t="shared" si="20"/>
        <v>0</v>
      </c>
      <c r="DF30" s="46">
        <f t="shared" si="16"/>
        <v>0</v>
      </c>
      <c r="DG30">
        <f t="shared" si="19"/>
        <v>21</v>
      </c>
      <c r="DH30">
        <v>0</v>
      </c>
    </row>
    <row r="31" spans="1:112" ht="14.4">
      <c r="A31" s="124">
        <v>19</v>
      </c>
      <c r="B31" s="5" t="str">
        <f>$B$22&amp;"9."</f>
        <v>D.2.9.</v>
      </c>
      <c r="C31" s="17" t="s">
        <v>155</v>
      </c>
      <c r="D31" s="17"/>
      <c r="E31" s="192">
        <v>0.21</v>
      </c>
      <c r="F31" s="35">
        <f>H31+NPV(FD,I31:INDEX(I31:DC31,PAL))</f>
        <v>0</v>
      </c>
      <c r="G31" s="35">
        <f>SUMIF($H$5:$DC$5,"&lt;="&amp;PAL,$H31:$DC31)</f>
        <v>0</v>
      </c>
      <c r="H31" s="165">
        <v>0</v>
      </c>
      <c r="I31" s="165">
        <v>0</v>
      </c>
      <c r="J31" s="165">
        <v>0</v>
      </c>
      <c r="K31" s="165">
        <v>0</v>
      </c>
      <c r="L31" s="165">
        <v>0</v>
      </c>
      <c r="M31" s="165">
        <v>0</v>
      </c>
      <c r="N31" s="165">
        <v>0</v>
      </c>
      <c r="O31" s="165">
        <v>0</v>
      </c>
      <c r="P31" s="165">
        <v>0</v>
      </c>
      <c r="Q31" s="165">
        <v>0</v>
      </c>
      <c r="R31" s="165">
        <v>0</v>
      </c>
      <c r="S31" s="166">
        <v>0</v>
      </c>
      <c r="T31" s="166">
        <v>0</v>
      </c>
      <c r="U31" s="166">
        <v>0</v>
      </c>
      <c r="V31" s="166">
        <v>0</v>
      </c>
      <c r="W31" s="166">
        <v>0</v>
      </c>
      <c r="X31" s="166">
        <v>0</v>
      </c>
      <c r="Y31" s="166">
        <v>0</v>
      </c>
      <c r="Z31" s="166">
        <v>0</v>
      </c>
      <c r="AA31" s="166">
        <v>0</v>
      </c>
      <c r="AB31" s="166">
        <v>0</v>
      </c>
      <c r="AC31" s="166">
        <v>0</v>
      </c>
      <c r="AD31" s="166">
        <v>0</v>
      </c>
      <c r="AE31" s="166">
        <v>0</v>
      </c>
      <c r="AF31" s="166">
        <v>0</v>
      </c>
      <c r="AG31" s="166">
        <v>0</v>
      </c>
      <c r="AH31" s="166">
        <v>0</v>
      </c>
      <c r="AI31" s="166">
        <v>0</v>
      </c>
      <c r="AJ31" s="166">
        <v>0</v>
      </c>
      <c r="AK31" s="166">
        <v>0</v>
      </c>
      <c r="AL31" s="166">
        <v>0</v>
      </c>
      <c r="AM31" s="166">
        <v>0</v>
      </c>
      <c r="AN31" s="166">
        <v>0</v>
      </c>
      <c r="AO31" s="166">
        <v>0</v>
      </c>
      <c r="AP31" s="166">
        <v>0</v>
      </c>
      <c r="AQ31" s="166">
        <v>0</v>
      </c>
      <c r="AR31" s="166">
        <v>0</v>
      </c>
      <c r="AS31" s="166">
        <v>0</v>
      </c>
      <c r="AT31" s="166">
        <v>0</v>
      </c>
      <c r="AU31" s="166">
        <v>0</v>
      </c>
      <c r="AV31" s="166">
        <v>0</v>
      </c>
      <c r="AW31" s="166">
        <v>0</v>
      </c>
      <c r="AX31" s="166">
        <v>0</v>
      </c>
      <c r="AY31" s="166">
        <v>0</v>
      </c>
      <c r="AZ31" s="166">
        <v>0</v>
      </c>
      <c r="BA31" s="166">
        <v>0</v>
      </c>
      <c r="BB31" s="166">
        <v>0</v>
      </c>
      <c r="BC31" s="166">
        <v>0</v>
      </c>
      <c r="BD31" s="166">
        <v>0</v>
      </c>
      <c r="BE31" s="166">
        <v>0</v>
      </c>
      <c r="BF31" s="166">
        <v>0</v>
      </c>
      <c r="BG31" s="166">
        <v>0</v>
      </c>
      <c r="BH31" s="166">
        <v>0</v>
      </c>
      <c r="BI31" s="166">
        <v>0</v>
      </c>
      <c r="BJ31" s="166">
        <v>0</v>
      </c>
      <c r="BK31" s="166">
        <v>0</v>
      </c>
      <c r="BL31" s="166">
        <v>0</v>
      </c>
      <c r="BM31" s="166">
        <v>0</v>
      </c>
      <c r="BN31" s="166">
        <v>0</v>
      </c>
      <c r="BO31" s="166">
        <v>0</v>
      </c>
      <c r="BP31" s="166">
        <v>0</v>
      </c>
      <c r="BQ31" s="166">
        <v>0</v>
      </c>
      <c r="BR31" s="166">
        <v>0</v>
      </c>
      <c r="BS31" s="166">
        <v>0</v>
      </c>
      <c r="BT31" s="166">
        <v>0</v>
      </c>
      <c r="BU31" s="166">
        <v>0</v>
      </c>
      <c r="BV31" s="166">
        <v>0</v>
      </c>
      <c r="BW31" s="166">
        <v>0</v>
      </c>
      <c r="BX31" s="166">
        <v>0</v>
      </c>
      <c r="BY31" s="166">
        <v>0</v>
      </c>
      <c r="BZ31" s="166">
        <v>0</v>
      </c>
      <c r="CA31" s="166">
        <v>0</v>
      </c>
      <c r="CB31" s="166">
        <v>0</v>
      </c>
      <c r="CC31" s="166">
        <v>0</v>
      </c>
      <c r="CD31" s="166">
        <v>0</v>
      </c>
      <c r="CE31" s="166">
        <v>0</v>
      </c>
      <c r="CF31" s="166">
        <v>0</v>
      </c>
      <c r="CG31" s="166">
        <v>0</v>
      </c>
      <c r="CH31" s="166">
        <v>0</v>
      </c>
      <c r="CI31" s="166">
        <v>0</v>
      </c>
      <c r="CJ31" s="166">
        <v>0</v>
      </c>
      <c r="CK31" s="166">
        <v>0</v>
      </c>
      <c r="CL31" s="166">
        <v>0</v>
      </c>
      <c r="CM31" s="166">
        <v>0</v>
      </c>
      <c r="CN31" s="166">
        <v>0</v>
      </c>
      <c r="CO31" s="166">
        <v>0</v>
      </c>
      <c r="CP31" s="166">
        <v>0</v>
      </c>
      <c r="CQ31" s="166">
        <v>0</v>
      </c>
      <c r="CR31" s="166">
        <v>0</v>
      </c>
      <c r="CS31" s="166">
        <v>0</v>
      </c>
      <c r="CT31" s="166">
        <v>0</v>
      </c>
      <c r="CU31" s="166">
        <v>0</v>
      </c>
      <c r="CV31" s="166">
        <v>0</v>
      </c>
      <c r="CW31" s="166">
        <v>0</v>
      </c>
      <c r="CX31" s="166">
        <v>0</v>
      </c>
      <c r="CY31" s="166">
        <v>0</v>
      </c>
      <c r="CZ31" s="166">
        <v>0</v>
      </c>
      <c r="DA31" s="166">
        <v>0</v>
      </c>
      <c r="DB31" s="166">
        <v>0</v>
      </c>
      <c r="DC31" s="166">
        <v>0</v>
      </c>
      <c r="DE31" s="46">
        <f t="shared" si="20"/>
        <v>0</v>
      </c>
      <c r="DF31" s="46">
        <f t="shared" si="16"/>
        <v>0</v>
      </c>
      <c r="DG31">
        <f t="shared" si="19"/>
        <v>21</v>
      </c>
      <c r="DH31">
        <v>0</v>
      </c>
    </row>
    <row r="32" spans="1:112" ht="14.4">
      <c r="A32" s="124">
        <v>20</v>
      </c>
      <c r="B32" s="5" t="str">
        <f>$B$22&amp;"L."</f>
        <v>D.2.L.</v>
      </c>
      <c r="C32" s="17" t="s">
        <v>16</v>
      </c>
      <c r="D32" s="17"/>
      <c r="E32" s="192">
        <v>0.21</v>
      </c>
      <c r="F32" s="35">
        <f>H32+NPV(FD,I32:INDEX(I32:DC32,PAL))</f>
        <v>0</v>
      </c>
      <c r="G32" s="35">
        <f>SUMIF($H$5:$DC$5,"&lt;="&amp;PAL,$H32:$DC32)</f>
        <v>0</v>
      </c>
      <c r="H32" s="165">
        <v>0</v>
      </c>
      <c r="I32" s="165">
        <v>0</v>
      </c>
      <c r="J32" s="165">
        <v>0</v>
      </c>
      <c r="K32" s="165">
        <v>0</v>
      </c>
      <c r="L32" s="165">
        <v>0</v>
      </c>
      <c r="M32" s="165">
        <v>0</v>
      </c>
      <c r="N32" s="165">
        <v>0</v>
      </c>
      <c r="O32" s="165">
        <v>0</v>
      </c>
      <c r="P32" s="165">
        <v>0</v>
      </c>
      <c r="Q32" s="165">
        <v>0</v>
      </c>
      <c r="R32" s="165">
        <v>0</v>
      </c>
      <c r="S32" s="165">
        <v>0</v>
      </c>
      <c r="T32" s="165">
        <v>0</v>
      </c>
      <c r="U32" s="165">
        <v>0</v>
      </c>
      <c r="V32" s="165">
        <v>0</v>
      </c>
      <c r="W32" s="165">
        <v>0</v>
      </c>
      <c r="X32" s="165">
        <v>0</v>
      </c>
      <c r="Y32" s="165">
        <v>0</v>
      </c>
      <c r="Z32" s="165">
        <v>0</v>
      </c>
      <c r="AA32" s="165">
        <v>0</v>
      </c>
      <c r="AB32" s="166">
        <v>0</v>
      </c>
      <c r="AC32" s="165">
        <v>0</v>
      </c>
      <c r="AD32" s="165">
        <v>0</v>
      </c>
      <c r="AE32" s="165">
        <v>0</v>
      </c>
      <c r="AF32" s="165">
        <v>0</v>
      </c>
      <c r="AG32" s="165">
        <v>0</v>
      </c>
      <c r="AH32" s="165">
        <v>0</v>
      </c>
      <c r="AI32" s="165">
        <v>0</v>
      </c>
      <c r="AJ32" s="165">
        <v>0</v>
      </c>
      <c r="AK32" s="165">
        <v>0</v>
      </c>
      <c r="AL32" s="166">
        <v>0</v>
      </c>
      <c r="AM32" s="165">
        <v>0</v>
      </c>
      <c r="AN32" s="165">
        <v>0</v>
      </c>
      <c r="AO32" s="165">
        <v>0</v>
      </c>
      <c r="AP32" s="165">
        <v>0</v>
      </c>
      <c r="AQ32" s="165">
        <v>0</v>
      </c>
      <c r="AR32" s="165">
        <v>0</v>
      </c>
      <c r="AS32" s="165">
        <v>0</v>
      </c>
      <c r="AT32" s="165">
        <v>0</v>
      </c>
      <c r="AU32" s="165">
        <v>0</v>
      </c>
      <c r="AV32" s="165">
        <v>0</v>
      </c>
      <c r="AW32" s="165">
        <v>0</v>
      </c>
      <c r="AX32" s="165">
        <v>0</v>
      </c>
      <c r="AY32" s="165">
        <v>0</v>
      </c>
      <c r="AZ32" s="165">
        <v>0</v>
      </c>
      <c r="BA32" s="165">
        <v>0</v>
      </c>
      <c r="BB32" s="165">
        <v>0</v>
      </c>
      <c r="BC32" s="165">
        <v>0</v>
      </c>
      <c r="BD32" s="165">
        <v>0</v>
      </c>
      <c r="BE32" s="165">
        <v>0</v>
      </c>
      <c r="BF32" s="165">
        <v>0</v>
      </c>
      <c r="BG32" s="165">
        <v>0</v>
      </c>
      <c r="BH32" s="165">
        <v>0</v>
      </c>
      <c r="BI32" s="165">
        <v>0</v>
      </c>
      <c r="BJ32" s="165">
        <v>0</v>
      </c>
      <c r="BK32" s="165">
        <v>0</v>
      </c>
      <c r="BL32" s="165">
        <v>0</v>
      </c>
      <c r="BM32" s="165">
        <v>0</v>
      </c>
      <c r="BN32" s="165">
        <v>0</v>
      </c>
      <c r="BO32" s="165">
        <v>0</v>
      </c>
      <c r="BP32" s="165">
        <v>0</v>
      </c>
      <c r="BQ32" s="165">
        <v>0</v>
      </c>
      <c r="BR32" s="165">
        <v>0</v>
      </c>
      <c r="BS32" s="165">
        <v>0</v>
      </c>
      <c r="BT32" s="165">
        <v>0</v>
      </c>
      <c r="BU32" s="165">
        <v>0</v>
      </c>
      <c r="BV32" s="165">
        <v>0</v>
      </c>
      <c r="BW32" s="165">
        <v>0</v>
      </c>
      <c r="BX32" s="165">
        <v>0</v>
      </c>
      <c r="BY32" s="165">
        <v>0</v>
      </c>
      <c r="BZ32" s="165">
        <v>0</v>
      </c>
      <c r="CA32" s="165">
        <v>0</v>
      </c>
      <c r="CB32" s="165">
        <v>0</v>
      </c>
      <c r="CC32" s="165">
        <v>0</v>
      </c>
      <c r="CD32" s="165">
        <v>0</v>
      </c>
      <c r="CE32" s="165">
        <v>0</v>
      </c>
      <c r="CF32" s="165">
        <v>0</v>
      </c>
      <c r="CG32" s="165">
        <v>0</v>
      </c>
      <c r="CH32" s="165">
        <v>0</v>
      </c>
      <c r="CI32" s="165">
        <v>0</v>
      </c>
      <c r="CJ32" s="165">
        <v>0</v>
      </c>
      <c r="CK32" s="165">
        <v>0</v>
      </c>
      <c r="CL32" s="165">
        <v>0</v>
      </c>
      <c r="CM32" s="165">
        <v>0</v>
      </c>
      <c r="CN32" s="165">
        <v>0</v>
      </c>
      <c r="CO32" s="165">
        <v>0</v>
      </c>
      <c r="CP32" s="165">
        <v>0</v>
      </c>
      <c r="CQ32" s="165">
        <v>0</v>
      </c>
      <c r="CR32" s="165">
        <v>0</v>
      </c>
      <c r="CS32" s="165">
        <v>0</v>
      </c>
      <c r="CT32" s="165">
        <v>0</v>
      </c>
      <c r="CU32" s="165">
        <v>0</v>
      </c>
      <c r="CV32" s="165">
        <v>0</v>
      </c>
      <c r="CW32" s="165">
        <v>0</v>
      </c>
      <c r="CX32" s="165">
        <v>0</v>
      </c>
      <c r="CY32" s="165">
        <v>0</v>
      </c>
      <c r="CZ32" s="165">
        <v>0</v>
      </c>
      <c r="DA32" s="165">
        <v>0</v>
      </c>
      <c r="DB32" s="165">
        <v>0</v>
      </c>
      <c r="DC32" s="166">
        <v>0</v>
      </c>
      <c r="DE32" s="46">
        <f t="shared" si="20"/>
        <v>0</v>
      </c>
      <c r="DF32" s="46">
        <f t="shared" si="16"/>
        <v>0</v>
      </c>
      <c r="DG32">
        <f t="shared" si="19"/>
        <v>21</v>
      </c>
      <c r="DH32">
        <f>DG32/(100+DG32)</f>
        <v>0.17355371900826447</v>
      </c>
    </row>
    <row r="33" spans="1:112" ht="14.4">
      <c r="A33" s="124">
        <v>21</v>
      </c>
      <c r="B33" s="37" t="s">
        <v>23</v>
      </c>
      <c r="C33" s="15" t="s">
        <v>1</v>
      </c>
      <c r="D33" s="3"/>
      <c r="E33" s="3"/>
      <c r="F33" s="11">
        <f>SUM(F34:F41)+F42</f>
        <v>0</v>
      </c>
      <c r="G33" s="35">
        <f>SUMIF($H$5:$DC$5,"&lt;="&amp;PAL,$H33:$DC33)</f>
        <v>0</v>
      </c>
      <c r="H33" s="11">
        <f>SUM(H34:H41)+H42</f>
        <v>0</v>
      </c>
      <c r="I33" s="11">
        <f t="shared" ref="I33:BT33" si="21">SUM(I34:I41)+I42</f>
        <v>0</v>
      </c>
      <c r="J33" s="11">
        <f t="shared" si="21"/>
        <v>0</v>
      </c>
      <c r="K33" s="11">
        <f t="shared" si="21"/>
        <v>0</v>
      </c>
      <c r="L33" s="11">
        <f t="shared" si="21"/>
        <v>0</v>
      </c>
      <c r="M33" s="11">
        <f t="shared" si="21"/>
        <v>0</v>
      </c>
      <c r="N33" s="11">
        <f t="shared" si="21"/>
        <v>0</v>
      </c>
      <c r="O33" s="11">
        <f t="shared" si="21"/>
        <v>0</v>
      </c>
      <c r="P33" s="11">
        <f t="shared" si="21"/>
        <v>0</v>
      </c>
      <c r="Q33" s="11">
        <f t="shared" si="21"/>
        <v>0</v>
      </c>
      <c r="R33" s="11">
        <f t="shared" si="21"/>
        <v>0</v>
      </c>
      <c r="S33" s="11">
        <f t="shared" si="21"/>
        <v>0</v>
      </c>
      <c r="T33" s="11">
        <f t="shared" si="21"/>
        <v>0</v>
      </c>
      <c r="U33" s="11">
        <f t="shared" si="21"/>
        <v>0</v>
      </c>
      <c r="V33" s="11">
        <f t="shared" si="21"/>
        <v>0</v>
      </c>
      <c r="W33" s="11">
        <f t="shared" si="21"/>
        <v>0</v>
      </c>
      <c r="X33" s="11">
        <f t="shared" si="21"/>
        <v>0</v>
      </c>
      <c r="Y33" s="11">
        <f t="shared" si="21"/>
        <v>0</v>
      </c>
      <c r="Z33" s="11">
        <f t="shared" si="21"/>
        <v>0</v>
      </c>
      <c r="AA33" s="11">
        <f t="shared" si="21"/>
        <v>0</v>
      </c>
      <c r="AB33" s="11">
        <f t="shared" si="21"/>
        <v>0</v>
      </c>
      <c r="AC33" s="11">
        <f t="shared" si="21"/>
        <v>0</v>
      </c>
      <c r="AD33" s="11">
        <f t="shared" si="21"/>
        <v>0</v>
      </c>
      <c r="AE33" s="11">
        <f t="shared" si="21"/>
        <v>0</v>
      </c>
      <c r="AF33" s="11">
        <f t="shared" si="21"/>
        <v>0</v>
      </c>
      <c r="AG33" s="11">
        <f t="shared" si="21"/>
        <v>0</v>
      </c>
      <c r="AH33" s="11">
        <f t="shared" si="21"/>
        <v>0</v>
      </c>
      <c r="AI33" s="11">
        <f t="shared" si="21"/>
        <v>0</v>
      </c>
      <c r="AJ33" s="11">
        <f t="shared" si="21"/>
        <v>0</v>
      </c>
      <c r="AK33" s="11">
        <f t="shared" si="21"/>
        <v>0</v>
      </c>
      <c r="AL33" s="11">
        <f t="shared" si="21"/>
        <v>0</v>
      </c>
      <c r="AM33" s="11">
        <f t="shared" si="21"/>
        <v>0</v>
      </c>
      <c r="AN33" s="11">
        <f t="shared" si="21"/>
        <v>0</v>
      </c>
      <c r="AO33" s="11">
        <f t="shared" si="21"/>
        <v>0</v>
      </c>
      <c r="AP33" s="11">
        <f t="shared" si="21"/>
        <v>0</v>
      </c>
      <c r="AQ33" s="11">
        <f t="shared" si="21"/>
        <v>0</v>
      </c>
      <c r="AR33" s="11">
        <f t="shared" si="21"/>
        <v>0</v>
      </c>
      <c r="AS33" s="11">
        <f t="shared" si="21"/>
        <v>0</v>
      </c>
      <c r="AT33" s="11">
        <f t="shared" si="21"/>
        <v>0</v>
      </c>
      <c r="AU33" s="11">
        <f t="shared" si="21"/>
        <v>0</v>
      </c>
      <c r="AV33" s="11">
        <f t="shared" si="21"/>
        <v>0</v>
      </c>
      <c r="AW33" s="11">
        <f t="shared" si="21"/>
        <v>0</v>
      </c>
      <c r="AX33" s="11">
        <f t="shared" si="21"/>
        <v>0</v>
      </c>
      <c r="AY33" s="11">
        <f t="shared" si="21"/>
        <v>0</v>
      </c>
      <c r="AZ33" s="11">
        <f t="shared" si="21"/>
        <v>0</v>
      </c>
      <c r="BA33" s="11">
        <f t="shared" si="21"/>
        <v>0</v>
      </c>
      <c r="BB33" s="11">
        <f t="shared" si="21"/>
        <v>0</v>
      </c>
      <c r="BC33" s="11">
        <f t="shared" si="21"/>
        <v>0</v>
      </c>
      <c r="BD33" s="11">
        <f t="shared" si="21"/>
        <v>0</v>
      </c>
      <c r="BE33" s="11">
        <f t="shared" si="21"/>
        <v>0</v>
      </c>
      <c r="BF33" s="11">
        <f t="shared" si="21"/>
        <v>0</v>
      </c>
      <c r="BG33" s="11">
        <f t="shared" si="21"/>
        <v>0</v>
      </c>
      <c r="BH33" s="11">
        <f t="shared" si="21"/>
        <v>0</v>
      </c>
      <c r="BI33" s="11">
        <f t="shared" si="21"/>
        <v>0</v>
      </c>
      <c r="BJ33" s="11">
        <f t="shared" si="21"/>
        <v>0</v>
      </c>
      <c r="BK33" s="11">
        <f t="shared" si="21"/>
        <v>0</v>
      </c>
      <c r="BL33" s="11">
        <f t="shared" si="21"/>
        <v>0</v>
      </c>
      <c r="BM33" s="11">
        <f t="shared" si="21"/>
        <v>0</v>
      </c>
      <c r="BN33" s="11">
        <f t="shared" si="21"/>
        <v>0</v>
      </c>
      <c r="BO33" s="11">
        <f t="shared" si="21"/>
        <v>0</v>
      </c>
      <c r="BP33" s="11">
        <f t="shared" si="21"/>
        <v>0</v>
      </c>
      <c r="BQ33" s="11">
        <f t="shared" si="21"/>
        <v>0</v>
      </c>
      <c r="BR33" s="11">
        <f t="shared" si="21"/>
        <v>0</v>
      </c>
      <c r="BS33" s="11">
        <f t="shared" si="21"/>
        <v>0</v>
      </c>
      <c r="BT33" s="11">
        <f t="shared" si="21"/>
        <v>0</v>
      </c>
      <c r="BU33" s="11">
        <f t="shared" ref="BU33:DC33" si="22">SUM(BU34:BU41)+BU42</f>
        <v>0</v>
      </c>
      <c r="BV33" s="11">
        <f t="shared" si="22"/>
        <v>0</v>
      </c>
      <c r="BW33" s="11">
        <f t="shared" si="22"/>
        <v>0</v>
      </c>
      <c r="BX33" s="11">
        <f t="shared" si="22"/>
        <v>0</v>
      </c>
      <c r="BY33" s="11">
        <f t="shared" si="22"/>
        <v>0</v>
      </c>
      <c r="BZ33" s="11">
        <f t="shared" si="22"/>
        <v>0</v>
      </c>
      <c r="CA33" s="11">
        <f t="shared" si="22"/>
        <v>0</v>
      </c>
      <c r="CB33" s="11">
        <f t="shared" si="22"/>
        <v>0</v>
      </c>
      <c r="CC33" s="11">
        <f t="shared" si="22"/>
        <v>0</v>
      </c>
      <c r="CD33" s="11">
        <f t="shared" si="22"/>
        <v>0</v>
      </c>
      <c r="CE33" s="11">
        <f t="shared" si="22"/>
        <v>0</v>
      </c>
      <c r="CF33" s="11">
        <f t="shared" si="22"/>
        <v>0</v>
      </c>
      <c r="CG33" s="11">
        <f t="shared" si="22"/>
        <v>0</v>
      </c>
      <c r="CH33" s="11">
        <f t="shared" si="22"/>
        <v>0</v>
      </c>
      <c r="CI33" s="11">
        <f t="shared" si="22"/>
        <v>0</v>
      </c>
      <c r="CJ33" s="11">
        <f t="shared" si="22"/>
        <v>0</v>
      </c>
      <c r="CK33" s="11">
        <f t="shared" si="22"/>
        <v>0</v>
      </c>
      <c r="CL33" s="11">
        <f t="shared" si="22"/>
        <v>0</v>
      </c>
      <c r="CM33" s="11">
        <f t="shared" si="22"/>
        <v>0</v>
      </c>
      <c r="CN33" s="11">
        <f t="shared" si="22"/>
        <v>0</v>
      </c>
      <c r="CO33" s="11">
        <f t="shared" si="22"/>
        <v>0</v>
      </c>
      <c r="CP33" s="11">
        <f t="shared" si="22"/>
        <v>0</v>
      </c>
      <c r="CQ33" s="11">
        <f t="shared" si="22"/>
        <v>0</v>
      </c>
      <c r="CR33" s="11">
        <f t="shared" si="22"/>
        <v>0</v>
      </c>
      <c r="CS33" s="11">
        <f t="shared" si="22"/>
        <v>0</v>
      </c>
      <c r="CT33" s="11">
        <f t="shared" si="22"/>
        <v>0</v>
      </c>
      <c r="CU33" s="11">
        <f t="shared" si="22"/>
        <v>0</v>
      </c>
      <c r="CV33" s="11">
        <f t="shared" si="22"/>
        <v>0</v>
      </c>
      <c r="CW33" s="11">
        <f t="shared" si="22"/>
        <v>0</v>
      </c>
      <c r="CX33" s="11">
        <f t="shared" si="22"/>
        <v>0</v>
      </c>
      <c r="CY33" s="11">
        <f t="shared" si="22"/>
        <v>0</v>
      </c>
      <c r="CZ33" s="11">
        <f t="shared" si="22"/>
        <v>0</v>
      </c>
      <c r="DA33" s="11">
        <f t="shared" si="22"/>
        <v>0</v>
      </c>
      <c r="DB33" s="11">
        <f t="shared" si="22"/>
        <v>0</v>
      </c>
      <c r="DC33" s="11">
        <f t="shared" si="22"/>
        <v>0</v>
      </c>
      <c r="DF33" s="46">
        <f t="shared" si="16"/>
        <v>0</v>
      </c>
    </row>
    <row r="34" spans="1:112" ht="14.4">
      <c r="A34" s="124">
        <v>22</v>
      </c>
      <c r="B34" s="5" t="str">
        <f>$B$33&amp;"1."</f>
        <v>D.3.1.</v>
      </c>
      <c r="C34" s="164" t="s">
        <v>42</v>
      </c>
      <c r="D34" s="6"/>
      <c r="E34" s="192">
        <v>0.21</v>
      </c>
      <c r="F34" s="35">
        <f>H34+NPV(FD,I34:INDEX(I34:DC34,PAL))</f>
        <v>0</v>
      </c>
      <c r="G34" s="35">
        <f>SUMIF($H$5:$DC$5,"&lt;="&amp;PAL,$H34:$DC34)</f>
        <v>0</v>
      </c>
      <c r="H34" s="38">
        <v>0</v>
      </c>
      <c r="I34" s="38">
        <v>0</v>
      </c>
      <c r="J34" s="38">
        <v>0</v>
      </c>
      <c r="K34" s="38">
        <v>0</v>
      </c>
      <c r="L34" s="38">
        <v>0</v>
      </c>
      <c r="M34" s="38">
        <v>0</v>
      </c>
      <c r="N34" s="38">
        <v>0</v>
      </c>
      <c r="O34" s="38">
        <v>0</v>
      </c>
      <c r="P34" s="38">
        <v>0</v>
      </c>
      <c r="Q34" s="38">
        <v>0</v>
      </c>
      <c r="R34" s="38">
        <v>0</v>
      </c>
      <c r="S34" s="38">
        <v>0</v>
      </c>
      <c r="T34" s="38">
        <v>0</v>
      </c>
      <c r="U34" s="38">
        <v>0</v>
      </c>
      <c r="V34" s="38">
        <v>0</v>
      </c>
      <c r="W34" s="38">
        <v>0</v>
      </c>
      <c r="X34" s="38">
        <v>0</v>
      </c>
      <c r="Y34" s="38">
        <v>0</v>
      </c>
      <c r="Z34" s="38">
        <v>0</v>
      </c>
      <c r="AA34" s="38">
        <v>0</v>
      </c>
      <c r="AB34" s="38">
        <v>0</v>
      </c>
      <c r="AC34" s="38">
        <v>0</v>
      </c>
      <c r="AD34" s="38">
        <v>0</v>
      </c>
      <c r="AE34" s="38">
        <v>0</v>
      </c>
      <c r="AF34" s="38">
        <v>0</v>
      </c>
      <c r="AG34" s="38">
        <v>0</v>
      </c>
      <c r="AH34" s="38">
        <v>0</v>
      </c>
      <c r="AI34" s="38">
        <v>0</v>
      </c>
      <c r="AJ34" s="38">
        <v>0</v>
      </c>
      <c r="AK34" s="38">
        <v>0</v>
      </c>
      <c r="AL34" s="38">
        <v>0</v>
      </c>
      <c r="AM34" s="38">
        <v>0</v>
      </c>
      <c r="AN34" s="38">
        <v>0</v>
      </c>
      <c r="AO34" s="38">
        <v>0</v>
      </c>
      <c r="AP34" s="38">
        <v>0</v>
      </c>
      <c r="AQ34" s="38">
        <v>0</v>
      </c>
      <c r="AR34" s="38">
        <v>0</v>
      </c>
      <c r="AS34" s="38">
        <v>0</v>
      </c>
      <c r="AT34" s="38">
        <v>0</v>
      </c>
      <c r="AU34" s="38">
        <v>0</v>
      </c>
      <c r="AV34" s="38">
        <v>0</v>
      </c>
      <c r="AW34" s="38">
        <v>0</v>
      </c>
      <c r="AX34" s="38">
        <v>0</v>
      </c>
      <c r="AY34" s="38">
        <v>0</v>
      </c>
      <c r="AZ34" s="38">
        <v>0</v>
      </c>
      <c r="BA34" s="38">
        <v>0</v>
      </c>
      <c r="BB34" s="38">
        <v>0</v>
      </c>
      <c r="BC34" s="38">
        <v>0</v>
      </c>
      <c r="BD34" s="38">
        <v>0</v>
      </c>
      <c r="BE34" s="38">
        <v>0</v>
      </c>
      <c r="BF34" s="38">
        <v>0</v>
      </c>
      <c r="BG34" s="38">
        <v>0</v>
      </c>
      <c r="BH34" s="38">
        <v>0</v>
      </c>
      <c r="BI34" s="38">
        <v>0</v>
      </c>
      <c r="BJ34" s="38">
        <v>0</v>
      </c>
      <c r="BK34" s="38">
        <v>0</v>
      </c>
      <c r="BL34" s="38">
        <v>0</v>
      </c>
      <c r="BM34" s="38">
        <v>0</v>
      </c>
      <c r="BN34" s="38">
        <v>0</v>
      </c>
      <c r="BO34" s="38">
        <v>0</v>
      </c>
      <c r="BP34" s="38">
        <v>0</v>
      </c>
      <c r="BQ34" s="38">
        <v>0</v>
      </c>
      <c r="BR34" s="38">
        <v>0</v>
      </c>
      <c r="BS34" s="38">
        <v>0</v>
      </c>
      <c r="BT34" s="38">
        <v>0</v>
      </c>
      <c r="BU34" s="38">
        <v>0</v>
      </c>
      <c r="BV34" s="38">
        <v>0</v>
      </c>
      <c r="BW34" s="38">
        <v>0</v>
      </c>
      <c r="BX34" s="38">
        <v>0</v>
      </c>
      <c r="BY34" s="38">
        <v>0</v>
      </c>
      <c r="BZ34" s="38">
        <v>0</v>
      </c>
      <c r="CA34" s="38">
        <v>0</v>
      </c>
      <c r="CB34" s="38">
        <v>0</v>
      </c>
      <c r="CC34" s="38">
        <v>0</v>
      </c>
      <c r="CD34" s="38">
        <v>0</v>
      </c>
      <c r="CE34" s="38">
        <v>0</v>
      </c>
      <c r="CF34" s="38">
        <v>0</v>
      </c>
      <c r="CG34" s="38">
        <v>0</v>
      </c>
      <c r="CH34" s="38">
        <v>0</v>
      </c>
      <c r="CI34" s="38">
        <v>0</v>
      </c>
      <c r="CJ34" s="38">
        <v>0</v>
      </c>
      <c r="CK34" s="38">
        <v>0</v>
      </c>
      <c r="CL34" s="38">
        <v>0</v>
      </c>
      <c r="CM34" s="38">
        <v>0</v>
      </c>
      <c r="CN34" s="38">
        <v>0</v>
      </c>
      <c r="CO34" s="38">
        <v>0</v>
      </c>
      <c r="CP34" s="38">
        <v>0</v>
      </c>
      <c r="CQ34" s="38">
        <v>0</v>
      </c>
      <c r="CR34" s="38">
        <v>0</v>
      </c>
      <c r="CS34" s="38">
        <v>0</v>
      </c>
      <c r="CT34" s="38">
        <v>0</v>
      </c>
      <c r="CU34" s="38">
        <v>0</v>
      </c>
      <c r="CV34" s="38">
        <v>0</v>
      </c>
      <c r="CW34" s="38">
        <v>0</v>
      </c>
      <c r="CX34" s="38">
        <v>0</v>
      </c>
      <c r="CY34" s="38">
        <v>0</v>
      </c>
      <c r="CZ34" s="38">
        <v>0</v>
      </c>
      <c r="DA34" s="38">
        <v>0</v>
      </c>
      <c r="DB34" s="38">
        <v>0</v>
      </c>
      <c r="DC34" s="38">
        <v>0</v>
      </c>
      <c r="DE34" s="46">
        <f>COUNTBLANK(H34:DC34)</f>
        <v>0</v>
      </c>
      <c r="DF34" s="46">
        <f t="shared" si="16"/>
        <v>0</v>
      </c>
      <c r="DG34">
        <f t="shared" ref="DG34:DG43" si="23">IF(ISNUMBER(E34),E34*100,0)</f>
        <v>21</v>
      </c>
      <c r="DH34">
        <v>0</v>
      </c>
    </row>
    <row r="35" spans="1:112" ht="14.4">
      <c r="A35" s="124">
        <v>23</v>
      </c>
      <c r="B35" s="5" t="str">
        <f>$B$33&amp;"2."</f>
        <v>D.3.2.</v>
      </c>
      <c r="C35" s="164" t="s">
        <v>42</v>
      </c>
      <c r="D35" s="6"/>
      <c r="E35" s="192">
        <v>0.21</v>
      </c>
      <c r="F35" s="35">
        <f>H35+NPV(FD,I35:INDEX(I35:DC35,PAL))</f>
        <v>0</v>
      </c>
      <c r="G35" s="35">
        <f>SUMIF($H$5:$DC$5,"&lt;="&amp;PAL,$H35:$DC35)</f>
        <v>0</v>
      </c>
      <c r="H35" s="38">
        <v>0</v>
      </c>
      <c r="I35" s="38">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0</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0</v>
      </c>
      <c r="BX35" s="38">
        <v>0</v>
      </c>
      <c r="BY35" s="38">
        <v>0</v>
      </c>
      <c r="BZ35" s="38">
        <v>0</v>
      </c>
      <c r="CA35" s="38">
        <v>0</v>
      </c>
      <c r="CB35" s="38">
        <v>0</v>
      </c>
      <c r="CC35" s="38">
        <v>0</v>
      </c>
      <c r="CD35" s="38">
        <v>0</v>
      </c>
      <c r="CE35" s="38">
        <v>0</v>
      </c>
      <c r="CF35" s="38">
        <v>0</v>
      </c>
      <c r="CG35" s="38">
        <v>0</v>
      </c>
      <c r="CH35" s="38">
        <v>0</v>
      </c>
      <c r="CI35" s="38">
        <v>0</v>
      </c>
      <c r="CJ35" s="38">
        <v>0</v>
      </c>
      <c r="CK35" s="38">
        <v>0</v>
      </c>
      <c r="CL35" s="38">
        <v>0</v>
      </c>
      <c r="CM35" s="38">
        <v>0</v>
      </c>
      <c r="CN35" s="38">
        <v>0</v>
      </c>
      <c r="CO35" s="38">
        <v>0</v>
      </c>
      <c r="CP35" s="38">
        <v>0</v>
      </c>
      <c r="CQ35" s="38">
        <v>0</v>
      </c>
      <c r="CR35" s="38">
        <v>0</v>
      </c>
      <c r="CS35" s="38">
        <v>0</v>
      </c>
      <c r="CT35" s="38">
        <v>0</v>
      </c>
      <c r="CU35" s="38">
        <v>0</v>
      </c>
      <c r="CV35" s="38">
        <v>0</v>
      </c>
      <c r="CW35" s="38">
        <v>0</v>
      </c>
      <c r="CX35" s="38">
        <v>0</v>
      </c>
      <c r="CY35" s="38">
        <v>0</v>
      </c>
      <c r="CZ35" s="38">
        <v>0</v>
      </c>
      <c r="DA35" s="38">
        <v>0</v>
      </c>
      <c r="DB35" s="38">
        <v>0</v>
      </c>
      <c r="DC35" s="38">
        <v>0</v>
      </c>
      <c r="DE35" s="46">
        <f t="shared" ref="DE35:DE43" si="24">COUNTBLANK(H35:DC35)</f>
        <v>0</v>
      </c>
      <c r="DF35" s="46">
        <f t="shared" si="16"/>
        <v>0</v>
      </c>
      <c r="DG35">
        <f t="shared" si="23"/>
        <v>21</v>
      </c>
      <c r="DH35">
        <v>0</v>
      </c>
    </row>
    <row r="36" spans="1:112" ht="14.4">
      <c r="A36" s="124">
        <v>24</v>
      </c>
      <c r="B36" s="5" t="str">
        <f>$B$33&amp;"3."</f>
        <v>D.3.3.</v>
      </c>
      <c r="C36" s="164" t="s">
        <v>42</v>
      </c>
      <c r="D36" s="6"/>
      <c r="E36" s="192">
        <v>0.21</v>
      </c>
      <c r="F36" s="35">
        <f>H36+NPV(FD,I36:INDEX(I36:DC36,PAL))</f>
        <v>0</v>
      </c>
      <c r="G36" s="35">
        <f>SUMIF($H$5:$DC$5,"&lt;="&amp;PAL,$H36:$DC36)</f>
        <v>0</v>
      </c>
      <c r="H36" s="38">
        <v>0</v>
      </c>
      <c r="I36" s="38">
        <v>0</v>
      </c>
      <c r="J36" s="38">
        <v>0</v>
      </c>
      <c r="K36" s="38">
        <v>0</v>
      </c>
      <c r="L36" s="38">
        <v>0</v>
      </c>
      <c r="M36" s="38">
        <v>0</v>
      </c>
      <c r="N36" s="38">
        <v>0</v>
      </c>
      <c r="O36" s="38">
        <v>0</v>
      </c>
      <c r="P36" s="38">
        <v>0</v>
      </c>
      <c r="Q36" s="38">
        <v>0</v>
      </c>
      <c r="R36" s="38">
        <v>0</v>
      </c>
      <c r="S36" s="38">
        <v>0</v>
      </c>
      <c r="T36" s="38">
        <v>0</v>
      </c>
      <c r="U36" s="38">
        <v>0</v>
      </c>
      <c r="V36" s="38">
        <v>0</v>
      </c>
      <c r="W36" s="38">
        <v>0</v>
      </c>
      <c r="X36" s="38">
        <v>0</v>
      </c>
      <c r="Y36" s="38">
        <v>0</v>
      </c>
      <c r="Z36" s="38">
        <v>0</v>
      </c>
      <c r="AA36" s="38">
        <v>0</v>
      </c>
      <c r="AB36" s="38">
        <v>0</v>
      </c>
      <c r="AC36" s="38">
        <v>0</v>
      </c>
      <c r="AD36" s="38">
        <v>0</v>
      </c>
      <c r="AE36" s="38">
        <v>0</v>
      </c>
      <c r="AF36" s="38">
        <v>0</v>
      </c>
      <c r="AG36" s="38">
        <v>0</v>
      </c>
      <c r="AH36" s="38">
        <v>0</v>
      </c>
      <c r="AI36" s="38">
        <v>0</v>
      </c>
      <c r="AJ36" s="38">
        <v>0</v>
      </c>
      <c r="AK36" s="38">
        <v>0</v>
      </c>
      <c r="AL36" s="38">
        <v>0</v>
      </c>
      <c r="AM36" s="38">
        <v>0</v>
      </c>
      <c r="AN36" s="38">
        <v>0</v>
      </c>
      <c r="AO36" s="38">
        <v>0</v>
      </c>
      <c r="AP36" s="38">
        <v>0</v>
      </c>
      <c r="AQ36" s="38">
        <v>0</v>
      </c>
      <c r="AR36" s="38">
        <v>0</v>
      </c>
      <c r="AS36" s="38">
        <v>0</v>
      </c>
      <c r="AT36" s="38">
        <v>0</v>
      </c>
      <c r="AU36" s="38">
        <v>0</v>
      </c>
      <c r="AV36" s="38">
        <v>0</v>
      </c>
      <c r="AW36" s="38">
        <v>0</v>
      </c>
      <c r="AX36" s="38">
        <v>0</v>
      </c>
      <c r="AY36" s="38">
        <v>0</v>
      </c>
      <c r="AZ36" s="38">
        <v>0</v>
      </c>
      <c r="BA36" s="38">
        <v>0</v>
      </c>
      <c r="BB36" s="38">
        <v>0</v>
      </c>
      <c r="BC36" s="38">
        <v>0</v>
      </c>
      <c r="BD36" s="38">
        <v>0</v>
      </c>
      <c r="BE36" s="38">
        <v>0</v>
      </c>
      <c r="BF36" s="38">
        <v>0</v>
      </c>
      <c r="BG36" s="38">
        <v>0</v>
      </c>
      <c r="BH36" s="38">
        <v>0</v>
      </c>
      <c r="BI36" s="38">
        <v>0</v>
      </c>
      <c r="BJ36" s="38">
        <v>0</v>
      </c>
      <c r="BK36" s="38">
        <v>0</v>
      </c>
      <c r="BL36" s="38">
        <v>0</v>
      </c>
      <c r="BM36" s="38">
        <v>0</v>
      </c>
      <c r="BN36" s="38">
        <v>0</v>
      </c>
      <c r="BO36" s="38">
        <v>0</v>
      </c>
      <c r="BP36" s="38">
        <v>0</v>
      </c>
      <c r="BQ36" s="38">
        <v>0</v>
      </c>
      <c r="BR36" s="38">
        <v>0</v>
      </c>
      <c r="BS36" s="38">
        <v>0</v>
      </c>
      <c r="BT36" s="38">
        <v>0</v>
      </c>
      <c r="BU36" s="38">
        <v>0</v>
      </c>
      <c r="BV36" s="38">
        <v>0</v>
      </c>
      <c r="BW36" s="38">
        <v>0</v>
      </c>
      <c r="BX36" s="38">
        <v>0</v>
      </c>
      <c r="BY36" s="38">
        <v>0</v>
      </c>
      <c r="BZ36" s="38">
        <v>0</v>
      </c>
      <c r="CA36" s="38">
        <v>0</v>
      </c>
      <c r="CB36" s="38">
        <v>0</v>
      </c>
      <c r="CC36" s="38">
        <v>0</v>
      </c>
      <c r="CD36" s="38">
        <v>0</v>
      </c>
      <c r="CE36" s="38">
        <v>0</v>
      </c>
      <c r="CF36" s="38">
        <v>0</v>
      </c>
      <c r="CG36" s="38">
        <v>0</v>
      </c>
      <c r="CH36" s="38">
        <v>0</v>
      </c>
      <c r="CI36" s="38">
        <v>0</v>
      </c>
      <c r="CJ36" s="38">
        <v>0</v>
      </c>
      <c r="CK36" s="38">
        <v>0</v>
      </c>
      <c r="CL36" s="38">
        <v>0</v>
      </c>
      <c r="CM36" s="38">
        <v>0</v>
      </c>
      <c r="CN36" s="38">
        <v>0</v>
      </c>
      <c r="CO36" s="38">
        <v>0</v>
      </c>
      <c r="CP36" s="38">
        <v>0</v>
      </c>
      <c r="CQ36" s="38">
        <v>0</v>
      </c>
      <c r="CR36" s="38">
        <v>0</v>
      </c>
      <c r="CS36" s="38">
        <v>0</v>
      </c>
      <c r="CT36" s="38">
        <v>0</v>
      </c>
      <c r="CU36" s="38">
        <v>0</v>
      </c>
      <c r="CV36" s="38">
        <v>0</v>
      </c>
      <c r="CW36" s="38">
        <v>0</v>
      </c>
      <c r="CX36" s="38">
        <v>0</v>
      </c>
      <c r="CY36" s="38">
        <v>0</v>
      </c>
      <c r="CZ36" s="38">
        <v>0</v>
      </c>
      <c r="DA36" s="38">
        <v>0</v>
      </c>
      <c r="DB36" s="38">
        <v>0</v>
      </c>
      <c r="DC36" s="38">
        <v>0</v>
      </c>
      <c r="DE36" s="46">
        <f t="shared" si="24"/>
        <v>0</v>
      </c>
      <c r="DF36" s="46">
        <f t="shared" si="16"/>
        <v>0</v>
      </c>
      <c r="DG36">
        <f t="shared" si="23"/>
        <v>21</v>
      </c>
      <c r="DH36">
        <v>0</v>
      </c>
    </row>
    <row r="37" spans="1:112" ht="14.4">
      <c r="A37" s="124">
        <v>25</v>
      </c>
      <c r="B37" s="5" t="str">
        <f>$B$33&amp;"4."</f>
        <v>D.3.4.</v>
      </c>
      <c r="C37" s="164" t="s">
        <v>42</v>
      </c>
      <c r="D37" s="6"/>
      <c r="E37" s="192">
        <v>0.21</v>
      </c>
      <c r="F37" s="35">
        <f>H37+NPV(FD,I37:INDEX(I37:DC37,PAL))</f>
        <v>0</v>
      </c>
      <c r="G37" s="35">
        <f>SUMIF($H$5:$DC$5,"&lt;="&amp;PAL,$H37:$DC37)</f>
        <v>0</v>
      </c>
      <c r="H37" s="38">
        <v>0</v>
      </c>
      <c r="I37" s="38">
        <v>0</v>
      </c>
      <c r="J37" s="38">
        <v>0</v>
      </c>
      <c r="K37" s="38">
        <v>0</v>
      </c>
      <c r="L37" s="38">
        <v>0</v>
      </c>
      <c r="M37" s="38">
        <v>0</v>
      </c>
      <c r="N37" s="38">
        <v>0</v>
      </c>
      <c r="O37" s="38">
        <v>0</v>
      </c>
      <c r="P37" s="38">
        <v>0</v>
      </c>
      <c r="Q37" s="38">
        <v>0</v>
      </c>
      <c r="R37" s="38">
        <v>0</v>
      </c>
      <c r="S37" s="38">
        <v>0</v>
      </c>
      <c r="T37" s="38">
        <v>0</v>
      </c>
      <c r="U37" s="38">
        <v>0</v>
      </c>
      <c r="V37" s="38">
        <v>0</v>
      </c>
      <c r="W37" s="38">
        <v>0</v>
      </c>
      <c r="X37" s="38">
        <v>0</v>
      </c>
      <c r="Y37" s="38">
        <v>0</v>
      </c>
      <c r="Z37" s="38">
        <v>0</v>
      </c>
      <c r="AA37" s="38">
        <v>0</v>
      </c>
      <c r="AB37" s="38">
        <v>0</v>
      </c>
      <c r="AC37" s="38">
        <v>0</v>
      </c>
      <c r="AD37" s="38">
        <v>0</v>
      </c>
      <c r="AE37" s="38">
        <v>0</v>
      </c>
      <c r="AF37" s="38">
        <v>0</v>
      </c>
      <c r="AG37" s="38">
        <v>0</v>
      </c>
      <c r="AH37" s="38">
        <v>0</v>
      </c>
      <c r="AI37" s="38">
        <v>0</v>
      </c>
      <c r="AJ37" s="38">
        <v>0</v>
      </c>
      <c r="AK37" s="38">
        <v>0</v>
      </c>
      <c r="AL37" s="38">
        <v>0</v>
      </c>
      <c r="AM37" s="38">
        <v>0</v>
      </c>
      <c r="AN37" s="38">
        <v>0</v>
      </c>
      <c r="AO37" s="38">
        <v>0</v>
      </c>
      <c r="AP37" s="38">
        <v>0</v>
      </c>
      <c r="AQ37" s="38">
        <v>0</v>
      </c>
      <c r="AR37" s="38">
        <v>0</v>
      </c>
      <c r="AS37" s="38">
        <v>0</v>
      </c>
      <c r="AT37" s="38">
        <v>0</v>
      </c>
      <c r="AU37" s="38">
        <v>0</v>
      </c>
      <c r="AV37" s="38">
        <v>0</v>
      </c>
      <c r="AW37" s="38">
        <v>0</v>
      </c>
      <c r="AX37" s="38">
        <v>0</v>
      </c>
      <c r="AY37" s="38">
        <v>0</v>
      </c>
      <c r="AZ37" s="38">
        <v>0</v>
      </c>
      <c r="BA37" s="38">
        <v>0</v>
      </c>
      <c r="BB37" s="38">
        <v>0</v>
      </c>
      <c r="BC37" s="38">
        <v>0</v>
      </c>
      <c r="BD37" s="38">
        <v>0</v>
      </c>
      <c r="BE37" s="38">
        <v>0</v>
      </c>
      <c r="BF37" s="38">
        <v>0</v>
      </c>
      <c r="BG37" s="38">
        <v>0</v>
      </c>
      <c r="BH37" s="38">
        <v>0</v>
      </c>
      <c r="BI37" s="38">
        <v>0</v>
      </c>
      <c r="BJ37" s="38">
        <v>0</v>
      </c>
      <c r="BK37" s="38">
        <v>0</v>
      </c>
      <c r="BL37" s="38">
        <v>0</v>
      </c>
      <c r="BM37" s="38">
        <v>0</v>
      </c>
      <c r="BN37" s="38">
        <v>0</v>
      </c>
      <c r="BO37" s="38">
        <v>0</v>
      </c>
      <c r="BP37" s="38">
        <v>0</v>
      </c>
      <c r="BQ37" s="38">
        <v>0</v>
      </c>
      <c r="BR37" s="38">
        <v>0</v>
      </c>
      <c r="BS37" s="38">
        <v>0</v>
      </c>
      <c r="BT37" s="38">
        <v>0</v>
      </c>
      <c r="BU37" s="38">
        <v>0</v>
      </c>
      <c r="BV37" s="38">
        <v>0</v>
      </c>
      <c r="BW37" s="38">
        <v>0</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0</v>
      </c>
      <c r="CQ37" s="38">
        <v>0</v>
      </c>
      <c r="CR37" s="38">
        <v>0</v>
      </c>
      <c r="CS37" s="38">
        <v>0</v>
      </c>
      <c r="CT37" s="38">
        <v>0</v>
      </c>
      <c r="CU37" s="38">
        <v>0</v>
      </c>
      <c r="CV37" s="38">
        <v>0</v>
      </c>
      <c r="CW37" s="38">
        <v>0</v>
      </c>
      <c r="CX37" s="38">
        <v>0</v>
      </c>
      <c r="CY37" s="38">
        <v>0</v>
      </c>
      <c r="CZ37" s="38">
        <v>0</v>
      </c>
      <c r="DA37" s="38">
        <v>0</v>
      </c>
      <c r="DB37" s="38">
        <v>0</v>
      </c>
      <c r="DC37" s="38">
        <v>0</v>
      </c>
      <c r="DE37" s="46">
        <f t="shared" si="24"/>
        <v>0</v>
      </c>
      <c r="DF37" s="46">
        <f t="shared" si="16"/>
        <v>0</v>
      </c>
      <c r="DG37">
        <f t="shared" si="23"/>
        <v>21</v>
      </c>
      <c r="DH37">
        <v>0</v>
      </c>
    </row>
    <row r="38" spans="1:112" ht="14.4">
      <c r="A38" s="124">
        <v>26</v>
      </c>
      <c r="B38" s="5" t="str">
        <f>$B$33&amp;"5."</f>
        <v>D.3.5.</v>
      </c>
      <c r="C38" s="164" t="s">
        <v>42</v>
      </c>
      <c r="D38" s="6"/>
      <c r="E38" s="192">
        <v>0.21</v>
      </c>
      <c r="F38" s="35">
        <f>H38+NPV(FD,I38:INDEX(I38:DC38,PAL))</f>
        <v>0</v>
      </c>
      <c r="G38" s="35">
        <f>SUMIF($H$5:$DC$5,"&lt;="&amp;PAL,$H38:$DC38)</f>
        <v>0</v>
      </c>
      <c r="H38" s="38">
        <v>0</v>
      </c>
      <c r="I38" s="38">
        <v>0</v>
      </c>
      <c r="J38" s="38">
        <v>0</v>
      </c>
      <c r="K38" s="38">
        <v>0</v>
      </c>
      <c r="L38" s="38">
        <v>0</v>
      </c>
      <c r="M38" s="38">
        <v>0</v>
      </c>
      <c r="N38" s="38">
        <v>0</v>
      </c>
      <c r="O38" s="38">
        <v>0</v>
      </c>
      <c r="P38" s="38">
        <v>0</v>
      </c>
      <c r="Q38" s="38">
        <v>0</v>
      </c>
      <c r="R38" s="38">
        <v>0</v>
      </c>
      <c r="S38" s="38">
        <v>0</v>
      </c>
      <c r="T38" s="38">
        <v>0</v>
      </c>
      <c r="U38" s="38">
        <v>0</v>
      </c>
      <c r="V38" s="38">
        <v>0</v>
      </c>
      <c r="W38" s="38">
        <v>0</v>
      </c>
      <c r="X38" s="38">
        <v>0</v>
      </c>
      <c r="Y38" s="38">
        <v>0</v>
      </c>
      <c r="Z38" s="38">
        <v>0</v>
      </c>
      <c r="AA38" s="38">
        <v>0</v>
      </c>
      <c r="AB38" s="38">
        <v>0</v>
      </c>
      <c r="AC38" s="38">
        <v>0</v>
      </c>
      <c r="AD38" s="38">
        <v>0</v>
      </c>
      <c r="AE38" s="38">
        <v>0</v>
      </c>
      <c r="AF38" s="38">
        <v>0</v>
      </c>
      <c r="AG38" s="38">
        <v>0</v>
      </c>
      <c r="AH38" s="38">
        <v>0</v>
      </c>
      <c r="AI38" s="38">
        <v>0</v>
      </c>
      <c r="AJ38" s="38">
        <v>0</v>
      </c>
      <c r="AK38" s="38">
        <v>0</v>
      </c>
      <c r="AL38" s="38">
        <v>0</v>
      </c>
      <c r="AM38" s="38">
        <v>0</v>
      </c>
      <c r="AN38" s="38">
        <v>0</v>
      </c>
      <c r="AO38" s="38">
        <v>0</v>
      </c>
      <c r="AP38" s="38">
        <v>0</v>
      </c>
      <c r="AQ38" s="38">
        <v>0</v>
      </c>
      <c r="AR38" s="38">
        <v>0</v>
      </c>
      <c r="AS38" s="38">
        <v>0</v>
      </c>
      <c r="AT38" s="38">
        <v>0</v>
      </c>
      <c r="AU38" s="38">
        <v>0</v>
      </c>
      <c r="AV38" s="38">
        <v>0</v>
      </c>
      <c r="AW38" s="38">
        <v>0</v>
      </c>
      <c r="AX38" s="38">
        <v>0</v>
      </c>
      <c r="AY38" s="38">
        <v>0</v>
      </c>
      <c r="AZ38" s="38">
        <v>0</v>
      </c>
      <c r="BA38" s="38">
        <v>0</v>
      </c>
      <c r="BB38" s="38">
        <v>0</v>
      </c>
      <c r="BC38" s="38">
        <v>0</v>
      </c>
      <c r="BD38" s="38">
        <v>0</v>
      </c>
      <c r="BE38" s="38">
        <v>0</v>
      </c>
      <c r="BF38" s="38">
        <v>0</v>
      </c>
      <c r="BG38" s="38">
        <v>0</v>
      </c>
      <c r="BH38" s="38">
        <v>0</v>
      </c>
      <c r="BI38" s="38">
        <v>0</v>
      </c>
      <c r="BJ38" s="38">
        <v>0</v>
      </c>
      <c r="BK38" s="38">
        <v>0</v>
      </c>
      <c r="BL38" s="38">
        <v>0</v>
      </c>
      <c r="BM38" s="38">
        <v>0</v>
      </c>
      <c r="BN38" s="38">
        <v>0</v>
      </c>
      <c r="BO38" s="38">
        <v>0</v>
      </c>
      <c r="BP38" s="38">
        <v>0</v>
      </c>
      <c r="BQ38" s="38">
        <v>0</v>
      </c>
      <c r="BR38" s="38">
        <v>0</v>
      </c>
      <c r="BS38" s="38">
        <v>0</v>
      </c>
      <c r="BT38" s="38">
        <v>0</v>
      </c>
      <c r="BU38" s="38">
        <v>0</v>
      </c>
      <c r="BV38" s="38">
        <v>0</v>
      </c>
      <c r="BW38" s="38">
        <v>0</v>
      </c>
      <c r="BX38" s="38">
        <v>0</v>
      </c>
      <c r="BY38" s="38">
        <v>0</v>
      </c>
      <c r="BZ38" s="38">
        <v>0</v>
      </c>
      <c r="CA38" s="38">
        <v>0</v>
      </c>
      <c r="CB38" s="38">
        <v>0</v>
      </c>
      <c r="CC38" s="38">
        <v>0</v>
      </c>
      <c r="CD38" s="38">
        <v>0</v>
      </c>
      <c r="CE38" s="38">
        <v>0</v>
      </c>
      <c r="CF38" s="38">
        <v>0</v>
      </c>
      <c r="CG38" s="38">
        <v>0</v>
      </c>
      <c r="CH38" s="38">
        <v>0</v>
      </c>
      <c r="CI38" s="38">
        <v>0</v>
      </c>
      <c r="CJ38" s="38">
        <v>0</v>
      </c>
      <c r="CK38" s="38">
        <v>0</v>
      </c>
      <c r="CL38" s="38">
        <v>0</v>
      </c>
      <c r="CM38" s="38">
        <v>0</v>
      </c>
      <c r="CN38" s="38">
        <v>0</v>
      </c>
      <c r="CO38" s="38">
        <v>0</v>
      </c>
      <c r="CP38" s="38">
        <v>0</v>
      </c>
      <c r="CQ38" s="38">
        <v>0</v>
      </c>
      <c r="CR38" s="38">
        <v>0</v>
      </c>
      <c r="CS38" s="38">
        <v>0</v>
      </c>
      <c r="CT38" s="38">
        <v>0</v>
      </c>
      <c r="CU38" s="38">
        <v>0</v>
      </c>
      <c r="CV38" s="38">
        <v>0</v>
      </c>
      <c r="CW38" s="38">
        <v>0</v>
      </c>
      <c r="CX38" s="38">
        <v>0</v>
      </c>
      <c r="CY38" s="38">
        <v>0</v>
      </c>
      <c r="CZ38" s="38">
        <v>0</v>
      </c>
      <c r="DA38" s="38">
        <v>0</v>
      </c>
      <c r="DB38" s="38">
        <v>0</v>
      </c>
      <c r="DC38" s="38">
        <v>0</v>
      </c>
      <c r="DE38" s="46">
        <f t="shared" si="24"/>
        <v>0</v>
      </c>
      <c r="DF38" s="46">
        <f t="shared" si="16"/>
        <v>0</v>
      </c>
      <c r="DG38">
        <f t="shared" si="23"/>
        <v>21</v>
      </c>
      <c r="DH38">
        <v>0</v>
      </c>
    </row>
    <row r="39" spans="1:112" ht="14.4">
      <c r="A39" s="124">
        <v>27</v>
      </c>
      <c r="B39" s="5" t="str">
        <f>$B$33&amp;"6."</f>
        <v>D.3.6.</v>
      </c>
      <c r="C39" s="164" t="s">
        <v>42</v>
      </c>
      <c r="D39" s="6"/>
      <c r="E39" s="192">
        <v>0.21</v>
      </c>
      <c r="F39" s="35">
        <f>H39+NPV(FD,I39:INDEX(I39:DC39,PAL))</f>
        <v>0</v>
      </c>
      <c r="G39" s="35">
        <f>SUMIF($H$5:$DC$5,"&lt;="&amp;PAL,$H39:$DC39)</f>
        <v>0</v>
      </c>
      <c r="H39" s="38">
        <v>0</v>
      </c>
      <c r="I39" s="38">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0</v>
      </c>
      <c r="AT39" s="38">
        <v>0</v>
      </c>
      <c r="AU39" s="38">
        <v>0</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0</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0</v>
      </c>
      <c r="CQ39" s="38">
        <v>0</v>
      </c>
      <c r="CR39" s="38">
        <v>0</v>
      </c>
      <c r="CS39" s="38">
        <v>0</v>
      </c>
      <c r="CT39" s="38">
        <v>0</v>
      </c>
      <c r="CU39" s="38">
        <v>0</v>
      </c>
      <c r="CV39" s="38">
        <v>0</v>
      </c>
      <c r="CW39" s="38">
        <v>0</v>
      </c>
      <c r="CX39" s="38">
        <v>0</v>
      </c>
      <c r="CY39" s="38">
        <v>0</v>
      </c>
      <c r="CZ39" s="38">
        <v>0</v>
      </c>
      <c r="DA39" s="38">
        <v>0</v>
      </c>
      <c r="DB39" s="38">
        <v>0</v>
      </c>
      <c r="DC39" s="38">
        <v>0</v>
      </c>
      <c r="DE39" s="46">
        <f t="shared" si="24"/>
        <v>0</v>
      </c>
      <c r="DF39" s="46">
        <f t="shared" si="16"/>
        <v>0</v>
      </c>
      <c r="DG39">
        <f t="shared" si="23"/>
        <v>21</v>
      </c>
      <c r="DH39">
        <v>0</v>
      </c>
    </row>
    <row r="40" spans="1:112" ht="14.4">
      <c r="A40" s="124">
        <v>28</v>
      </c>
      <c r="B40" s="5" t="str">
        <f>$B$33&amp;"7."</f>
        <v>D.3.7.</v>
      </c>
      <c r="C40" s="164" t="s">
        <v>42</v>
      </c>
      <c r="D40" s="6"/>
      <c r="E40" s="192">
        <v>0.21</v>
      </c>
      <c r="F40" s="35">
        <f>H40+NPV(FD,I40:INDEX(I40:DC40,PAL))</f>
        <v>0</v>
      </c>
      <c r="G40" s="35">
        <f>SUMIF($H$5:$DC$5,"&lt;="&amp;PAL,$H40:$DC40)</f>
        <v>0</v>
      </c>
      <c r="H40" s="38">
        <v>0</v>
      </c>
      <c r="I40" s="38">
        <v>0</v>
      </c>
      <c r="J40" s="38">
        <v>0</v>
      </c>
      <c r="K40" s="38">
        <v>0</v>
      </c>
      <c r="L40" s="38">
        <v>0</v>
      </c>
      <c r="M40" s="38">
        <v>0</v>
      </c>
      <c r="N40" s="38">
        <v>0</v>
      </c>
      <c r="O40" s="38">
        <v>0</v>
      </c>
      <c r="P40" s="38">
        <v>0</v>
      </c>
      <c r="Q40" s="38">
        <v>0</v>
      </c>
      <c r="R40" s="38">
        <v>0</v>
      </c>
      <c r="S40" s="38">
        <v>0</v>
      </c>
      <c r="T40" s="38">
        <v>0</v>
      </c>
      <c r="U40" s="38">
        <v>0</v>
      </c>
      <c r="V40" s="38">
        <v>0</v>
      </c>
      <c r="W40" s="38">
        <v>0</v>
      </c>
      <c r="X40" s="38">
        <v>0</v>
      </c>
      <c r="Y40" s="38">
        <v>0</v>
      </c>
      <c r="Z40" s="38">
        <v>0</v>
      </c>
      <c r="AA40" s="38">
        <v>0</v>
      </c>
      <c r="AB40" s="38">
        <v>0</v>
      </c>
      <c r="AC40" s="38">
        <v>0</v>
      </c>
      <c r="AD40" s="38">
        <v>0</v>
      </c>
      <c r="AE40" s="38">
        <v>0</v>
      </c>
      <c r="AF40" s="38">
        <v>0</v>
      </c>
      <c r="AG40" s="38">
        <v>0</v>
      </c>
      <c r="AH40" s="38">
        <v>0</v>
      </c>
      <c r="AI40" s="38">
        <v>0</v>
      </c>
      <c r="AJ40" s="38">
        <v>0</v>
      </c>
      <c r="AK40" s="38">
        <v>0</v>
      </c>
      <c r="AL40" s="38">
        <v>0</v>
      </c>
      <c r="AM40" s="38">
        <v>0</v>
      </c>
      <c r="AN40" s="38">
        <v>0</v>
      </c>
      <c r="AO40" s="38">
        <v>0</v>
      </c>
      <c r="AP40" s="38">
        <v>0</v>
      </c>
      <c r="AQ40" s="38">
        <v>0</v>
      </c>
      <c r="AR40" s="38">
        <v>0</v>
      </c>
      <c r="AS40" s="38">
        <v>0</v>
      </c>
      <c r="AT40" s="38">
        <v>0</v>
      </c>
      <c r="AU40" s="38">
        <v>0</v>
      </c>
      <c r="AV40" s="38">
        <v>0</v>
      </c>
      <c r="AW40" s="38">
        <v>0</v>
      </c>
      <c r="AX40" s="38">
        <v>0</v>
      </c>
      <c r="AY40" s="38">
        <v>0</v>
      </c>
      <c r="AZ40" s="38">
        <v>0</v>
      </c>
      <c r="BA40" s="38">
        <v>0</v>
      </c>
      <c r="BB40" s="38">
        <v>0</v>
      </c>
      <c r="BC40" s="38">
        <v>0</v>
      </c>
      <c r="BD40" s="38">
        <v>0</v>
      </c>
      <c r="BE40" s="38">
        <v>0</v>
      </c>
      <c r="BF40" s="38">
        <v>0</v>
      </c>
      <c r="BG40" s="38">
        <v>0</v>
      </c>
      <c r="BH40" s="38">
        <v>0</v>
      </c>
      <c r="BI40" s="38">
        <v>0</v>
      </c>
      <c r="BJ40" s="38">
        <v>0</v>
      </c>
      <c r="BK40" s="38">
        <v>0</v>
      </c>
      <c r="BL40" s="38">
        <v>0</v>
      </c>
      <c r="BM40" s="38">
        <v>0</v>
      </c>
      <c r="BN40" s="38">
        <v>0</v>
      </c>
      <c r="BO40" s="38">
        <v>0</v>
      </c>
      <c r="BP40" s="38">
        <v>0</v>
      </c>
      <c r="BQ40" s="38">
        <v>0</v>
      </c>
      <c r="BR40" s="38">
        <v>0</v>
      </c>
      <c r="BS40" s="38">
        <v>0</v>
      </c>
      <c r="BT40" s="38">
        <v>0</v>
      </c>
      <c r="BU40" s="38">
        <v>0</v>
      </c>
      <c r="BV40" s="38">
        <v>0</v>
      </c>
      <c r="BW40" s="38">
        <v>0</v>
      </c>
      <c r="BX40" s="38">
        <v>0</v>
      </c>
      <c r="BY40" s="38">
        <v>0</v>
      </c>
      <c r="BZ40" s="38">
        <v>0</v>
      </c>
      <c r="CA40" s="38">
        <v>0</v>
      </c>
      <c r="CB40" s="38">
        <v>0</v>
      </c>
      <c r="CC40" s="38">
        <v>0</v>
      </c>
      <c r="CD40" s="38">
        <v>0</v>
      </c>
      <c r="CE40" s="38">
        <v>0</v>
      </c>
      <c r="CF40" s="38">
        <v>0</v>
      </c>
      <c r="CG40" s="38">
        <v>0</v>
      </c>
      <c r="CH40" s="38">
        <v>0</v>
      </c>
      <c r="CI40" s="38">
        <v>0</v>
      </c>
      <c r="CJ40" s="38">
        <v>0</v>
      </c>
      <c r="CK40" s="38">
        <v>0</v>
      </c>
      <c r="CL40" s="38">
        <v>0</v>
      </c>
      <c r="CM40" s="38">
        <v>0</v>
      </c>
      <c r="CN40" s="38">
        <v>0</v>
      </c>
      <c r="CO40" s="38">
        <v>0</v>
      </c>
      <c r="CP40" s="38">
        <v>0</v>
      </c>
      <c r="CQ40" s="38">
        <v>0</v>
      </c>
      <c r="CR40" s="38">
        <v>0</v>
      </c>
      <c r="CS40" s="38">
        <v>0</v>
      </c>
      <c r="CT40" s="38">
        <v>0</v>
      </c>
      <c r="CU40" s="38">
        <v>0</v>
      </c>
      <c r="CV40" s="38">
        <v>0</v>
      </c>
      <c r="CW40" s="38">
        <v>0</v>
      </c>
      <c r="CX40" s="38">
        <v>0</v>
      </c>
      <c r="CY40" s="38">
        <v>0</v>
      </c>
      <c r="CZ40" s="38">
        <v>0</v>
      </c>
      <c r="DA40" s="38">
        <v>0</v>
      </c>
      <c r="DB40" s="38">
        <v>0</v>
      </c>
      <c r="DC40" s="38">
        <v>0</v>
      </c>
      <c r="DE40" s="46">
        <f t="shared" si="24"/>
        <v>0</v>
      </c>
      <c r="DF40" s="46">
        <f t="shared" si="16"/>
        <v>0</v>
      </c>
      <c r="DG40">
        <f t="shared" si="23"/>
        <v>21</v>
      </c>
      <c r="DH40">
        <v>0</v>
      </c>
    </row>
    <row r="41" spans="1:112" ht="14.4">
      <c r="A41" s="124">
        <v>29</v>
      </c>
      <c r="B41" s="5" t="str">
        <f>$B$33&amp;"8."</f>
        <v>D.3.8.</v>
      </c>
      <c r="C41" s="164" t="s">
        <v>42</v>
      </c>
      <c r="D41" s="17"/>
      <c r="E41" s="192">
        <v>0.21</v>
      </c>
      <c r="F41" s="35">
        <f>H41+NPV(FD,I41:INDEX(I41:DC41,PAL))</f>
        <v>0</v>
      </c>
      <c r="G41" s="35">
        <f>SUMIF($H$5:$DC$5,"&lt;="&amp;PAL,$H41:$DC41)</f>
        <v>0</v>
      </c>
      <c r="H41" s="38">
        <v>0</v>
      </c>
      <c r="I41" s="38">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0</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E41" s="46">
        <f t="shared" si="24"/>
        <v>0</v>
      </c>
      <c r="DF41" s="46">
        <f t="shared" si="16"/>
        <v>0</v>
      </c>
      <c r="DG41">
        <f t="shared" si="23"/>
        <v>21</v>
      </c>
      <c r="DH41">
        <v>0</v>
      </c>
    </row>
    <row r="42" spans="1:112" ht="14.4">
      <c r="A42" s="124">
        <v>30</v>
      </c>
      <c r="B42" s="5" t="str">
        <f>$B$33&amp;"9."</f>
        <v>D.3.9.</v>
      </c>
      <c r="C42" s="17" t="s">
        <v>155</v>
      </c>
      <c r="D42" s="17"/>
      <c r="E42" s="192">
        <v>0.21</v>
      </c>
      <c r="F42" s="35">
        <f>H42+NPV(FD,I42:INDEX(I42:DC42,PAL))</f>
        <v>0</v>
      </c>
      <c r="G42" s="35">
        <f>SUMIF($H$5:$DC$5,"&lt;="&amp;PAL,$H42:$DC42)</f>
        <v>0</v>
      </c>
      <c r="H42" s="165">
        <v>0</v>
      </c>
      <c r="I42" s="165">
        <v>0</v>
      </c>
      <c r="J42" s="165">
        <v>0</v>
      </c>
      <c r="K42" s="165">
        <v>0</v>
      </c>
      <c r="L42" s="165">
        <v>0</v>
      </c>
      <c r="M42" s="165">
        <v>0</v>
      </c>
      <c r="N42" s="165">
        <v>0</v>
      </c>
      <c r="O42" s="165">
        <v>0</v>
      </c>
      <c r="P42" s="165">
        <v>0</v>
      </c>
      <c r="Q42" s="165">
        <v>0</v>
      </c>
      <c r="R42" s="165">
        <v>0</v>
      </c>
      <c r="S42" s="166">
        <v>0</v>
      </c>
      <c r="T42" s="166">
        <v>0</v>
      </c>
      <c r="U42" s="166">
        <v>0</v>
      </c>
      <c r="V42" s="166">
        <v>0</v>
      </c>
      <c r="W42" s="166">
        <v>0</v>
      </c>
      <c r="X42" s="166">
        <v>0</v>
      </c>
      <c r="Y42" s="166">
        <v>0</v>
      </c>
      <c r="Z42" s="166">
        <v>0</v>
      </c>
      <c r="AA42" s="166">
        <v>0</v>
      </c>
      <c r="AB42" s="166">
        <v>0</v>
      </c>
      <c r="AC42" s="166">
        <v>0</v>
      </c>
      <c r="AD42" s="166">
        <v>0</v>
      </c>
      <c r="AE42" s="166">
        <v>0</v>
      </c>
      <c r="AF42" s="166">
        <v>0</v>
      </c>
      <c r="AG42" s="166">
        <v>0</v>
      </c>
      <c r="AH42" s="166">
        <v>0</v>
      </c>
      <c r="AI42" s="166">
        <v>0</v>
      </c>
      <c r="AJ42" s="166">
        <v>0</v>
      </c>
      <c r="AK42" s="166">
        <v>0</v>
      </c>
      <c r="AL42" s="166">
        <v>0</v>
      </c>
      <c r="AM42" s="166">
        <v>0</v>
      </c>
      <c r="AN42" s="166">
        <v>0</v>
      </c>
      <c r="AO42" s="166">
        <v>0</v>
      </c>
      <c r="AP42" s="166">
        <v>0</v>
      </c>
      <c r="AQ42" s="166">
        <v>0</v>
      </c>
      <c r="AR42" s="166">
        <v>0</v>
      </c>
      <c r="AS42" s="166">
        <v>0</v>
      </c>
      <c r="AT42" s="166">
        <v>0</v>
      </c>
      <c r="AU42" s="166">
        <v>0</v>
      </c>
      <c r="AV42" s="166">
        <v>0</v>
      </c>
      <c r="AW42" s="166">
        <v>0</v>
      </c>
      <c r="AX42" s="166">
        <v>0</v>
      </c>
      <c r="AY42" s="166">
        <v>0</v>
      </c>
      <c r="AZ42" s="166">
        <v>0</v>
      </c>
      <c r="BA42" s="166">
        <v>0</v>
      </c>
      <c r="BB42" s="166">
        <v>0</v>
      </c>
      <c r="BC42" s="166">
        <v>0</v>
      </c>
      <c r="BD42" s="166">
        <v>0</v>
      </c>
      <c r="BE42" s="166">
        <v>0</v>
      </c>
      <c r="BF42" s="166">
        <v>0</v>
      </c>
      <c r="BG42" s="166">
        <v>0</v>
      </c>
      <c r="BH42" s="166">
        <v>0</v>
      </c>
      <c r="BI42" s="166">
        <v>0</v>
      </c>
      <c r="BJ42" s="166">
        <v>0</v>
      </c>
      <c r="BK42" s="166">
        <v>0</v>
      </c>
      <c r="BL42" s="166">
        <v>0</v>
      </c>
      <c r="BM42" s="166">
        <v>0</v>
      </c>
      <c r="BN42" s="166">
        <v>0</v>
      </c>
      <c r="BO42" s="166">
        <v>0</v>
      </c>
      <c r="BP42" s="166">
        <v>0</v>
      </c>
      <c r="BQ42" s="166">
        <v>0</v>
      </c>
      <c r="BR42" s="166">
        <v>0</v>
      </c>
      <c r="BS42" s="166">
        <v>0</v>
      </c>
      <c r="BT42" s="166">
        <v>0</v>
      </c>
      <c r="BU42" s="166">
        <v>0</v>
      </c>
      <c r="BV42" s="166">
        <v>0</v>
      </c>
      <c r="BW42" s="166">
        <v>0</v>
      </c>
      <c r="BX42" s="166">
        <v>0</v>
      </c>
      <c r="BY42" s="166">
        <v>0</v>
      </c>
      <c r="BZ42" s="166">
        <v>0</v>
      </c>
      <c r="CA42" s="166">
        <v>0</v>
      </c>
      <c r="CB42" s="166">
        <v>0</v>
      </c>
      <c r="CC42" s="166">
        <v>0</v>
      </c>
      <c r="CD42" s="166">
        <v>0</v>
      </c>
      <c r="CE42" s="166">
        <v>0</v>
      </c>
      <c r="CF42" s="166">
        <v>0</v>
      </c>
      <c r="CG42" s="166">
        <v>0</v>
      </c>
      <c r="CH42" s="166">
        <v>0</v>
      </c>
      <c r="CI42" s="166">
        <v>0</v>
      </c>
      <c r="CJ42" s="166">
        <v>0</v>
      </c>
      <c r="CK42" s="166">
        <v>0</v>
      </c>
      <c r="CL42" s="166">
        <v>0</v>
      </c>
      <c r="CM42" s="166">
        <v>0</v>
      </c>
      <c r="CN42" s="166">
        <v>0</v>
      </c>
      <c r="CO42" s="166">
        <v>0</v>
      </c>
      <c r="CP42" s="166">
        <v>0</v>
      </c>
      <c r="CQ42" s="166">
        <v>0</v>
      </c>
      <c r="CR42" s="166">
        <v>0</v>
      </c>
      <c r="CS42" s="166">
        <v>0</v>
      </c>
      <c r="CT42" s="166">
        <v>0</v>
      </c>
      <c r="CU42" s="166">
        <v>0</v>
      </c>
      <c r="CV42" s="166">
        <v>0</v>
      </c>
      <c r="CW42" s="166">
        <v>0</v>
      </c>
      <c r="CX42" s="166">
        <v>0</v>
      </c>
      <c r="CY42" s="166">
        <v>0</v>
      </c>
      <c r="CZ42" s="166">
        <v>0</v>
      </c>
      <c r="DA42" s="166">
        <v>0</v>
      </c>
      <c r="DB42" s="166">
        <v>0</v>
      </c>
      <c r="DC42" s="166">
        <v>0</v>
      </c>
      <c r="DE42" s="46">
        <f t="shared" si="24"/>
        <v>0</v>
      </c>
      <c r="DF42" s="46">
        <f t="shared" si="16"/>
        <v>0</v>
      </c>
      <c r="DG42">
        <f t="shared" si="23"/>
        <v>21</v>
      </c>
      <c r="DH42">
        <v>0</v>
      </c>
    </row>
    <row r="43" spans="1:112" ht="14.4">
      <c r="A43" s="124">
        <v>31</v>
      </c>
      <c r="B43" s="5" t="str">
        <f>$B$33&amp;"L."</f>
        <v>D.3.L.</v>
      </c>
      <c r="C43" s="17" t="s">
        <v>16</v>
      </c>
      <c r="D43" s="17"/>
      <c r="E43" s="192">
        <v>0.21</v>
      </c>
      <c r="F43" s="35">
        <f>H43+NPV(FD,I43:INDEX(I43:DC43,PAL))</f>
        <v>0</v>
      </c>
      <c r="G43" s="35">
        <f>SUMIF($H$5:$DC$5,"&lt;="&amp;PAL,$H43:$DC43)</f>
        <v>0</v>
      </c>
      <c r="H43" s="165">
        <v>0</v>
      </c>
      <c r="I43" s="165">
        <v>0</v>
      </c>
      <c r="J43" s="165">
        <v>0</v>
      </c>
      <c r="K43" s="165">
        <v>0</v>
      </c>
      <c r="L43" s="165">
        <v>0</v>
      </c>
      <c r="M43" s="165">
        <v>0</v>
      </c>
      <c r="N43" s="165">
        <v>0</v>
      </c>
      <c r="O43" s="165">
        <v>0</v>
      </c>
      <c r="P43" s="165">
        <v>0</v>
      </c>
      <c r="Q43" s="165">
        <v>0</v>
      </c>
      <c r="R43" s="165">
        <v>0</v>
      </c>
      <c r="S43" s="165">
        <v>0</v>
      </c>
      <c r="T43" s="165">
        <v>0</v>
      </c>
      <c r="U43" s="165">
        <v>0</v>
      </c>
      <c r="V43" s="165">
        <v>0</v>
      </c>
      <c r="W43" s="165">
        <v>0</v>
      </c>
      <c r="X43" s="165">
        <v>0</v>
      </c>
      <c r="Y43" s="165">
        <v>0</v>
      </c>
      <c r="Z43" s="165">
        <v>0</v>
      </c>
      <c r="AA43" s="165">
        <v>0</v>
      </c>
      <c r="AB43" s="166">
        <v>0</v>
      </c>
      <c r="AC43" s="165">
        <v>0</v>
      </c>
      <c r="AD43" s="165">
        <v>0</v>
      </c>
      <c r="AE43" s="165">
        <v>0</v>
      </c>
      <c r="AF43" s="165">
        <v>0</v>
      </c>
      <c r="AG43" s="165">
        <v>0</v>
      </c>
      <c r="AH43" s="165">
        <v>0</v>
      </c>
      <c r="AI43" s="165">
        <v>0</v>
      </c>
      <c r="AJ43" s="165">
        <v>0</v>
      </c>
      <c r="AK43" s="165">
        <v>0</v>
      </c>
      <c r="AL43" s="166">
        <v>0</v>
      </c>
      <c r="AM43" s="165">
        <v>0</v>
      </c>
      <c r="AN43" s="165">
        <v>0</v>
      </c>
      <c r="AO43" s="165">
        <v>0</v>
      </c>
      <c r="AP43" s="165">
        <v>0</v>
      </c>
      <c r="AQ43" s="165">
        <v>0</v>
      </c>
      <c r="AR43" s="165">
        <v>0</v>
      </c>
      <c r="AS43" s="165">
        <v>0</v>
      </c>
      <c r="AT43" s="165">
        <v>0</v>
      </c>
      <c r="AU43" s="165">
        <v>0</v>
      </c>
      <c r="AV43" s="165">
        <v>0</v>
      </c>
      <c r="AW43" s="165">
        <v>0</v>
      </c>
      <c r="AX43" s="165">
        <v>0</v>
      </c>
      <c r="AY43" s="165">
        <v>0</v>
      </c>
      <c r="AZ43" s="165">
        <v>0</v>
      </c>
      <c r="BA43" s="165">
        <v>0</v>
      </c>
      <c r="BB43" s="165">
        <v>0</v>
      </c>
      <c r="BC43" s="165">
        <v>0</v>
      </c>
      <c r="BD43" s="165">
        <v>0</v>
      </c>
      <c r="BE43" s="165">
        <v>0</v>
      </c>
      <c r="BF43" s="165">
        <v>0</v>
      </c>
      <c r="BG43" s="165">
        <v>0</v>
      </c>
      <c r="BH43" s="165">
        <v>0</v>
      </c>
      <c r="BI43" s="165">
        <v>0</v>
      </c>
      <c r="BJ43" s="165">
        <v>0</v>
      </c>
      <c r="BK43" s="165">
        <v>0</v>
      </c>
      <c r="BL43" s="165">
        <v>0</v>
      </c>
      <c r="BM43" s="165">
        <v>0</v>
      </c>
      <c r="BN43" s="165">
        <v>0</v>
      </c>
      <c r="BO43" s="165">
        <v>0</v>
      </c>
      <c r="BP43" s="165">
        <v>0</v>
      </c>
      <c r="BQ43" s="165">
        <v>0</v>
      </c>
      <c r="BR43" s="165">
        <v>0</v>
      </c>
      <c r="BS43" s="165">
        <v>0</v>
      </c>
      <c r="BT43" s="165">
        <v>0</v>
      </c>
      <c r="BU43" s="165">
        <v>0</v>
      </c>
      <c r="BV43" s="165">
        <v>0</v>
      </c>
      <c r="BW43" s="165">
        <v>0</v>
      </c>
      <c r="BX43" s="165">
        <v>0</v>
      </c>
      <c r="BY43" s="165">
        <v>0</v>
      </c>
      <c r="BZ43" s="165">
        <v>0</v>
      </c>
      <c r="CA43" s="165">
        <v>0</v>
      </c>
      <c r="CB43" s="165">
        <v>0</v>
      </c>
      <c r="CC43" s="165">
        <v>0</v>
      </c>
      <c r="CD43" s="165">
        <v>0</v>
      </c>
      <c r="CE43" s="165">
        <v>0</v>
      </c>
      <c r="CF43" s="165">
        <v>0</v>
      </c>
      <c r="CG43" s="165">
        <v>0</v>
      </c>
      <c r="CH43" s="165">
        <v>0</v>
      </c>
      <c r="CI43" s="165">
        <v>0</v>
      </c>
      <c r="CJ43" s="165">
        <v>0</v>
      </c>
      <c r="CK43" s="165">
        <v>0</v>
      </c>
      <c r="CL43" s="165">
        <v>0</v>
      </c>
      <c r="CM43" s="165">
        <v>0</v>
      </c>
      <c r="CN43" s="165">
        <v>0</v>
      </c>
      <c r="CO43" s="165">
        <v>0</v>
      </c>
      <c r="CP43" s="165">
        <v>0</v>
      </c>
      <c r="CQ43" s="165">
        <v>0</v>
      </c>
      <c r="CR43" s="165">
        <v>0</v>
      </c>
      <c r="CS43" s="165">
        <v>0</v>
      </c>
      <c r="CT43" s="165">
        <v>0</v>
      </c>
      <c r="CU43" s="165">
        <v>0</v>
      </c>
      <c r="CV43" s="165">
        <v>0</v>
      </c>
      <c r="CW43" s="165">
        <v>0</v>
      </c>
      <c r="CX43" s="165">
        <v>0</v>
      </c>
      <c r="CY43" s="165">
        <v>0</v>
      </c>
      <c r="CZ43" s="165">
        <v>0</v>
      </c>
      <c r="DA43" s="165">
        <v>0</v>
      </c>
      <c r="DB43" s="165">
        <v>0</v>
      </c>
      <c r="DC43" s="166">
        <v>0</v>
      </c>
      <c r="DE43" s="46">
        <f t="shared" si="24"/>
        <v>0</v>
      </c>
      <c r="DF43" s="46">
        <f t="shared" si="16"/>
        <v>0</v>
      </c>
      <c r="DG43">
        <f t="shared" si="23"/>
        <v>21</v>
      </c>
      <c r="DH43">
        <f>DG43/(100+DG43)</f>
        <v>0.17355371900826447</v>
      </c>
    </row>
    <row r="44" spans="1:112" ht="14.4">
      <c r="A44" s="124">
        <v>32</v>
      </c>
      <c r="B44" s="37" t="s">
        <v>24</v>
      </c>
      <c r="C44" s="161" t="s">
        <v>435</v>
      </c>
      <c r="D44" s="3"/>
      <c r="E44" s="3"/>
      <c r="F44" s="11">
        <f>F45+F56+F67</f>
        <v>0</v>
      </c>
      <c r="G44" s="35">
        <f>SUMIF($H$5:$DC$5,"&lt;="&amp;PAL,$H44:$DC44)</f>
        <v>0</v>
      </c>
      <c r="H44" s="11">
        <f>H45+H56+H67</f>
        <v>0</v>
      </c>
      <c r="I44" s="11">
        <f t="shared" ref="I44:BT44" si="25">I45+I56+I67</f>
        <v>0</v>
      </c>
      <c r="J44" s="11">
        <f t="shared" si="25"/>
        <v>0</v>
      </c>
      <c r="K44" s="11">
        <f t="shared" si="25"/>
        <v>0</v>
      </c>
      <c r="L44" s="11">
        <f t="shared" si="25"/>
        <v>0</v>
      </c>
      <c r="M44" s="11">
        <f t="shared" si="25"/>
        <v>0</v>
      </c>
      <c r="N44" s="11">
        <f t="shared" si="25"/>
        <v>0</v>
      </c>
      <c r="O44" s="11">
        <f t="shared" si="25"/>
        <v>0</v>
      </c>
      <c r="P44" s="11">
        <f t="shared" si="25"/>
        <v>0</v>
      </c>
      <c r="Q44" s="11">
        <f t="shared" si="25"/>
        <v>0</v>
      </c>
      <c r="R44" s="11">
        <f t="shared" si="25"/>
        <v>0</v>
      </c>
      <c r="S44" s="11">
        <f t="shared" si="25"/>
        <v>0</v>
      </c>
      <c r="T44" s="11">
        <f t="shared" si="25"/>
        <v>0</v>
      </c>
      <c r="U44" s="11">
        <f t="shared" si="25"/>
        <v>0</v>
      </c>
      <c r="V44" s="11">
        <f t="shared" si="25"/>
        <v>0</v>
      </c>
      <c r="W44" s="11">
        <f t="shared" si="25"/>
        <v>0</v>
      </c>
      <c r="X44" s="11">
        <f t="shared" si="25"/>
        <v>0</v>
      </c>
      <c r="Y44" s="11">
        <f t="shared" si="25"/>
        <v>0</v>
      </c>
      <c r="Z44" s="11">
        <f t="shared" si="25"/>
        <v>0</v>
      </c>
      <c r="AA44" s="11">
        <f t="shared" si="25"/>
        <v>0</v>
      </c>
      <c r="AB44" s="11">
        <f t="shared" si="25"/>
        <v>0</v>
      </c>
      <c r="AC44" s="11">
        <f t="shared" si="25"/>
        <v>0</v>
      </c>
      <c r="AD44" s="11">
        <f t="shared" si="25"/>
        <v>0</v>
      </c>
      <c r="AE44" s="11">
        <f t="shared" si="25"/>
        <v>0</v>
      </c>
      <c r="AF44" s="11">
        <f t="shared" si="25"/>
        <v>0</v>
      </c>
      <c r="AG44" s="11">
        <f t="shared" si="25"/>
        <v>0</v>
      </c>
      <c r="AH44" s="11">
        <f t="shared" si="25"/>
        <v>0</v>
      </c>
      <c r="AI44" s="11">
        <f t="shared" si="25"/>
        <v>0</v>
      </c>
      <c r="AJ44" s="11">
        <f t="shared" si="25"/>
        <v>0</v>
      </c>
      <c r="AK44" s="11">
        <f t="shared" si="25"/>
        <v>0</v>
      </c>
      <c r="AL44" s="11">
        <f t="shared" si="25"/>
        <v>0</v>
      </c>
      <c r="AM44" s="11">
        <f t="shared" si="25"/>
        <v>0</v>
      </c>
      <c r="AN44" s="11">
        <f t="shared" si="25"/>
        <v>0</v>
      </c>
      <c r="AO44" s="11">
        <f t="shared" si="25"/>
        <v>0</v>
      </c>
      <c r="AP44" s="11">
        <f t="shared" si="25"/>
        <v>0</v>
      </c>
      <c r="AQ44" s="11">
        <f t="shared" si="25"/>
        <v>0</v>
      </c>
      <c r="AR44" s="11">
        <f t="shared" si="25"/>
        <v>0</v>
      </c>
      <c r="AS44" s="11">
        <f t="shared" si="25"/>
        <v>0</v>
      </c>
      <c r="AT44" s="11">
        <f t="shared" si="25"/>
        <v>0</v>
      </c>
      <c r="AU44" s="11">
        <f t="shared" si="25"/>
        <v>0</v>
      </c>
      <c r="AV44" s="11">
        <f t="shared" si="25"/>
        <v>0</v>
      </c>
      <c r="AW44" s="11">
        <f t="shared" si="25"/>
        <v>0</v>
      </c>
      <c r="AX44" s="11">
        <f t="shared" si="25"/>
        <v>0</v>
      </c>
      <c r="AY44" s="11">
        <f t="shared" si="25"/>
        <v>0</v>
      </c>
      <c r="AZ44" s="11">
        <f t="shared" si="25"/>
        <v>0</v>
      </c>
      <c r="BA44" s="11">
        <f t="shared" si="25"/>
        <v>0</v>
      </c>
      <c r="BB44" s="11">
        <f t="shared" si="25"/>
        <v>0</v>
      </c>
      <c r="BC44" s="11">
        <f t="shared" si="25"/>
        <v>0</v>
      </c>
      <c r="BD44" s="11">
        <f t="shared" si="25"/>
        <v>0</v>
      </c>
      <c r="BE44" s="11">
        <f t="shared" si="25"/>
        <v>0</v>
      </c>
      <c r="BF44" s="11">
        <f t="shared" si="25"/>
        <v>0</v>
      </c>
      <c r="BG44" s="11">
        <f t="shared" si="25"/>
        <v>0</v>
      </c>
      <c r="BH44" s="11">
        <f t="shared" si="25"/>
        <v>0</v>
      </c>
      <c r="BI44" s="11">
        <f t="shared" si="25"/>
        <v>0</v>
      </c>
      <c r="BJ44" s="11">
        <f t="shared" si="25"/>
        <v>0</v>
      </c>
      <c r="BK44" s="11">
        <f t="shared" si="25"/>
        <v>0</v>
      </c>
      <c r="BL44" s="11">
        <f t="shared" si="25"/>
        <v>0</v>
      </c>
      <c r="BM44" s="11">
        <f t="shared" si="25"/>
        <v>0</v>
      </c>
      <c r="BN44" s="11">
        <f t="shared" si="25"/>
        <v>0</v>
      </c>
      <c r="BO44" s="11">
        <f t="shared" si="25"/>
        <v>0</v>
      </c>
      <c r="BP44" s="11">
        <f t="shared" si="25"/>
        <v>0</v>
      </c>
      <c r="BQ44" s="11">
        <f t="shared" si="25"/>
        <v>0</v>
      </c>
      <c r="BR44" s="11">
        <f t="shared" si="25"/>
        <v>0</v>
      </c>
      <c r="BS44" s="11">
        <f t="shared" si="25"/>
        <v>0</v>
      </c>
      <c r="BT44" s="11">
        <f t="shared" si="25"/>
        <v>0</v>
      </c>
      <c r="BU44" s="11">
        <f t="shared" ref="BU44:DC44" si="26">BU45+BU56+BU67</f>
        <v>0</v>
      </c>
      <c r="BV44" s="11">
        <f t="shared" si="26"/>
        <v>0</v>
      </c>
      <c r="BW44" s="11">
        <f t="shared" si="26"/>
        <v>0</v>
      </c>
      <c r="BX44" s="11">
        <f t="shared" si="26"/>
        <v>0</v>
      </c>
      <c r="BY44" s="11">
        <f t="shared" si="26"/>
        <v>0</v>
      </c>
      <c r="BZ44" s="11">
        <f t="shared" si="26"/>
        <v>0</v>
      </c>
      <c r="CA44" s="11">
        <f t="shared" si="26"/>
        <v>0</v>
      </c>
      <c r="CB44" s="11">
        <f t="shared" si="26"/>
        <v>0</v>
      </c>
      <c r="CC44" s="11">
        <f t="shared" si="26"/>
        <v>0</v>
      </c>
      <c r="CD44" s="11">
        <f t="shared" si="26"/>
        <v>0</v>
      </c>
      <c r="CE44" s="11">
        <f t="shared" si="26"/>
        <v>0</v>
      </c>
      <c r="CF44" s="11">
        <f t="shared" si="26"/>
        <v>0</v>
      </c>
      <c r="CG44" s="11">
        <f t="shared" si="26"/>
        <v>0</v>
      </c>
      <c r="CH44" s="11">
        <f t="shared" si="26"/>
        <v>0</v>
      </c>
      <c r="CI44" s="11">
        <f t="shared" si="26"/>
        <v>0</v>
      </c>
      <c r="CJ44" s="11">
        <f t="shared" si="26"/>
        <v>0</v>
      </c>
      <c r="CK44" s="11">
        <f t="shared" si="26"/>
        <v>0</v>
      </c>
      <c r="CL44" s="11">
        <f t="shared" si="26"/>
        <v>0</v>
      </c>
      <c r="CM44" s="11">
        <f t="shared" si="26"/>
        <v>0</v>
      </c>
      <c r="CN44" s="11">
        <f t="shared" si="26"/>
        <v>0</v>
      </c>
      <c r="CO44" s="11">
        <f t="shared" si="26"/>
        <v>0</v>
      </c>
      <c r="CP44" s="11">
        <f t="shared" si="26"/>
        <v>0</v>
      </c>
      <c r="CQ44" s="11">
        <f t="shared" si="26"/>
        <v>0</v>
      </c>
      <c r="CR44" s="11">
        <f t="shared" si="26"/>
        <v>0</v>
      </c>
      <c r="CS44" s="11">
        <f t="shared" si="26"/>
        <v>0</v>
      </c>
      <c r="CT44" s="11">
        <f t="shared" si="26"/>
        <v>0</v>
      </c>
      <c r="CU44" s="11">
        <f t="shared" si="26"/>
        <v>0</v>
      </c>
      <c r="CV44" s="11">
        <f t="shared" si="26"/>
        <v>0</v>
      </c>
      <c r="CW44" s="11">
        <f t="shared" si="26"/>
        <v>0</v>
      </c>
      <c r="CX44" s="11">
        <f t="shared" si="26"/>
        <v>0</v>
      </c>
      <c r="CY44" s="11">
        <f t="shared" si="26"/>
        <v>0</v>
      </c>
      <c r="CZ44" s="11">
        <f t="shared" si="26"/>
        <v>0</v>
      </c>
      <c r="DA44" s="11">
        <f t="shared" si="26"/>
        <v>0</v>
      </c>
      <c r="DB44" s="11">
        <f t="shared" si="26"/>
        <v>0</v>
      </c>
      <c r="DC44" s="11">
        <f t="shared" si="26"/>
        <v>0</v>
      </c>
      <c r="DF44" s="46">
        <f t="shared" si="16"/>
        <v>0</v>
      </c>
    </row>
    <row r="45" spans="1:112" ht="14.4">
      <c r="A45" s="124">
        <v>33</v>
      </c>
      <c r="B45" s="37" t="s">
        <v>35</v>
      </c>
      <c r="C45" s="15" t="s">
        <v>2</v>
      </c>
      <c r="D45" s="3"/>
      <c r="E45" s="3"/>
      <c r="F45" s="11">
        <f>SUM(F46:F53)+F54</f>
        <v>0</v>
      </c>
      <c r="G45" s="35">
        <f>SUMIF($H$5:$DC$5,"&lt;="&amp;PAL,$H45:$DC45)</f>
        <v>0</v>
      </c>
      <c r="H45" s="11">
        <f>SUM(H46:H53)+H54</f>
        <v>0</v>
      </c>
      <c r="I45" s="11">
        <f t="shared" ref="I45:BT45" si="27">SUM(I46:I53)+I54</f>
        <v>0</v>
      </c>
      <c r="J45" s="11">
        <f t="shared" si="27"/>
        <v>0</v>
      </c>
      <c r="K45" s="11">
        <f t="shared" si="27"/>
        <v>0</v>
      </c>
      <c r="L45" s="11">
        <f t="shared" si="27"/>
        <v>0</v>
      </c>
      <c r="M45" s="11">
        <f t="shared" si="27"/>
        <v>0</v>
      </c>
      <c r="N45" s="11">
        <f t="shared" si="27"/>
        <v>0</v>
      </c>
      <c r="O45" s="11">
        <f t="shared" si="27"/>
        <v>0</v>
      </c>
      <c r="P45" s="11">
        <f t="shared" si="27"/>
        <v>0</v>
      </c>
      <c r="Q45" s="11">
        <f t="shared" si="27"/>
        <v>0</v>
      </c>
      <c r="R45" s="11">
        <f t="shared" si="27"/>
        <v>0</v>
      </c>
      <c r="S45" s="11">
        <f t="shared" si="27"/>
        <v>0</v>
      </c>
      <c r="T45" s="11">
        <f t="shared" si="27"/>
        <v>0</v>
      </c>
      <c r="U45" s="11">
        <f t="shared" si="27"/>
        <v>0</v>
      </c>
      <c r="V45" s="11">
        <f t="shared" si="27"/>
        <v>0</v>
      </c>
      <c r="W45" s="11">
        <f t="shared" si="27"/>
        <v>0</v>
      </c>
      <c r="X45" s="11">
        <f t="shared" si="27"/>
        <v>0</v>
      </c>
      <c r="Y45" s="11">
        <f t="shared" si="27"/>
        <v>0</v>
      </c>
      <c r="Z45" s="11">
        <f t="shared" si="27"/>
        <v>0</v>
      </c>
      <c r="AA45" s="11">
        <f t="shared" si="27"/>
        <v>0</v>
      </c>
      <c r="AB45" s="11">
        <f t="shared" si="27"/>
        <v>0</v>
      </c>
      <c r="AC45" s="11">
        <f t="shared" si="27"/>
        <v>0</v>
      </c>
      <c r="AD45" s="11">
        <f t="shared" si="27"/>
        <v>0</v>
      </c>
      <c r="AE45" s="11">
        <f t="shared" si="27"/>
        <v>0</v>
      </c>
      <c r="AF45" s="11">
        <f t="shared" si="27"/>
        <v>0</v>
      </c>
      <c r="AG45" s="11">
        <f t="shared" si="27"/>
        <v>0</v>
      </c>
      <c r="AH45" s="11">
        <f t="shared" si="27"/>
        <v>0</v>
      </c>
      <c r="AI45" s="11">
        <f t="shared" si="27"/>
        <v>0</v>
      </c>
      <c r="AJ45" s="11">
        <f t="shared" si="27"/>
        <v>0</v>
      </c>
      <c r="AK45" s="11">
        <f t="shared" si="27"/>
        <v>0</v>
      </c>
      <c r="AL45" s="11">
        <f t="shared" si="27"/>
        <v>0</v>
      </c>
      <c r="AM45" s="11">
        <f t="shared" si="27"/>
        <v>0</v>
      </c>
      <c r="AN45" s="11">
        <f t="shared" si="27"/>
        <v>0</v>
      </c>
      <c r="AO45" s="11">
        <f t="shared" si="27"/>
        <v>0</v>
      </c>
      <c r="AP45" s="11">
        <f t="shared" si="27"/>
        <v>0</v>
      </c>
      <c r="AQ45" s="11">
        <f t="shared" si="27"/>
        <v>0</v>
      </c>
      <c r="AR45" s="11">
        <f t="shared" si="27"/>
        <v>0</v>
      </c>
      <c r="AS45" s="11">
        <f t="shared" si="27"/>
        <v>0</v>
      </c>
      <c r="AT45" s="11">
        <f t="shared" si="27"/>
        <v>0</v>
      </c>
      <c r="AU45" s="11">
        <f t="shared" si="27"/>
        <v>0</v>
      </c>
      <c r="AV45" s="11">
        <f t="shared" si="27"/>
        <v>0</v>
      </c>
      <c r="AW45" s="11">
        <f t="shared" si="27"/>
        <v>0</v>
      </c>
      <c r="AX45" s="11">
        <f t="shared" si="27"/>
        <v>0</v>
      </c>
      <c r="AY45" s="11">
        <f t="shared" si="27"/>
        <v>0</v>
      </c>
      <c r="AZ45" s="11">
        <f t="shared" si="27"/>
        <v>0</v>
      </c>
      <c r="BA45" s="11">
        <f t="shared" si="27"/>
        <v>0</v>
      </c>
      <c r="BB45" s="11">
        <f t="shared" si="27"/>
        <v>0</v>
      </c>
      <c r="BC45" s="11">
        <f t="shared" si="27"/>
        <v>0</v>
      </c>
      <c r="BD45" s="11">
        <f t="shared" si="27"/>
        <v>0</v>
      </c>
      <c r="BE45" s="11">
        <f t="shared" si="27"/>
        <v>0</v>
      </c>
      <c r="BF45" s="11">
        <f t="shared" si="27"/>
        <v>0</v>
      </c>
      <c r="BG45" s="11">
        <f t="shared" si="27"/>
        <v>0</v>
      </c>
      <c r="BH45" s="11">
        <f t="shared" si="27"/>
        <v>0</v>
      </c>
      <c r="BI45" s="11">
        <f t="shared" si="27"/>
        <v>0</v>
      </c>
      <c r="BJ45" s="11">
        <f t="shared" si="27"/>
        <v>0</v>
      </c>
      <c r="BK45" s="11">
        <f t="shared" si="27"/>
        <v>0</v>
      </c>
      <c r="BL45" s="11">
        <f t="shared" si="27"/>
        <v>0</v>
      </c>
      <c r="BM45" s="11">
        <f t="shared" si="27"/>
        <v>0</v>
      </c>
      <c r="BN45" s="11">
        <f t="shared" si="27"/>
        <v>0</v>
      </c>
      <c r="BO45" s="11">
        <f t="shared" si="27"/>
        <v>0</v>
      </c>
      <c r="BP45" s="11">
        <f t="shared" si="27"/>
        <v>0</v>
      </c>
      <c r="BQ45" s="11">
        <f t="shared" si="27"/>
        <v>0</v>
      </c>
      <c r="BR45" s="11">
        <f t="shared" si="27"/>
        <v>0</v>
      </c>
      <c r="BS45" s="11">
        <f t="shared" si="27"/>
        <v>0</v>
      </c>
      <c r="BT45" s="11">
        <f t="shared" si="27"/>
        <v>0</v>
      </c>
      <c r="BU45" s="11">
        <f t="shared" ref="BU45:DC45" si="28">SUM(BU46:BU53)+BU54</f>
        <v>0</v>
      </c>
      <c r="BV45" s="11">
        <f t="shared" si="28"/>
        <v>0</v>
      </c>
      <c r="BW45" s="11">
        <f t="shared" si="28"/>
        <v>0</v>
      </c>
      <c r="BX45" s="11">
        <f t="shared" si="28"/>
        <v>0</v>
      </c>
      <c r="BY45" s="11">
        <f t="shared" si="28"/>
        <v>0</v>
      </c>
      <c r="BZ45" s="11">
        <f t="shared" si="28"/>
        <v>0</v>
      </c>
      <c r="CA45" s="11">
        <f t="shared" si="28"/>
        <v>0</v>
      </c>
      <c r="CB45" s="11">
        <f t="shared" si="28"/>
        <v>0</v>
      </c>
      <c r="CC45" s="11">
        <f t="shared" si="28"/>
        <v>0</v>
      </c>
      <c r="CD45" s="11">
        <f t="shared" si="28"/>
        <v>0</v>
      </c>
      <c r="CE45" s="11">
        <f t="shared" si="28"/>
        <v>0</v>
      </c>
      <c r="CF45" s="11">
        <f t="shared" si="28"/>
        <v>0</v>
      </c>
      <c r="CG45" s="11">
        <f t="shared" si="28"/>
        <v>0</v>
      </c>
      <c r="CH45" s="11">
        <f t="shared" si="28"/>
        <v>0</v>
      </c>
      <c r="CI45" s="11">
        <f t="shared" si="28"/>
        <v>0</v>
      </c>
      <c r="CJ45" s="11">
        <f t="shared" si="28"/>
        <v>0</v>
      </c>
      <c r="CK45" s="11">
        <f t="shared" si="28"/>
        <v>0</v>
      </c>
      <c r="CL45" s="11">
        <f t="shared" si="28"/>
        <v>0</v>
      </c>
      <c r="CM45" s="11">
        <f t="shared" si="28"/>
        <v>0</v>
      </c>
      <c r="CN45" s="11">
        <f t="shared" si="28"/>
        <v>0</v>
      </c>
      <c r="CO45" s="11">
        <f t="shared" si="28"/>
        <v>0</v>
      </c>
      <c r="CP45" s="11">
        <f t="shared" si="28"/>
        <v>0</v>
      </c>
      <c r="CQ45" s="11">
        <f t="shared" si="28"/>
        <v>0</v>
      </c>
      <c r="CR45" s="11">
        <f t="shared" si="28"/>
        <v>0</v>
      </c>
      <c r="CS45" s="11">
        <f t="shared" si="28"/>
        <v>0</v>
      </c>
      <c r="CT45" s="11">
        <f t="shared" si="28"/>
        <v>0</v>
      </c>
      <c r="CU45" s="11">
        <f t="shared" si="28"/>
        <v>0</v>
      </c>
      <c r="CV45" s="11">
        <f t="shared" si="28"/>
        <v>0</v>
      </c>
      <c r="CW45" s="11">
        <f t="shared" si="28"/>
        <v>0</v>
      </c>
      <c r="CX45" s="11">
        <f t="shared" si="28"/>
        <v>0</v>
      </c>
      <c r="CY45" s="11">
        <f t="shared" si="28"/>
        <v>0</v>
      </c>
      <c r="CZ45" s="11">
        <f t="shared" si="28"/>
        <v>0</v>
      </c>
      <c r="DA45" s="11">
        <f t="shared" si="28"/>
        <v>0</v>
      </c>
      <c r="DB45" s="11">
        <f t="shared" si="28"/>
        <v>0</v>
      </c>
      <c r="DC45" s="11">
        <f t="shared" si="28"/>
        <v>0</v>
      </c>
      <c r="DF45" s="46">
        <f t="shared" si="16"/>
        <v>0</v>
      </c>
    </row>
    <row r="46" spans="1:112" ht="14.4">
      <c r="A46" s="124">
        <v>34</v>
      </c>
      <c r="B46" s="5" t="str">
        <f>$B$45&amp;"1."</f>
        <v>E.1.1.</v>
      </c>
      <c r="C46" s="164" t="s">
        <v>42</v>
      </c>
      <c r="D46" s="6"/>
      <c r="E46" s="192">
        <v>0.21</v>
      </c>
      <c r="F46" s="35">
        <f>H46+NPV(FD,I46:INDEX(I46:DC46,PAL))</f>
        <v>0</v>
      </c>
      <c r="G46" s="35">
        <f>SUMIF($H$5:$DC$5,"&lt;="&amp;PAL,$H46:$DC46)</f>
        <v>0</v>
      </c>
      <c r="H46" s="38">
        <v>0</v>
      </c>
      <c r="I46" s="38">
        <v>0</v>
      </c>
      <c r="J46" s="38">
        <v>0</v>
      </c>
      <c r="K46" s="38">
        <v>0</v>
      </c>
      <c r="L46" s="38">
        <v>0</v>
      </c>
      <c r="M46" s="38">
        <v>0</v>
      </c>
      <c r="N46" s="38">
        <v>0</v>
      </c>
      <c r="O46" s="38">
        <v>0</v>
      </c>
      <c r="P46" s="38">
        <v>0</v>
      </c>
      <c r="Q46" s="38">
        <v>0</v>
      </c>
      <c r="R46" s="38">
        <v>0</v>
      </c>
      <c r="S46" s="38">
        <v>0</v>
      </c>
      <c r="T46" s="38">
        <v>0</v>
      </c>
      <c r="U46" s="38">
        <v>0</v>
      </c>
      <c r="V46" s="38">
        <v>0</v>
      </c>
      <c r="W46" s="38">
        <v>0</v>
      </c>
      <c r="X46" s="38">
        <v>0</v>
      </c>
      <c r="Y46" s="38">
        <v>0</v>
      </c>
      <c r="Z46" s="38">
        <v>0</v>
      </c>
      <c r="AA46" s="38">
        <v>0</v>
      </c>
      <c r="AB46" s="38">
        <v>0</v>
      </c>
      <c r="AC46" s="38">
        <v>0</v>
      </c>
      <c r="AD46" s="38">
        <v>0</v>
      </c>
      <c r="AE46" s="38">
        <v>0</v>
      </c>
      <c r="AF46" s="38">
        <v>0</v>
      </c>
      <c r="AG46" s="38">
        <v>0</v>
      </c>
      <c r="AH46" s="38">
        <v>0</v>
      </c>
      <c r="AI46" s="38">
        <v>0</v>
      </c>
      <c r="AJ46" s="38">
        <v>0</v>
      </c>
      <c r="AK46" s="38">
        <v>0</v>
      </c>
      <c r="AL46" s="38">
        <v>0</v>
      </c>
      <c r="AM46" s="38">
        <v>0</v>
      </c>
      <c r="AN46" s="38">
        <v>0</v>
      </c>
      <c r="AO46" s="38">
        <v>0</v>
      </c>
      <c r="AP46" s="38">
        <v>0</v>
      </c>
      <c r="AQ46" s="38">
        <v>0</v>
      </c>
      <c r="AR46" s="38">
        <v>0</v>
      </c>
      <c r="AS46" s="38">
        <v>0</v>
      </c>
      <c r="AT46" s="38">
        <v>0</v>
      </c>
      <c r="AU46" s="38">
        <v>0</v>
      </c>
      <c r="AV46" s="38">
        <v>0</v>
      </c>
      <c r="AW46" s="38">
        <v>0</v>
      </c>
      <c r="AX46" s="38">
        <v>0</v>
      </c>
      <c r="AY46" s="38">
        <v>0</v>
      </c>
      <c r="AZ46" s="38">
        <v>0</v>
      </c>
      <c r="BA46" s="38">
        <v>0</v>
      </c>
      <c r="BB46" s="38">
        <v>0</v>
      </c>
      <c r="BC46" s="38">
        <v>0</v>
      </c>
      <c r="BD46" s="38">
        <v>0</v>
      </c>
      <c r="BE46" s="38">
        <v>0</v>
      </c>
      <c r="BF46" s="38">
        <v>0</v>
      </c>
      <c r="BG46" s="38">
        <v>0</v>
      </c>
      <c r="BH46" s="38">
        <v>0</v>
      </c>
      <c r="BI46" s="38">
        <v>0</v>
      </c>
      <c r="BJ46" s="38">
        <v>0</v>
      </c>
      <c r="BK46" s="38">
        <v>0</v>
      </c>
      <c r="BL46" s="38">
        <v>0</v>
      </c>
      <c r="BM46" s="38">
        <v>0</v>
      </c>
      <c r="BN46" s="38">
        <v>0</v>
      </c>
      <c r="BO46" s="38">
        <v>0</v>
      </c>
      <c r="BP46" s="38">
        <v>0</v>
      </c>
      <c r="BQ46" s="38">
        <v>0</v>
      </c>
      <c r="BR46" s="38">
        <v>0</v>
      </c>
      <c r="BS46" s="38">
        <v>0</v>
      </c>
      <c r="BT46" s="38">
        <v>0</v>
      </c>
      <c r="BU46" s="38">
        <v>0</v>
      </c>
      <c r="BV46" s="38">
        <v>0</v>
      </c>
      <c r="BW46" s="38">
        <v>0</v>
      </c>
      <c r="BX46" s="38">
        <v>0</v>
      </c>
      <c r="BY46" s="38">
        <v>0</v>
      </c>
      <c r="BZ46" s="38">
        <v>0</v>
      </c>
      <c r="CA46" s="38">
        <v>0</v>
      </c>
      <c r="CB46" s="38">
        <v>0</v>
      </c>
      <c r="CC46" s="38">
        <v>0</v>
      </c>
      <c r="CD46" s="38">
        <v>0</v>
      </c>
      <c r="CE46" s="38">
        <v>0</v>
      </c>
      <c r="CF46" s="38">
        <v>0</v>
      </c>
      <c r="CG46" s="38">
        <v>0</v>
      </c>
      <c r="CH46" s="38">
        <v>0</v>
      </c>
      <c r="CI46" s="38">
        <v>0</v>
      </c>
      <c r="CJ46" s="38">
        <v>0</v>
      </c>
      <c r="CK46" s="38">
        <v>0</v>
      </c>
      <c r="CL46" s="38">
        <v>0</v>
      </c>
      <c r="CM46" s="38">
        <v>0</v>
      </c>
      <c r="CN46" s="38">
        <v>0</v>
      </c>
      <c r="CO46" s="38">
        <v>0</v>
      </c>
      <c r="CP46" s="38">
        <v>0</v>
      </c>
      <c r="CQ46" s="38">
        <v>0</v>
      </c>
      <c r="CR46" s="38">
        <v>0</v>
      </c>
      <c r="CS46" s="38">
        <v>0</v>
      </c>
      <c r="CT46" s="38">
        <v>0</v>
      </c>
      <c r="CU46" s="38">
        <v>0</v>
      </c>
      <c r="CV46" s="38">
        <v>0</v>
      </c>
      <c r="CW46" s="38">
        <v>0</v>
      </c>
      <c r="CX46" s="38">
        <v>0</v>
      </c>
      <c r="CY46" s="38">
        <v>0</v>
      </c>
      <c r="CZ46" s="38">
        <v>0</v>
      </c>
      <c r="DA46" s="38">
        <v>0</v>
      </c>
      <c r="DB46" s="38">
        <v>0</v>
      </c>
      <c r="DC46" s="38">
        <v>0</v>
      </c>
      <c r="DE46" s="46">
        <f>COUNTBLANK(H46:DC46)</f>
        <v>0</v>
      </c>
      <c r="DF46" s="46">
        <f t="shared" si="16"/>
        <v>0</v>
      </c>
      <c r="DG46">
        <f t="shared" ref="DG46:DG55" si="29">IF(ISNUMBER(E46),E46*100,0)</f>
        <v>21</v>
      </c>
      <c r="DH46">
        <v>0</v>
      </c>
    </row>
    <row r="47" spans="1:112" ht="14.4">
      <c r="A47" s="124">
        <v>35</v>
      </c>
      <c r="B47" s="5" t="str">
        <f>$B$45&amp;"2."</f>
        <v>E.1.2.</v>
      </c>
      <c r="C47" s="164" t="s">
        <v>42</v>
      </c>
      <c r="D47" s="6"/>
      <c r="E47" s="192">
        <v>0.21</v>
      </c>
      <c r="F47" s="35">
        <f>H47+NPV(FD,I47:INDEX(I47:DC47,PAL))</f>
        <v>0</v>
      </c>
      <c r="G47" s="35">
        <f>SUMIF($H$5:$DC$5,"&lt;="&amp;PAL,$H47:$DC47)</f>
        <v>0</v>
      </c>
      <c r="H47" s="38">
        <v>0</v>
      </c>
      <c r="I47" s="38">
        <v>0</v>
      </c>
      <c r="J47" s="38">
        <v>0</v>
      </c>
      <c r="K47" s="38">
        <v>0</v>
      </c>
      <c r="L47" s="38">
        <v>0</v>
      </c>
      <c r="M47" s="38">
        <v>0</v>
      </c>
      <c r="N47" s="38">
        <v>0</v>
      </c>
      <c r="O47" s="38">
        <v>0</v>
      </c>
      <c r="P47" s="38">
        <v>0</v>
      </c>
      <c r="Q47" s="38">
        <v>0</v>
      </c>
      <c r="R47" s="38">
        <v>0</v>
      </c>
      <c r="S47" s="38">
        <v>0</v>
      </c>
      <c r="T47" s="38">
        <v>0</v>
      </c>
      <c r="U47" s="38">
        <v>0</v>
      </c>
      <c r="V47" s="38">
        <v>0</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0</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0</v>
      </c>
      <c r="BL47" s="38">
        <v>0</v>
      </c>
      <c r="BM47" s="38">
        <v>0</v>
      </c>
      <c r="BN47" s="38">
        <v>0</v>
      </c>
      <c r="BO47" s="38">
        <v>0</v>
      </c>
      <c r="BP47" s="38">
        <v>0</v>
      </c>
      <c r="BQ47" s="38">
        <v>0</v>
      </c>
      <c r="BR47" s="38">
        <v>0</v>
      </c>
      <c r="BS47" s="38">
        <v>0</v>
      </c>
      <c r="BT47" s="38">
        <v>0</v>
      </c>
      <c r="BU47" s="38">
        <v>0</v>
      </c>
      <c r="BV47" s="38">
        <v>0</v>
      </c>
      <c r="BW47" s="38">
        <v>0</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0</v>
      </c>
      <c r="CQ47" s="38">
        <v>0</v>
      </c>
      <c r="CR47" s="38">
        <v>0</v>
      </c>
      <c r="CS47" s="38">
        <v>0</v>
      </c>
      <c r="CT47" s="38">
        <v>0</v>
      </c>
      <c r="CU47" s="38">
        <v>0</v>
      </c>
      <c r="CV47" s="38">
        <v>0</v>
      </c>
      <c r="CW47" s="38">
        <v>0</v>
      </c>
      <c r="CX47" s="38">
        <v>0</v>
      </c>
      <c r="CY47" s="38">
        <v>0</v>
      </c>
      <c r="CZ47" s="38">
        <v>0</v>
      </c>
      <c r="DA47" s="38">
        <v>0</v>
      </c>
      <c r="DB47" s="38">
        <v>0</v>
      </c>
      <c r="DC47" s="38">
        <v>0</v>
      </c>
      <c r="DE47" s="46">
        <f t="shared" ref="DE47:DE55" si="30">COUNTBLANK(H47:DC47)</f>
        <v>0</v>
      </c>
      <c r="DF47" s="46">
        <f t="shared" si="16"/>
        <v>0</v>
      </c>
      <c r="DG47">
        <f t="shared" si="29"/>
        <v>21</v>
      </c>
      <c r="DH47">
        <v>0</v>
      </c>
    </row>
    <row r="48" spans="1:112" ht="14.4">
      <c r="A48" s="124">
        <v>36</v>
      </c>
      <c r="B48" s="5" t="str">
        <f>$B$45&amp;"3."</f>
        <v>E.1.3.</v>
      </c>
      <c r="C48" s="164" t="s">
        <v>42</v>
      </c>
      <c r="D48" s="6"/>
      <c r="E48" s="192">
        <v>0.21</v>
      </c>
      <c r="F48" s="35">
        <f>H48+NPV(FD,I48:INDEX(I48:DC48,PAL))</f>
        <v>0</v>
      </c>
      <c r="G48" s="35">
        <f>SUMIF($H$5:$DC$5,"&lt;="&amp;PAL,$H48:$DC48)</f>
        <v>0</v>
      </c>
      <c r="H48" s="38">
        <v>0</v>
      </c>
      <c r="I48" s="38">
        <v>0</v>
      </c>
      <c r="J48" s="38">
        <v>0</v>
      </c>
      <c r="K48" s="38">
        <v>0</v>
      </c>
      <c r="L48" s="38">
        <v>0</v>
      </c>
      <c r="M48" s="38">
        <v>0</v>
      </c>
      <c r="N48" s="38">
        <v>0</v>
      </c>
      <c r="O48" s="38">
        <v>0</v>
      </c>
      <c r="P48" s="38">
        <v>0</v>
      </c>
      <c r="Q48" s="38">
        <v>0</v>
      </c>
      <c r="R48" s="38">
        <v>0</v>
      </c>
      <c r="S48" s="38">
        <v>0</v>
      </c>
      <c r="T48" s="38">
        <v>0</v>
      </c>
      <c r="U48" s="38">
        <v>0</v>
      </c>
      <c r="V48" s="38">
        <v>0</v>
      </c>
      <c r="W48" s="38">
        <v>0</v>
      </c>
      <c r="X48" s="38">
        <v>0</v>
      </c>
      <c r="Y48" s="38">
        <v>0</v>
      </c>
      <c r="Z48" s="38">
        <v>0</v>
      </c>
      <c r="AA48" s="38">
        <v>0</v>
      </c>
      <c r="AB48" s="38">
        <v>0</v>
      </c>
      <c r="AC48" s="38">
        <v>0</v>
      </c>
      <c r="AD48" s="38">
        <v>0</v>
      </c>
      <c r="AE48" s="38">
        <v>0</v>
      </c>
      <c r="AF48" s="38">
        <v>0</v>
      </c>
      <c r="AG48" s="38">
        <v>0</v>
      </c>
      <c r="AH48" s="38">
        <v>0</v>
      </c>
      <c r="AI48" s="38">
        <v>0</v>
      </c>
      <c r="AJ48" s="38">
        <v>0</v>
      </c>
      <c r="AK48" s="38">
        <v>0</v>
      </c>
      <c r="AL48" s="38">
        <v>0</v>
      </c>
      <c r="AM48" s="38">
        <v>0</v>
      </c>
      <c r="AN48" s="38">
        <v>0</v>
      </c>
      <c r="AO48" s="38">
        <v>0</v>
      </c>
      <c r="AP48" s="38">
        <v>0</v>
      </c>
      <c r="AQ48" s="38">
        <v>0</v>
      </c>
      <c r="AR48" s="38">
        <v>0</v>
      </c>
      <c r="AS48" s="38">
        <v>0</v>
      </c>
      <c r="AT48" s="38">
        <v>0</v>
      </c>
      <c r="AU48" s="38">
        <v>0</v>
      </c>
      <c r="AV48" s="38">
        <v>0</v>
      </c>
      <c r="AW48" s="38">
        <v>0</v>
      </c>
      <c r="AX48" s="38">
        <v>0</v>
      </c>
      <c r="AY48" s="38">
        <v>0</v>
      </c>
      <c r="AZ48" s="38">
        <v>0</v>
      </c>
      <c r="BA48" s="38">
        <v>0</v>
      </c>
      <c r="BB48" s="38">
        <v>0</v>
      </c>
      <c r="BC48" s="38">
        <v>0</v>
      </c>
      <c r="BD48" s="38">
        <v>0</v>
      </c>
      <c r="BE48" s="38">
        <v>0</v>
      </c>
      <c r="BF48" s="38">
        <v>0</v>
      </c>
      <c r="BG48" s="38">
        <v>0</v>
      </c>
      <c r="BH48" s="38">
        <v>0</v>
      </c>
      <c r="BI48" s="38">
        <v>0</v>
      </c>
      <c r="BJ48" s="38">
        <v>0</v>
      </c>
      <c r="BK48" s="38">
        <v>0</v>
      </c>
      <c r="BL48" s="38">
        <v>0</v>
      </c>
      <c r="BM48" s="38">
        <v>0</v>
      </c>
      <c r="BN48" s="38">
        <v>0</v>
      </c>
      <c r="BO48" s="38">
        <v>0</v>
      </c>
      <c r="BP48" s="38">
        <v>0</v>
      </c>
      <c r="BQ48" s="38">
        <v>0</v>
      </c>
      <c r="BR48" s="38">
        <v>0</v>
      </c>
      <c r="BS48" s="38">
        <v>0</v>
      </c>
      <c r="BT48" s="38">
        <v>0</v>
      </c>
      <c r="BU48" s="38">
        <v>0</v>
      </c>
      <c r="BV48" s="38">
        <v>0</v>
      </c>
      <c r="BW48" s="38">
        <v>0</v>
      </c>
      <c r="BX48" s="38">
        <v>0</v>
      </c>
      <c r="BY48" s="38">
        <v>0</v>
      </c>
      <c r="BZ48" s="38">
        <v>0</v>
      </c>
      <c r="CA48" s="38">
        <v>0</v>
      </c>
      <c r="CB48" s="38">
        <v>0</v>
      </c>
      <c r="CC48" s="38">
        <v>0</v>
      </c>
      <c r="CD48" s="38">
        <v>0</v>
      </c>
      <c r="CE48" s="38">
        <v>0</v>
      </c>
      <c r="CF48" s="38">
        <v>0</v>
      </c>
      <c r="CG48" s="38">
        <v>0</v>
      </c>
      <c r="CH48" s="38">
        <v>0</v>
      </c>
      <c r="CI48" s="38">
        <v>0</v>
      </c>
      <c r="CJ48" s="38">
        <v>0</v>
      </c>
      <c r="CK48" s="38">
        <v>0</v>
      </c>
      <c r="CL48" s="38">
        <v>0</v>
      </c>
      <c r="CM48" s="38">
        <v>0</v>
      </c>
      <c r="CN48" s="38">
        <v>0</v>
      </c>
      <c r="CO48" s="38">
        <v>0</v>
      </c>
      <c r="CP48" s="38">
        <v>0</v>
      </c>
      <c r="CQ48" s="38">
        <v>0</v>
      </c>
      <c r="CR48" s="38">
        <v>0</v>
      </c>
      <c r="CS48" s="38">
        <v>0</v>
      </c>
      <c r="CT48" s="38">
        <v>0</v>
      </c>
      <c r="CU48" s="38">
        <v>0</v>
      </c>
      <c r="CV48" s="38">
        <v>0</v>
      </c>
      <c r="CW48" s="38">
        <v>0</v>
      </c>
      <c r="CX48" s="38">
        <v>0</v>
      </c>
      <c r="CY48" s="38">
        <v>0</v>
      </c>
      <c r="CZ48" s="38">
        <v>0</v>
      </c>
      <c r="DA48" s="38">
        <v>0</v>
      </c>
      <c r="DB48" s="38">
        <v>0</v>
      </c>
      <c r="DC48" s="38">
        <v>0</v>
      </c>
      <c r="DE48" s="46">
        <f t="shared" si="30"/>
        <v>0</v>
      </c>
      <c r="DF48" s="46">
        <f t="shared" si="16"/>
        <v>0</v>
      </c>
      <c r="DG48">
        <f t="shared" si="29"/>
        <v>21</v>
      </c>
      <c r="DH48">
        <v>0</v>
      </c>
    </row>
    <row r="49" spans="1:112" ht="14.4">
      <c r="A49" s="124">
        <v>37</v>
      </c>
      <c r="B49" s="5" t="str">
        <f>$B$45&amp;"4."</f>
        <v>E.1.4.</v>
      </c>
      <c r="C49" s="164" t="s">
        <v>42</v>
      </c>
      <c r="D49" s="6"/>
      <c r="E49" s="192">
        <v>0.21</v>
      </c>
      <c r="F49" s="35">
        <f>H49+NPV(FD,I49:INDEX(I49:DC49,PAL))</f>
        <v>0</v>
      </c>
      <c r="G49" s="35">
        <f>SUMIF($H$5:$DC$5,"&lt;="&amp;PAL,$H49:$DC49)</f>
        <v>0</v>
      </c>
      <c r="H49" s="38">
        <v>0</v>
      </c>
      <c r="I49" s="38">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0</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0</v>
      </c>
      <c r="CQ49" s="38">
        <v>0</v>
      </c>
      <c r="CR49" s="38">
        <v>0</v>
      </c>
      <c r="CS49" s="38">
        <v>0</v>
      </c>
      <c r="CT49" s="38">
        <v>0</v>
      </c>
      <c r="CU49" s="38">
        <v>0</v>
      </c>
      <c r="CV49" s="38">
        <v>0</v>
      </c>
      <c r="CW49" s="38">
        <v>0</v>
      </c>
      <c r="CX49" s="38">
        <v>0</v>
      </c>
      <c r="CY49" s="38">
        <v>0</v>
      </c>
      <c r="CZ49" s="38">
        <v>0</v>
      </c>
      <c r="DA49" s="38">
        <v>0</v>
      </c>
      <c r="DB49" s="38">
        <v>0</v>
      </c>
      <c r="DC49" s="38">
        <v>0</v>
      </c>
      <c r="DE49" s="46">
        <f t="shared" si="30"/>
        <v>0</v>
      </c>
      <c r="DF49" s="46">
        <f t="shared" si="16"/>
        <v>0</v>
      </c>
      <c r="DG49">
        <f t="shared" si="29"/>
        <v>21</v>
      </c>
      <c r="DH49">
        <v>0</v>
      </c>
    </row>
    <row r="50" spans="1:112" ht="14.4">
      <c r="A50" s="124">
        <v>38</v>
      </c>
      <c r="B50" s="5" t="str">
        <f>$B$45&amp;"5."</f>
        <v>E.1.5.</v>
      </c>
      <c r="C50" s="164" t="s">
        <v>42</v>
      </c>
      <c r="D50" s="6"/>
      <c r="E50" s="192">
        <v>0.21</v>
      </c>
      <c r="F50" s="35">
        <f>H50+NPV(FD,I50:INDEX(I50:DC50,PAL))</f>
        <v>0</v>
      </c>
      <c r="G50" s="35">
        <f>SUMIF($H$5:$DC$5,"&lt;="&amp;PAL,$H50:$DC50)</f>
        <v>0</v>
      </c>
      <c r="H50" s="38">
        <v>0</v>
      </c>
      <c r="I50" s="38">
        <v>0</v>
      </c>
      <c r="J50" s="38">
        <v>0</v>
      </c>
      <c r="K50" s="38">
        <v>0</v>
      </c>
      <c r="L50" s="38">
        <v>0</v>
      </c>
      <c r="M50" s="38">
        <v>0</v>
      </c>
      <c r="N50" s="38">
        <v>0</v>
      </c>
      <c r="O50" s="38">
        <v>0</v>
      </c>
      <c r="P50" s="38">
        <v>0</v>
      </c>
      <c r="Q50" s="38">
        <v>0</v>
      </c>
      <c r="R50" s="38">
        <v>0</v>
      </c>
      <c r="S50" s="38">
        <v>0</v>
      </c>
      <c r="T50" s="38">
        <v>0</v>
      </c>
      <c r="U50" s="38">
        <v>0</v>
      </c>
      <c r="V50" s="38">
        <v>0</v>
      </c>
      <c r="W50" s="38">
        <v>0</v>
      </c>
      <c r="X50" s="38">
        <v>0</v>
      </c>
      <c r="Y50" s="38">
        <v>0</v>
      </c>
      <c r="Z50" s="38">
        <v>0</v>
      </c>
      <c r="AA50" s="38">
        <v>0</v>
      </c>
      <c r="AB50" s="38">
        <v>0</v>
      </c>
      <c r="AC50" s="38">
        <v>0</v>
      </c>
      <c r="AD50" s="38">
        <v>0</v>
      </c>
      <c r="AE50" s="38">
        <v>0</v>
      </c>
      <c r="AF50" s="38">
        <v>0</v>
      </c>
      <c r="AG50" s="38">
        <v>0</v>
      </c>
      <c r="AH50" s="38">
        <v>0</v>
      </c>
      <c r="AI50" s="38">
        <v>0</v>
      </c>
      <c r="AJ50" s="38">
        <v>0</v>
      </c>
      <c r="AK50" s="38">
        <v>0</v>
      </c>
      <c r="AL50" s="38">
        <v>0</v>
      </c>
      <c r="AM50" s="38">
        <v>0</v>
      </c>
      <c r="AN50" s="38">
        <v>0</v>
      </c>
      <c r="AO50" s="38">
        <v>0</v>
      </c>
      <c r="AP50" s="38">
        <v>0</v>
      </c>
      <c r="AQ50" s="38">
        <v>0</v>
      </c>
      <c r="AR50" s="38">
        <v>0</v>
      </c>
      <c r="AS50" s="38">
        <v>0</v>
      </c>
      <c r="AT50" s="38">
        <v>0</v>
      </c>
      <c r="AU50" s="38">
        <v>0</v>
      </c>
      <c r="AV50" s="38">
        <v>0</v>
      </c>
      <c r="AW50" s="38">
        <v>0</v>
      </c>
      <c r="AX50" s="38">
        <v>0</v>
      </c>
      <c r="AY50" s="38">
        <v>0</v>
      </c>
      <c r="AZ50" s="38">
        <v>0</v>
      </c>
      <c r="BA50" s="38">
        <v>0</v>
      </c>
      <c r="BB50" s="38">
        <v>0</v>
      </c>
      <c r="BC50" s="38">
        <v>0</v>
      </c>
      <c r="BD50" s="38">
        <v>0</v>
      </c>
      <c r="BE50" s="38">
        <v>0</v>
      </c>
      <c r="BF50" s="38">
        <v>0</v>
      </c>
      <c r="BG50" s="38">
        <v>0</v>
      </c>
      <c r="BH50" s="38">
        <v>0</v>
      </c>
      <c r="BI50" s="38">
        <v>0</v>
      </c>
      <c r="BJ50" s="38">
        <v>0</v>
      </c>
      <c r="BK50" s="38">
        <v>0</v>
      </c>
      <c r="BL50" s="38">
        <v>0</v>
      </c>
      <c r="BM50" s="38">
        <v>0</v>
      </c>
      <c r="BN50" s="38">
        <v>0</v>
      </c>
      <c r="BO50" s="38">
        <v>0</v>
      </c>
      <c r="BP50" s="38">
        <v>0</v>
      </c>
      <c r="BQ50" s="38">
        <v>0</v>
      </c>
      <c r="BR50" s="38">
        <v>0</v>
      </c>
      <c r="BS50" s="38">
        <v>0</v>
      </c>
      <c r="BT50" s="38">
        <v>0</v>
      </c>
      <c r="BU50" s="38">
        <v>0</v>
      </c>
      <c r="BV50" s="38">
        <v>0</v>
      </c>
      <c r="BW50" s="38">
        <v>0</v>
      </c>
      <c r="BX50" s="38">
        <v>0</v>
      </c>
      <c r="BY50" s="38">
        <v>0</v>
      </c>
      <c r="BZ50" s="38">
        <v>0</v>
      </c>
      <c r="CA50" s="38">
        <v>0</v>
      </c>
      <c r="CB50" s="38">
        <v>0</v>
      </c>
      <c r="CC50" s="38">
        <v>0</v>
      </c>
      <c r="CD50" s="38">
        <v>0</v>
      </c>
      <c r="CE50" s="38">
        <v>0</v>
      </c>
      <c r="CF50" s="38">
        <v>0</v>
      </c>
      <c r="CG50" s="38">
        <v>0</v>
      </c>
      <c r="CH50" s="38">
        <v>0</v>
      </c>
      <c r="CI50" s="38">
        <v>0</v>
      </c>
      <c r="CJ50" s="38">
        <v>0</v>
      </c>
      <c r="CK50" s="38">
        <v>0</v>
      </c>
      <c r="CL50" s="38">
        <v>0</v>
      </c>
      <c r="CM50" s="38">
        <v>0</v>
      </c>
      <c r="CN50" s="38">
        <v>0</v>
      </c>
      <c r="CO50" s="38">
        <v>0</v>
      </c>
      <c r="CP50" s="38">
        <v>0</v>
      </c>
      <c r="CQ50" s="38">
        <v>0</v>
      </c>
      <c r="CR50" s="38">
        <v>0</v>
      </c>
      <c r="CS50" s="38">
        <v>0</v>
      </c>
      <c r="CT50" s="38">
        <v>0</v>
      </c>
      <c r="CU50" s="38">
        <v>0</v>
      </c>
      <c r="CV50" s="38">
        <v>0</v>
      </c>
      <c r="CW50" s="38">
        <v>0</v>
      </c>
      <c r="CX50" s="38">
        <v>0</v>
      </c>
      <c r="CY50" s="38">
        <v>0</v>
      </c>
      <c r="CZ50" s="38">
        <v>0</v>
      </c>
      <c r="DA50" s="38">
        <v>0</v>
      </c>
      <c r="DB50" s="38">
        <v>0</v>
      </c>
      <c r="DC50" s="38">
        <v>0</v>
      </c>
      <c r="DE50" s="46">
        <f t="shared" si="30"/>
        <v>0</v>
      </c>
      <c r="DF50" s="46">
        <f t="shared" si="16"/>
        <v>0</v>
      </c>
      <c r="DG50">
        <f t="shared" si="29"/>
        <v>21</v>
      </c>
      <c r="DH50">
        <v>0</v>
      </c>
    </row>
    <row r="51" spans="1:112" ht="14.4">
      <c r="A51" s="124">
        <v>39</v>
      </c>
      <c r="B51" s="5" t="str">
        <f>$B$45&amp;"6."</f>
        <v>E.1.6.</v>
      </c>
      <c r="C51" s="164" t="s">
        <v>42</v>
      </c>
      <c r="D51" s="6"/>
      <c r="E51" s="192">
        <v>0.21</v>
      </c>
      <c r="F51" s="35">
        <f>H51+NPV(FD,I51:INDEX(I51:DC51,PAL))</f>
        <v>0</v>
      </c>
      <c r="G51" s="35">
        <f>SUMIF($H$5:$DC$5,"&lt;="&amp;PAL,$H51:$DC51)</f>
        <v>0</v>
      </c>
      <c r="H51" s="38">
        <v>0</v>
      </c>
      <c r="I51" s="38">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0</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0</v>
      </c>
      <c r="BM51" s="38">
        <v>0</v>
      </c>
      <c r="BN51" s="38">
        <v>0</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0</v>
      </c>
      <c r="CL51" s="38">
        <v>0</v>
      </c>
      <c r="CM51" s="38">
        <v>0</v>
      </c>
      <c r="CN51" s="38">
        <v>0</v>
      </c>
      <c r="CO51" s="38">
        <v>0</v>
      </c>
      <c r="CP51" s="38">
        <v>0</v>
      </c>
      <c r="CQ51" s="38">
        <v>0</v>
      </c>
      <c r="CR51" s="38">
        <v>0</v>
      </c>
      <c r="CS51" s="38">
        <v>0</v>
      </c>
      <c r="CT51" s="38">
        <v>0</v>
      </c>
      <c r="CU51" s="38">
        <v>0</v>
      </c>
      <c r="CV51" s="38">
        <v>0</v>
      </c>
      <c r="CW51" s="38">
        <v>0</v>
      </c>
      <c r="CX51" s="38">
        <v>0</v>
      </c>
      <c r="CY51" s="38">
        <v>0</v>
      </c>
      <c r="CZ51" s="38">
        <v>0</v>
      </c>
      <c r="DA51" s="38">
        <v>0</v>
      </c>
      <c r="DB51" s="38">
        <v>0</v>
      </c>
      <c r="DC51" s="38">
        <v>0</v>
      </c>
      <c r="DE51" s="46">
        <f t="shared" si="30"/>
        <v>0</v>
      </c>
      <c r="DF51" s="46">
        <f t="shared" si="16"/>
        <v>0</v>
      </c>
      <c r="DG51">
        <f t="shared" si="29"/>
        <v>21</v>
      </c>
      <c r="DH51">
        <v>0</v>
      </c>
    </row>
    <row r="52" spans="1:112" ht="14.4">
      <c r="A52" s="124">
        <v>40</v>
      </c>
      <c r="B52" s="5" t="str">
        <f>$B$45&amp;"7."</f>
        <v>E.1.7.</v>
      </c>
      <c r="C52" s="164" t="s">
        <v>42</v>
      </c>
      <c r="D52" s="6"/>
      <c r="E52" s="192">
        <v>0.21</v>
      </c>
      <c r="F52" s="35">
        <f>H52+NPV(FD,I52:INDEX(I52:DC52,PAL))</f>
        <v>0</v>
      </c>
      <c r="G52" s="35">
        <f>SUMIF($H$5:$DC$5,"&lt;="&amp;PAL,$H52:$DC52)</f>
        <v>0</v>
      </c>
      <c r="H52" s="38">
        <v>0</v>
      </c>
      <c r="I52" s="38">
        <v>0</v>
      </c>
      <c r="J52" s="38">
        <v>0</v>
      </c>
      <c r="K52" s="38">
        <v>0</v>
      </c>
      <c r="L52" s="38">
        <v>0</v>
      </c>
      <c r="M52" s="38">
        <v>0</v>
      </c>
      <c r="N52" s="38">
        <v>0</v>
      </c>
      <c r="O52" s="38">
        <v>0</v>
      </c>
      <c r="P52" s="38">
        <v>0</v>
      </c>
      <c r="Q52" s="38">
        <v>0</v>
      </c>
      <c r="R52" s="38">
        <v>0</v>
      </c>
      <c r="S52" s="38">
        <v>0</v>
      </c>
      <c r="T52" s="38">
        <v>0</v>
      </c>
      <c r="U52" s="38">
        <v>0</v>
      </c>
      <c r="V52" s="38">
        <v>0</v>
      </c>
      <c r="W52" s="38">
        <v>0</v>
      </c>
      <c r="X52" s="38">
        <v>0</v>
      </c>
      <c r="Y52" s="38">
        <v>0</v>
      </c>
      <c r="Z52" s="38">
        <v>0</v>
      </c>
      <c r="AA52" s="38">
        <v>0</v>
      </c>
      <c r="AB52" s="38">
        <v>0</v>
      </c>
      <c r="AC52" s="38">
        <v>0</v>
      </c>
      <c r="AD52" s="38">
        <v>0</v>
      </c>
      <c r="AE52" s="38">
        <v>0</v>
      </c>
      <c r="AF52" s="38">
        <v>0</v>
      </c>
      <c r="AG52" s="38">
        <v>0</v>
      </c>
      <c r="AH52" s="38">
        <v>0</v>
      </c>
      <c r="AI52" s="38">
        <v>0</v>
      </c>
      <c r="AJ52" s="38">
        <v>0</v>
      </c>
      <c r="AK52" s="38">
        <v>0</v>
      </c>
      <c r="AL52" s="38">
        <v>0</v>
      </c>
      <c r="AM52" s="38">
        <v>0</v>
      </c>
      <c r="AN52" s="38">
        <v>0</v>
      </c>
      <c r="AO52" s="38">
        <v>0</v>
      </c>
      <c r="AP52" s="38">
        <v>0</v>
      </c>
      <c r="AQ52" s="38">
        <v>0</v>
      </c>
      <c r="AR52" s="38">
        <v>0</v>
      </c>
      <c r="AS52" s="38">
        <v>0</v>
      </c>
      <c r="AT52" s="38">
        <v>0</v>
      </c>
      <c r="AU52" s="38">
        <v>0</v>
      </c>
      <c r="AV52" s="38">
        <v>0</v>
      </c>
      <c r="AW52" s="38">
        <v>0</v>
      </c>
      <c r="AX52" s="38">
        <v>0</v>
      </c>
      <c r="AY52" s="38">
        <v>0</v>
      </c>
      <c r="AZ52" s="38">
        <v>0</v>
      </c>
      <c r="BA52" s="38">
        <v>0</v>
      </c>
      <c r="BB52" s="38">
        <v>0</v>
      </c>
      <c r="BC52" s="38">
        <v>0</v>
      </c>
      <c r="BD52" s="38">
        <v>0</v>
      </c>
      <c r="BE52" s="38">
        <v>0</v>
      </c>
      <c r="BF52" s="38">
        <v>0</v>
      </c>
      <c r="BG52" s="38">
        <v>0</v>
      </c>
      <c r="BH52" s="38">
        <v>0</v>
      </c>
      <c r="BI52" s="38">
        <v>0</v>
      </c>
      <c r="BJ52" s="38">
        <v>0</v>
      </c>
      <c r="BK52" s="38">
        <v>0</v>
      </c>
      <c r="BL52" s="38">
        <v>0</v>
      </c>
      <c r="BM52" s="38">
        <v>0</v>
      </c>
      <c r="BN52" s="38">
        <v>0</v>
      </c>
      <c r="BO52" s="38">
        <v>0</v>
      </c>
      <c r="BP52" s="38">
        <v>0</v>
      </c>
      <c r="BQ52" s="38">
        <v>0</v>
      </c>
      <c r="BR52" s="38">
        <v>0</v>
      </c>
      <c r="BS52" s="38">
        <v>0</v>
      </c>
      <c r="BT52" s="38">
        <v>0</v>
      </c>
      <c r="BU52" s="38">
        <v>0</v>
      </c>
      <c r="BV52" s="38">
        <v>0</v>
      </c>
      <c r="BW52" s="38">
        <v>0</v>
      </c>
      <c r="BX52" s="38">
        <v>0</v>
      </c>
      <c r="BY52" s="38">
        <v>0</v>
      </c>
      <c r="BZ52" s="38">
        <v>0</v>
      </c>
      <c r="CA52" s="38">
        <v>0</v>
      </c>
      <c r="CB52" s="38">
        <v>0</v>
      </c>
      <c r="CC52" s="38">
        <v>0</v>
      </c>
      <c r="CD52" s="38">
        <v>0</v>
      </c>
      <c r="CE52" s="38">
        <v>0</v>
      </c>
      <c r="CF52" s="38">
        <v>0</v>
      </c>
      <c r="CG52" s="38">
        <v>0</v>
      </c>
      <c r="CH52" s="38">
        <v>0</v>
      </c>
      <c r="CI52" s="38">
        <v>0</v>
      </c>
      <c r="CJ52" s="38">
        <v>0</v>
      </c>
      <c r="CK52" s="38">
        <v>0</v>
      </c>
      <c r="CL52" s="38">
        <v>0</v>
      </c>
      <c r="CM52" s="38">
        <v>0</v>
      </c>
      <c r="CN52" s="38">
        <v>0</v>
      </c>
      <c r="CO52" s="38">
        <v>0</v>
      </c>
      <c r="CP52" s="38">
        <v>0</v>
      </c>
      <c r="CQ52" s="38">
        <v>0</v>
      </c>
      <c r="CR52" s="38">
        <v>0</v>
      </c>
      <c r="CS52" s="38">
        <v>0</v>
      </c>
      <c r="CT52" s="38">
        <v>0</v>
      </c>
      <c r="CU52" s="38">
        <v>0</v>
      </c>
      <c r="CV52" s="38">
        <v>0</v>
      </c>
      <c r="CW52" s="38">
        <v>0</v>
      </c>
      <c r="CX52" s="38">
        <v>0</v>
      </c>
      <c r="CY52" s="38">
        <v>0</v>
      </c>
      <c r="CZ52" s="38">
        <v>0</v>
      </c>
      <c r="DA52" s="38">
        <v>0</v>
      </c>
      <c r="DB52" s="38">
        <v>0</v>
      </c>
      <c r="DC52" s="38">
        <v>0</v>
      </c>
      <c r="DE52" s="46">
        <f t="shared" si="30"/>
        <v>0</v>
      </c>
      <c r="DF52" s="46">
        <f t="shared" si="16"/>
        <v>0</v>
      </c>
      <c r="DG52">
        <f t="shared" si="29"/>
        <v>21</v>
      </c>
      <c r="DH52">
        <v>0</v>
      </c>
    </row>
    <row r="53" spans="1:112" ht="14.4">
      <c r="A53" s="124">
        <v>41</v>
      </c>
      <c r="B53" s="5" t="str">
        <f>$B$45&amp;"8."</f>
        <v>E.1.8.</v>
      </c>
      <c r="C53" s="164" t="s">
        <v>42</v>
      </c>
      <c r="D53" s="6"/>
      <c r="E53" s="192">
        <v>0.21</v>
      </c>
      <c r="F53" s="35">
        <f>H53+NPV(FD,I53:INDEX(I53:DC53,PAL))</f>
        <v>0</v>
      </c>
      <c r="G53" s="35">
        <f>SUMIF($H$5:$DC$5,"&lt;="&amp;PAL,$H53:$DC53)</f>
        <v>0</v>
      </c>
      <c r="H53" s="38">
        <v>0</v>
      </c>
      <c r="I53" s="38">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0</v>
      </c>
      <c r="CQ53" s="38">
        <v>0</v>
      </c>
      <c r="CR53" s="38">
        <v>0</v>
      </c>
      <c r="CS53" s="38">
        <v>0</v>
      </c>
      <c r="CT53" s="38">
        <v>0</v>
      </c>
      <c r="CU53" s="38">
        <v>0</v>
      </c>
      <c r="CV53" s="38">
        <v>0</v>
      </c>
      <c r="CW53" s="38">
        <v>0</v>
      </c>
      <c r="CX53" s="38">
        <v>0</v>
      </c>
      <c r="CY53" s="38">
        <v>0</v>
      </c>
      <c r="CZ53" s="38">
        <v>0</v>
      </c>
      <c r="DA53" s="38">
        <v>0</v>
      </c>
      <c r="DB53" s="38">
        <v>0</v>
      </c>
      <c r="DC53" s="38">
        <v>0</v>
      </c>
      <c r="DE53" s="46">
        <f t="shared" si="30"/>
        <v>0</v>
      </c>
      <c r="DF53" s="46">
        <f t="shared" si="16"/>
        <v>0</v>
      </c>
      <c r="DG53">
        <f t="shared" si="29"/>
        <v>21</v>
      </c>
      <c r="DH53">
        <v>0</v>
      </c>
    </row>
    <row r="54" spans="1:112" ht="14.4">
      <c r="A54" s="124">
        <v>42</v>
      </c>
      <c r="B54" s="5" t="str">
        <f>$B$45&amp;"9."</f>
        <v>E.1.9.</v>
      </c>
      <c r="C54" s="17" t="s">
        <v>155</v>
      </c>
      <c r="D54" s="5"/>
      <c r="E54" s="192">
        <v>0.21</v>
      </c>
      <c r="F54" s="35">
        <f>H54+NPV(FD,I54:INDEX(I54:DC54,PAL))</f>
        <v>0</v>
      </c>
      <c r="G54" s="35">
        <f>SUMIF($H$5:$DC$5,"&lt;="&amp;PAL,$H54:$DC54)</f>
        <v>0</v>
      </c>
      <c r="H54" s="165">
        <v>0</v>
      </c>
      <c r="I54" s="165">
        <v>0</v>
      </c>
      <c r="J54" s="165">
        <v>0</v>
      </c>
      <c r="K54" s="165">
        <v>0</v>
      </c>
      <c r="L54" s="165">
        <v>0</v>
      </c>
      <c r="M54" s="165">
        <v>0</v>
      </c>
      <c r="N54" s="165">
        <v>0</v>
      </c>
      <c r="O54" s="165">
        <v>0</v>
      </c>
      <c r="P54" s="165">
        <v>0</v>
      </c>
      <c r="Q54" s="165">
        <v>0</v>
      </c>
      <c r="R54" s="165">
        <v>0</v>
      </c>
      <c r="S54" s="166">
        <v>0</v>
      </c>
      <c r="T54" s="166">
        <v>0</v>
      </c>
      <c r="U54" s="166">
        <v>0</v>
      </c>
      <c r="V54" s="166">
        <v>0</v>
      </c>
      <c r="W54" s="166">
        <v>0</v>
      </c>
      <c r="X54" s="166">
        <v>0</v>
      </c>
      <c r="Y54" s="166">
        <v>0</v>
      </c>
      <c r="Z54" s="166">
        <v>0</v>
      </c>
      <c r="AA54" s="166">
        <v>0</v>
      </c>
      <c r="AB54" s="166">
        <v>0</v>
      </c>
      <c r="AC54" s="166">
        <v>0</v>
      </c>
      <c r="AD54" s="166">
        <v>0</v>
      </c>
      <c r="AE54" s="166">
        <v>0</v>
      </c>
      <c r="AF54" s="166">
        <v>0</v>
      </c>
      <c r="AG54" s="166">
        <v>0</v>
      </c>
      <c r="AH54" s="166">
        <v>0</v>
      </c>
      <c r="AI54" s="166">
        <v>0</v>
      </c>
      <c r="AJ54" s="166">
        <v>0</v>
      </c>
      <c r="AK54" s="166">
        <v>0</v>
      </c>
      <c r="AL54" s="166">
        <v>0</v>
      </c>
      <c r="AM54" s="166">
        <v>0</v>
      </c>
      <c r="AN54" s="166">
        <v>0</v>
      </c>
      <c r="AO54" s="166">
        <v>0</v>
      </c>
      <c r="AP54" s="166">
        <v>0</v>
      </c>
      <c r="AQ54" s="166">
        <v>0</v>
      </c>
      <c r="AR54" s="166">
        <v>0</v>
      </c>
      <c r="AS54" s="166">
        <v>0</v>
      </c>
      <c r="AT54" s="166">
        <v>0</v>
      </c>
      <c r="AU54" s="166">
        <v>0</v>
      </c>
      <c r="AV54" s="166">
        <v>0</v>
      </c>
      <c r="AW54" s="166">
        <v>0</v>
      </c>
      <c r="AX54" s="166">
        <v>0</v>
      </c>
      <c r="AY54" s="166">
        <v>0</v>
      </c>
      <c r="AZ54" s="166">
        <v>0</v>
      </c>
      <c r="BA54" s="166">
        <v>0</v>
      </c>
      <c r="BB54" s="166">
        <v>0</v>
      </c>
      <c r="BC54" s="166">
        <v>0</v>
      </c>
      <c r="BD54" s="166">
        <v>0</v>
      </c>
      <c r="BE54" s="166">
        <v>0</v>
      </c>
      <c r="BF54" s="166">
        <v>0</v>
      </c>
      <c r="BG54" s="166">
        <v>0</v>
      </c>
      <c r="BH54" s="166">
        <v>0</v>
      </c>
      <c r="BI54" s="166">
        <v>0</v>
      </c>
      <c r="BJ54" s="166">
        <v>0</v>
      </c>
      <c r="BK54" s="166">
        <v>0</v>
      </c>
      <c r="BL54" s="166">
        <v>0</v>
      </c>
      <c r="BM54" s="166">
        <v>0</v>
      </c>
      <c r="BN54" s="166">
        <v>0</v>
      </c>
      <c r="BO54" s="166">
        <v>0</v>
      </c>
      <c r="BP54" s="166">
        <v>0</v>
      </c>
      <c r="BQ54" s="166">
        <v>0</v>
      </c>
      <c r="BR54" s="166">
        <v>0</v>
      </c>
      <c r="BS54" s="166">
        <v>0</v>
      </c>
      <c r="BT54" s="166">
        <v>0</v>
      </c>
      <c r="BU54" s="166">
        <v>0</v>
      </c>
      <c r="BV54" s="166">
        <v>0</v>
      </c>
      <c r="BW54" s="166">
        <v>0</v>
      </c>
      <c r="BX54" s="166">
        <v>0</v>
      </c>
      <c r="BY54" s="166">
        <v>0</v>
      </c>
      <c r="BZ54" s="166">
        <v>0</v>
      </c>
      <c r="CA54" s="166">
        <v>0</v>
      </c>
      <c r="CB54" s="166">
        <v>0</v>
      </c>
      <c r="CC54" s="166">
        <v>0</v>
      </c>
      <c r="CD54" s="166">
        <v>0</v>
      </c>
      <c r="CE54" s="166">
        <v>0</v>
      </c>
      <c r="CF54" s="166">
        <v>0</v>
      </c>
      <c r="CG54" s="166">
        <v>0</v>
      </c>
      <c r="CH54" s="166">
        <v>0</v>
      </c>
      <c r="CI54" s="166">
        <v>0</v>
      </c>
      <c r="CJ54" s="166">
        <v>0</v>
      </c>
      <c r="CK54" s="166">
        <v>0</v>
      </c>
      <c r="CL54" s="166">
        <v>0</v>
      </c>
      <c r="CM54" s="166">
        <v>0</v>
      </c>
      <c r="CN54" s="166">
        <v>0</v>
      </c>
      <c r="CO54" s="166">
        <v>0</v>
      </c>
      <c r="CP54" s="166">
        <v>0</v>
      </c>
      <c r="CQ54" s="166">
        <v>0</v>
      </c>
      <c r="CR54" s="166">
        <v>0</v>
      </c>
      <c r="CS54" s="166">
        <v>0</v>
      </c>
      <c r="CT54" s="166">
        <v>0</v>
      </c>
      <c r="CU54" s="166">
        <v>0</v>
      </c>
      <c r="CV54" s="166">
        <v>0</v>
      </c>
      <c r="CW54" s="166">
        <v>0</v>
      </c>
      <c r="CX54" s="166">
        <v>0</v>
      </c>
      <c r="CY54" s="166">
        <v>0</v>
      </c>
      <c r="CZ54" s="166">
        <v>0</v>
      </c>
      <c r="DA54" s="166">
        <v>0</v>
      </c>
      <c r="DB54" s="166">
        <v>0</v>
      </c>
      <c r="DC54" s="166">
        <v>0</v>
      </c>
      <c r="DE54" s="46">
        <f t="shared" si="30"/>
        <v>0</v>
      </c>
      <c r="DF54" s="46">
        <f t="shared" si="16"/>
        <v>0</v>
      </c>
      <c r="DG54">
        <f t="shared" si="29"/>
        <v>21</v>
      </c>
      <c r="DH54">
        <v>0</v>
      </c>
    </row>
    <row r="55" spans="1:112" ht="14.4">
      <c r="A55" s="124">
        <v>43</v>
      </c>
      <c r="B55" s="5" t="str">
        <f>$B$45&amp;"L."</f>
        <v>E.1.L.</v>
      </c>
      <c r="C55" s="17" t="s">
        <v>16</v>
      </c>
      <c r="D55" s="5"/>
      <c r="E55" s="192">
        <v>0.21</v>
      </c>
      <c r="F55" s="35">
        <f>H55+NPV(FD,I55:INDEX(I55:DC55,PAL))</f>
        <v>0</v>
      </c>
      <c r="G55" s="35">
        <f>SUMIF($H$5:$DC$5,"&lt;="&amp;PAL,$H55:$DC55)</f>
        <v>0</v>
      </c>
      <c r="H55" s="165">
        <v>0</v>
      </c>
      <c r="I55" s="165">
        <v>0</v>
      </c>
      <c r="J55" s="165">
        <v>0</v>
      </c>
      <c r="K55" s="165">
        <v>0</v>
      </c>
      <c r="L55" s="165">
        <v>0</v>
      </c>
      <c r="M55" s="165">
        <v>0</v>
      </c>
      <c r="N55" s="165">
        <v>0</v>
      </c>
      <c r="O55" s="165">
        <v>0</v>
      </c>
      <c r="P55" s="165">
        <v>0</v>
      </c>
      <c r="Q55" s="165">
        <v>0</v>
      </c>
      <c r="R55" s="165">
        <v>0</v>
      </c>
      <c r="S55" s="165">
        <v>0</v>
      </c>
      <c r="T55" s="165">
        <v>0</v>
      </c>
      <c r="U55" s="165">
        <v>0</v>
      </c>
      <c r="V55" s="165">
        <v>0</v>
      </c>
      <c r="W55" s="165">
        <v>0</v>
      </c>
      <c r="X55" s="165">
        <v>0</v>
      </c>
      <c r="Y55" s="165">
        <v>0</v>
      </c>
      <c r="Z55" s="165">
        <v>0</v>
      </c>
      <c r="AA55" s="165">
        <v>0</v>
      </c>
      <c r="AB55" s="166">
        <v>0</v>
      </c>
      <c r="AC55" s="165">
        <v>0</v>
      </c>
      <c r="AD55" s="165">
        <v>0</v>
      </c>
      <c r="AE55" s="165">
        <v>0</v>
      </c>
      <c r="AF55" s="165">
        <v>0</v>
      </c>
      <c r="AG55" s="165">
        <v>0</v>
      </c>
      <c r="AH55" s="165">
        <v>0</v>
      </c>
      <c r="AI55" s="165">
        <v>0</v>
      </c>
      <c r="AJ55" s="165">
        <v>0</v>
      </c>
      <c r="AK55" s="165">
        <v>0</v>
      </c>
      <c r="AL55" s="166">
        <v>0</v>
      </c>
      <c r="AM55" s="165">
        <v>0</v>
      </c>
      <c r="AN55" s="165">
        <v>0</v>
      </c>
      <c r="AO55" s="165">
        <v>0</v>
      </c>
      <c r="AP55" s="165">
        <v>0</v>
      </c>
      <c r="AQ55" s="165">
        <v>0</v>
      </c>
      <c r="AR55" s="165">
        <v>0</v>
      </c>
      <c r="AS55" s="165">
        <v>0</v>
      </c>
      <c r="AT55" s="165">
        <v>0</v>
      </c>
      <c r="AU55" s="165">
        <v>0</v>
      </c>
      <c r="AV55" s="165">
        <v>0</v>
      </c>
      <c r="AW55" s="165">
        <v>0</v>
      </c>
      <c r="AX55" s="165">
        <v>0</v>
      </c>
      <c r="AY55" s="165">
        <v>0</v>
      </c>
      <c r="AZ55" s="165">
        <v>0</v>
      </c>
      <c r="BA55" s="165">
        <v>0</v>
      </c>
      <c r="BB55" s="165">
        <v>0</v>
      </c>
      <c r="BC55" s="165">
        <v>0</v>
      </c>
      <c r="BD55" s="165">
        <v>0</v>
      </c>
      <c r="BE55" s="165">
        <v>0</v>
      </c>
      <c r="BF55" s="165">
        <v>0</v>
      </c>
      <c r="BG55" s="165">
        <v>0</v>
      </c>
      <c r="BH55" s="165">
        <v>0</v>
      </c>
      <c r="BI55" s="165">
        <v>0</v>
      </c>
      <c r="BJ55" s="165">
        <v>0</v>
      </c>
      <c r="BK55" s="165">
        <v>0</v>
      </c>
      <c r="BL55" s="165">
        <v>0</v>
      </c>
      <c r="BM55" s="165">
        <v>0</v>
      </c>
      <c r="BN55" s="165">
        <v>0</v>
      </c>
      <c r="BO55" s="165">
        <v>0</v>
      </c>
      <c r="BP55" s="165">
        <v>0</v>
      </c>
      <c r="BQ55" s="165">
        <v>0</v>
      </c>
      <c r="BR55" s="165">
        <v>0</v>
      </c>
      <c r="BS55" s="165">
        <v>0</v>
      </c>
      <c r="BT55" s="165">
        <v>0</v>
      </c>
      <c r="BU55" s="165">
        <v>0</v>
      </c>
      <c r="BV55" s="165">
        <v>0</v>
      </c>
      <c r="BW55" s="165">
        <v>0</v>
      </c>
      <c r="BX55" s="165">
        <v>0</v>
      </c>
      <c r="BY55" s="165">
        <v>0</v>
      </c>
      <c r="BZ55" s="165">
        <v>0</v>
      </c>
      <c r="CA55" s="165">
        <v>0</v>
      </c>
      <c r="CB55" s="165">
        <v>0</v>
      </c>
      <c r="CC55" s="165">
        <v>0</v>
      </c>
      <c r="CD55" s="165">
        <v>0</v>
      </c>
      <c r="CE55" s="165">
        <v>0</v>
      </c>
      <c r="CF55" s="165">
        <v>0</v>
      </c>
      <c r="CG55" s="165">
        <v>0</v>
      </c>
      <c r="CH55" s="165">
        <v>0</v>
      </c>
      <c r="CI55" s="165">
        <v>0</v>
      </c>
      <c r="CJ55" s="165">
        <v>0</v>
      </c>
      <c r="CK55" s="165">
        <v>0</v>
      </c>
      <c r="CL55" s="165">
        <v>0</v>
      </c>
      <c r="CM55" s="165">
        <v>0</v>
      </c>
      <c r="CN55" s="165">
        <v>0</v>
      </c>
      <c r="CO55" s="165">
        <v>0</v>
      </c>
      <c r="CP55" s="165">
        <v>0</v>
      </c>
      <c r="CQ55" s="165">
        <v>0</v>
      </c>
      <c r="CR55" s="165">
        <v>0</v>
      </c>
      <c r="CS55" s="165">
        <v>0</v>
      </c>
      <c r="CT55" s="165">
        <v>0</v>
      </c>
      <c r="CU55" s="165">
        <v>0</v>
      </c>
      <c r="CV55" s="165">
        <v>0</v>
      </c>
      <c r="CW55" s="165">
        <v>0</v>
      </c>
      <c r="CX55" s="165">
        <v>0</v>
      </c>
      <c r="CY55" s="165">
        <v>0</v>
      </c>
      <c r="CZ55" s="165">
        <v>0</v>
      </c>
      <c r="DA55" s="165">
        <v>0</v>
      </c>
      <c r="DB55" s="165">
        <v>0</v>
      </c>
      <c r="DC55" s="166">
        <v>0</v>
      </c>
      <c r="DE55" s="46">
        <f t="shared" si="30"/>
        <v>0</v>
      </c>
      <c r="DF55" s="46">
        <f t="shared" si="16"/>
        <v>0</v>
      </c>
      <c r="DG55">
        <f t="shared" si="29"/>
        <v>21</v>
      </c>
      <c r="DH55">
        <f>DG55/(100+DG55)</f>
        <v>0.17355371900826447</v>
      </c>
    </row>
    <row r="56" spans="1:112" ht="14.4">
      <c r="A56" s="124">
        <v>44</v>
      </c>
      <c r="B56" s="37" t="s">
        <v>36</v>
      </c>
      <c r="C56" s="15" t="s">
        <v>0</v>
      </c>
      <c r="D56" s="3"/>
      <c r="E56" s="3"/>
      <c r="F56" s="11">
        <f>SUM(F57:F64)+F65</f>
        <v>0</v>
      </c>
      <c r="G56" s="35">
        <f>SUMIF($H$5:$DC$5,"&lt;="&amp;PAL,$H56:$DC56)</f>
        <v>0</v>
      </c>
      <c r="H56" s="11">
        <f>SUM(H57:H64)+H65</f>
        <v>0</v>
      </c>
      <c r="I56" s="11">
        <f t="shared" ref="I56:BT56" si="31">SUM(I57:I64)+I65</f>
        <v>0</v>
      </c>
      <c r="J56" s="11">
        <f t="shared" si="31"/>
        <v>0</v>
      </c>
      <c r="K56" s="11">
        <f t="shared" si="31"/>
        <v>0</v>
      </c>
      <c r="L56" s="11">
        <f t="shared" si="31"/>
        <v>0</v>
      </c>
      <c r="M56" s="11">
        <f t="shared" si="31"/>
        <v>0</v>
      </c>
      <c r="N56" s="11">
        <f t="shared" si="31"/>
        <v>0</v>
      </c>
      <c r="O56" s="11">
        <f t="shared" si="31"/>
        <v>0</v>
      </c>
      <c r="P56" s="11">
        <f t="shared" si="31"/>
        <v>0</v>
      </c>
      <c r="Q56" s="11">
        <f t="shared" si="31"/>
        <v>0</v>
      </c>
      <c r="R56" s="11">
        <f t="shared" si="31"/>
        <v>0</v>
      </c>
      <c r="S56" s="11">
        <f t="shared" si="31"/>
        <v>0</v>
      </c>
      <c r="T56" s="11">
        <f t="shared" si="31"/>
        <v>0</v>
      </c>
      <c r="U56" s="11">
        <f t="shared" si="31"/>
        <v>0</v>
      </c>
      <c r="V56" s="11">
        <f t="shared" si="31"/>
        <v>0</v>
      </c>
      <c r="W56" s="11">
        <f t="shared" si="31"/>
        <v>0</v>
      </c>
      <c r="X56" s="11">
        <f t="shared" si="31"/>
        <v>0</v>
      </c>
      <c r="Y56" s="11">
        <f t="shared" si="31"/>
        <v>0</v>
      </c>
      <c r="Z56" s="11">
        <f t="shared" si="31"/>
        <v>0</v>
      </c>
      <c r="AA56" s="11">
        <f t="shared" si="31"/>
        <v>0</v>
      </c>
      <c r="AB56" s="11">
        <f t="shared" si="31"/>
        <v>0</v>
      </c>
      <c r="AC56" s="11">
        <f t="shared" si="31"/>
        <v>0</v>
      </c>
      <c r="AD56" s="11">
        <f t="shared" si="31"/>
        <v>0</v>
      </c>
      <c r="AE56" s="11">
        <f t="shared" si="31"/>
        <v>0</v>
      </c>
      <c r="AF56" s="11">
        <f t="shared" si="31"/>
        <v>0</v>
      </c>
      <c r="AG56" s="11">
        <f t="shared" si="31"/>
        <v>0</v>
      </c>
      <c r="AH56" s="11">
        <f t="shared" si="31"/>
        <v>0</v>
      </c>
      <c r="AI56" s="11">
        <f t="shared" si="31"/>
        <v>0</v>
      </c>
      <c r="AJ56" s="11">
        <f t="shared" si="31"/>
        <v>0</v>
      </c>
      <c r="AK56" s="11">
        <f t="shared" si="31"/>
        <v>0</v>
      </c>
      <c r="AL56" s="11">
        <f t="shared" si="31"/>
        <v>0</v>
      </c>
      <c r="AM56" s="11">
        <f t="shared" si="31"/>
        <v>0</v>
      </c>
      <c r="AN56" s="11">
        <f t="shared" si="31"/>
        <v>0</v>
      </c>
      <c r="AO56" s="11">
        <f t="shared" si="31"/>
        <v>0</v>
      </c>
      <c r="AP56" s="11">
        <f t="shared" si="31"/>
        <v>0</v>
      </c>
      <c r="AQ56" s="11">
        <f t="shared" si="31"/>
        <v>0</v>
      </c>
      <c r="AR56" s="11">
        <f t="shared" si="31"/>
        <v>0</v>
      </c>
      <c r="AS56" s="11">
        <f t="shared" si="31"/>
        <v>0</v>
      </c>
      <c r="AT56" s="11">
        <f t="shared" si="31"/>
        <v>0</v>
      </c>
      <c r="AU56" s="11">
        <f t="shared" si="31"/>
        <v>0</v>
      </c>
      <c r="AV56" s="11">
        <f t="shared" si="31"/>
        <v>0</v>
      </c>
      <c r="AW56" s="11">
        <f t="shared" si="31"/>
        <v>0</v>
      </c>
      <c r="AX56" s="11">
        <f t="shared" si="31"/>
        <v>0</v>
      </c>
      <c r="AY56" s="11">
        <f t="shared" si="31"/>
        <v>0</v>
      </c>
      <c r="AZ56" s="11">
        <f t="shared" si="31"/>
        <v>0</v>
      </c>
      <c r="BA56" s="11">
        <f t="shared" si="31"/>
        <v>0</v>
      </c>
      <c r="BB56" s="11">
        <f t="shared" si="31"/>
        <v>0</v>
      </c>
      <c r="BC56" s="11">
        <f t="shared" si="31"/>
        <v>0</v>
      </c>
      <c r="BD56" s="11">
        <f t="shared" si="31"/>
        <v>0</v>
      </c>
      <c r="BE56" s="11">
        <f t="shared" si="31"/>
        <v>0</v>
      </c>
      <c r="BF56" s="11">
        <f t="shared" si="31"/>
        <v>0</v>
      </c>
      <c r="BG56" s="11">
        <f t="shared" si="31"/>
        <v>0</v>
      </c>
      <c r="BH56" s="11">
        <f t="shared" si="31"/>
        <v>0</v>
      </c>
      <c r="BI56" s="11">
        <f t="shared" si="31"/>
        <v>0</v>
      </c>
      <c r="BJ56" s="11">
        <f t="shared" si="31"/>
        <v>0</v>
      </c>
      <c r="BK56" s="11">
        <f t="shared" si="31"/>
        <v>0</v>
      </c>
      <c r="BL56" s="11">
        <f t="shared" si="31"/>
        <v>0</v>
      </c>
      <c r="BM56" s="11">
        <f t="shared" si="31"/>
        <v>0</v>
      </c>
      <c r="BN56" s="11">
        <f t="shared" si="31"/>
        <v>0</v>
      </c>
      <c r="BO56" s="11">
        <f t="shared" si="31"/>
        <v>0</v>
      </c>
      <c r="BP56" s="11">
        <f t="shared" si="31"/>
        <v>0</v>
      </c>
      <c r="BQ56" s="11">
        <f t="shared" si="31"/>
        <v>0</v>
      </c>
      <c r="BR56" s="11">
        <f t="shared" si="31"/>
        <v>0</v>
      </c>
      <c r="BS56" s="11">
        <f t="shared" si="31"/>
        <v>0</v>
      </c>
      <c r="BT56" s="11">
        <f t="shared" si="31"/>
        <v>0</v>
      </c>
      <c r="BU56" s="11">
        <f t="shared" ref="BU56:DC56" si="32">SUM(BU57:BU64)+BU65</f>
        <v>0</v>
      </c>
      <c r="BV56" s="11">
        <f t="shared" si="32"/>
        <v>0</v>
      </c>
      <c r="BW56" s="11">
        <f t="shared" si="32"/>
        <v>0</v>
      </c>
      <c r="BX56" s="11">
        <f t="shared" si="32"/>
        <v>0</v>
      </c>
      <c r="BY56" s="11">
        <f t="shared" si="32"/>
        <v>0</v>
      </c>
      <c r="BZ56" s="11">
        <f t="shared" si="32"/>
        <v>0</v>
      </c>
      <c r="CA56" s="11">
        <f t="shared" si="32"/>
        <v>0</v>
      </c>
      <c r="CB56" s="11">
        <f t="shared" si="32"/>
        <v>0</v>
      </c>
      <c r="CC56" s="11">
        <f t="shared" si="32"/>
        <v>0</v>
      </c>
      <c r="CD56" s="11">
        <f t="shared" si="32"/>
        <v>0</v>
      </c>
      <c r="CE56" s="11">
        <f t="shared" si="32"/>
        <v>0</v>
      </c>
      <c r="CF56" s="11">
        <f t="shared" si="32"/>
        <v>0</v>
      </c>
      <c r="CG56" s="11">
        <f t="shared" si="32"/>
        <v>0</v>
      </c>
      <c r="CH56" s="11">
        <f t="shared" si="32"/>
        <v>0</v>
      </c>
      <c r="CI56" s="11">
        <f t="shared" si="32"/>
        <v>0</v>
      </c>
      <c r="CJ56" s="11">
        <f t="shared" si="32"/>
        <v>0</v>
      </c>
      <c r="CK56" s="11">
        <f t="shared" si="32"/>
        <v>0</v>
      </c>
      <c r="CL56" s="11">
        <f t="shared" si="32"/>
        <v>0</v>
      </c>
      <c r="CM56" s="11">
        <f t="shared" si="32"/>
        <v>0</v>
      </c>
      <c r="CN56" s="11">
        <f t="shared" si="32"/>
        <v>0</v>
      </c>
      <c r="CO56" s="11">
        <f t="shared" si="32"/>
        <v>0</v>
      </c>
      <c r="CP56" s="11">
        <f t="shared" si="32"/>
        <v>0</v>
      </c>
      <c r="CQ56" s="11">
        <f t="shared" si="32"/>
        <v>0</v>
      </c>
      <c r="CR56" s="11">
        <f t="shared" si="32"/>
        <v>0</v>
      </c>
      <c r="CS56" s="11">
        <f t="shared" si="32"/>
        <v>0</v>
      </c>
      <c r="CT56" s="11">
        <f t="shared" si="32"/>
        <v>0</v>
      </c>
      <c r="CU56" s="11">
        <f t="shared" si="32"/>
        <v>0</v>
      </c>
      <c r="CV56" s="11">
        <f t="shared" si="32"/>
        <v>0</v>
      </c>
      <c r="CW56" s="11">
        <f t="shared" si="32"/>
        <v>0</v>
      </c>
      <c r="CX56" s="11">
        <f t="shared" si="32"/>
        <v>0</v>
      </c>
      <c r="CY56" s="11">
        <f t="shared" si="32"/>
        <v>0</v>
      </c>
      <c r="CZ56" s="11">
        <f t="shared" si="32"/>
        <v>0</v>
      </c>
      <c r="DA56" s="11">
        <f t="shared" si="32"/>
        <v>0</v>
      </c>
      <c r="DB56" s="11">
        <f t="shared" si="32"/>
        <v>0</v>
      </c>
      <c r="DC56" s="11">
        <f t="shared" si="32"/>
        <v>0</v>
      </c>
      <c r="DF56" s="46">
        <f t="shared" si="16"/>
        <v>0</v>
      </c>
    </row>
    <row r="57" spans="1:112" ht="14.4">
      <c r="A57" s="124">
        <v>45</v>
      </c>
      <c r="B57" s="5" t="str">
        <f>$B$56&amp;"1."</f>
        <v>E.2.1.</v>
      </c>
      <c r="C57" s="164" t="s">
        <v>42</v>
      </c>
      <c r="D57" s="6"/>
      <c r="E57" s="192">
        <v>0.21</v>
      </c>
      <c r="F57" s="35">
        <f>H57+NPV(FD,I57:INDEX(I57:DC57,PAL))</f>
        <v>0</v>
      </c>
      <c r="G57" s="35">
        <f>SUMIF($H$5:$DC$5,"&lt;="&amp;PAL,$H57:$DC57)</f>
        <v>0</v>
      </c>
      <c r="H57" s="38">
        <v>0</v>
      </c>
      <c r="I57" s="38">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0</v>
      </c>
      <c r="AG57" s="38">
        <v>0</v>
      </c>
      <c r="AH57" s="38">
        <v>0</v>
      </c>
      <c r="AI57" s="38">
        <v>0</v>
      </c>
      <c r="AJ57" s="38">
        <v>0</v>
      </c>
      <c r="AK57" s="38">
        <v>0</v>
      </c>
      <c r="AL57" s="38">
        <v>0</v>
      </c>
      <c r="AM57" s="38">
        <v>0</v>
      </c>
      <c r="AN57" s="38">
        <v>0</v>
      </c>
      <c r="AO57" s="38">
        <v>0</v>
      </c>
      <c r="AP57" s="38">
        <v>0</v>
      </c>
      <c r="AQ57" s="38">
        <v>0</v>
      </c>
      <c r="AR57" s="38">
        <v>0</v>
      </c>
      <c r="AS57" s="38">
        <v>0</v>
      </c>
      <c r="AT57" s="38">
        <v>0</v>
      </c>
      <c r="AU57" s="38">
        <v>0</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0</v>
      </c>
      <c r="BX57" s="38">
        <v>0</v>
      </c>
      <c r="BY57" s="38">
        <v>0</v>
      </c>
      <c r="BZ57" s="38">
        <v>0</v>
      </c>
      <c r="CA57" s="38">
        <v>0</v>
      </c>
      <c r="CB57" s="38">
        <v>0</v>
      </c>
      <c r="CC57" s="38">
        <v>0</v>
      </c>
      <c r="CD57" s="38">
        <v>0</v>
      </c>
      <c r="CE57" s="38">
        <v>0</v>
      </c>
      <c r="CF57" s="38">
        <v>0</v>
      </c>
      <c r="CG57" s="38">
        <v>0</v>
      </c>
      <c r="CH57" s="38">
        <v>0</v>
      </c>
      <c r="CI57" s="38">
        <v>0</v>
      </c>
      <c r="CJ57" s="38">
        <v>0</v>
      </c>
      <c r="CK57" s="38">
        <v>0</v>
      </c>
      <c r="CL57" s="38">
        <v>0</v>
      </c>
      <c r="CM57" s="38">
        <v>0</v>
      </c>
      <c r="CN57" s="38">
        <v>0</v>
      </c>
      <c r="CO57" s="38">
        <v>0</v>
      </c>
      <c r="CP57" s="38">
        <v>0</v>
      </c>
      <c r="CQ57" s="38">
        <v>0</v>
      </c>
      <c r="CR57" s="38">
        <v>0</v>
      </c>
      <c r="CS57" s="38">
        <v>0</v>
      </c>
      <c r="CT57" s="38">
        <v>0</v>
      </c>
      <c r="CU57" s="38">
        <v>0</v>
      </c>
      <c r="CV57" s="38">
        <v>0</v>
      </c>
      <c r="CW57" s="38">
        <v>0</v>
      </c>
      <c r="CX57" s="38">
        <v>0</v>
      </c>
      <c r="CY57" s="38">
        <v>0</v>
      </c>
      <c r="CZ57" s="38">
        <v>0</v>
      </c>
      <c r="DA57" s="38">
        <v>0</v>
      </c>
      <c r="DB57" s="38">
        <v>0</v>
      </c>
      <c r="DC57" s="38">
        <v>0</v>
      </c>
      <c r="DE57" s="46">
        <f>COUNTBLANK(H57:DC57)</f>
        <v>0</v>
      </c>
      <c r="DF57" s="46">
        <f t="shared" si="16"/>
        <v>0</v>
      </c>
      <c r="DG57">
        <f t="shared" ref="DG57:DG66" si="33">IF(ISNUMBER(E57),E57*100,0)</f>
        <v>21</v>
      </c>
      <c r="DH57">
        <v>0</v>
      </c>
    </row>
    <row r="58" spans="1:112" ht="14.4">
      <c r="A58" s="124">
        <v>46</v>
      </c>
      <c r="B58" s="5" t="str">
        <f>$B$56&amp;"2."</f>
        <v>E.2.2.</v>
      </c>
      <c r="C58" s="164" t="s">
        <v>42</v>
      </c>
      <c r="D58" s="6"/>
      <c r="E58" s="192">
        <v>0.21</v>
      </c>
      <c r="F58" s="35">
        <f>H58+NPV(FD,I58:INDEX(I58:DC58,PAL))</f>
        <v>0</v>
      </c>
      <c r="G58" s="35">
        <f>SUMIF($H$5:$DC$5,"&lt;="&amp;PAL,$H58:$DC58)</f>
        <v>0</v>
      </c>
      <c r="H58" s="38">
        <v>0</v>
      </c>
      <c r="I58" s="38">
        <v>0</v>
      </c>
      <c r="J58" s="38">
        <v>0</v>
      </c>
      <c r="K58" s="38">
        <v>0</v>
      </c>
      <c r="L58" s="38">
        <v>0</v>
      </c>
      <c r="M58" s="38">
        <v>0</v>
      </c>
      <c r="N58" s="38">
        <v>0</v>
      </c>
      <c r="O58" s="38">
        <v>0</v>
      </c>
      <c r="P58" s="38">
        <v>0</v>
      </c>
      <c r="Q58" s="38">
        <v>0</v>
      </c>
      <c r="R58" s="38">
        <v>0</v>
      </c>
      <c r="S58" s="38">
        <v>0</v>
      </c>
      <c r="T58" s="38">
        <v>0</v>
      </c>
      <c r="U58" s="38">
        <v>0</v>
      </c>
      <c r="V58" s="38">
        <v>0</v>
      </c>
      <c r="W58" s="38">
        <v>0</v>
      </c>
      <c r="X58" s="38">
        <v>0</v>
      </c>
      <c r="Y58" s="38">
        <v>0</v>
      </c>
      <c r="Z58" s="38">
        <v>0</v>
      </c>
      <c r="AA58" s="38">
        <v>0</v>
      </c>
      <c r="AB58" s="38">
        <v>0</v>
      </c>
      <c r="AC58" s="38">
        <v>0</v>
      </c>
      <c r="AD58" s="38">
        <v>0</v>
      </c>
      <c r="AE58" s="38">
        <v>0</v>
      </c>
      <c r="AF58" s="38">
        <v>0</v>
      </c>
      <c r="AG58" s="38">
        <v>0</v>
      </c>
      <c r="AH58" s="38">
        <v>0</v>
      </c>
      <c r="AI58" s="38">
        <v>0</v>
      </c>
      <c r="AJ58" s="38">
        <v>0</v>
      </c>
      <c r="AK58" s="38">
        <v>0</v>
      </c>
      <c r="AL58" s="38">
        <v>0</v>
      </c>
      <c r="AM58" s="38">
        <v>0</v>
      </c>
      <c r="AN58" s="38">
        <v>0</v>
      </c>
      <c r="AO58" s="38">
        <v>0</v>
      </c>
      <c r="AP58" s="38">
        <v>0</v>
      </c>
      <c r="AQ58" s="38">
        <v>0</v>
      </c>
      <c r="AR58" s="38">
        <v>0</v>
      </c>
      <c r="AS58" s="38">
        <v>0</v>
      </c>
      <c r="AT58" s="38">
        <v>0</v>
      </c>
      <c r="AU58" s="38">
        <v>0</v>
      </c>
      <c r="AV58" s="38">
        <v>0</v>
      </c>
      <c r="AW58" s="38">
        <v>0</v>
      </c>
      <c r="AX58" s="38">
        <v>0</v>
      </c>
      <c r="AY58" s="38">
        <v>0</v>
      </c>
      <c r="AZ58" s="38">
        <v>0</v>
      </c>
      <c r="BA58" s="38">
        <v>0</v>
      </c>
      <c r="BB58" s="38">
        <v>0</v>
      </c>
      <c r="BC58" s="38">
        <v>0</v>
      </c>
      <c r="BD58" s="38">
        <v>0</v>
      </c>
      <c r="BE58" s="38">
        <v>0</v>
      </c>
      <c r="BF58" s="38">
        <v>0</v>
      </c>
      <c r="BG58" s="38">
        <v>0</v>
      </c>
      <c r="BH58" s="38">
        <v>0</v>
      </c>
      <c r="BI58" s="38">
        <v>0</v>
      </c>
      <c r="BJ58" s="38">
        <v>0</v>
      </c>
      <c r="BK58" s="38">
        <v>0</v>
      </c>
      <c r="BL58" s="38">
        <v>0</v>
      </c>
      <c r="BM58" s="38">
        <v>0</v>
      </c>
      <c r="BN58" s="38">
        <v>0</v>
      </c>
      <c r="BO58" s="38">
        <v>0</v>
      </c>
      <c r="BP58" s="38">
        <v>0</v>
      </c>
      <c r="BQ58" s="38">
        <v>0</v>
      </c>
      <c r="BR58" s="38">
        <v>0</v>
      </c>
      <c r="BS58" s="38">
        <v>0</v>
      </c>
      <c r="BT58" s="38">
        <v>0</v>
      </c>
      <c r="BU58" s="38">
        <v>0</v>
      </c>
      <c r="BV58" s="38">
        <v>0</v>
      </c>
      <c r="BW58" s="38">
        <v>0</v>
      </c>
      <c r="BX58" s="38">
        <v>0</v>
      </c>
      <c r="BY58" s="38">
        <v>0</v>
      </c>
      <c r="BZ58" s="38">
        <v>0</v>
      </c>
      <c r="CA58" s="38">
        <v>0</v>
      </c>
      <c r="CB58" s="38">
        <v>0</v>
      </c>
      <c r="CC58" s="38">
        <v>0</v>
      </c>
      <c r="CD58" s="38">
        <v>0</v>
      </c>
      <c r="CE58" s="38">
        <v>0</v>
      </c>
      <c r="CF58" s="38">
        <v>0</v>
      </c>
      <c r="CG58" s="38">
        <v>0</v>
      </c>
      <c r="CH58" s="38">
        <v>0</v>
      </c>
      <c r="CI58" s="38">
        <v>0</v>
      </c>
      <c r="CJ58" s="38">
        <v>0</v>
      </c>
      <c r="CK58" s="38">
        <v>0</v>
      </c>
      <c r="CL58" s="38">
        <v>0</v>
      </c>
      <c r="CM58" s="38">
        <v>0</v>
      </c>
      <c r="CN58" s="38">
        <v>0</v>
      </c>
      <c r="CO58" s="38">
        <v>0</v>
      </c>
      <c r="CP58" s="38">
        <v>0</v>
      </c>
      <c r="CQ58" s="38">
        <v>0</v>
      </c>
      <c r="CR58" s="38">
        <v>0</v>
      </c>
      <c r="CS58" s="38">
        <v>0</v>
      </c>
      <c r="CT58" s="38">
        <v>0</v>
      </c>
      <c r="CU58" s="38">
        <v>0</v>
      </c>
      <c r="CV58" s="38">
        <v>0</v>
      </c>
      <c r="CW58" s="38">
        <v>0</v>
      </c>
      <c r="CX58" s="38">
        <v>0</v>
      </c>
      <c r="CY58" s="38">
        <v>0</v>
      </c>
      <c r="CZ58" s="38">
        <v>0</v>
      </c>
      <c r="DA58" s="38">
        <v>0</v>
      </c>
      <c r="DB58" s="38">
        <v>0</v>
      </c>
      <c r="DC58" s="38">
        <v>0</v>
      </c>
      <c r="DE58" s="46">
        <f t="shared" ref="DE58:DE66" si="34">COUNTBLANK(H58:DC58)</f>
        <v>0</v>
      </c>
      <c r="DF58" s="46">
        <f t="shared" si="16"/>
        <v>0</v>
      </c>
      <c r="DG58">
        <f t="shared" si="33"/>
        <v>21</v>
      </c>
      <c r="DH58">
        <v>0</v>
      </c>
    </row>
    <row r="59" spans="1:112" ht="14.4">
      <c r="A59" s="124">
        <v>47</v>
      </c>
      <c r="B59" s="5" t="str">
        <f>$B$56&amp;"3."</f>
        <v>E.2.3.</v>
      </c>
      <c r="C59" s="164" t="s">
        <v>42</v>
      </c>
      <c r="D59" s="6"/>
      <c r="E59" s="192">
        <v>0.21</v>
      </c>
      <c r="F59" s="35">
        <f>H59+NPV(FD,I59:INDEX(I59:DC59,PAL))</f>
        <v>0</v>
      </c>
      <c r="G59" s="35">
        <f>SUMIF($H$5:$DC$5,"&lt;="&amp;PAL,$H59:$DC59)</f>
        <v>0</v>
      </c>
      <c r="H59" s="38">
        <v>0</v>
      </c>
      <c r="I59" s="38">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0</v>
      </c>
      <c r="AM59" s="38">
        <v>0</v>
      </c>
      <c r="AN59" s="38">
        <v>0</v>
      </c>
      <c r="AO59" s="38">
        <v>0</v>
      </c>
      <c r="AP59" s="38">
        <v>0</v>
      </c>
      <c r="AQ59" s="38">
        <v>0</v>
      </c>
      <c r="AR59" s="38">
        <v>0</v>
      </c>
      <c r="AS59" s="38">
        <v>0</v>
      </c>
      <c r="AT59" s="38">
        <v>0</v>
      </c>
      <c r="AU59" s="38">
        <v>0</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0</v>
      </c>
      <c r="CD59" s="38">
        <v>0</v>
      </c>
      <c r="CE59" s="38">
        <v>0</v>
      </c>
      <c r="CF59" s="38">
        <v>0</v>
      </c>
      <c r="CG59" s="38">
        <v>0</v>
      </c>
      <c r="CH59" s="38">
        <v>0</v>
      </c>
      <c r="CI59" s="38">
        <v>0</v>
      </c>
      <c r="CJ59" s="38">
        <v>0</v>
      </c>
      <c r="CK59" s="38">
        <v>0</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E59" s="46">
        <f t="shared" si="34"/>
        <v>0</v>
      </c>
      <c r="DF59" s="46">
        <f t="shared" si="16"/>
        <v>0</v>
      </c>
      <c r="DG59">
        <f t="shared" si="33"/>
        <v>21</v>
      </c>
      <c r="DH59">
        <v>0</v>
      </c>
    </row>
    <row r="60" spans="1:112" ht="14.4">
      <c r="A60" s="124">
        <v>48</v>
      </c>
      <c r="B60" s="5" t="str">
        <f>$B$56&amp;"4."</f>
        <v>E.2.4.</v>
      </c>
      <c r="C60" s="164" t="s">
        <v>42</v>
      </c>
      <c r="D60" s="6"/>
      <c r="E60" s="192">
        <v>0.21</v>
      </c>
      <c r="F60" s="35">
        <f>H60+NPV(FD,I60:INDEX(I60:DC60,PAL))</f>
        <v>0</v>
      </c>
      <c r="G60" s="35">
        <f>SUMIF($H$5:$DC$5,"&lt;="&amp;PAL,$H60:$DC60)</f>
        <v>0</v>
      </c>
      <c r="H60" s="38">
        <v>0</v>
      </c>
      <c r="I60" s="38">
        <v>0</v>
      </c>
      <c r="J60" s="38">
        <v>0</v>
      </c>
      <c r="K60" s="38">
        <v>0</v>
      </c>
      <c r="L60" s="38">
        <v>0</v>
      </c>
      <c r="M60" s="38">
        <v>0</v>
      </c>
      <c r="N60" s="38">
        <v>0</v>
      </c>
      <c r="O60" s="38">
        <v>0</v>
      </c>
      <c r="P60" s="38">
        <v>0</v>
      </c>
      <c r="Q60" s="38">
        <v>0</v>
      </c>
      <c r="R60" s="38">
        <v>0</v>
      </c>
      <c r="S60" s="38">
        <v>0</v>
      </c>
      <c r="T60" s="38">
        <v>0</v>
      </c>
      <c r="U60" s="38">
        <v>0</v>
      </c>
      <c r="V60" s="38">
        <v>0</v>
      </c>
      <c r="W60" s="38">
        <v>0</v>
      </c>
      <c r="X60" s="38">
        <v>0</v>
      </c>
      <c r="Y60" s="38">
        <v>0</v>
      </c>
      <c r="Z60" s="38">
        <v>0</v>
      </c>
      <c r="AA60" s="38">
        <v>0</v>
      </c>
      <c r="AB60" s="38">
        <v>0</v>
      </c>
      <c r="AC60" s="38">
        <v>0</v>
      </c>
      <c r="AD60" s="38">
        <v>0</v>
      </c>
      <c r="AE60" s="38">
        <v>0</v>
      </c>
      <c r="AF60" s="38">
        <v>0</v>
      </c>
      <c r="AG60" s="38">
        <v>0</v>
      </c>
      <c r="AH60" s="38">
        <v>0</v>
      </c>
      <c r="AI60" s="38">
        <v>0</v>
      </c>
      <c r="AJ60" s="38">
        <v>0</v>
      </c>
      <c r="AK60" s="38">
        <v>0</v>
      </c>
      <c r="AL60" s="38">
        <v>0</v>
      </c>
      <c r="AM60" s="38">
        <v>0</v>
      </c>
      <c r="AN60" s="38">
        <v>0</v>
      </c>
      <c r="AO60" s="38">
        <v>0</v>
      </c>
      <c r="AP60" s="38">
        <v>0</v>
      </c>
      <c r="AQ60" s="38">
        <v>0</v>
      </c>
      <c r="AR60" s="38">
        <v>0</v>
      </c>
      <c r="AS60" s="38">
        <v>0</v>
      </c>
      <c r="AT60" s="38">
        <v>0</v>
      </c>
      <c r="AU60" s="38">
        <v>0</v>
      </c>
      <c r="AV60" s="38">
        <v>0</v>
      </c>
      <c r="AW60" s="38">
        <v>0</v>
      </c>
      <c r="AX60" s="38">
        <v>0</v>
      </c>
      <c r="AY60" s="38">
        <v>0</v>
      </c>
      <c r="AZ60" s="38">
        <v>0</v>
      </c>
      <c r="BA60" s="38">
        <v>0</v>
      </c>
      <c r="BB60" s="38">
        <v>0</v>
      </c>
      <c r="BC60" s="38">
        <v>0</v>
      </c>
      <c r="BD60" s="38">
        <v>0</v>
      </c>
      <c r="BE60" s="38">
        <v>0</v>
      </c>
      <c r="BF60" s="38">
        <v>0</v>
      </c>
      <c r="BG60" s="38">
        <v>0</v>
      </c>
      <c r="BH60" s="38">
        <v>0</v>
      </c>
      <c r="BI60" s="38">
        <v>0</v>
      </c>
      <c r="BJ60" s="38">
        <v>0</v>
      </c>
      <c r="BK60" s="38">
        <v>0</v>
      </c>
      <c r="BL60" s="38">
        <v>0</v>
      </c>
      <c r="BM60" s="38">
        <v>0</v>
      </c>
      <c r="BN60" s="38">
        <v>0</v>
      </c>
      <c r="BO60" s="38">
        <v>0</v>
      </c>
      <c r="BP60" s="38">
        <v>0</v>
      </c>
      <c r="BQ60" s="38">
        <v>0</v>
      </c>
      <c r="BR60" s="38">
        <v>0</v>
      </c>
      <c r="BS60" s="38">
        <v>0</v>
      </c>
      <c r="BT60" s="38">
        <v>0</v>
      </c>
      <c r="BU60" s="38">
        <v>0</v>
      </c>
      <c r="BV60" s="38">
        <v>0</v>
      </c>
      <c r="BW60" s="38">
        <v>0</v>
      </c>
      <c r="BX60" s="38">
        <v>0</v>
      </c>
      <c r="BY60" s="38">
        <v>0</v>
      </c>
      <c r="BZ60" s="38">
        <v>0</v>
      </c>
      <c r="CA60" s="38">
        <v>0</v>
      </c>
      <c r="CB60" s="38">
        <v>0</v>
      </c>
      <c r="CC60" s="38">
        <v>0</v>
      </c>
      <c r="CD60" s="38">
        <v>0</v>
      </c>
      <c r="CE60" s="38">
        <v>0</v>
      </c>
      <c r="CF60" s="38">
        <v>0</v>
      </c>
      <c r="CG60" s="38">
        <v>0</v>
      </c>
      <c r="CH60" s="38">
        <v>0</v>
      </c>
      <c r="CI60" s="38">
        <v>0</v>
      </c>
      <c r="CJ60" s="38">
        <v>0</v>
      </c>
      <c r="CK60" s="38">
        <v>0</v>
      </c>
      <c r="CL60" s="38">
        <v>0</v>
      </c>
      <c r="CM60" s="38">
        <v>0</v>
      </c>
      <c r="CN60" s="38">
        <v>0</v>
      </c>
      <c r="CO60" s="38">
        <v>0</v>
      </c>
      <c r="CP60" s="38">
        <v>0</v>
      </c>
      <c r="CQ60" s="38">
        <v>0</v>
      </c>
      <c r="CR60" s="38">
        <v>0</v>
      </c>
      <c r="CS60" s="38">
        <v>0</v>
      </c>
      <c r="CT60" s="38">
        <v>0</v>
      </c>
      <c r="CU60" s="38">
        <v>0</v>
      </c>
      <c r="CV60" s="38">
        <v>0</v>
      </c>
      <c r="CW60" s="38">
        <v>0</v>
      </c>
      <c r="CX60" s="38">
        <v>0</v>
      </c>
      <c r="CY60" s="38">
        <v>0</v>
      </c>
      <c r="CZ60" s="38">
        <v>0</v>
      </c>
      <c r="DA60" s="38">
        <v>0</v>
      </c>
      <c r="DB60" s="38">
        <v>0</v>
      </c>
      <c r="DC60" s="38">
        <v>0</v>
      </c>
      <c r="DE60" s="46">
        <f t="shared" si="34"/>
        <v>0</v>
      </c>
      <c r="DF60" s="46">
        <f t="shared" si="16"/>
        <v>0</v>
      </c>
      <c r="DG60">
        <f t="shared" si="33"/>
        <v>21</v>
      </c>
      <c r="DH60">
        <v>0</v>
      </c>
    </row>
    <row r="61" spans="1:112" ht="14.4">
      <c r="A61" s="124">
        <v>49</v>
      </c>
      <c r="B61" s="5" t="str">
        <f>$B$56&amp;"5."</f>
        <v>E.2.5.</v>
      </c>
      <c r="C61" s="164" t="s">
        <v>42</v>
      </c>
      <c r="D61" s="6"/>
      <c r="E61" s="192">
        <v>0.21</v>
      </c>
      <c r="F61" s="35">
        <f>H61+NPV(FD,I61:INDEX(I61:DC61,PAL))</f>
        <v>0</v>
      </c>
      <c r="G61" s="35">
        <f>SUMIF($H$5:$DC$5,"&lt;="&amp;PAL,$H61:$DC61)</f>
        <v>0</v>
      </c>
      <c r="H61" s="38">
        <v>0</v>
      </c>
      <c r="I61" s="38">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0</v>
      </c>
      <c r="AR61" s="38">
        <v>0</v>
      </c>
      <c r="AS61" s="38">
        <v>0</v>
      </c>
      <c r="AT61" s="38">
        <v>0</v>
      </c>
      <c r="AU61" s="38">
        <v>0</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0</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0</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E61" s="46">
        <f t="shared" si="34"/>
        <v>0</v>
      </c>
      <c r="DF61" s="46">
        <f t="shared" si="16"/>
        <v>0</v>
      </c>
      <c r="DG61">
        <f t="shared" si="33"/>
        <v>21</v>
      </c>
      <c r="DH61">
        <v>0</v>
      </c>
    </row>
    <row r="62" spans="1:112" ht="14.4">
      <c r="A62" s="124">
        <v>50</v>
      </c>
      <c r="B62" s="5" t="str">
        <f>$B$56&amp;"6."</f>
        <v>E.2.6.</v>
      </c>
      <c r="C62" s="164" t="s">
        <v>42</v>
      </c>
      <c r="D62" s="6"/>
      <c r="E62" s="192">
        <v>0.21</v>
      </c>
      <c r="F62" s="35">
        <f>H62+NPV(FD,I62:INDEX(I62:DC62,PAL))</f>
        <v>0</v>
      </c>
      <c r="G62" s="35">
        <f>SUMIF($H$5:$DC$5,"&lt;="&amp;PAL,$H62:$DC62)</f>
        <v>0</v>
      </c>
      <c r="H62" s="38">
        <v>0</v>
      </c>
      <c r="I62" s="38">
        <v>0</v>
      </c>
      <c r="J62" s="38">
        <v>0</v>
      </c>
      <c r="K62" s="38">
        <v>0</v>
      </c>
      <c r="L62" s="38">
        <v>0</v>
      </c>
      <c r="M62" s="38">
        <v>0</v>
      </c>
      <c r="N62" s="38">
        <v>0</v>
      </c>
      <c r="O62" s="38">
        <v>0</v>
      </c>
      <c r="P62" s="38">
        <v>0</v>
      </c>
      <c r="Q62" s="38">
        <v>0</v>
      </c>
      <c r="R62" s="38">
        <v>0</v>
      </c>
      <c r="S62" s="38">
        <v>0</v>
      </c>
      <c r="T62" s="38">
        <v>0</v>
      </c>
      <c r="U62" s="38">
        <v>0</v>
      </c>
      <c r="V62" s="38">
        <v>0</v>
      </c>
      <c r="W62" s="38">
        <v>0</v>
      </c>
      <c r="X62" s="38">
        <v>0</v>
      </c>
      <c r="Y62" s="38">
        <v>0</v>
      </c>
      <c r="Z62" s="38">
        <v>0</v>
      </c>
      <c r="AA62" s="38">
        <v>0</v>
      </c>
      <c r="AB62" s="38">
        <v>0</v>
      </c>
      <c r="AC62" s="38">
        <v>0</v>
      </c>
      <c r="AD62" s="38">
        <v>0</v>
      </c>
      <c r="AE62" s="38">
        <v>0</v>
      </c>
      <c r="AF62" s="38">
        <v>0</v>
      </c>
      <c r="AG62" s="38">
        <v>0</v>
      </c>
      <c r="AH62" s="38">
        <v>0</v>
      </c>
      <c r="AI62" s="38">
        <v>0</v>
      </c>
      <c r="AJ62" s="38">
        <v>0</v>
      </c>
      <c r="AK62" s="38">
        <v>0</v>
      </c>
      <c r="AL62" s="38">
        <v>0</v>
      </c>
      <c r="AM62" s="38">
        <v>0</v>
      </c>
      <c r="AN62" s="38">
        <v>0</v>
      </c>
      <c r="AO62" s="38">
        <v>0</v>
      </c>
      <c r="AP62" s="38">
        <v>0</v>
      </c>
      <c r="AQ62" s="38">
        <v>0</v>
      </c>
      <c r="AR62" s="38">
        <v>0</v>
      </c>
      <c r="AS62" s="38">
        <v>0</v>
      </c>
      <c r="AT62" s="38">
        <v>0</v>
      </c>
      <c r="AU62" s="38">
        <v>0</v>
      </c>
      <c r="AV62" s="38">
        <v>0</v>
      </c>
      <c r="AW62" s="38">
        <v>0</v>
      </c>
      <c r="AX62" s="38">
        <v>0</v>
      </c>
      <c r="AY62" s="38">
        <v>0</v>
      </c>
      <c r="AZ62" s="38">
        <v>0</v>
      </c>
      <c r="BA62" s="38">
        <v>0</v>
      </c>
      <c r="BB62" s="38">
        <v>0</v>
      </c>
      <c r="BC62" s="38">
        <v>0</v>
      </c>
      <c r="BD62" s="38">
        <v>0</v>
      </c>
      <c r="BE62" s="38">
        <v>0</v>
      </c>
      <c r="BF62" s="38">
        <v>0</v>
      </c>
      <c r="BG62" s="38">
        <v>0</v>
      </c>
      <c r="BH62" s="38">
        <v>0</v>
      </c>
      <c r="BI62" s="38">
        <v>0</v>
      </c>
      <c r="BJ62" s="38">
        <v>0</v>
      </c>
      <c r="BK62" s="38">
        <v>0</v>
      </c>
      <c r="BL62" s="38">
        <v>0</v>
      </c>
      <c r="BM62" s="38">
        <v>0</v>
      </c>
      <c r="BN62" s="38">
        <v>0</v>
      </c>
      <c r="BO62" s="38">
        <v>0</v>
      </c>
      <c r="BP62" s="38">
        <v>0</v>
      </c>
      <c r="BQ62" s="38">
        <v>0</v>
      </c>
      <c r="BR62" s="38">
        <v>0</v>
      </c>
      <c r="BS62" s="38">
        <v>0</v>
      </c>
      <c r="BT62" s="38">
        <v>0</v>
      </c>
      <c r="BU62" s="38">
        <v>0</v>
      </c>
      <c r="BV62" s="38">
        <v>0</v>
      </c>
      <c r="BW62" s="38">
        <v>0</v>
      </c>
      <c r="BX62" s="38">
        <v>0</v>
      </c>
      <c r="BY62" s="38">
        <v>0</v>
      </c>
      <c r="BZ62" s="38">
        <v>0</v>
      </c>
      <c r="CA62" s="38">
        <v>0</v>
      </c>
      <c r="CB62" s="38">
        <v>0</v>
      </c>
      <c r="CC62" s="38">
        <v>0</v>
      </c>
      <c r="CD62" s="38">
        <v>0</v>
      </c>
      <c r="CE62" s="38">
        <v>0</v>
      </c>
      <c r="CF62" s="38">
        <v>0</v>
      </c>
      <c r="CG62" s="38">
        <v>0</v>
      </c>
      <c r="CH62" s="38">
        <v>0</v>
      </c>
      <c r="CI62" s="38">
        <v>0</v>
      </c>
      <c r="CJ62" s="38">
        <v>0</v>
      </c>
      <c r="CK62" s="38">
        <v>0</v>
      </c>
      <c r="CL62" s="38">
        <v>0</v>
      </c>
      <c r="CM62" s="38">
        <v>0</v>
      </c>
      <c r="CN62" s="38">
        <v>0</v>
      </c>
      <c r="CO62" s="38">
        <v>0</v>
      </c>
      <c r="CP62" s="38">
        <v>0</v>
      </c>
      <c r="CQ62" s="38">
        <v>0</v>
      </c>
      <c r="CR62" s="38">
        <v>0</v>
      </c>
      <c r="CS62" s="38">
        <v>0</v>
      </c>
      <c r="CT62" s="38">
        <v>0</v>
      </c>
      <c r="CU62" s="38">
        <v>0</v>
      </c>
      <c r="CV62" s="38">
        <v>0</v>
      </c>
      <c r="CW62" s="38">
        <v>0</v>
      </c>
      <c r="CX62" s="38">
        <v>0</v>
      </c>
      <c r="CY62" s="38">
        <v>0</v>
      </c>
      <c r="CZ62" s="38">
        <v>0</v>
      </c>
      <c r="DA62" s="38">
        <v>0</v>
      </c>
      <c r="DB62" s="38">
        <v>0</v>
      </c>
      <c r="DC62" s="38">
        <v>0</v>
      </c>
      <c r="DE62" s="46">
        <f t="shared" si="34"/>
        <v>0</v>
      </c>
      <c r="DF62" s="46">
        <f t="shared" si="16"/>
        <v>0</v>
      </c>
      <c r="DG62">
        <f t="shared" si="33"/>
        <v>21</v>
      </c>
      <c r="DH62">
        <v>0</v>
      </c>
    </row>
    <row r="63" spans="1:112" ht="14.4">
      <c r="A63" s="124">
        <v>51</v>
      </c>
      <c r="B63" s="5" t="str">
        <f>$B$56&amp;"7."</f>
        <v>E.2.7.</v>
      </c>
      <c r="C63" s="164" t="s">
        <v>42</v>
      </c>
      <c r="D63" s="6"/>
      <c r="E63" s="192">
        <v>0.21</v>
      </c>
      <c r="F63" s="35">
        <f>H63+NPV(FD,I63:INDEX(I63:DC63,PAL))</f>
        <v>0</v>
      </c>
      <c r="G63" s="35">
        <f>SUMIF($H$5:$DC$5,"&lt;="&amp;PAL,$H63:$DC63)</f>
        <v>0</v>
      </c>
      <c r="H63" s="38">
        <v>0</v>
      </c>
      <c r="I63" s="38">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0</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0</v>
      </c>
      <c r="AT63" s="38">
        <v>0</v>
      </c>
      <c r="AU63" s="38">
        <v>0</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0</v>
      </c>
      <c r="BM63" s="38">
        <v>0</v>
      </c>
      <c r="BN63" s="38">
        <v>0</v>
      </c>
      <c r="BO63" s="38">
        <v>0</v>
      </c>
      <c r="BP63" s="38">
        <v>0</v>
      </c>
      <c r="BQ63" s="38">
        <v>0</v>
      </c>
      <c r="BR63" s="38">
        <v>0</v>
      </c>
      <c r="BS63" s="38">
        <v>0</v>
      </c>
      <c r="BT63" s="38">
        <v>0</v>
      </c>
      <c r="BU63" s="38">
        <v>0</v>
      </c>
      <c r="BV63" s="38">
        <v>0</v>
      </c>
      <c r="BW63" s="38">
        <v>0</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0</v>
      </c>
      <c r="CO63" s="38">
        <v>0</v>
      </c>
      <c r="CP63" s="38">
        <v>0</v>
      </c>
      <c r="CQ63" s="38">
        <v>0</v>
      </c>
      <c r="CR63" s="38">
        <v>0</v>
      </c>
      <c r="CS63" s="38">
        <v>0</v>
      </c>
      <c r="CT63" s="38">
        <v>0</v>
      </c>
      <c r="CU63" s="38">
        <v>0</v>
      </c>
      <c r="CV63" s="38">
        <v>0</v>
      </c>
      <c r="CW63" s="38">
        <v>0</v>
      </c>
      <c r="CX63" s="38">
        <v>0</v>
      </c>
      <c r="CY63" s="38">
        <v>0</v>
      </c>
      <c r="CZ63" s="38">
        <v>0</v>
      </c>
      <c r="DA63" s="38">
        <v>0</v>
      </c>
      <c r="DB63" s="38">
        <v>0</v>
      </c>
      <c r="DC63" s="38">
        <v>0</v>
      </c>
      <c r="DE63" s="46">
        <f t="shared" si="34"/>
        <v>0</v>
      </c>
      <c r="DF63" s="46">
        <f t="shared" si="16"/>
        <v>0</v>
      </c>
      <c r="DG63">
        <f t="shared" si="33"/>
        <v>21</v>
      </c>
      <c r="DH63">
        <v>0</v>
      </c>
    </row>
    <row r="64" spans="1:112" ht="14.4">
      <c r="A64" s="124">
        <v>52</v>
      </c>
      <c r="B64" s="5" t="str">
        <f>$B$56&amp;"8."</f>
        <v>E.2.8.</v>
      </c>
      <c r="C64" s="164" t="s">
        <v>42</v>
      </c>
      <c r="D64" s="6"/>
      <c r="E64" s="192">
        <v>0.21</v>
      </c>
      <c r="F64" s="35">
        <f>H64+NPV(FD,I64:INDEX(I64:DC64,PAL))</f>
        <v>0</v>
      </c>
      <c r="G64" s="35">
        <f>SUMIF($H$5:$DC$5,"&lt;="&amp;PAL,$H64:$DC64)</f>
        <v>0</v>
      </c>
      <c r="H64" s="38">
        <v>0</v>
      </c>
      <c r="I64" s="38">
        <v>0</v>
      </c>
      <c r="J64" s="38">
        <v>0</v>
      </c>
      <c r="K64" s="38">
        <v>0</v>
      </c>
      <c r="L64" s="38">
        <v>0</v>
      </c>
      <c r="M64" s="38">
        <v>0</v>
      </c>
      <c r="N64" s="38">
        <v>0</v>
      </c>
      <c r="O64" s="38">
        <v>0</v>
      </c>
      <c r="P64" s="38">
        <v>0</v>
      </c>
      <c r="Q64" s="38">
        <v>0</v>
      </c>
      <c r="R64" s="38">
        <v>0</v>
      </c>
      <c r="S64" s="38">
        <v>0</v>
      </c>
      <c r="T64" s="38">
        <v>0</v>
      </c>
      <c r="U64" s="38">
        <v>0</v>
      </c>
      <c r="V64" s="38">
        <v>0</v>
      </c>
      <c r="W64" s="38">
        <v>0</v>
      </c>
      <c r="X64" s="38">
        <v>0</v>
      </c>
      <c r="Y64" s="38">
        <v>0</v>
      </c>
      <c r="Z64" s="38">
        <v>0</v>
      </c>
      <c r="AA64" s="38">
        <v>0</v>
      </c>
      <c r="AB64" s="38">
        <v>0</v>
      </c>
      <c r="AC64" s="38">
        <v>0</v>
      </c>
      <c r="AD64" s="38">
        <v>0</v>
      </c>
      <c r="AE64" s="38">
        <v>0</v>
      </c>
      <c r="AF64" s="38">
        <v>0</v>
      </c>
      <c r="AG64" s="38">
        <v>0</v>
      </c>
      <c r="AH64" s="38">
        <v>0</v>
      </c>
      <c r="AI64" s="38">
        <v>0</v>
      </c>
      <c r="AJ64" s="38">
        <v>0</v>
      </c>
      <c r="AK64" s="38">
        <v>0</v>
      </c>
      <c r="AL64" s="38">
        <v>0</v>
      </c>
      <c r="AM64" s="38">
        <v>0</v>
      </c>
      <c r="AN64" s="38">
        <v>0</v>
      </c>
      <c r="AO64" s="38">
        <v>0</v>
      </c>
      <c r="AP64" s="38">
        <v>0</v>
      </c>
      <c r="AQ64" s="38">
        <v>0</v>
      </c>
      <c r="AR64" s="38">
        <v>0</v>
      </c>
      <c r="AS64" s="38">
        <v>0</v>
      </c>
      <c r="AT64" s="38">
        <v>0</v>
      </c>
      <c r="AU64" s="38">
        <v>0</v>
      </c>
      <c r="AV64" s="38">
        <v>0</v>
      </c>
      <c r="AW64" s="38">
        <v>0</v>
      </c>
      <c r="AX64" s="38">
        <v>0</v>
      </c>
      <c r="AY64" s="38">
        <v>0</v>
      </c>
      <c r="AZ64" s="38">
        <v>0</v>
      </c>
      <c r="BA64" s="38">
        <v>0</v>
      </c>
      <c r="BB64" s="38">
        <v>0</v>
      </c>
      <c r="BC64" s="38">
        <v>0</v>
      </c>
      <c r="BD64" s="38">
        <v>0</v>
      </c>
      <c r="BE64" s="38">
        <v>0</v>
      </c>
      <c r="BF64" s="38">
        <v>0</v>
      </c>
      <c r="BG64" s="38">
        <v>0</v>
      </c>
      <c r="BH64" s="38">
        <v>0</v>
      </c>
      <c r="BI64" s="38">
        <v>0</v>
      </c>
      <c r="BJ64" s="38">
        <v>0</v>
      </c>
      <c r="BK64" s="38">
        <v>0</v>
      </c>
      <c r="BL64" s="38">
        <v>0</v>
      </c>
      <c r="BM64" s="38">
        <v>0</v>
      </c>
      <c r="BN64" s="38">
        <v>0</v>
      </c>
      <c r="BO64" s="38">
        <v>0</v>
      </c>
      <c r="BP64" s="38">
        <v>0</v>
      </c>
      <c r="BQ64" s="38">
        <v>0</v>
      </c>
      <c r="BR64" s="38">
        <v>0</v>
      </c>
      <c r="BS64" s="38">
        <v>0</v>
      </c>
      <c r="BT64" s="38">
        <v>0</v>
      </c>
      <c r="BU64" s="38">
        <v>0</v>
      </c>
      <c r="BV64" s="38">
        <v>0</v>
      </c>
      <c r="BW64" s="38">
        <v>0</v>
      </c>
      <c r="BX64" s="38">
        <v>0</v>
      </c>
      <c r="BY64" s="38">
        <v>0</v>
      </c>
      <c r="BZ64" s="38">
        <v>0</v>
      </c>
      <c r="CA64" s="38">
        <v>0</v>
      </c>
      <c r="CB64" s="38">
        <v>0</v>
      </c>
      <c r="CC64" s="38">
        <v>0</v>
      </c>
      <c r="CD64" s="38">
        <v>0</v>
      </c>
      <c r="CE64" s="38">
        <v>0</v>
      </c>
      <c r="CF64" s="38">
        <v>0</v>
      </c>
      <c r="CG64" s="38">
        <v>0</v>
      </c>
      <c r="CH64" s="38">
        <v>0</v>
      </c>
      <c r="CI64" s="38">
        <v>0</v>
      </c>
      <c r="CJ64" s="38">
        <v>0</v>
      </c>
      <c r="CK64" s="38">
        <v>0</v>
      </c>
      <c r="CL64" s="38">
        <v>0</v>
      </c>
      <c r="CM64" s="38">
        <v>0</v>
      </c>
      <c r="CN64" s="38">
        <v>0</v>
      </c>
      <c r="CO64" s="38">
        <v>0</v>
      </c>
      <c r="CP64" s="38">
        <v>0</v>
      </c>
      <c r="CQ64" s="38">
        <v>0</v>
      </c>
      <c r="CR64" s="38">
        <v>0</v>
      </c>
      <c r="CS64" s="38">
        <v>0</v>
      </c>
      <c r="CT64" s="38">
        <v>0</v>
      </c>
      <c r="CU64" s="38">
        <v>0</v>
      </c>
      <c r="CV64" s="38">
        <v>0</v>
      </c>
      <c r="CW64" s="38">
        <v>0</v>
      </c>
      <c r="CX64" s="38">
        <v>0</v>
      </c>
      <c r="CY64" s="38">
        <v>0</v>
      </c>
      <c r="CZ64" s="38">
        <v>0</v>
      </c>
      <c r="DA64" s="38">
        <v>0</v>
      </c>
      <c r="DB64" s="38">
        <v>0</v>
      </c>
      <c r="DC64" s="38">
        <v>0</v>
      </c>
      <c r="DE64" s="46">
        <f t="shared" si="34"/>
        <v>0</v>
      </c>
      <c r="DF64" s="46">
        <f t="shared" si="16"/>
        <v>0</v>
      </c>
      <c r="DG64">
        <f t="shared" si="33"/>
        <v>21</v>
      </c>
      <c r="DH64">
        <v>0</v>
      </c>
    </row>
    <row r="65" spans="1:112" ht="14.4">
      <c r="A65" s="124">
        <v>53</v>
      </c>
      <c r="B65" s="5" t="str">
        <f>$B$56&amp;"9."</f>
        <v>E.2.9.</v>
      </c>
      <c r="C65" s="17" t="s">
        <v>155</v>
      </c>
      <c r="D65" s="5"/>
      <c r="E65" s="192">
        <v>0.21</v>
      </c>
      <c r="F65" s="35">
        <f>H65+NPV(FD,I65:INDEX(I65:DC65,PAL))</f>
        <v>0</v>
      </c>
      <c r="G65" s="35">
        <f>SUMIF($H$5:$DC$5,"&lt;="&amp;PAL,$H65:$DC65)</f>
        <v>0</v>
      </c>
      <c r="H65" s="165">
        <v>0</v>
      </c>
      <c r="I65" s="165">
        <v>0</v>
      </c>
      <c r="J65" s="165">
        <v>0</v>
      </c>
      <c r="K65" s="165">
        <v>0</v>
      </c>
      <c r="L65" s="165">
        <v>0</v>
      </c>
      <c r="M65" s="165">
        <v>0</v>
      </c>
      <c r="N65" s="165">
        <v>0</v>
      </c>
      <c r="O65" s="165">
        <v>0</v>
      </c>
      <c r="P65" s="165">
        <v>0</v>
      </c>
      <c r="Q65" s="165">
        <v>0</v>
      </c>
      <c r="R65" s="165">
        <v>0</v>
      </c>
      <c r="S65" s="166">
        <v>0</v>
      </c>
      <c r="T65" s="166">
        <v>0</v>
      </c>
      <c r="U65" s="166">
        <v>0</v>
      </c>
      <c r="V65" s="166">
        <v>0</v>
      </c>
      <c r="W65" s="166">
        <v>0</v>
      </c>
      <c r="X65" s="166">
        <v>0</v>
      </c>
      <c r="Y65" s="166">
        <v>0</v>
      </c>
      <c r="Z65" s="166">
        <v>0</v>
      </c>
      <c r="AA65" s="166">
        <v>0</v>
      </c>
      <c r="AB65" s="166">
        <v>0</v>
      </c>
      <c r="AC65" s="166">
        <v>0</v>
      </c>
      <c r="AD65" s="166">
        <v>0</v>
      </c>
      <c r="AE65" s="166">
        <v>0</v>
      </c>
      <c r="AF65" s="166">
        <v>0</v>
      </c>
      <c r="AG65" s="166">
        <v>0</v>
      </c>
      <c r="AH65" s="166">
        <v>0</v>
      </c>
      <c r="AI65" s="166">
        <v>0</v>
      </c>
      <c r="AJ65" s="166">
        <v>0</v>
      </c>
      <c r="AK65" s="166">
        <v>0</v>
      </c>
      <c r="AL65" s="166">
        <v>0</v>
      </c>
      <c r="AM65" s="166">
        <v>0</v>
      </c>
      <c r="AN65" s="166">
        <v>0</v>
      </c>
      <c r="AO65" s="166">
        <v>0</v>
      </c>
      <c r="AP65" s="166">
        <v>0</v>
      </c>
      <c r="AQ65" s="166">
        <v>0</v>
      </c>
      <c r="AR65" s="166">
        <v>0</v>
      </c>
      <c r="AS65" s="166">
        <v>0</v>
      </c>
      <c r="AT65" s="166">
        <v>0</v>
      </c>
      <c r="AU65" s="166">
        <v>0</v>
      </c>
      <c r="AV65" s="166">
        <v>0</v>
      </c>
      <c r="AW65" s="166">
        <v>0</v>
      </c>
      <c r="AX65" s="166">
        <v>0</v>
      </c>
      <c r="AY65" s="166">
        <v>0</v>
      </c>
      <c r="AZ65" s="166">
        <v>0</v>
      </c>
      <c r="BA65" s="166">
        <v>0</v>
      </c>
      <c r="BB65" s="166">
        <v>0</v>
      </c>
      <c r="BC65" s="166">
        <v>0</v>
      </c>
      <c r="BD65" s="166">
        <v>0</v>
      </c>
      <c r="BE65" s="166">
        <v>0</v>
      </c>
      <c r="BF65" s="166">
        <v>0</v>
      </c>
      <c r="BG65" s="166">
        <v>0</v>
      </c>
      <c r="BH65" s="166">
        <v>0</v>
      </c>
      <c r="BI65" s="166">
        <v>0</v>
      </c>
      <c r="BJ65" s="166">
        <v>0</v>
      </c>
      <c r="BK65" s="166">
        <v>0</v>
      </c>
      <c r="BL65" s="166">
        <v>0</v>
      </c>
      <c r="BM65" s="166">
        <v>0</v>
      </c>
      <c r="BN65" s="166">
        <v>0</v>
      </c>
      <c r="BO65" s="166">
        <v>0</v>
      </c>
      <c r="BP65" s="166">
        <v>0</v>
      </c>
      <c r="BQ65" s="166">
        <v>0</v>
      </c>
      <c r="BR65" s="166">
        <v>0</v>
      </c>
      <c r="BS65" s="166">
        <v>0</v>
      </c>
      <c r="BT65" s="166">
        <v>0</v>
      </c>
      <c r="BU65" s="166">
        <v>0</v>
      </c>
      <c r="BV65" s="166">
        <v>0</v>
      </c>
      <c r="BW65" s="166">
        <v>0</v>
      </c>
      <c r="BX65" s="166">
        <v>0</v>
      </c>
      <c r="BY65" s="166">
        <v>0</v>
      </c>
      <c r="BZ65" s="166">
        <v>0</v>
      </c>
      <c r="CA65" s="166">
        <v>0</v>
      </c>
      <c r="CB65" s="166">
        <v>0</v>
      </c>
      <c r="CC65" s="166">
        <v>0</v>
      </c>
      <c r="CD65" s="166">
        <v>0</v>
      </c>
      <c r="CE65" s="166">
        <v>0</v>
      </c>
      <c r="CF65" s="166">
        <v>0</v>
      </c>
      <c r="CG65" s="166">
        <v>0</v>
      </c>
      <c r="CH65" s="166">
        <v>0</v>
      </c>
      <c r="CI65" s="166">
        <v>0</v>
      </c>
      <c r="CJ65" s="166">
        <v>0</v>
      </c>
      <c r="CK65" s="166">
        <v>0</v>
      </c>
      <c r="CL65" s="166">
        <v>0</v>
      </c>
      <c r="CM65" s="166">
        <v>0</v>
      </c>
      <c r="CN65" s="166">
        <v>0</v>
      </c>
      <c r="CO65" s="166">
        <v>0</v>
      </c>
      <c r="CP65" s="166">
        <v>0</v>
      </c>
      <c r="CQ65" s="166">
        <v>0</v>
      </c>
      <c r="CR65" s="166">
        <v>0</v>
      </c>
      <c r="CS65" s="166">
        <v>0</v>
      </c>
      <c r="CT65" s="166">
        <v>0</v>
      </c>
      <c r="CU65" s="166">
        <v>0</v>
      </c>
      <c r="CV65" s="166">
        <v>0</v>
      </c>
      <c r="CW65" s="166">
        <v>0</v>
      </c>
      <c r="CX65" s="166">
        <v>0</v>
      </c>
      <c r="CY65" s="166">
        <v>0</v>
      </c>
      <c r="CZ65" s="166">
        <v>0</v>
      </c>
      <c r="DA65" s="166">
        <v>0</v>
      </c>
      <c r="DB65" s="166">
        <v>0</v>
      </c>
      <c r="DC65" s="166">
        <v>0</v>
      </c>
      <c r="DE65" s="46">
        <f t="shared" si="34"/>
        <v>0</v>
      </c>
      <c r="DF65" s="46">
        <f t="shared" si="16"/>
        <v>0</v>
      </c>
      <c r="DG65">
        <f t="shared" si="33"/>
        <v>21</v>
      </c>
      <c r="DH65">
        <v>0</v>
      </c>
    </row>
    <row r="66" spans="1:112" ht="14.4">
      <c r="A66" s="124">
        <v>54</v>
      </c>
      <c r="B66" s="5" t="str">
        <f>$B$56&amp;"L."</f>
        <v>E.2.L.</v>
      </c>
      <c r="C66" s="17" t="s">
        <v>16</v>
      </c>
      <c r="D66" s="5"/>
      <c r="E66" s="192">
        <v>0.21</v>
      </c>
      <c r="F66" s="35">
        <f>H66+NPV(FD,I66:INDEX(I66:DC66,PAL))</f>
        <v>0</v>
      </c>
      <c r="G66" s="35">
        <f>SUMIF($H$5:$DC$5,"&lt;="&amp;PAL,$H66:$DC66)</f>
        <v>0</v>
      </c>
      <c r="H66" s="165">
        <v>0</v>
      </c>
      <c r="I66" s="165">
        <v>0</v>
      </c>
      <c r="J66" s="165">
        <v>0</v>
      </c>
      <c r="K66" s="165">
        <v>0</v>
      </c>
      <c r="L66" s="165">
        <v>0</v>
      </c>
      <c r="M66" s="165">
        <v>0</v>
      </c>
      <c r="N66" s="165">
        <v>0</v>
      </c>
      <c r="O66" s="165">
        <v>0</v>
      </c>
      <c r="P66" s="165">
        <v>0</v>
      </c>
      <c r="Q66" s="165">
        <v>0</v>
      </c>
      <c r="R66" s="165">
        <v>0</v>
      </c>
      <c r="S66" s="165">
        <v>0</v>
      </c>
      <c r="T66" s="165">
        <v>0</v>
      </c>
      <c r="U66" s="165">
        <v>0</v>
      </c>
      <c r="V66" s="165">
        <v>0</v>
      </c>
      <c r="W66" s="165">
        <v>0</v>
      </c>
      <c r="X66" s="165">
        <v>0</v>
      </c>
      <c r="Y66" s="165">
        <v>0</v>
      </c>
      <c r="Z66" s="165">
        <v>0</v>
      </c>
      <c r="AA66" s="165">
        <v>0</v>
      </c>
      <c r="AB66" s="166">
        <v>0</v>
      </c>
      <c r="AC66" s="165">
        <v>0</v>
      </c>
      <c r="AD66" s="165">
        <v>0</v>
      </c>
      <c r="AE66" s="165">
        <v>0</v>
      </c>
      <c r="AF66" s="165">
        <v>0</v>
      </c>
      <c r="AG66" s="165">
        <v>0</v>
      </c>
      <c r="AH66" s="165">
        <v>0</v>
      </c>
      <c r="AI66" s="165">
        <v>0</v>
      </c>
      <c r="AJ66" s="165">
        <v>0</v>
      </c>
      <c r="AK66" s="165">
        <v>0</v>
      </c>
      <c r="AL66" s="166">
        <v>0</v>
      </c>
      <c r="AM66" s="165">
        <v>0</v>
      </c>
      <c r="AN66" s="165">
        <v>0</v>
      </c>
      <c r="AO66" s="165">
        <v>0</v>
      </c>
      <c r="AP66" s="165">
        <v>0</v>
      </c>
      <c r="AQ66" s="165">
        <v>0</v>
      </c>
      <c r="AR66" s="165">
        <v>0</v>
      </c>
      <c r="AS66" s="165">
        <v>0</v>
      </c>
      <c r="AT66" s="165">
        <v>0</v>
      </c>
      <c r="AU66" s="165">
        <v>0</v>
      </c>
      <c r="AV66" s="165">
        <v>0</v>
      </c>
      <c r="AW66" s="165">
        <v>0</v>
      </c>
      <c r="AX66" s="165">
        <v>0</v>
      </c>
      <c r="AY66" s="165">
        <v>0</v>
      </c>
      <c r="AZ66" s="165">
        <v>0</v>
      </c>
      <c r="BA66" s="165">
        <v>0</v>
      </c>
      <c r="BB66" s="165">
        <v>0</v>
      </c>
      <c r="BC66" s="165">
        <v>0</v>
      </c>
      <c r="BD66" s="165">
        <v>0</v>
      </c>
      <c r="BE66" s="165">
        <v>0</v>
      </c>
      <c r="BF66" s="165">
        <v>0</v>
      </c>
      <c r="BG66" s="165">
        <v>0</v>
      </c>
      <c r="BH66" s="165">
        <v>0</v>
      </c>
      <c r="BI66" s="165">
        <v>0</v>
      </c>
      <c r="BJ66" s="165">
        <v>0</v>
      </c>
      <c r="BK66" s="165">
        <v>0</v>
      </c>
      <c r="BL66" s="165">
        <v>0</v>
      </c>
      <c r="BM66" s="165">
        <v>0</v>
      </c>
      <c r="BN66" s="165">
        <v>0</v>
      </c>
      <c r="BO66" s="165">
        <v>0</v>
      </c>
      <c r="BP66" s="165">
        <v>0</v>
      </c>
      <c r="BQ66" s="165">
        <v>0</v>
      </c>
      <c r="BR66" s="165">
        <v>0</v>
      </c>
      <c r="BS66" s="165">
        <v>0</v>
      </c>
      <c r="BT66" s="165">
        <v>0</v>
      </c>
      <c r="BU66" s="165">
        <v>0</v>
      </c>
      <c r="BV66" s="165">
        <v>0</v>
      </c>
      <c r="BW66" s="165">
        <v>0</v>
      </c>
      <c r="BX66" s="165">
        <v>0</v>
      </c>
      <c r="BY66" s="165">
        <v>0</v>
      </c>
      <c r="BZ66" s="165">
        <v>0</v>
      </c>
      <c r="CA66" s="165">
        <v>0</v>
      </c>
      <c r="CB66" s="165">
        <v>0</v>
      </c>
      <c r="CC66" s="165">
        <v>0</v>
      </c>
      <c r="CD66" s="165">
        <v>0</v>
      </c>
      <c r="CE66" s="165">
        <v>0</v>
      </c>
      <c r="CF66" s="165">
        <v>0</v>
      </c>
      <c r="CG66" s="165">
        <v>0</v>
      </c>
      <c r="CH66" s="165">
        <v>0</v>
      </c>
      <c r="CI66" s="165">
        <v>0</v>
      </c>
      <c r="CJ66" s="165">
        <v>0</v>
      </c>
      <c r="CK66" s="165">
        <v>0</v>
      </c>
      <c r="CL66" s="165">
        <v>0</v>
      </c>
      <c r="CM66" s="165">
        <v>0</v>
      </c>
      <c r="CN66" s="165">
        <v>0</v>
      </c>
      <c r="CO66" s="165">
        <v>0</v>
      </c>
      <c r="CP66" s="165">
        <v>0</v>
      </c>
      <c r="CQ66" s="165">
        <v>0</v>
      </c>
      <c r="CR66" s="165">
        <v>0</v>
      </c>
      <c r="CS66" s="165">
        <v>0</v>
      </c>
      <c r="CT66" s="165">
        <v>0</v>
      </c>
      <c r="CU66" s="165">
        <v>0</v>
      </c>
      <c r="CV66" s="165">
        <v>0</v>
      </c>
      <c r="CW66" s="165">
        <v>0</v>
      </c>
      <c r="CX66" s="165">
        <v>0</v>
      </c>
      <c r="CY66" s="165">
        <v>0</v>
      </c>
      <c r="CZ66" s="165">
        <v>0</v>
      </c>
      <c r="DA66" s="165">
        <v>0</v>
      </c>
      <c r="DB66" s="165">
        <v>0</v>
      </c>
      <c r="DC66" s="166">
        <v>0</v>
      </c>
      <c r="DE66" s="46">
        <f t="shared" si="34"/>
        <v>0</v>
      </c>
      <c r="DF66" s="46">
        <f t="shared" si="16"/>
        <v>0</v>
      </c>
      <c r="DG66">
        <f t="shared" si="33"/>
        <v>21</v>
      </c>
      <c r="DH66">
        <f>DG66/(100+DG66)</f>
        <v>0.17355371900826447</v>
      </c>
    </row>
    <row r="67" spans="1:112" ht="14.4">
      <c r="A67" s="124">
        <v>55</v>
      </c>
      <c r="B67" s="5" t="s">
        <v>37</v>
      </c>
      <c r="C67" s="15" t="s">
        <v>208</v>
      </c>
      <c r="D67" s="3"/>
      <c r="E67" s="3"/>
      <c r="F67" s="11">
        <f>SUM(F68:F75)+F76</f>
        <v>0</v>
      </c>
      <c r="G67" s="35">
        <f>SUMIF($H$5:$DC$5,"&lt;="&amp;PAL,$H67:$DC67)</f>
        <v>0</v>
      </c>
      <c r="H67" s="11">
        <f>SUM(H68:H75)+H76</f>
        <v>0</v>
      </c>
      <c r="I67" s="11">
        <f t="shared" ref="I67:BT67" si="35">SUM(I68:I75)+I76</f>
        <v>0</v>
      </c>
      <c r="J67" s="11">
        <f t="shared" si="35"/>
        <v>0</v>
      </c>
      <c r="K67" s="11">
        <f t="shared" si="35"/>
        <v>0</v>
      </c>
      <c r="L67" s="11">
        <f t="shared" si="35"/>
        <v>0</v>
      </c>
      <c r="M67" s="11">
        <f t="shared" si="35"/>
        <v>0</v>
      </c>
      <c r="N67" s="11">
        <f t="shared" si="35"/>
        <v>0</v>
      </c>
      <c r="O67" s="11">
        <f t="shared" si="35"/>
        <v>0</v>
      </c>
      <c r="P67" s="11">
        <f t="shared" si="35"/>
        <v>0</v>
      </c>
      <c r="Q67" s="11">
        <f t="shared" si="35"/>
        <v>0</v>
      </c>
      <c r="R67" s="11">
        <f t="shared" si="35"/>
        <v>0</v>
      </c>
      <c r="S67" s="11">
        <f t="shared" si="35"/>
        <v>0</v>
      </c>
      <c r="T67" s="11">
        <f t="shared" si="35"/>
        <v>0</v>
      </c>
      <c r="U67" s="11">
        <f t="shared" si="35"/>
        <v>0</v>
      </c>
      <c r="V67" s="11">
        <f t="shared" si="35"/>
        <v>0</v>
      </c>
      <c r="W67" s="11">
        <f t="shared" si="35"/>
        <v>0</v>
      </c>
      <c r="X67" s="11">
        <f t="shared" si="35"/>
        <v>0</v>
      </c>
      <c r="Y67" s="11">
        <f t="shared" si="35"/>
        <v>0</v>
      </c>
      <c r="Z67" s="11">
        <f t="shared" si="35"/>
        <v>0</v>
      </c>
      <c r="AA67" s="11">
        <f t="shared" si="35"/>
        <v>0</v>
      </c>
      <c r="AB67" s="11">
        <f t="shared" si="35"/>
        <v>0</v>
      </c>
      <c r="AC67" s="11">
        <f t="shared" si="35"/>
        <v>0</v>
      </c>
      <c r="AD67" s="11">
        <f t="shared" si="35"/>
        <v>0</v>
      </c>
      <c r="AE67" s="11">
        <f t="shared" si="35"/>
        <v>0</v>
      </c>
      <c r="AF67" s="11">
        <f t="shared" si="35"/>
        <v>0</v>
      </c>
      <c r="AG67" s="11">
        <f t="shared" si="35"/>
        <v>0</v>
      </c>
      <c r="AH67" s="11">
        <f t="shared" si="35"/>
        <v>0</v>
      </c>
      <c r="AI67" s="11">
        <f t="shared" si="35"/>
        <v>0</v>
      </c>
      <c r="AJ67" s="11">
        <f t="shared" si="35"/>
        <v>0</v>
      </c>
      <c r="AK67" s="11">
        <f t="shared" si="35"/>
        <v>0</v>
      </c>
      <c r="AL67" s="11">
        <f t="shared" si="35"/>
        <v>0</v>
      </c>
      <c r="AM67" s="11">
        <f t="shared" si="35"/>
        <v>0</v>
      </c>
      <c r="AN67" s="11">
        <f t="shared" si="35"/>
        <v>0</v>
      </c>
      <c r="AO67" s="11">
        <f t="shared" si="35"/>
        <v>0</v>
      </c>
      <c r="AP67" s="11">
        <f t="shared" si="35"/>
        <v>0</v>
      </c>
      <c r="AQ67" s="11">
        <f t="shared" si="35"/>
        <v>0</v>
      </c>
      <c r="AR67" s="11">
        <f t="shared" si="35"/>
        <v>0</v>
      </c>
      <c r="AS67" s="11">
        <f t="shared" si="35"/>
        <v>0</v>
      </c>
      <c r="AT67" s="11">
        <f t="shared" si="35"/>
        <v>0</v>
      </c>
      <c r="AU67" s="11">
        <f t="shared" si="35"/>
        <v>0</v>
      </c>
      <c r="AV67" s="11">
        <f t="shared" si="35"/>
        <v>0</v>
      </c>
      <c r="AW67" s="11">
        <f t="shared" si="35"/>
        <v>0</v>
      </c>
      <c r="AX67" s="11">
        <f t="shared" si="35"/>
        <v>0</v>
      </c>
      <c r="AY67" s="11">
        <f t="shared" si="35"/>
        <v>0</v>
      </c>
      <c r="AZ67" s="11">
        <f t="shared" si="35"/>
        <v>0</v>
      </c>
      <c r="BA67" s="11">
        <f t="shared" si="35"/>
        <v>0</v>
      </c>
      <c r="BB67" s="11">
        <f t="shared" si="35"/>
        <v>0</v>
      </c>
      <c r="BC67" s="11">
        <f t="shared" si="35"/>
        <v>0</v>
      </c>
      <c r="BD67" s="11">
        <f t="shared" si="35"/>
        <v>0</v>
      </c>
      <c r="BE67" s="11">
        <f t="shared" si="35"/>
        <v>0</v>
      </c>
      <c r="BF67" s="11">
        <f t="shared" si="35"/>
        <v>0</v>
      </c>
      <c r="BG67" s="11">
        <f t="shared" si="35"/>
        <v>0</v>
      </c>
      <c r="BH67" s="11">
        <f t="shared" si="35"/>
        <v>0</v>
      </c>
      <c r="BI67" s="11">
        <f t="shared" si="35"/>
        <v>0</v>
      </c>
      <c r="BJ67" s="11">
        <f t="shared" si="35"/>
        <v>0</v>
      </c>
      <c r="BK67" s="11">
        <f t="shared" si="35"/>
        <v>0</v>
      </c>
      <c r="BL67" s="11">
        <f t="shared" si="35"/>
        <v>0</v>
      </c>
      <c r="BM67" s="11">
        <f t="shared" si="35"/>
        <v>0</v>
      </c>
      <c r="BN67" s="11">
        <f t="shared" si="35"/>
        <v>0</v>
      </c>
      <c r="BO67" s="11">
        <f t="shared" si="35"/>
        <v>0</v>
      </c>
      <c r="BP67" s="11">
        <f t="shared" si="35"/>
        <v>0</v>
      </c>
      <c r="BQ67" s="11">
        <f t="shared" si="35"/>
        <v>0</v>
      </c>
      <c r="BR67" s="11">
        <f t="shared" si="35"/>
        <v>0</v>
      </c>
      <c r="BS67" s="11">
        <f t="shared" si="35"/>
        <v>0</v>
      </c>
      <c r="BT67" s="11">
        <f t="shared" si="35"/>
        <v>0</v>
      </c>
      <c r="BU67" s="11">
        <f t="shared" ref="BU67:DC67" si="36">SUM(BU68:BU75)+BU76</f>
        <v>0</v>
      </c>
      <c r="BV67" s="11">
        <f t="shared" si="36"/>
        <v>0</v>
      </c>
      <c r="BW67" s="11">
        <f t="shared" si="36"/>
        <v>0</v>
      </c>
      <c r="BX67" s="11">
        <f t="shared" si="36"/>
        <v>0</v>
      </c>
      <c r="BY67" s="11">
        <f t="shared" si="36"/>
        <v>0</v>
      </c>
      <c r="BZ67" s="11">
        <f t="shared" si="36"/>
        <v>0</v>
      </c>
      <c r="CA67" s="11">
        <f t="shared" si="36"/>
        <v>0</v>
      </c>
      <c r="CB67" s="11">
        <f t="shared" si="36"/>
        <v>0</v>
      </c>
      <c r="CC67" s="11">
        <f t="shared" si="36"/>
        <v>0</v>
      </c>
      <c r="CD67" s="11">
        <f t="shared" si="36"/>
        <v>0</v>
      </c>
      <c r="CE67" s="11">
        <f t="shared" si="36"/>
        <v>0</v>
      </c>
      <c r="CF67" s="11">
        <f t="shared" si="36"/>
        <v>0</v>
      </c>
      <c r="CG67" s="11">
        <f t="shared" si="36"/>
        <v>0</v>
      </c>
      <c r="CH67" s="11">
        <f t="shared" si="36"/>
        <v>0</v>
      </c>
      <c r="CI67" s="11">
        <f t="shared" si="36"/>
        <v>0</v>
      </c>
      <c r="CJ67" s="11">
        <f t="shared" si="36"/>
        <v>0</v>
      </c>
      <c r="CK67" s="11">
        <f t="shared" si="36"/>
        <v>0</v>
      </c>
      <c r="CL67" s="11">
        <f t="shared" si="36"/>
        <v>0</v>
      </c>
      <c r="CM67" s="11">
        <f t="shared" si="36"/>
        <v>0</v>
      </c>
      <c r="CN67" s="11">
        <f t="shared" si="36"/>
        <v>0</v>
      </c>
      <c r="CO67" s="11">
        <f t="shared" si="36"/>
        <v>0</v>
      </c>
      <c r="CP67" s="11">
        <f t="shared" si="36"/>
        <v>0</v>
      </c>
      <c r="CQ67" s="11">
        <f t="shared" si="36"/>
        <v>0</v>
      </c>
      <c r="CR67" s="11">
        <f t="shared" si="36"/>
        <v>0</v>
      </c>
      <c r="CS67" s="11">
        <f t="shared" si="36"/>
        <v>0</v>
      </c>
      <c r="CT67" s="11">
        <f t="shared" si="36"/>
        <v>0</v>
      </c>
      <c r="CU67" s="11">
        <f t="shared" si="36"/>
        <v>0</v>
      </c>
      <c r="CV67" s="11">
        <f t="shared" si="36"/>
        <v>0</v>
      </c>
      <c r="CW67" s="11">
        <f t="shared" si="36"/>
        <v>0</v>
      </c>
      <c r="CX67" s="11">
        <f t="shared" si="36"/>
        <v>0</v>
      </c>
      <c r="CY67" s="11">
        <f t="shared" si="36"/>
        <v>0</v>
      </c>
      <c r="CZ67" s="11">
        <f t="shared" si="36"/>
        <v>0</v>
      </c>
      <c r="DA67" s="11">
        <f t="shared" si="36"/>
        <v>0</v>
      </c>
      <c r="DB67" s="11">
        <f t="shared" si="36"/>
        <v>0</v>
      </c>
      <c r="DC67" s="11">
        <f t="shared" si="36"/>
        <v>0</v>
      </c>
      <c r="DF67" s="46">
        <f t="shared" si="16"/>
        <v>0</v>
      </c>
    </row>
    <row r="68" spans="1:112" ht="14.4">
      <c r="A68" s="124">
        <v>56</v>
      </c>
      <c r="B68" s="5" t="str">
        <f>$B$67&amp;"1."</f>
        <v>E.3.1.</v>
      </c>
      <c r="C68" s="164" t="s">
        <v>42</v>
      </c>
      <c r="D68" s="6"/>
      <c r="E68" s="192">
        <v>0.21</v>
      </c>
      <c r="F68" s="35">
        <f>H68+NPV(FD,I68:INDEX(I68:DC68,PAL))</f>
        <v>0</v>
      </c>
      <c r="G68" s="35">
        <f>SUMIF($H$5:$DC$5,"&lt;="&amp;PAL,$H68:$DC68)</f>
        <v>0</v>
      </c>
      <c r="H68" s="38">
        <v>0</v>
      </c>
      <c r="I68" s="38">
        <v>0</v>
      </c>
      <c r="J68" s="38">
        <v>0</v>
      </c>
      <c r="K68" s="38">
        <v>0</v>
      </c>
      <c r="L68" s="38">
        <v>0</v>
      </c>
      <c r="M68" s="38">
        <v>0</v>
      </c>
      <c r="N68" s="38">
        <v>0</v>
      </c>
      <c r="O68" s="38">
        <v>0</v>
      </c>
      <c r="P68" s="38">
        <v>0</v>
      </c>
      <c r="Q68" s="38">
        <v>0</v>
      </c>
      <c r="R68" s="38">
        <v>0</v>
      </c>
      <c r="S68" s="38">
        <v>0</v>
      </c>
      <c r="T68" s="38">
        <v>0</v>
      </c>
      <c r="U68" s="38">
        <v>0</v>
      </c>
      <c r="V68" s="38">
        <v>0</v>
      </c>
      <c r="W68" s="38">
        <v>0</v>
      </c>
      <c r="X68" s="38">
        <v>0</v>
      </c>
      <c r="Y68" s="38">
        <v>0</v>
      </c>
      <c r="Z68" s="38">
        <v>0</v>
      </c>
      <c r="AA68" s="38">
        <v>0</v>
      </c>
      <c r="AB68" s="38">
        <v>0</v>
      </c>
      <c r="AC68" s="38">
        <v>0</v>
      </c>
      <c r="AD68" s="38">
        <v>0</v>
      </c>
      <c r="AE68" s="38">
        <v>0</v>
      </c>
      <c r="AF68" s="38">
        <v>0</v>
      </c>
      <c r="AG68" s="38">
        <v>0</v>
      </c>
      <c r="AH68" s="38">
        <v>0</v>
      </c>
      <c r="AI68" s="38">
        <v>0</v>
      </c>
      <c r="AJ68" s="38">
        <v>0</v>
      </c>
      <c r="AK68" s="38">
        <v>0</v>
      </c>
      <c r="AL68" s="38">
        <v>0</v>
      </c>
      <c r="AM68" s="38">
        <v>0</v>
      </c>
      <c r="AN68" s="38">
        <v>0</v>
      </c>
      <c r="AO68" s="38">
        <v>0</v>
      </c>
      <c r="AP68" s="38">
        <v>0</v>
      </c>
      <c r="AQ68" s="38">
        <v>0</v>
      </c>
      <c r="AR68" s="38">
        <v>0</v>
      </c>
      <c r="AS68" s="38">
        <v>0</v>
      </c>
      <c r="AT68" s="38">
        <v>0</v>
      </c>
      <c r="AU68" s="38">
        <v>0</v>
      </c>
      <c r="AV68" s="38">
        <v>0</v>
      </c>
      <c r="AW68" s="38">
        <v>0</v>
      </c>
      <c r="AX68" s="38">
        <v>0</v>
      </c>
      <c r="AY68" s="38">
        <v>0</v>
      </c>
      <c r="AZ68" s="38">
        <v>0</v>
      </c>
      <c r="BA68" s="38">
        <v>0</v>
      </c>
      <c r="BB68" s="38">
        <v>0</v>
      </c>
      <c r="BC68" s="38">
        <v>0</v>
      </c>
      <c r="BD68" s="38">
        <v>0</v>
      </c>
      <c r="BE68" s="38">
        <v>0</v>
      </c>
      <c r="BF68" s="38">
        <v>0</v>
      </c>
      <c r="BG68" s="38">
        <v>0</v>
      </c>
      <c r="BH68" s="38">
        <v>0</v>
      </c>
      <c r="BI68" s="38">
        <v>0</v>
      </c>
      <c r="BJ68" s="38">
        <v>0</v>
      </c>
      <c r="BK68" s="38">
        <v>0</v>
      </c>
      <c r="BL68" s="38">
        <v>0</v>
      </c>
      <c r="BM68" s="38">
        <v>0</v>
      </c>
      <c r="BN68" s="38">
        <v>0</v>
      </c>
      <c r="BO68" s="38">
        <v>0</v>
      </c>
      <c r="BP68" s="38">
        <v>0</v>
      </c>
      <c r="BQ68" s="38">
        <v>0</v>
      </c>
      <c r="BR68" s="38">
        <v>0</v>
      </c>
      <c r="BS68" s="38">
        <v>0</v>
      </c>
      <c r="BT68" s="38">
        <v>0</v>
      </c>
      <c r="BU68" s="38">
        <v>0</v>
      </c>
      <c r="BV68" s="38">
        <v>0</v>
      </c>
      <c r="BW68" s="38">
        <v>0</v>
      </c>
      <c r="BX68" s="38">
        <v>0</v>
      </c>
      <c r="BY68" s="38">
        <v>0</v>
      </c>
      <c r="BZ68" s="38">
        <v>0</v>
      </c>
      <c r="CA68" s="38">
        <v>0</v>
      </c>
      <c r="CB68" s="38">
        <v>0</v>
      </c>
      <c r="CC68" s="38">
        <v>0</v>
      </c>
      <c r="CD68" s="38">
        <v>0</v>
      </c>
      <c r="CE68" s="38">
        <v>0</v>
      </c>
      <c r="CF68" s="38">
        <v>0</v>
      </c>
      <c r="CG68" s="38">
        <v>0</v>
      </c>
      <c r="CH68" s="38">
        <v>0</v>
      </c>
      <c r="CI68" s="38">
        <v>0</v>
      </c>
      <c r="CJ68" s="38">
        <v>0</v>
      </c>
      <c r="CK68" s="38">
        <v>0</v>
      </c>
      <c r="CL68" s="38">
        <v>0</v>
      </c>
      <c r="CM68" s="38">
        <v>0</v>
      </c>
      <c r="CN68" s="38">
        <v>0</v>
      </c>
      <c r="CO68" s="38">
        <v>0</v>
      </c>
      <c r="CP68" s="38">
        <v>0</v>
      </c>
      <c r="CQ68" s="38">
        <v>0</v>
      </c>
      <c r="CR68" s="38">
        <v>0</v>
      </c>
      <c r="CS68" s="38">
        <v>0</v>
      </c>
      <c r="CT68" s="38">
        <v>0</v>
      </c>
      <c r="CU68" s="38">
        <v>0</v>
      </c>
      <c r="CV68" s="38">
        <v>0</v>
      </c>
      <c r="CW68" s="38">
        <v>0</v>
      </c>
      <c r="CX68" s="38">
        <v>0</v>
      </c>
      <c r="CY68" s="38">
        <v>0</v>
      </c>
      <c r="CZ68" s="38">
        <v>0</v>
      </c>
      <c r="DA68" s="38">
        <v>0</v>
      </c>
      <c r="DB68" s="38">
        <v>0</v>
      </c>
      <c r="DC68" s="38">
        <v>0</v>
      </c>
      <c r="DE68" s="46">
        <f>COUNTBLANK(H68:DC68)</f>
        <v>0</v>
      </c>
      <c r="DF68" s="46">
        <f t="shared" si="16"/>
        <v>0</v>
      </c>
      <c r="DG68">
        <f t="shared" ref="DG68:DG77" si="37">IF(ISNUMBER(E68),E68*100,0)</f>
        <v>21</v>
      </c>
      <c r="DH68">
        <v>0</v>
      </c>
    </row>
    <row r="69" spans="1:112" ht="14.4">
      <c r="A69" s="124">
        <v>57</v>
      </c>
      <c r="B69" s="5" t="str">
        <f>$B$67&amp;"2."</f>
        <v>E.3.2.</v>
      </c>
      <c r="C69" s="164" t="s">
        <v>42</v>
      </c>
      <c r="D69" s="6"/>
      <c r="E69" s="192">
        <v>0.21</v>
      </c>
      <c r="F69" s="35">
        <f>H69+NPV(FD,I69:INDEX(I69:DC69,PAL))</f>
        <v>0</v>
      </c>
      <c r="G69" s="35">
        <f>SUMIF($H$5:$DC$5,"&lt;="&amp;PAL,$H69:$DC69)</f>
        <v>0</v>
      </c>
      <c r="H69" s="38">
        <v>0</v>
      </c>
      <c r="I69" s="38">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0</v>
      </c>
      <c r="AG69" s="38">
        <v>0</v>
      </c>
      <c r="AH69" s="38">
        <v>0</v>
      </c>
      <c r="AI69" s="38">
        <v>0</v>
      </c>
      <c r="AJ69" s="38">
        <v>0</v>
      </c>
      <c r="AK69" s="38">
        <v>0</v>
      </c>
      <c r="AL69" s="38">
        <v>0</v>
      </c>
      <c r="AM69" s="38">
        <v>0</v>
      </c>
      <c r="AN69" s="38">
        <v>0</v>
      </c>
      <c r="AO69" s="38">
        <v>0</v>
      </c>
      <c r="AP69" s="38">
        <v>0</v>
      </c>
      <c r="AQ69" s="38">
        <v>0</v>
      </c>
      <c r="AR69" s="38">
        <v>0</v>
      </c>
      <c r="AS69" s="38">
        <v>0</v>
      </c>
      <c r="AT69" s="38">
        <v>0</v>
      </c>
      <c r="AU69" s="38">
        <v>0</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0</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E69" s="46">
        <f t="shared" ref="DE69:DE77" si="38">COUNTBLANK(H69:DC69)</f>
        <v>0</v>
      </c>
      <c r="DF69" s="46">
        <f t="shared" si="16"/>
        <v>0</v>
      </c>
      <c r="DG69">
        <f t="shared" si="37"/>
        <v>21</v>
      </c>
      <c r="DH69">
        <v>0</v>
      </c>
    </row>
    <row r="70" spans="1:112" ht="14.4">
      <c r="A70" s="124">
        <v>58</v>
      </c>
      <c r="B70" s="5" t="str">
        <f>$B$67&amp;"3."</f>
        <v>E.3.3.</v>
      </c>
      <c r="C70" s="164" t="s">
        <v>42</v>
      </c>
      <c r="D70" s="6"/>
      <c r="E70" s="192">
        <v>0.21</v>
      </c>
      <c r="F70" s="35">
        <f>H70+NPV(FD,I70:INDEX(I70:DC70,PAL))</f>
        <v>0</v>
      </c>
      <c r="G70" s="35">
        <f>SUMIF($H$5:$DC$5,"&lt;="&amp;PAL,$H70:$DC70)</f>
        <v>0</v>
      </c>
      <c r="H70" s="38">
        <v>0</v>
      </c>
      <c r="I70" s="38">
        <v>0</v>
      </c>
      <c r="J70" s="38">
        <v>0</v>
      </c>
      <c r="K70" s="38">
        <v>0</v>
      </c>
      <c r="L70" s="38">
        <v>0</v>
      </c>
      <c r="M70" s="38">
        <v>0</v>
      </c>
      <c r="N70" s="38">
        <v>0</v>
      </c>
      <c r="O70" s="38">
        <v>0</v>
      </c>
      <c r="P70" s="38">
        <v>0</v>
      </c>
      <c r="Q70" s="38">
        <v>0</v>
      </c>
      <c r="R70" s="38">
        <v>0</v>
      </c>
      <c r="S70" s="38">
        <v>0</v>
      </c>
      <c r="T70" s="38">
        <v>0</v>
      </c>
      <c r="U70" s="38">
        <v>0</v>
      </c>
      <c r="V70" s="38">
        <v>0</v>
      </c>
      <c r="W70" s="38">
        <v>0</v>
      </c>
      <c r="X70" s="38">
        <v>0</v>
      </c>
      <c r="Y70" s="38">
        <v>0</v>
      </c>
      <c r="Z70" s="38">
        <v>0</v>
      </c>
      <c r="AA70" s="38">
        <v>0</v>
      </c>
      <c r="AB70" s="38">
        <v>0</v>
      </c>
      <c r="AC70" s="38">
        <v>0</v>
      </c>
      <c r="AD70" s="38">
        <v>0</v>
      </c>
      <c r="AE70" s="38">
        <v>0</v>
      </c>
      <c r="AF70" s="38">
        <v>0</v>
      </c>
      <c r="AG70" s="38">
        <v>0</v>
      </c>
      <c r="AH70" s="38">
        <v>0</v>
      </c>
      <c r="AI70" s="38">
        <v>0</v>
      </c>
      <c r="AJ70" s="38">
        <v>0</v>
      </c>
      <c r="AK70" s="38">
        <v>0</v>
      </c>
      <c r="AL70" s="38">
        <v>0</v>
      </c>
      <c r="AM70" s="38">
        <v>0</v>
      </c>
      <c r="AN70" s="38">
        <v>0</v>
      </c>
      <c r="AO70" s="38">
        <v>0</v>
      </c>
      <c r="AP70" s="38">
        <v>0</v>
      </c>
      <c r="AQ70" s="38">
        <v>0</v>
      </c>
      <c r="AR70" s="38">
        <v>0</v>
      </c>
      <c r="AS70" s="38">
        <v>0</v>
      </c>
      <c r="AT70" s="38">
        <v>0</v>
      </c>
      <c r="AU70" s="38">
        <v>0</v>
      </c>
      <c r="AV70" s="38">
        <v>0</v>
      </c>
      <c r="AW70" s="38">
        <v>0</v>
      </c>
      <c r="AX70" s="38">
        <v>0</v>
      </c>
      <c r="AY70" s="38">
        <v>0</v>
      </c>
      <c r="AZ70" s="38">
        <v>0</v>
      </c>
      <c r="BA70" s="38">
        <v>0</v>
      </c>
      <c r="BB70" s="38">
        <v>0</v>
      </c>
      <c r="BC70" s="38">
        <v>0</v>
      </c>
      <c r="BD70" s="38">
        <v>0</v>
      </c>
      <c r="BE70" s="38">
        <v>0</v>
      </c>
      <c r="BF70" s="38">
        <v>0</v>
      </c>
      <c r="BG70" s="38">
        <v>0</v>
      </c>
      <c r="BH70" s="38">
        <v>0</v>
      </c>
      <c r="BI70" s="38">
        <v>0</v>
      </c>
      <c r="BJ70" s="38">
        <v>0</v>
      </c>
      <c r="BK70" s="38">
        <v>0</v>
      </c>
      <c r="BL70" s="38">
        <v>0</v>
      </c>
      <c r="BM70" s="38">
        <v>0</v>
      </c>
      <c r="BN70" s="38">
        <v>0</v>
      </c>
      <c r="BO70" s="38">
        <v>0</v>
      </c>
      <c r="BP70" s="38">
        <v>0</v>
      </c>
      <c r="BQ70" s="38">
        <v>0</v>
      </c>
      <c r="BR70" s="38">
        <v>0</v>
      </c>
      <c r="BS70" s="38">
        <v>0</v>
      </c>
      <c r="BT70" s="38">
        <v>0</v>
      </c>
      <c r="BU70" s="38">
        <v>0</v>
      </c>
      <c r="BV70" s="38">
        <v>0</v>
      </c>
      <c r="BW70" s="38">
        <v>0</v>
      </c>
      <c r="BX70" s="38">
        <v>0</v>
      </c>
      <c r="BY70" s="38">
        <v>0</v>
      </c>
      <c r="BZ70" s="38">
        <v>0</v>
      </c>
      <c r="CA70" s="38">
        <v>0</v>
      </c>
      <c r="CB70" s="38">
        <v>0</v>
      </c>
      <c r="CC70" s="38">
        <v>0</v>
      </c>
      <c r="CD70" s="38">
        <v>0</v>
      </c>
      <c r="CE70" s="38">
        <v>0</v>
      </c>
      <c r="CF70" s="38">
        <v>0</v>
      </c>
      <c r="CG70" s="38">
        <v>0</v>
      </c>
      <c r="CH70" s="38">
        <v>0</v>
      </c>
      <c r="CI70" s="38">
        <v>0</v>
      </c>
      <c r="CJ70" s="38">
        <v>0</v>
      </c>
      <c r="CK70" s="38">
        <v>0</v>
      </c>
      <c r="CL70" s="38">
        <v>0</v>
      </c>
      <c r="CM70" s="38">
        <v>0</v>
      </c>
      <c r="CN70" s="38">
        <v>0</v>
      </c>
      <c r="CO70" s="38">
        <v>0</v>
      </c>
      <c r="CP70" s="38">
        <v>0</v>
      </c>
      <c r="CQ70" s="38">
        <v>0</v>
      </c>
      <c r="CR70" s="38">
        <v>0</v>
      </c>
      <c r="CS70" s="38">
        <v>0</v>
      </c>
      <c r="CT70" s="38">
        <v>0</v>
      </c>
      <c r="CU70" s="38">
        <v>0</v>
      </c>
      <c r="CV70" s="38">
        <v>0</v>
      </c>
      <c r="CW70" s="38">
        <v>0</v>
      </c>
      <c r="CX70" s="38">
        <v>0</v>
      </c>
      <c r="CY70" s="38">
        <v>0</v>
      </c>
      <c r="CZ70" s="38">
        <v>0</v>
      </c>
      <c r="DA70" s="38">
        <v>0</v>
      </c>
      <c r="DB70" s="38">
        <v>0</v>
      </c>
      <c r="DC70" s="38">
        <v>0</v>
      </c>
      <c r="DE70" s="46">
        <f t="shared" si="38"/>
        <v>0</v>
      </c>
      <c r="DF70" s="46">
        <f t="shared" si="16"/>
        <v>0</v>
      </c>
      <c r="DG70">
        <f t="shared" si="37"/>
        <v>21</v>
      </c>
      <c r="DH70">
        <v>0</v>
      </c>
    </row>
    <row r="71" spans="1:112" ht="14.4">
      <c r="A71" s="124">
        <v>59</v>
      </c>
      <c r="B71" s="5" t="str">
        <f>$B$67&amp;"4."</f>
        <v>E.3.4.</v>
      </c>
      <c r="C71" s="164" t="s">
        <v>42</v>
      </c>
      <c r="D71" s="6"/>
      <c r="E71" s="192">
        <v>0.21</v>
      </c>
      <c r="F71" s="35">
        <f>H71+NPV(FD,I71:INDEX(I71:DC71,PAL))</f>
        <v>0</v>
      </c>
      <c r="G71" s="35">
        <f>SUMIF($H$5:$DC$5,"&lt;="&amp;PAL,$H71:$DC71)</f>
        <v>0</v>
      </c>
      <c r="H71" s="38">
        <v>0</v>
      </c>
      <c r="I71" s="38">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0</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0</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0</v>
      </c>
      <c r="CQ71" s="38">
        <v>0</v>
      </c>
      <c r="CR71" s="38">
        <v>0</v>
      </c>
      <c r="CS71" s="38">
        <v>0</v>
      </c>
      <c r="CT71" s="38">
        <v>0</v>
      </c>
      <c r="CU71" s="38">
        <v>0</v>
      </c>
      <c r="CV71" s="38">
        <v>0</v>
      </c>
      <c r="CW71" s="38">
        <v>0</v>
      </c>
      <c r="CX71" s="38">
        <v>0</v>
      </c>
      <c r="CY71" s="38">
        <v>0</v>
      </c>
      <c r="CZ71" s="38">
        <v>0</v>
      </c>
      <c r="DA71" s="38">
        <v>0</v>
      </c>
      <c r="DB71" s="38">
        <v>0</v>
      </c>
      <c r="DC71" s="38">
        <v>0</v>
      </c>
      <c r="DE71" s="46">
        <f t="shared" si="38"/>
        <v>0</v>
      </c>
      <c r="DF71" s="46">
        <f t="shared" si="16"/>
        <v>0</v>
      </c>
      <c r="DG71">
        <f t="shared" si="37"/>
        <v>21</v>
      </c>
      <c r="DH71">
        <v>0</v>
      </c>
    </row>
    <row r="72" spans="1:112" ht="14.4">
      <c r="A72" s="124">
        <v>60</v>
      </c>
      <c r="B72" s="5" t="str">
        <f>$B$67&amp;"5."</f>
        <v>E.3.5.</v>
      </c>
      <c r="C72" s="164" t="s">
        <v>42</v>
      </c>
      <c r="D72" s="6"/>
      <c r="E72" s="192">
        <v>0.21</v>
      </c>
      <c r="F72" s="35">
        <f>H72+NPV(FD,I72:INDEX(I72:DC72,PAL))</f>
        <v>0</v>
      </c>
      <c r="G72" s="35">
        <f>SUMIF($H$5:$DC$5,"&lt;="&amp;PAL,$H72:$DC72)</f>
        <v>0</v>
      </c>
      <c r="H72" s="38">
        <v>0</v>
      </c>
      <c r="I72" s="38">
        <v>0</v>
      </c>
      <c r="J72" s="38">
        <v>0</v>
      </c>
      <c r="K72" s="38">
        <v>0</v>
      </c>
      <c r="L72" s="38">
        <v>0</v>
      </c>
      <c r="M72" s="38">
        <v>0</v>
      </c>
      <c r="N72" s="38">
        <v>0</v>
      </c>
      <c r="O72" s="38">
        <v>0</v>
      </c>
      <c r="P72" s="38">
        <v>0</v>
      </c>
      <c r="Q72" s="38">
        <v>0</v>
      </c>
      <c r="R72" s="38">
        <v>0</v>
      </c>
      <c r="S72" s="38">
        <v>0</v>
      </c>
      <c r="T72" s="38">
        <v>0</v>
      </c>
      <c r="U72" s="38">
        <v>0</v>
      </c>
      <c r="V72" s="38">
        <v>0</v>
      </c>
      <c r="W72" s="38">
        <v>0</v>
      </c>
      <c r="X72" s="38">
        <v>0</v>
      </c>
      <c r="Y72" s="38">
        <v>0</v>
      </c>
      <c r="Z72" s="38">
        <v>0</v>
      </c>
      <c r="AA72" s="38">
        <v>0</v>
      </c>
      <c r="AB72" s="38">
        <v>0</v>
      </c>
      <c r="AC72" s="38">
        <v>0</v>
      </c>
      <c r="AD72" s="38">
        <v>0</v>
      </c>
      <c r="AE72" s="38">
        <v>0</v>
      </c>
      <c r="AF72" s="38">
        <v>0</v>
      </c>
      <c r="AG72" s="38">
        <v>0</v>
      </c>
      <c r="AH72" s="38">
        <v>0</v>
      </c>
      <c r="AI72" s="38">
        <v>0</v>
      </c>
      <c r="AJ72" s="38">
        <v>0</v>
      </c>
      <c r="AK72" s="38">
        <v>0</v>
      </c>
      <c r="AL72" s="38">
        <v>0</v>
      </c>
      <c r="AM72" s="38">
        <v>0</v>
      </c>
      <c r="AN72" s="38">
        <v>0</v>
      </c>
      <c r="AO72" s="38">
        <v>0</v>
      </c>
      <c r="AP72" s="38">
        <v>0</v>
      </c>
      <c r="AQ72" s="38">
        <v>0</v>
      </c>
      <c r="AR72" s="38">
        <v>0</v>
      </c>
      <c r="AS72" s="38">
        <v>0</v>
      </c>
      <c r="AT72" s="38">
        <v>0</v>
      </c>
      <c r="AU72" s="38">
        <v>0</v>
      </c>
      <c r="AV72" s="38">
        <v>0</v>
      </c>
      <c r="AW72" s="38">
        <v>0</v>
      </c>
      <c r="AX72" s="38">
        <v>0</v>
      </c>
      <c r="AY72" s="38">
        <v>0</v>
      </c>
      <c r="AZ72" s="38">
        <v>0</v>
      </c>
      <c r="BA72" s="38">
        <v>0</v>
      </c>
      <c r="BB72" s="38">
        <v>0</v>
      </c>
      <c r="BC72" s="38">
        <v>0</v>
      </c>
      <c r="BD72" s="38">
        <v>0</v>
      </c>
      <c r="BE72" s="38">
        <v>0</v>
      </c>
      <c r="BF72" s="38">
        <v>0</v>
      </c>
      <c r="BG72" s="38">
        <v>0</v>
      </c>
      <c r="BH72" s="38">
        <v>0</v>
      </c>
      <c r="BI72" s="38">
        <v>0</v>
      </c>
      <c r="BJ72" s="38">
        <v>0</v>
      </c>
      <c r="BK72" s="38">
        <v>0</v>
      </c>
      <c r="BL72" s="38">
        <v>0</v>
      </c>
      <c r="BM72" s="38">
        <v>0</v>
      </c>
      <c r="BN72" s="38">
        <v>0</v>
      </c>
      <c r="BO72" s="38">
        <v>0</v>
      </c>
      <c r="BP72" s="38">
        <v>0</v>
      </c>
      <c r="BQ72" s="38">
        <v>0</v>
      </c>
      <c r="BR72" s="38">
        <v>0</v>
      </c>
      <c r="BS72" s="38">
        <v>0</v>
      </c>
      <c r="BT72" s="38">
        <v>0</v>
      </c>
      <c r="BU72" s="38">
        <v>0</v>
      </c>
      <c r="BV72" s="38">
        <v>0</v>
      </c>
      <c r="BW72" s="38">
        <v>0</v>
      </c>
      <c r="BX72" s="38">
        <v>0</v>
      </c>
      <c r="BY72" s="38">
        <v>0</v>
      </c>
      <c r="BZ72" s="38">
        <v>0</v>
      </c>
      <c r="CA72" s="38">
        <v>0</v>
      </c>
      <c r="CB72" s="38">
        <v>0</v>
      </c>
      <c r="CC72" s="38">
        <v>0</v>
      </c>
      <c r="CD72" s="38">
        <v>0</v>
      </c>
      <c r="CE72" s="38">
        <v>0</v>
      </c>
      <c r="CF72" s="38">
        <v>0</v>
      </c>
      <c r="CG72" s="38">
        <v>0</v>
      </c>
      <c r="CH72" s="38">
        <v>0</v>
      </c>
      <c r="CI72" s="38">
        <v>0</v>
      </c>
      <c r="CJ72" s="38">
        <v>0</v>
      </c>
      <c r="CK72" s="38">
        <v>0</v>
      </c>
      <c r="CL72" s="38">
        <v>0</v>
      </c>
      <c r="CM72" s="38">
        <v>0</v>
      </c>
      <c r="CN72" s="38">
        <v>0</v>
      </c>
      <c r="CO72" s="38">
        <v>0</v>
      </c>
      <c r="CP72" s="38">
        <v>0</v>
      </c>
      <c r="CQ72" s="38">
        <v>0</v>
      </c>
      <c r="CR72" s="38">
        <v>0</v>
      </c>
      <c r="CS72" s="38">
        <v>0</v>
      </c>
      <c r="CT72" s="38">
        <v>0</v>
      </c>
      <c r="CU72" s="38">
        <v>0</v>
      </c>
      <c r="CV72" s="38">
        <v>0</v>
      </c>
      <c r="CW72" s="38">
        <v>0</v>
      </c>
      <c r="CX72" s="38">
        <v>0</v>
      </c>
      <c r="CY72" s="38">
        <v>0</v>
      </c>
      <c r="CZ72" s="38">
        <v>0</v>
      </c>
      <c r="DA72" s="38">
        <v>0</v>
      </c>
      <c r="DB72" s="38">
        <v>0</v>
      </c>
      <c r="DC72" s="38">
        <v>0</v>
      </c>
      <c r="DE72" s="46">
        <f t="shared" si="38"/>
        <v>0</v>
      </c>
      <c r="DF72" s="46">
        <f t="shared" si="16"/>
        <v>0</v>
      </c>
      <c r="DG72">
        <f t="shared" si="37"/>
        <v>21</v>
      </c>
      <c r="DH72">
        <v>0</v>
      </c>
    </row>
    <row r="73" spans="1:112" ht="14.4">
      <c r="A73" s="124">
        <v>61</v>
      </c>
      <c r="B73" s="5" t="str">
        <f>$B$67&amp;"6."</f>
        <v>E.3.6.</v>
      </c>
      <c r="C73" s="164" t="s">
        <v>42</v>
      </c>
      <c r="D73" s="6"/>
      <c r="E73" s="192">
        <v>0.21</v>
      </c>
      <c r="F73" s="35">
        <f>H73+NPV(FD,I73:INDEX(I73:DC73,PAL))</f>
        <v>0</v>
      </c>
      <c r="G73" s="35">
        <f>SUMIF($H$5:$DC$5,"&lt;="&amp;PAL,$H73:$DC73)</f>
        <v>0</v>
      </c>
      <c r="H73" s="38">
        <v>0</v>
      </c>
      <c r="I73" s="38">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0</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0</v>
      </c>
      <c r="BH73" s="38">
        <v>0</v>
      </c>
      <c r="BI73" s="38">
        <v>0</v>
      </c>
      <c r="BJ73" s="38">
        <v>0</v>
      </c>
      <c r="BK73" s="38">
        <v>0</v>
      </c>
      <c r="BL73" s="38">
        <v>0</v>
      </c>
      <c r="BM73" s="38">
        <v>0</v>
      </c>
      <c r="BN73" s="38">
        <v>0</v>
      </c>
      <c r="BO73" s="38">
        <v>0</v>
      </c>
      <c r="BP73" s="38">
        <v>0</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0</v>
      </c>
      <c r="CJ73" s="38">
        <v>0</v>
      </c>
      <c r="CK73" s="38">
        <v>0</v>
      </c>
      <c r="CL73" s="38">
        <v>0</v>
      </c>
      <c r="CM73" s="38">
        <v>0</v>
      </c>
      <c r="CN73" s="38">
        <v>0</v>
      </c>
      <c r="CO73" s="38">
        <v>0</v>
      </c>
      <c r="CP73" s="38">
        <v>0</v>
      </c>
      <c r="CQ73" s="38">
        <v>0</v>
      </c>
      <c r="CR73" s="38">
        <v>0</v>
      </c>
      <c r="CS73" s="38">
        <v>0</v>
      </c>
      <c r="CT73" s="38">
        <v>0</v>
      </c>
      <c r="CU73" s="38">
        <v>0</v>
      </c>
      <c r="CV73" s="38">
        <v>0</v>
      </c>
      <c r="CW73" s="38">
        <v>0</v>
      </c>
      <c r="CX73" s="38">
        <v>0</v>
      </c>
      <c r="CY73" s="38">
        <v>0</v>
      </c>
      <c r="CZ73" s="38">
        <v>0</v>
      </c>
      <c r="DA73" s="38">
        <v>0</v>
      </c>
      <c r="DB73" s="38">
        <v>0</v>
      </c>
      <c r="DC73" s="38">
        <v>0</v>
      </c>
      <c r="DE73" s="46">
        <f t="shared" si="38"/>
        <v>0</v>
      </c>
      <c r="DF73" s="46">
        <f t="shared" si="16"/>
        <v>0</v>
      </c>
      <c r="DG73">
        <f t="shared" si="37"/>
        <v>21</v>
      </c>
      <c r="DH73">
        <v>0</v>
      </c>
    </row>
    <row r="74" spans="1:112" ht="14.4">
      <c r="A74" s="124">
        <v>62</v>
      </c>
      <c r="B74" s="5" t="str">
        <f>$B$67&amp;"7."</f>
        <v>E.3.7.</v>
      </c>
      <c r="C74" s="164" t="s">
        <v>42</v>
      </c>
      <c r="D74" s="6"/>
      <c r="E74" s="192">
        <v>0.21</v>
      </c>
      <c r="F74" s="35">
        <f>H74+NPV(FD,I74:INDEX(I74:DC74,PAL))</f>
        <v>0</v>
      </c>
      <c r="G74" s="35">
        <f>SUMIF($H$5:$DC$5,"&lt;="&amp;PAL,$H74:$DC74)</f>
        <v>0</v>
      </c>
      <c r="H74" s="38">
        <v>0</v>
      </c>
      <c r="I74" s="38">
        <v>0</v>
      </c>
      <c r="J74" s="38">
        <v>0</v>
      </c>
      <c r="K74" s="38">
        <v>0</v>
      </c>
      <c r="L74" s="38">
        <v>0</v>
      </c>
      <c r="M74" s="38">
        <v>0</v>
      </c>
      <c r="N74" s="38">
        <v>0</v>
      </c>
      <c r="O74" s="38">
        <v>0</v>
      </c>
      <c r="P74" s="38">
        <v>0</v>
      </c>
      <c r="Q74" s="38">
        <v>0</v>
      </c>
      <c r="R74" s="38">
        <v>0</v>
      </c>
      <c r="S74" s="38">
        <v>0</v>
      </c>
      <c r="T74" s="38">
        <v>0</v>
      </c>
      <c r="U74" s="38">
        <v>0</v>
      </c>
      <c r="V74" s="38">
        <v>0</v>
      </c>
      <c r="W74" s="38">
        <v>0</v>
      </c>
      <c r="X74" s="38">
        <v>0</v>
      </c>
      <c r="Y74" s="38">
        <v>0</v>
      </c>
      <c r="Z74" s="38">
        <v>0</v>
      </c>
      <c r="AA74" s="38">
        <v>0</v>
      </c>
      <c r="AB74" s="38">
        <v>0</v>
      </c>
      <c r="AC74" s="38">
        <v>0</v>
      </c>
      <c r="AD74" s="38">
        <v>0</v>
      </c>
      <c r="AE74" s="38">
        <v>0</v>
      </c>
      <c r="AF74" s="38">
        <v>0</v>
      </c>
      <c r="AG74" s="38">
        <v>0</v>
      </c>
      <c r="AH74" s="38">
        <v>0</v>
      </c>
      <c r="AI74" s="38">
        <v>0</v>
      </c>
      <c r="AJ74" s="38">
        <v>0</v>
      </c>
      <c r="AK74" s="38">
        <v>0</v>
      </c>
      <c r="AL74" s="38">
        <v>0</v>
      </c>
      <c r="AM74" s="38">
        <v>0</v>
      </c>
      <c r="AN74" s="38">
        <v>0</v>
      </c>
      <c r="AO74" s="38">
        <v>0</v>
      </c>
      <c r="AP74" s="38">
        <v>0</v>
      </c>
      <c r="AQ74" s="38">
        <v>0</v>
      </c>
      <c r="AR74" s="38">
        <v>0</v>
      </c>
      <c r="AS74" s="38">
        <v>0</v>
      </c>
      <c r="AT74" s="38">
        <v>0</v>
      </c>
      <c r="AU74" s="38">
        <v>0</v>
      </c>
      <c r="AV74" s="38">
        <v>0</v>
      </c>
      <c r="AW74" s="38">
        <v>0</v>
      </c>
      <c r="AX74" s="38">
        <v>0</v>
      </c>
      <c r="AY74" s="38">
        <v>0</v>
      </c>
      <c r="AZ74" s="38">
        <v>0</v>
      </c>
      <c r="BA74" s="38">
        <v>0</v>
      </c>
      <c r="BB74" s="38">
        <v>0</v>
      </c>
      <c r="BC74" s="38">
        <v>0</v>
      </c>
      <c r="BD74" s="38">
        <v>0</v>
      </c>
      <c r="BE74" s="38">
        <v>0</v>
      </c>
      <c r="BF74" s="38">
        <v>0</v>
      </c>
      <c r="BG74" s="38">
        <v>0</v>
      </c>
      <c r="BH74" s="38">
        <v>0</v>
      </c>
      <c r="BI74" s="38">
        <v>0</v>
      </c>
      <c r="BJ74" s="38">
        <v>0</v>
      </c>
      <c r="BK74" s="38">
        <v>0</v>
      </c>
      <c r="BL74" s="38">
        <v>0</v>
      </c>
      <c r="BM74" s="38">
        <v>0</v>
      </c>
      <c r="BN74" s="38">
        <v>0</v>
      </c>
      <c r="BO74" s="38">
        <v>0</v>
      </c>
      <c r="BP74" s="38">
        <v>0</v>
      </c>
      <c r="BQ74" s="38">
        <v>0</v>
      </c>
      <c r="BR74" s="38">
        <v>0</v>
      </c>
      <c r="BS74" s="38">
        <v>0</v>
      </c>
      <c r="BT74" s="38">
        <v>0</v>
      </c>
      <c r="BU74" s="38">
        <v>0</v>
      </c>
      <c r="BV74" s="38">
        <v>0</v>
      </c>
      <c r="BW74" s="38">
        <v>0</v>
      </c>
      <c r="BX74" s="38">
        <v>0</v>
      </c>
      <c r="BY74" s="38">
        <v>0</v>
      </c>
      <c r="BZ74" s="38">
        <v>0</v>
      </c>
      <c r="CA74" s="38">
        <v>0</v>
      </c>
      <c r="CB74" s="38">
        <v>0</v>
      </c>
      <c r="CC74" s="38">
        <v>0</v>
      </c>
      <c r="CD74" s="38">
        <v>0</v>
      </c>
      <c r="CE74" s="38">
        <v>0</v>
      </c>
      <c r="CF74" s="38">
        <v>0</v>
      </c>
      <c r="CG74" s="38">
        <v>0</v>
      </c>
      <c r="CH74" s="38">
        <v>0</v>
      </c>
      <c r="CI74" s="38">
        <v>0</v>
      </c>
      <c r="CJ74" s="38">
        <v>0</v>
      </c>
      <c r="CK74" s="38">
        <v>0</v>
      </c>
      <c r="CL74" s="38">
        <v>0</v>
      </c>
      <c r="CM74" s="38">
        <v>0</v>
      </c>
      <c r="CN74" s="38">
        <v>0</v>
      </c>
      <c r="CO74" s="38">
        <v>0</v>
      </c>
      <c r="CP74" s="38">
        <v>0</v>
      </c>
      <c r="CQ74" s="38">
        <v>0</v>
      </c>
      <c r="CR74" s="38">
        <v>0</v>
      </c>
      <c r="CS74" s="38">
        <v>0</v>
      </c>
      <c r="CT74" s="38">
        <v>0</v>
      </c>
      <c r="CU74" s="38">
        <v>0</v>
      </c>
      <c r="CV74" s="38">
        <v>0</v>
      </c>
      <c r="CW74" s="38">
        <v>0</v>
      </c>
      <c r="CX74" s="38">
        <v>0</v>
      </c>
      <c r="CY74" s="38">
        <v>0</v>
      </c>
      <c r="CZ74" s="38">
        <v>0</v>
      </c>
      <c r="DA74" s="38">
        <v>0</v>
      </c>
      <c r="DB74" s="38">
        <v>0</v>
      </c>
      <c r="DC74" s="38">
        <v>0</v>
      </c>
      <c r="DE74" s="46">
        <f t="shared" si="38"/>
        <v>0</v>
      </c>
      <c r="DF74" s="46">
        <f t="shared" si="16"/>
        <v>0</v>
      </c>
      <c r="DG74">
        <f t="shared" si="37"/>
        <v>21</v>
      </c>
      <c r="DH74">
        <v>0</v>
      </c>
    </row>
    <row r="75" spans="1:112" ht="14.4">
      <c r="A75" s="124">
        <v>63</v>
      </c>
      <c r="B75" s="5" t="str">
        <f>$B$67&amp;"8."</f>
        <v>E.3.8.</v>
      </c>
      <c r="C75" s="164" t="s">
        <v>42</v>
      </c>
      <c r="D75" s="6"/>
      <c r="E75" s="192">
        <v>0.21</v>
      </c>
      <c r="F75" s="35">
        <f>H75+NPV(FD,I75:INDEX(I75:DC75,PAL))</f>
        <v>0</v>
      </c>
      <c r="G75" s="35">
        <f>SUMIF($H$5:$DC$5,"&lt;="&amp;PAL,$H75:$DC75)</f>
        <v>0</v>
      </c>
      <c r="H75" s="38">
        <v>0</v>
      </c>
      <c r="I75" s="38">
        <v>0</v>
      </c>
      <c r="J75" s="38">
        <v>0</v>
      </c>
      <c r="K75" s="38">
        <v>0</v>
      </c>
      <c r="L75" s="38">
        <v>0</v>
      </c>
      <c r="M75" s="38">
        <v>0</v>
      </c>
      <c r="N75" s="38">
        <v>0</v>
      </c>
      <c r="O75" s="38">
        <v>0</v>
      </c>
      <c r="P75" s="38">
        <v>0</v>
      </c>
      <c r="Q75" s="38">
        <v>0</v>
      </c>
      <c r="R75" s="38">
        <v>0</v>
      </c>
      <c r="S75" s="38">
        <v>0</v>
      </c>
      <c r="T75" s="38">
        <v>0</v>
      </c>
      <c r="U75" s="38">
        <v>0</v>
      </c>
      <c r="V75" s="38">
        <v>0</v>
      </c>
      <c r="W75" s="38">
        <v>0</v>
      </c>
      <c r="X75" s="38">
        <v>0</v>
      </c>
      <c r="Y75" s="38">
        <v>0</v>
      </c>
      <c r="Z75" s="38">
        <v>0</v>
      </c>
      <c r="AA75" s="38">
        <v>0</v>
      </c>
      <c r="AB75" s="38">
        <v>0</v>
      </c>
      <c r="AC75" s="38">
        <v>0</v>
      </c>
      <c r="AD75" s="38">
        <v>0</v>
      </c>
      <c r="AE75" s="38">
        <v>0</v>
      </c>
      <c r="AF75" s="38">
        <v>0</v>
      </c>
      <c r="AG75" s="38">
        <v>0</v>
      </c>
      <c r="AH75" s="38">
        <v>0</v>
      </c>
      <c r="AI75" s="38">
        <v>0</v>
      </c>
      <c r="AJ75" s="38">
        <v>0</v>
      </c>
      <c r="AK75" s="38">
        <v>0</v>
      </c>
      <c r="AL75" s="38">
        <v>0</v>
      </c>
      <c r="AM75" s="38">
        <v>0</v>
      </c>
      <c r="AN75" s="38">
        <v>0</v>
      </c>
      <c r="AO75" s="38">
        <v>0</v>
      </c>
      <c r="AP75" s="38">
        <v>0</v>
      </c>
      <c r="AQ75" s="38">
        <v>0</v>
      </c>
      <c r="AR75" s="38">
        <v>0</v>
      </c>
      <c r="AS75" s="38">
        <v>0</v>
      </c>
      <c r="AT75" s="38">
        <v>0</v>
      </c>
      <c r="AU75" s="38">
        <v>0</v>
      </c>
      <c r="AV75" s="38">
        <v>0</v>
      </c>
      <c r="AW75" s="38">
        <v>0</v>
      </c>
      <c r="AX75" s="38">
        <v>0</v>
      </c>
      <c r="AY75" s="38">
        <v>0</v>
      </c>
      <c r="AZ75" s="38">
        <v>0</v>
      </c>
      <c r="BA75" s="38">
        <v>0</v>
      </c>
      <c r="BB75" s="38">
        <v>0</v>
      </c>
      <c r="BC75" s="38">
        <v>0</v>
      </c>
      <c r="BD75" s="38">
        <v>0</v>
      </c>
      <c r="BE75" s="38">
        <v>0</v>
      </c>
      <c r="BF75" s="38">
        <v>0</v>
      </c>
      <c r="BG75" s="38">
        <v>0</v>
      </c>
      <c r="BH75" s="38">
        <v>0</v>
      </c>
      <c r="BI75" s="38">
        <v>0</v>
      </c>
      <c r="BJ75" s="38">
        <v>0</v>
      </c>
      <c r="BK75" s="38">
        <v>0</v>
      </c>
      <c r="BL75" s="38">
        <v>0</v>
      </c>
      <c r="BM75" s="38">
        <v>0</v>
      </c>
      <c r="BN75" s="38">
        <v>0</v>
      </c>
      <c r="BO75" s="38">
        <v>0</v>
      </c>
      <c r="BP75" s="38">
        <v>0</v>
      </c>
      <c r="BQ75" s="38">
        <v>0</v>
      </c>
      <c r="BR75" s="38">
        <v>0</v>
      </c>
      <c r="BS75" s="38">
        <v>0</v>
      </c>
      <c r="BT75" s="38">
        <v>0</v>
      </c>
      <c r="BU75" s="38">
        <v>0</v>
      </c>
      <c r="BV75" s="38">
        <v>0</v>
      </c>
      <c r="BW75" s="38">
        <v>0</v>
      </c>
      <c r="BX75" s="38">
        <v>0</v>
      </c>
      <c r="BY75" s="38">
        <v>0</v>
      </c>
      <c r="BZ75" s="38">
        <v>0</v>
      </c>
      <c r="CA75" s="38">
        <v>0</v>
      </c>
      <c r="CB75" s="38">
        <v>0</v>
      </c>
      <c r="CC75" s="38">
        <v>0</v>
      </c>
      <c r="CD75" s="38">
        <v>0</v>
      </c>
      <c r="CE75" s="38">
        <v>0</v>
      </c>
      <c r="CF75" s="38">
        <v>0</v>
      </c>
      <c r="CG75" s="38">
        <v>0</v>
      </c>
      <c r="CH75" s="38">
        <v>0</v>
      </c>
      <c r="CI75" s="38">
        <v>0</v>
      </c>
      <c r="CJ75" s="38">
        <v>0</v>
      </c>
      <c r="CK75" s="38">
        <v>0</v>
      </c>
      <c r="CL75" s="38">
        <v>0</v>
      </c>
      <c r="CM75" s="38">
        <v>0</v>
      </c>
      <c r="CN75" s="38">
        <v>0</v>
      </c>
      <c r="CO75" s="38">
        <v>0</v>
      </c>
      <c r="CP75" s="38">
        <v>0</v>
      </c>
      <c r="CQ75" s="38">
        <v>0</v>
      </c>
      <c r="CR75" s="38">
        <v>0</v>
      </c>
      <c r="CS75" s="38">
        <v>0</v>
      </c>
      <c r="CT75" s="38">
        <v>0</v>
      </c>
      <c r="CU75" s="38">
        <v>0</v>
      </c>
      <c r="CV75" s="38">
        <v>0</v>
      </c>
      <c r="CW75" s="38">
        <v>0</v>
      </c>
      <c r="CX75" s="38">
        <v>0</v>
      </c>
      <c r="CY75" s="38">
        <v>0</v>
      </c>
      <c r="CZ75" s="38">
        <v>0</v>
      </c>
      <c r="DA75" s="38">
        <v>0</v>
      </c>
      <c r="DB75" s="38">
        <v>0</v>
      </c>
      <c r="DC75" s="38">
        <v>0</v>
      </c>
      <c r="DE75" s="46">
        <f t="shared" si="38"/>
        <v>0</v>
      </c>
      <c r="DF75" s="46">
        <f t="shared" si="16"/>
        <v>0</v>
      </c>
      <c r="DG75">
        <f t="shared" si="37"/>
        <v>21</v>
      </c>
      <c r="DH75">
        <v>0</v>
      </c>
    </row>
    <row r="76" spans="1:112" ht="14.4">
      <c r="A76" s="124">
        <v>64</v>
      </c>
      <c r="B76" s="5" t="str">
        <f>$B$67&amp;"9."</f>
        <v>E.3.9.</v>
      </c>
      <c r="C76" s="17" t="s">
        <v>155</v>
      </c>
      <c r="D76" s="5"/>
      <c r="E76" s="192">
        <v>0.21</v>
      </c>
      <c r="F76" s="35">
        <f>H76+NPV(FD,I76:INDEX(I76:DC76,PAL))</f>
        <v>0</v>
      </c>
      <c r="G76" s="35">
        <f>SUMIF($H$5:$DC$5,"&lt;="&amp;PAL,$H76:$DC76)</f>
        <v>0</v>
      </c>
      <c r="H76" s="165">
        <v>0</v>
      </c>
      <c r="I76" s="165">
        <v>0</v>
      </c>
      <c r="J76" s="165">
        <v>0</v>
      </c>
      <c r="K76" s="165">
        <v>0</v>
      </c>
      <c r="L76" s="165">
        <v>0</v>
      </c>
      <c r="M76" s="165">
        <v>0</v>
      </c>
      <c r="N76" s="165">
        <v>0</v>
      </c>
      <c r="O76" s="165">
        <v>0</v>
      </c>
      <c r="P76" s="165">
        <v>0</v>
      </c>
      <c r="Q76" s="165">
        <v>0</v>
      </c>
      <c r="R76" s="165">
        <v>0</v>
      </c>
      <c r="S76" s="166">
        <v>0</v>
      </c>
      <c r="T76" s="166">
        <v>0</v>
      </c>
      <c r="U76" s="166">
        <v>0</v>
      </c>
      <c r="V76" s="166">
        <v>0</v>
      </c>
      <c r="W76" s="166">
        <v>0</v>
      </c>
      <c r="X76" s="166">
        <v>0</v>
      </c>
      <c r="Y76" s="166">
        <v>0</v>
      </c>
      <c r="Z76" s="166">
        <v>0</v>
      </c>
      <c r="AA76" s="166">
        <v>0</v>
      </c>
      <c r="AB76" s="166">
        <v>0</v>
      </c>
      <c r="AC76" s="166">
        <v>0</v>
      </c>
      <c r="AD76" s="166">
        <v>0</v>
      </c>
      <c r="AE76" s="166">
        <v>0</v>
      </c>
      <c r="AF76" s="166">
        <v>0</v>
      </c>
      <c r="AG76" s="166">
        <v>0</v>
      </c>
      <c r="AH76" s="166">
        <v>0</v>
      </c>
      <c r="AI76" s="166">
        <v>0</v>
      </c>
      <c r="AJ76" s="166">
        <v>0</v>
      </c>
      <c r="AK76" s="166">
        <v>0</v>
      </c>
      <c r="AL76" s="166">
        <v>0</v>
      </c>
      <c r="AM76" s="166">
        <v>0</v>
      </c>
      <c r="AN76" s="166">
        <v>0</v>
      </c>
      <c r="AO76" s="166">
        <v>0</v>
      </c>
      <c r="AP76" s="166">
        <v>0</v>
      </c>
      <c r="AQ76" s="166">
        <v>0</v>
      </c>
      <c r="AR76" s="166">
        <v>0</v>
      </c>
      <c r="AS76" s="166">
        <v>0</v>
      </c>
      <c r="AT76" s="166">
        <v>0</v>
      </c>
      <c r="AU76" s="166">
        <v>0</v>
      </c>
      <c r="AV76" s="166">
        <v>0</v>
      </c>
      <c r="AW76" s="166">
        <v>0</v>
      </c>
      <c r="AX76" s="166">
        <v>0</v>
      </c>
      <c r="AY76" s="166">
        <v>0</v>
      </c>
      <c r="AZ76" s="166">
        <v>0</v>
      </c>
      <c r="BA76" s="166">
        <v>0</v>
      </c>
      <c r="BB76" s="166">
        <v>0</v>
      </c>
      <c r="BC76" s="166">
        <v>0</v>
      </c>
      <c r="BD76" s="166">
        <v>0</v>
      </c>
      <c r="BE76" s="166">
        <v>0</v>
      </c>
      <c r="BF76" s="166">
        <v>0</v>
      </c>
      <c r="BG76" s="166">
        <v>0</v>
      </c>
      <c r="BH76" s="166">
        <v>0</v>
      </c>
      <c r="BI76" s="166">
        <v>0</v>
      </c>
      <c r="BJ76" s="166">
        <v>0</v>
      </c>
      <c r="BK76" s="166">
        <v>0</v>
      </c>
      <c r="BL76" s="166">
        <v>0</v>
      </c>
      <c r="BM76" s="166">
        <v>0</v>
      </c>
      <c r="BN76" s="166">
        <v>0</v>
      </c>
      <c r="BO76" s="166">
        <v>0</v>
      </c>
      <c r="BP76" s="166">
        <v>0</v>
      </c>
      <c r="BQ76" s="166">
        <v>0</v>
      </c>
      <c r="BR76" s="166">
        <v>0</v>
      </c>
      <c r="BS76" s="166">
        <v>0</v>
      </c>
      <c r="BT76" s="166">
        <v>0</v>
      </c>
      <c r="BU76" s="166">
        <v>0</v>
      </c>
      <c r="BV76" s="166">
        <v>0</v>
      </c>
      <c r="BW76" s="166">
        <v>0</v>
      </c>
      <c r="BX76" s="166">
        <v>0</v>
      </c>
      <c r="BY76" s="166">
        <v>0</v>
      </c>
      <c r="BZ76" s="166">
        <v>0</v>
      </c>
      <c r="CA76" s="166">
        <v>0</v>
      </c>
      <c r="CB76" s="166">
        <v>0</v>
      </c>
      <c r="CC76" s="166">
        <v>0</v>
      </c>
      <c r="CD76" s="166">
        <v>0</v>
      </c>
      <c r="CE76" s="166">
        <v>0</v>
      </c>
      <c r="CF76" s="166">
        <v>0</v>
      </c>
      <c r="CG76" s="166">
        <v>0</v>
      </c>
      <c r="CH76" s="166">
        <v>0</v>
      </c>
      <c r="CI76" s="166">
        <v>0</v>
      </c>
      <c r="CJ76" s="166">
        <v>0</v>
      </c>
      <c r="CK76" s="166">
        <v>0</v>
      </c>
      <c r="CL76" s="166">
        <v>0</v>
      </c>
      <c r="CM76" s="166">
        <v>0</v>
      </c>
      <c r="CN76" s="166">
        <v>0</v>
      </c>
      <c r="CO76" s="166">
        <v>0</v>
      </c>
      <c r="CP76" s="166">
        <v>0</v>
      </c>
      <c r="CQ76" s="166">
        <v>0</v>
      </c>
      <c r="CR76" s="166">
        <v>0</v>
      </c>
      <c r="CS76" s="166">
        <v>0</v>
      </c>
      <c r="CT76" s="166">
        <v>0</v>
      </c>
      <c r="CU76" s="166">
        <v>0</v>
      </c>
      <c r="CV76" s="166">
        <v>0</v>
      </c>
      <c r="CW76" s="166">
        <v>0</v>
      </c>
      <c r="CX76" s="166">
        <v>0</v>
      </c>
      <c r="CY76" s="166">
        <v>0</v>
      </c>
      <c r="CZ76" s="166">
        <v>0</v>
      </c>
      <c r="DA76" s="166">
        <v>0</v>
      </c>
      <c r="DB76" s="166">
        <v>0</v>
      </c>
      <c r="DC76" s="166">
        <v>0</v>
      </c>
      <c r="DE76" s="46">
        <f t="shared" si="38"/>
        <v>0</v>
      </c>
      <c r="DF76" s="46">
        <f t="shared" si="16"/>
        <v>0</v>
      </c>
      <c r="DG76">
        <f t="shared" si="37"/>
        <v>21</v>
      </c>
      <c r="DH76">
        <v>0</v>
      </c>
    </row>
    <row r="77" spans="1:112" ht="14.4">
      <c r="A77" s="124">
        <v>65</v>
      </c>
      <c r="B77" s="5" t="str">
        <f>$B$67&amp;"L."</f>
        <v>E.3.L.</v>
      </c>
      <c r="C77" s="17" t="s">
        <v>16</v>
      </c>
      <c r="D77" s="5"/>
      <c r="E77" s="192">
        <v>0.21</v>
      </c>
      <c r="F77" s="35">
        <f>H77+NPV(FD,I77:INDEX(I77:DC77,PAL))</f>
        <v>0</v>
      </c>
      <c r="G77" s="35">
        <f>SUMIF($H$5:$DC$5,"&lt;="&amp;PAL,$H77:$DC77)</f>
        <v>0</v>
      </c>
      <c r="H77" s="165">
        <v>0</v>
      </c>
      <c r="I77" s="165">
        <v>0</v>
      </c>
      <c r="J77" s="165">
        <v>0</v>
      </c>
      <c r="K77" s="165">
        <v>0</v>
      </c>
      <c r="L77" s="165">
        <v>0</v>
      </c>
      <c r="M77" s="165">
        <v>0</v>
      </c>
      <c r="N77" s="165">
        <v>0</v>
      </c>
      <c r="O77" s="165">
        <v>0</v>
      </c>
      <c r="P77" s="165">
        <v>0</v>
      </c>
      <c r="Q77" s="165">
        <v>0</v>
      </c>
      <c r="R77" s="165">
        <v>0</v>
      </c>
      <c r="S77" s="165">
        <v>0</v>
      </c>
      <c r="T77" s="165">
        <v>0</v>
      </c>
      <c r="U77" s="165">
        <v>0</v>
      </c>
      <c r="V77" s="165">
        <v>0</v>
      </c>
      <c r="W77" s="165">
        <v>0</v>
      </c>
      <c r="X77" s="165">
        <v>0</v>
      </c>
      <c r="Y77" s="165">
        <v>0</v>
      </c>
      <c r="Z77" s="165">
        <v>0</v>
      </c>
      <c r="AA77" s="165">
        <v>0</v>
      </c>
      <c r="AB77" s="166">
        <v>0</v>
      </c>
      <c r="AC77" s="165">
        <v>0</v>
      </c>
      <c r="AD77" s="165">
        <v>0</v>
      </c>
      <c r="AE77" s="165">
        <v>0</v>
      </c>
      <c r="AF77" s="165">
        <v>0</v>
      </c>
      <c r="AG77" s="165">
        <v>0</v>
      </c>
      <c r="AH77" s="165">
        <v>0</v>
      </c>
      <c r="AI77" s="165">
        <v>0</v>
      </c>
      <c r="AJ77" s="165">
        <v>0</v>
      </c>
      <c r="AK77" s="165">
        <v>0</v>
      </c>
      <c r="AL77" s="166">
        <v>0</v>
      </c>
      <c r="AM77" s="165">
        <v>0</v>
      </c>
      <c r="AN77" s="165">
        <v>0</v>
      </c>
      <c r="AO77" s="165">
        <v>0</v>
      </c>
      <c r="AP77" s="165">
        <v>0</v>
      </c>
      <c r="AQ77" s="165">
        <v>0</v>
      </c>
      <c r="AR77" s="165">
        <v>0</v>
      </c>
      <c r="AS77" s="165">
        <v>0</v>
      </c>
      <c r="AT77" s="165">
        <v>0</v>
      </c>
      <c r="AU77" s="165">
        <v>0</v>
      </c>
      <c r="AV77" s="165">
        <v>0</v>
      </c>
      <c r="AW77" s="165">
        <v>0</v>
      </c>
      <c r="AX77" s="165">
        <v>0</v>
      </c>
      <c r="AY77" s="165">
        <v>0</v>
      </c>
      <c r="AZ77" s="165">
        <v>0</v>
      </c>
      <c r="BA77" s="165">
        <v>0</v>
      </c>
      <c r="BB77" s="165">
        <v>0</v>
      </c>
      <c r="BC77" s="165">
        <v>0</v>
      </c>
      <c r="BD77" s="165">
        <v>0</v>
      </c>
      <c r="BE77" s="165">
        <v>0</v>
      </c>
      <c r="BF77" s="165">
        <v>0</v>
      </c>
      <c r="BG77" s="165">
        <v>0</v>
      </c>
      <c r="BH77" s="165">
        <v>0</v>
      </c>
      <c r="BI77" s="165">
        <v>0</v>
      </c>
      <c r="BJ77" s="165">
        <v>0</v>
      </c>
      <c r="BK77" s="165">
        <v>0</v>
      </c>
      <c r="BL77" s="165">
        <v>0</v>
      </c>
      <c r="BM77" s="165">
        <v>0</v>
      </c>
      <c r="BN77" s="165">
        <v>0</v>
      </c>
      <c r="BO77" s="165">
        <v>0</v>
      </c>
      <c r="BP77" s="165">
        <v>0</v>
      </c>
      <c r="BQ77" s="165">
        <v>0</v>
      </c>
      <c r="BR77" s="165">
        <v>0</v>
      </c>
      <c r="BS77" s="165">
        <v>0</v>
      </c>
      <c r="BT77" s="165">
        <v>0</v>
      </c>
      <c r="BU77" s="165">
        <v>0</v>
      </c>
      <c r="BV77" s="165">
        <v>0</v>
      </c>
      <c r="BW77" s="165">
        <v>0</v>
      </c>
      <c r="BX77" s="165">
        <v>0</v>
      </c>
      <c r="BY77" s="165">
        <v>0</v>
      </c>
      <c r="BZ77" s="165">
        <v>0</v>
      </c>
      <c r="CA77" s="165">
        <v>0</v>
      </c>
      <c r="CB77" s="165">
        <v>0</v>
      </c>
      <c r="CC77" s="165">
        <v>0</v>
      </c>
      <c r="CD77" s="165">
        <v>0</v>
      </c>
      <c r="CE77" s="165">
        <v>0</v>
      </c>
      <c r="CF77" s="165">
        <v>0</v>
      </c>
      <c r="CG77" s="165">
        <v>0</v>
      </c>
      <c r="CH77" s="165">
        <v>0</v>
      </c>
      <c r="CI77" s="165">
        <v>0</v>
      </c>
      <c r="CJ77" s="165">
        <v>0</v>
      </c>
      <c r="CK77" s="165">
        <v>0</v>
      </c>
      <c r="CL77" s="165">
        <v>0</v>
      </c>
      <c r="CM77" s="165">
        <v>0</v>
      </c>
      <c r="CN77" s="165">
        <v>0</v>
      </c>
      <c r="CO77" s="165">
        <v>0</v>
      </c>
      <c r="CP77" s="165">
        <v>0</v>
      </c>
      <c r="CQ77" s="165">
        <v>0</v>
      </c>
      <c r="CR77" s="165">
        <v>0</v>
      </c>
      <c r="CS77" s="165">
        <v>0</v>
      </c>
      <c r="CT77" s="165">
        <v>0</v>
      </c>
      <c r="CU77" s="165">
        <v>0</v>
      </c>
      <c r="CV77" s="165">
        <v>0</v>
      </c>
      <c r="CW77" s="165">
        <v>0</v>
      </c>
      <c r="CX77" s="165">
        <v>0</v>
      </c>
      <c r="CY77" s="165">
        <v>0</v>
      </c>
      <c r="CZ77" s="165">
        <v>0</v>
      </c>
      <c r="DA77" s="165">
        <v>0</v>
      </c>
      <c r="DB77" s="165">
        <v>0</v>
      </c>
      <c r="DC77" s="166">
        <v>0</v>
      </c>
      <c r="DE77" s="46">
        <f t="shared" si="38"/>
        <v>0</v>
      </c>
      <c r="DF77" s="46">
        <f t="shared" ref="DF77:DF129" si="39">COUNTIF($H77:$DC77,"&lt;&gt;0")</f>
        <v>0</v>
      </c>
      <c r="DG77">
        <f t="shared" si="37"/>
        <v>21</v>
      </c>
      <c r="DH77">
        <f>DG77/(100+DG77)</f>
        <v>0.17355371900826447</v>
      </c>
    </row>
    <row r="78" spans="1:112" ht="14.4">
      <c r="A78" s="124">
        <v>66</v>
      </c>
      <c r="B78" s="39" t="s">
        <v>25</v>
      </c>
      <c r="C78" s="162" t="s">
        <v>436</v>
      </c>
      <c r="D78" s="4"/>
      <c r="E78" s="4"/>
      <c r="F78" s="35">
        <f>SUM(F79:F87)</f>
        <v>0</v>
      </c>
      <c r="G78" s="35">
        <f>SUMIF($H$5:$DC$5,"&lt;="&amp;PAL,$H78:$DC78)</f>
        <v>0</v>
      </c>
      <c r="H78" s="11">
        <f>SUM(H79:H86)+H87</f>
        <v>0</v>
      </c>
      <c r="I78" s="11">
        <f t="shared" ref="I78:AK78" si="40">SUM(I79:I86)+I87</f>
        <v>0</v>
      </c>
      <c r="J78" s="11">
        <f t="shared" si="40"/>
        <v>0</v>
      </c>
      <c r="K78" s="11">
        <f t="shared" si="40"/>
        <v>0</v>
      </c>
      <c r="L78" s="11">
        <f t="shared" si="40"/>
        <v>0</v>
      </c>
      <c r="M78" s="11">
        <f t="shared" si="40"/>
        <v>0</v>
      </c>
      <c r="N78" s="11">
        <f t="shared" si="40"/>
        <v>0</v>
      </c>
      <c r="O78" s="11">
        <f t="shared" si="40"/>
        <v>0</v>
      </c>
      <c r="P78" s="11">
        <f t="shared" si="40"/>
        <v>0</v>
      </c>
      <c r="Q78" s="11">
        <f t="shared" si="40"/>
        <v>0</v>
      </c>
      <c r="R78" s="11">
        <f t="shared" si="40"/>
        <v>0</v>
      </c>
      <c r="S78" s="11">
        <f t="shared" si="40"/>
        <v>0</v>
      </c>
      <c r="T78" s="11">
        <f t="shared" si="40"/>
        <v>0</v>
      </c>
      <c r="U78" s="11">
        <f t="shared" si="40"/>
        <v>0</v>
      </c>
      <c r="V78" s="11">
        <f t="shared" si="40"/>
        <v>0</v>
      </c>
      <c r="W78" s="11">
        <f t="shared" si="40"/>
        <v>0</v>
      </c>
      <c r="X78" s="11">
        <f t="shared" si="40"/>
        <v>0</v>
      </c>
      <c r="Y78" s="11">
        <f t="shared" si="40"/>
        <v>0</v>
      </c>
      <c r="Z78" s="11">
        <f t="shared" si="40"/>
        <v>0</v>
      </c>
      <c r="AA78" s="11">
        <f t="shared" si="40"/>
        <v>0</v>
      </c>
      <c r="AB78" s="11">
        <f t="shared" si="40"/>
        <v>0</v>
      </c>
      <c r="AC78" s="11">
        <f t="shared" si="40"/>
        <v>0</v>
      </c>
      <c r="AD78" s="11">
        <f t="shared" si="40"/>
        <v>0</v>
      </c>
      <c r="AE78" s="11">
        <f t="shared" si="40"/>
        <v>0</v>
      </c>
      <c r="AF78" s="11">
        <f t="shared" si="40"/>
        <v>0</v>
      </c>
      <c r="AG78" s="11">
        <f t="shared" si="40"/>
        <v>0</v>
      </c>
      <c r="AH78" s="11">
        <f t="shared" si="40"/>
        <v>0</v>
      </c>
      <c r="AI78" s="11">
        <f t="shared" si="40"/>
        <v>0</v>
      </c>
      <c r="AJ78" s="11">
        <f t="shared" si="40"/>
        <v>0</v>
      </c>
      <c r="AK78" s="11">
        <f t="shared" si="40"/>
        <v>0</v>
      </c>
      <c r="AL78" s="11">
        <f>SUM(AL79:AL86)+AL87</f>
        <v>0</v>
      </c>
      <c r="AM78" s="11">
        <f t="shared" ref="AM78:CX78" si="41">SUM(AM79:AM86)+AM87</f>
        <v>0</v>
      </c>
      <c r="AN78" s="11">
        <f t="shared" si="41"/>
        <v>0</v>
      </c>
      <c r="AO78" s="11">
        <f t="shared" si="41"/>
        <v>0</v>
      </c>
      <c r="AP78" s="11">
        <f t="shared" si="41"/>
        <v>0</v>
      </c>
      <c r="AQ78" s="11">
        <f t="shared" si="41"/>
        <v>0</v>
      </c>
      <c r="AR78" s="11">
        <f t="shared" si="41"/>
        <v>0</v>
      </c>
      <c r="AS78" s="11">
        <f t="shared" si="41"/>
        <v>0</v>
      </c>
      <c r="AT78" s="11">
        <f t="shared" si="41"/>
        <v>0</v>
      </c>
      <c r="AU78" s="11">
        <f t="shared" si="41"/>
        <v>0</v>
      </c>
      <c r="AV78" s="11">
        <f t="shared" si="41"/>
        <v>0</v>
      </c>
      <c r="AW78" s="11">
        <f t="shared" si="41"/>
        <v>0</v>
      </c>
      <c r="AX78" s="11">
        <f t="shared" si="41"/>
        <v>0</v>
      </c>
      <c r="AY78" s="11">
        <f t="shared" si="41"/>
        <v>0</v>
      </c>
      <c r="AZ78" s="11">
        <f t="shared" si="41"/>
        <v>0</v>
      </c>
      <c r="BA78" s="11">
        <f t="shared" si="41"/>
        <v>0</v>
      </c>
      <c r="BB78" s="11">
        <f t="shared" si="41"/>
        <v>0</v>
      </c>
      <c r="BC78" s="11">
        <f t="shared" si="41"/>
        <v>0</v>
      </c>
      <c r="BD78" s="11">
        <f t="shared" si="41"/>
        <v>0</v>
      </c>
      <c r="BE78" s="11">
        <f t="shared" si="41"/>
        <v>0</v>
      </c>
      <c r="BF78" s="11">
        <f t="shared" si="41"/>
        <v>0</v>
      </c>
      <c r="BG78" s="11">
        <f t="shared" si="41"/>
        <v>0</v>
      </c>
      <c r="BH78" s="11">
        <f t="shared" si="41"/>
        <v>0</v>
      </c>
      <c r="BI78" s="11">
        <f t="shared" si="41"/>
        <v>0</v>
      </c>
      <c r="BJ78" s="11">
        <f t="shared" si="41"/>
        <v>0</v>
      </c>
      <c r="BK78" s="11">
        <f t="shared" si="41"/>
        <v>0</v>
      </c>
      <c r="BL78" s="11">
        <f t="shared" si="41"/>
        <v>0</v>
      </c>
      <c r="BM78" s="11">
        <f t="shared" si="41"/>
        <v>0</v>
      </c>
      <c r="BN78" s="11">
        <f t="shared" si="41"/>
        <v>0</v>
      </c>
      <c r="BO78" s="11">
        <f t="shared" si="41"/>
        <v>0</v>
      </c>
      <c r="BP78" s="11">
        <f t="shared" si="41"/>
        <v>0</v>
      </c>
      <c r="BQ78" s="11">
        <f t="shared" si="41"/>
        <v>0</v>
      </c>
      <c r="BR78" s="11">
        <f t="shared" si="41"/>
        <v>0</v>
      </c>
      <c r="BS78" s="11">
        <f t="shared" si="41"/>
        <v>0</v>
      </c>
      <c r="BT78" s="11">
        <f t="shared" si="41"/>
        <v>0</v>
      </c>
      <c r="BU78" s="11">
        <f t="shared" si="41"/>
        <v>0</v>
      </c>
      <c r="BV78" s="11">
        <f t="shared" si="41"/>
        <v>0</v>
      </c>
      <c r="BW78" s="11">
        <f t="shared" si="41"/>
        <v>0</v>
      </c>
      <c r="BX78" s="11">
        <f t="shared" si="41"/>
        <v>0</v>
      </c>
      <c r="BY78" s="11">
        <f t="shared" si="41"/>
        <v>0</v>
      </c>
      <c r="BZ78" s="11">
        <f t="shared" si="41"/>
        <v>0</v>
      </c>
      <c r="CA78" s="11">
        <f t="shared" si="41"/>
        <v>0</v>
      </c>
      <c r="CB78" s="11">
        <f t="shared" si="41"/>
        <v>0</v>
      </c>
      <c r="CC78" s="11">
        <f t="shared" si="41"/>
        <v>0</v>
      </c>
      <c r="CD78" s="11">
        <f t="shared" si="41"/>
        <v>0</v>
      </c>
      <c r="CE78" s="11">
        <f t="shared" si="41"/>
        <v>0</v>
      </c>
      <c r="CF78" s="11">
        <f t="shared" si="41"/>
        <v>0</v>
      </c>
      <c r="CG78" s="11">
        <f t="shared" si="41"/>
        <v>0</v>
      </c>
      <c r="CH78" s="11">
        <f t="shared" si="41"/>
        <v>0</v>
      </c>
      <c r="CI78" s="11">
        <f t="shared" si="41"/>
        <v>0</v>
      </c>
      <c r="CJ78" s="11">
        <f t="shared" si="41"/>
        <v>0</v>
      </c>
      <c r="CK78" s="11">
        <f t="shared" si="41"/>
        <v>0</v>
      </c>
      <c r="CL78" s="11">
        <f t="shared" si="41"/>
        <v>0</v>
      </c>
      <c r="CM78" s="11">
        <f t="shared" si="41"/>
        <v>0</v>
      </c>
      <c r="CN78" s="11">
        <f t="shared" si="41"/>
        <v>0</v>
      </c>
      <c r="CO78" s="11">
        <f t="shared" si="41"/>
        <v>0</v>
      </c>
      <c r="CP78" s="11">
        <f t="shared" si="41"/>
        <v>0</v>
      </c>
      <c r="CQ78" s="11">
        <f t="shared" si="41"/>
        <v>0</v>
      </c>
      <c r="CR78" s="11">
        <f t="shared" si="41"/>
        <v>0</v>
      </c>
      <c r="CS78" s="11">
        <f t="shared" si="41"/>
        <v>0</v>
      </c>
      <c r="CT78" s="11">
        <f t="shared" si="41"/>
        <v>0</v>
      </c>
      <c r="CU78" s="11">
        <f t="shared" si="41"/>
        <v>0</v>
      </c>
      <c r="CV78" s="11">
        <f t="shared" si="41"/>
        <v>0</v>
      </c>
      <c r="CW78" s="11">
        <f t="shared" si="41"/>
        <v>0</v>
      </c>
      <c r="CX78" s="11">
        <f t="shared" si="41"/>
        <v>0</v>
      </c>
      <c r="CY78" s="11">
        <f>SUM(CY79:CY86)+CY87</f>
        <v>0</v>
      </c>
      <c r="CZ78" s="11">
        <f>SUM(CZ79:CZ86)+CZ87</f>
        <v>0</v>
      </c>
      <c r="DA78" s="11">
        <f>SUM(DA79:DA86)+DA87</f>
        <v>0</v>
      </c>
      <c r="DB78" s="11">
        <f>SUM(DB79:DB86)+DB87</f>
        <v>0</v>
      </c>
      <c r="DC78" s="11">
        <f>SUM(DC79:DC86)+DC87</f>
        <v>0</v>
      </c>
      <c r="DF78" s="46">
        <f t="shared" si="39"/>
        <v>0</v>
      </c>
    </row>
    <row r="79" spans="1:112" ht="15" customHeight="1">
      <c r="A79" s="124">
        <v>67</v>
      </c>
      <c r="B79" s="5" t="str">
        <f>$B$78&amp;"1."</f>
        <v>F.1.</v>
      </c>
      <c r="C79" s="164" t="s">
        <v>42</v>
      </c>
      <c r="D79" s="6"/>
      <c r="E79" s="192">
        <v>0.21</v>
      </c>
      <c r="F79" s="35">
        <f>H79+NPV(FD,I79:INDEX(I79:DC79,PAL))</f>
        <v>0</v>
      </c>
      <c r="G79" s="35">
        <f>SUMIF($H$5:$DC$5,"&lt;="&amp;PAL,$H79:$DC79)</f>
        <v>0</v>
      </c>
      <c r="H79" s="38">
        <v>0</v>
      </c>
      <c r="I79" s="38">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0</v>
      </c>
      <c r="AG79" s="38">
        <v>0</v>
      </c>
      <c r="AH79" s="38">
        <v>0</v>
      </c>
      <c r="AI79" s="38">
        <v>0</v>
      </c>
      <c r="AJ79" s="38">
        <v>0</v>
      </c>
      <c r="AK79" s="38">
        <v>0</v>
      </c>
      <c r="AL79" s="38">
        <v>0</v>
      </c>
      <c r="AM79" s="38">
        <v>0</v>
      </c>
      <c r="AN79" s="38">
        <v>0</v>
      </c>
      <c r="AO79" s="38">
        <v>0</v>
      </c>
      <c r="AP79" s="38">
        <v>0</v>
      </c>
      <c r="AQ79" s="38">
        <v>0</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0</v>
      </c>
      <c r="BK79" s="38">
        <v>0</v>
      </c>
      <c r="BL79" s="38">
        <v>0</v>
      </c>
      <c r="BM79" s="38">
        <v>0</v>
      </c>
      <c r="BN79" s="38">
        <v>0</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E79" s="46">
        <f>COUNTBLANK(H79:DC79)</f>
        <v>0</v>
      </c>
      <c r="DF79" s="46">
        <f t="shared" si="39"/>
        <v>0</v>
      </c>
      <c r="DG79">
        <f t="shared" ref="DG79:DG88" si="42">IF(ISNUMBER(E79),E79*100,0)</f>
        <v>21</v>
      </c>
      <c r="DH79">
        <v>0</v>
      </c>
    </row>
    <row r="80" spans="1:112" ht="15" customHeight="1">
      <c r="A80" s="124">
        <v>68</v>
      </c>
      <c r="B80" s="5" t="str">
        <f>$B$78&amp;"2."</f>
        <v>F.2.</v>
      </c>
      <c r="C80" s="164" t="s">
        <v>42</v>
      </c>
      <c r="D80" s="6"/>
      <c r="E80" s="192">
        <v>0.21</v>
      </c>
      <c r="F80" s="35">
        <f>H80+NPV(FD,I80:INDEX(I80:DC80,PAL))</f>
        <v>0</v>
      </c>
      <c r="G80" s="35">
        <f>SUMIF($H$5:$DC$5,"&lt;="&amp;PAL,$H80:$DC80)</f>
        <v>0</v>
      </c>
      <c r="H80" s="38">
        <v>0</v>
      </c>
      <c r="I80" s="38">
        <v>0</v>
      </c>
      <c r="J80" s="38">
        <v>0</v>
      </c>
      <c r="K80" s="38">
        <v>0</v>
      </c>
      <c r="L80" s="38">
        <v>0</v>
      </c>
      <c r="M80" s="38">
        <v>0</v>
      </c>
      <c r="N80" s="38">
        <v>0</v>
      </c>
      <c r="O80" s="38">
        <v>0</v>
      </c>
      <c r="P80" s="38">
        <v>0</v>
      </c>
      <c r="Q80" s="38">
        <v>0</v>
      </c>
      <c r="R80" s="38">
        <v>0</v>
      </c>
      <c r="S80" s="38">
        <v>0</v>
      </c>
      <c r="T80" s="38">
        <v>0</v>
      </c>
      <c r="U80" s="38">
        <v>0</v>
      </c>
      <c r="V80" s="38">
        <v>0</v>
      </c>
      <c r="W80" s="38">
        <v>0</v>
      </c>
      <c r="X80" s="38">
        <v>0</v>
      </c>
      <c r="Y80" s="38">
        <v>0</v>
      </c>
      <c r="Z80" s="38">
        <v>0</v>
      </c>
      <c r="AA80" s="38">
        <v>0</v>
      </c>
      <c r="AB80" s="38">
        <v>0</v>
      </c>
      <c r="AC80" s="38">
        <v>0</v>
      </c>
      <c r="AD80" s="38">
        <v>0</v>
      </c>
      <c r="AE80" s="38">
        <v>0</v>
      </c>
      <c r="AF80" s="38">
        <v>0</v>
      </c>
      <c r="AG80" s="38">
        <v>0</v>
      </c>
      <c r="AH80" s="38">
        <v>0</v>
      </c>
      <c r="AI80" s="38">
        <v>0</v>
      </c>
      <c r="AJ80" s="38">
        <v>0</v>
      </c>
      <c r="AK80" s="38">
        <v>0</v>
      </c>
      <c r="AL80" s="38">
        <v>0</v>
      </c>
      <c r="AM80" s="38">
        <v>0</v>
      </c>
      <c r="AN80" s="38">
        <v>0</v>
      </c>
      <c r="AO80" s="38">
        <v>0</v>
      </c>
      <c r="AP80" s="38">
        <v>0</v>
      </c>
      <c r="AQ80" s="38">
        <v>0</v>
      </c>
      <c r="AR80" s="38">
        <v>0</v>
      </c>
      <c r="AS80" s="38">
        <v>0</v>
      </c>
      <c r="AT80" s="38">
        <v>0</v>
      </c>
      <c r="AU80" s="38">
        <v>0</v>
      </c>
      <c r="AV80" s="38">
        <v>0</v>
      </c>
      <c r="AW80" s="38">
        <v>0</v>
      </c>
      <c r="AX80" s="38">
        <v>0</v>
      </c>
      <c r="AY80" s="38">
        <v>0</v>
      </c>
      <c r="AZ80" s="38">
        <v>0</v>
      </c>
      <c r="BA80" s="38">
        <v>0</v>
      </c>
      <c r="BB80" s="38">
        <v>0</v>
      </c>
      <c r="BC80" s="38">
        <v>0</v>
      </c>
      <c r="BD80" s="38">
        <v>0</v>
      </c>
      <c r="BE80" s="38">
        <v>0</v>
      </c>
      <c r="BF80" s="38">
        <v>0</v>
      </c>
      <c r="BG80" s="38">
        <v>0</v>
      </c>
      <c r="BH80" s="38">
        <v>0</v>
      </c>
      <c r="BI80" s="38">
        <v>0</v>
      </c>
      <c r="BJ80" s="38">
        <v>0</v>
      </c>
      <c r="BK80" s="38">
        <v>0</v>
      </c>
      <c r="BL80" s="38">
        <v>0</v>
      </c>
      <c r="BM80" s="38">
        <v>0</v>
      </c>
      <c r="BN80" s="38">
        <v>0</v>
      </c>
      <c r="BO80" s="38">
        <v>0</v>
      </c>
      <c r="BP80" s="38">
        <v>0</v>
      </c>
      <c r="BQ80" s="38">
        <v>0</v>
      </c>
      <c r="BR80" s="38">
        <v>0</v>
      </c>
      <c r="BS80" s="38">
        <v>0</v>
      </c>
      <c r="BT80" s="38">
        <v>0</v>
      </c>
      <c r="BU80" s="38">
        <v>0</v>
      </c>
      <c r="BV80" s="38">
        <v>0</v>
      </c>
      <c r="BW80" s="38">
        <v>0</v>
      </c>
      <c r="BX80" s="38">
        <v>0</v>
      </c>
      <c r="BY80" s="38">
        <v>0</v>
      </c>
      <c r="BZ80" s="38">
        <v>0</v>
      </c>
      <c r="CA80" s="38">
        <v>0</v>
      </c>
      <c r="CB80" s="38">
        <v>0</v>
      </c>
      <c r="CC80" s="38">
        <v>0</v>
      </c>
      <c r="CD80" s="38">
        <v>0</v>
      </c>
      <c r="CE80" s="38">
        <v>0</v>
      </c>
      <c r="CF80" s="38">
        <v>0</v>
      </c>
      <c r="CG80" s="38">
        <v>0</v>
      </c>
      <c r="CH80" s="38">
        <v>0</v>
      </c>
      <c r="CI80" s="38">
        <v>0</v>
      </c>
      <c r="CJ80" s="38">
        <v>0</v>
      </c>
      <c r="CK80" s="38">
        <v>0</v>
      </c>
      <c r="CL80" s="38">
        <v>0</v>
      </c>
      <c r="CM80" s="38">
        <v>0</v>
      </c>
      <c r="CN80" s="38">
        <v>0</v>
      </c>
      <c r="CO80" s="38">
        <v>0</v>
      </c>
      <c r="CP80" s="38">
        <v>0</v>
      </c>
      <c r="CQ80" s="38">
        <v>0</v>
      </c>
      <c r="CR80" s="38">
        <v>0</v>
      </c>
      <c r="CS80" s="38">
        <v>0</v>
      </c>
      <c r="CT80" s="38">
        <v>0</v>
      </c>
      <c r="CU80" s="38">
        <v>0</v>
      </c>
      <c r="CV80" s="38">
        <v>0</v>
      </c>
      <c r="CW80" s="38">
        <v>0</v>
      </c>
      <c r="CX80" s="38">
        <v>0</v>
      </c>
      <c r="CY80" s="38">
        <v>0</v>
      </c>
      <c r="CZ80" s="38">
        <v>0</v>
      </c>
      <c r="DA80" s="38">
        <v>0</v>
      </c>
      <c r="DB80" s="38">
        <v>0</v>
      </c>
      <c r="DC80" s="38">
        <v>0</v>
      </c>
      <c r="DE80" s="46">
        <f t="shared" ref="DE80:DE88" si="43">COUNTBLANK(H80:DC80)</f>
        <v>0</v>
      </c>
      <c r="DF80" s="46">
        <f t="shared" si="39"/>
        <v>0</v>
      </c>
      <c r="DG80">
        <f t="shared" si="42"/>
        <v>21</v>
      </c>
      <c r="DH80">
        <v>0</v>
      </c>
    </row>
    <row r="81" spans="1:112" ht="15" customHeight="1">
      <c r="A81" s="124">
        <v>69</v>
      </c>
      <c r="B81" s="5" t="str">
        <f>$B$78&amp;"3."</f>
        <v>F.3.</v>
      </c>
      <c r="C81" s="164" t="s">
        <v>42</v>
      </c>
      <c r="D81" s="6"/>
      <c r="E81" s="192">
        <v>0.21</v>
      </c>
      <c r="F81" s="35">
        <f>H81+NPV(FD,I81:INDEX(I81:DC81,PAL))</f>
        <v>0</v>
      </c>
      <c r="G81" s="35">
        <f>SUMIF($H$5:$DC$5,"&lt;="&amp;PAL,$H81:$DC81)</f>
        <v>0</v>
      </c>
      <c r="H81" s="38">
        <v>0</v>
      </c>
      <c r="I81" s="38">
        <v>0</v>
      </c>
      <c r="J81" s="38">
        <v>0</v>
      </c>
      <c r="K81" s="38">
        <v>0</v>
      </c>
      <c r="L81" s="38">
        <v>0</v>
      </c>
      <c r="M81" s="38">
        <v>0</v>
      </c>
      <c r="N81" s="38">
        <v>0</v>
      </c>
      <c r="O81" s="38">
        <v>0</v>
      </c>
      <c r="P81" s="38">
        <v>0</v>
      </c>
      <c r="Q81" s="38">
        <v>0</v>
      </c>
      <c r="R81" s="38">
        <v>0</v>
      </c>
      <c r="S81" s="38">
        <v>0</v>
      </c>
      <c r="T81" s="38">
        <v>0</v>
      </c>
      <c r="U81" s="38">
        <v>0</v>
      </c>
      <c r="V81" s="38">
        <v>0</v>
      </c>
      <c r="W81" s="38">
        <v>0</v>
      </c>
      <c r="X81" s="38">
        <v>0</v>
      </c>
      <c r="Y81" s="38">
        <v>0</v>
      </c>
      <c r="Z81" s="38">
        <v>0</v>
      </c>
      <c r="AA81" s="38">
        <v>0</v>
      </c>
      <c r="AB81" s="38">
        <v>0</v>
      </c>
      <c r="AC81" s="38">
        <v>0</v>
      </c>
      <c r="AD81" s="38">
        <v>0</v>
      </c>
      <c r="AE81" s="38">
        <v>0</v>
      </c>
      <c r="AF81" s="38">
        <v>0</v>
      </c>
      <c r="AG81" s="38">
        <v>0</v>
      </c>
      <c r="AH81" s="38">
        <v>0</v>
      </c>
      <c r="AI81" s="38">
        <v>0</v>
      </c>
      <c r="AJ81" s="38">
        <v>0</v>
      </c>
      <c r="AK81" s="38">
        <v>0</v>
      </c>
      <c r="AL81" s="38">
        <v>0</v>
      </c>
      <c r="AM81" s="38">
        <v>0</v>
      </c>
      <c r="AN81" s="38">
        <v>0</v>
      </c>
      <c r="AO81" s="38">
        <v>0</v>
      </c>
      <c r="AP81" s="38">
        <v>0</v>
      </c>
      <c r="AQ81" s="38">
        <v>0</v>
      </c>
      <c r="AR81" s="38">
        <v>0</v>
      </c>
      <c r="AS81" s="38">
        <v>0</v>
      </c>
      <c r="AT81" s="38">
        <v>0</v>
      </c>
      <c r="AU81" s="38">
        <v>0</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0</v>
      </c>
      <c r="BX81" s="38">
        <v>0</v>
      </c>
      <c r="BY81" s="38">
        <v>0</v>
      </c>
      <c r="BZ81" s="38">
        <v>0</v>
      </c>
      <c r="CA81" s="38">
        <v>0</v>
      </c>
      <c r="CB81" s="38">
        <v>0</v>
      </c>
      <c r="CC81" s="38">
        <v>0</v>
      </c>
      <c r="CD81" s="38">
        <v>0</v>
      </c>
      <c r="CE81" s="38">
        <v>0</v>
      </c>
      <c r="CF81" s="38">
        <v>0</v>
      </c>
      <c r="CG81" s="38">
        <v>0</v>
      </c>
      <c r="CH81" s="38">
        <v>0</v>
      </c>
      <c r="CI81" s="38">
        <v>0</v>
      </c>
      <c r="CJ81" s="38">
        <v>0</v>
      </c>
      <c r="CK81" s="38">
        <v>0</v>
      </c>
      <c r="CL81" s="38">
        <v>0</v>
      </c>
      <c r="CM81" s="38">
        <v>0</v>
      </c>
      <c r="CN81" s="38">
        <v>0</v>
      </c>
      <c r="CO81" s="38">
        <v>0</v>
      </c>
      <c r="CP81" s="38">
        <v>0</v>
      </c>
      <c r="CQ81" s="38">
        <v>0</v>
      </c>
      <c r="CR81" s="38">
        <v>0</v>
      </c>
      <c r="CS81" s="38">
        <v>0</v>
      </c>
      <c r="CT81" s="38">
        <v>0</v>
      </c>
      <c r="CU81" s="38">
        <v>0</v>
      </c>
      <c r="CV81" s="38">
        <v>0</v>
      </c>
      <c r="CW81" s="38">
        <v>0</v>
      </c>
      <c r="CX81" s="38">
        <v>0</v>
      </c>
      <c r="CY81" s="38">
        <v>0</v>
      </c>
      <c r="CZ81" s="38">
        <v>0</v>
      </c>
      <c r="DA81" s="38">
        <v>0</v>
      </c>
      <c r="DB81" s="38">
        <v>0</v>
      </c>
      <c r="DC81" s="38">
        <v>0</v>
      </c>
      <c r="DE81" s="46">
        <f t="shared" si="43"/>
        <v>0</v>
      </c>
      <c r="DF81" s="46">
        <f t="shared" si="39"/>
        <v>0</v>
      </c>
      <c r="DG81">
        <f t="shared" si="42"/>
        <v>21</v>
      </c>
      <c r="DH81">
        <v>0</v>
      </c>
    </row>
    <row r="82" spans="1:112" ht="15" customHeight="1">
      <c r="A82" s="124">
        <v>70</v>
      </c>
      <c r="B82" s="5" t="str">
        <f>$B$78&amp;"4."</f>
        <v>F.4.</v>
      </c>
      <c r="C82" s="164" t="s">
        <v>42</v>
      </c>
      <c r="D82" s="6"/>
      <c r="E82" s="192">
        <v>0.21</v>
      </c>
      <c r="F82" s="35">
        <f>H82+NPV(FD,I82:INDEX(I82:DC82,PAL))</f>
        <v>0</v>
      </c>
      <c r="G82" s="35">
        <f>SUMIF($H$5:$DC$5,"&lt;="&amp;PAL,$H82:$DC82)</f>
        <v>0</v>
      </c>
      <c r="H82" s="38">
        <v>0</v>
      </c>
      <c r="I82" s="38">
        <v>0</v>
      </c>
      <c r="J82" s="38">
        <v>0</v>
      </c>
      <c r="K82" s="38">
        <v>0</v>
      </c>
      <c r="L82" s="38">
        <v>0</v>
      </c>
      <c r="M82" s="38">
        <v>0</v>
      </c>
      <c r="N82" s="38">
        <v>0</v>
      </c>
      <c r="O82" s="38">
        <v>0</v>
      </c>
      <c r="P82" s="38">
        <v>0</v>
      </c>
      <c r="Q82" s="38">
        <v>0</v>
      </c>
      <c r="R82" s="38">
        <v>0</v>
      </c>
      <c r="S82" s="38">
        <v>0</v>
      </c>
      <c r="T82" s="38">
        <v>0</v>
      </c>
      <c r="U82" s="38">
        <v>0</v>
      </c>
      <c r="V82" s="38">
        <v>0</v>
      </c>
      <c r="W82" s="38">
        <v>0</v>
      </c>
      <c r="X82" s="38">
        <v>0</v>
      </c>
      <c r="Y82" s="38">
        <v>0</v>
      </c>
      <c r="Z82" s="38">
        <v>0</v>
      </c>
      <c r="AA82" s="38">
        <v>0</v>
      </c>
      <c r="AB82" s="38">
        <v>0</v>
      </c>
      <c r="AC82" s="38">
        <v>0</v>
      </c>
      <c r="AD82" s="38">
        <v>0</v>
      </c>
      <c r="AE82" s="38">
        <v>0</v>
      </c>
      <c r="AF82" s="38">
        <v>0</v>
      </c>
      <c r="AG82" s="38">
        <v>0</v>
      </c>
      <c r="AH82" s="38">
        <v>0</v>
      </c>
      <c r="AI82" s="38">
        <v>0</v>
      </c>
      <c r="AJ82" s="38">
        <v>0</v>
      </c>
      <c r="AK82" s="38">
        <v>0</v>
      </c>
      <c r="AL82" s="38">
        <v>0</v>
      </c>
      <c r="AM82" s="38">
        <v>0</v>
      </c>
      <c r="AN82" s="38">
        <v>0</v>
      </c>
      <c r="AO82" s="38">
        <v>0</v>
      </c>
      <c r="AP82" s="38">
        <v>0</v>
      </c>
      <c r="AQ82" s="38">
        <v>0</v>
      </c>
      <c r="AR82" s="38">
        <v>0</v>
      </c>
      <c r="AS82" s="38">
        <v>0</v>
      </c>
      <c r="AT82" s="38">
        <v>0</v>
      </c>
      <c r="AU82" s="38">
        <v>0</v>
      </c>
      <c r="AV82" s="38">
        <v>0</v>
      </c>
      <c r="AW82" s="38">
        <v>0</v>
      </c>
      <c r="AX82" s="38">
        <v>0</v>
      </c>
      <c r="AY82" s="38">
        <v>0</v>
      </c>
      <c r="AZ82" s="38">
        <v>0</v>
      </c>
      <c r="BA82" s="38">
        <v>0</v>
      </c>
      <c r="BB82" s="38">
        <v>0</v>
      </c>
      <c r="BC82" s="38">
        <v>0</v>
      </c>
      <c r="BD82" s="38">
        <v>0</v>
      </c>
      <c r="BE82" s="38">
        <v>0</v>
      </c>
      <c r="BF82" s="38">
        <v>0</v>
      </c>
      <c r="BG82" s="38">
        <v>0</v>
      </c>
      <c r="BH82" s="38">
        <v>0</v>
      </c>
      <c r="BI82" s="38">
        <v>0</v>
      </c>
      <c r="BJ82" s="38">
        <v>0</v>
      </c>
      <c r="BK82" s="38">
        <v>0</v>
      </c>
      <c r="BL82" s="38">
        <v>0</v>
      </c>
      <c r="BM82" s="38">
        <v>0</v>
      </c>
      <c r="BN82" s="38">
        <v>0</v>
      </c>
      <c r="BO82" s="38">
        <v>0</v>
      </c>
      <c r="BP82" s="38">
        <v>0</v>
      </c>
      <c r="BQ82" s="38">
        <v>0</v>
      </c>
      <c r="BR82" s="38">
        <v>0</v>
      </c>
      <c r="BS82" s="38">
        <v>0</v>
      </c>
      <c r="BT82" s="38">
        <v>0</v>
      </c>
      <c r="BU82" s="38">
        <v>0</v>
      </c>
      <c r="BV82" s="38">
        <v>0</v>
      </c>
      <c r="BW82" s="38">
        <v>0</v>
      </c>
      <c r="BX82" s="38">
        <v>0</v>
      </c>
      <c r="BY82" s="38">
        <v>0</v>
      </c>
      <c r="BZ82" s="38">
        <v>0</v>
      </c>
      <c r="CA82" s="38">
        <v>0</v>
      </c>
      <c r="CB82" s="38">
        <v>0</v>
      </c>
      <c r="CC82" s="38">
        <v>0</v>
      </c>
      <c r="CD82" s="38">
        <v>0</v>
      </c>
      <c r="CE82" s="38">
        <v>0</v>
      </c>
      <c r="CF82" s="38">
        <v>0</v>
      </c>
      <c r="CG82" s="38">
        <v>0</v>
      </c>
      <c r="CH82" s="38">
        <v>0</v>
      </c>
      <c r="CI82" s="38">
        <v>0</v>
      </c>
      <c r="CJ82" s="38">
        <v>0</v>
      </c>
      <c r="CK82" s="38">
        <v>0</v>
      </c>
      <c r="CL82" s="38">
        <v>0</v>
      </c>
      <c r="CM82" s="38">
        <v>0</v>
      </c>
      <c r="CN82" s="38">
        <v>0</v>
      </c>
      <c r="CO82" s="38">
        <v>0</v>
      </c>
      <c r="CP82" s="38">
        <v>0</v>
      </c>
      <c r="CQ82" s="38">
        <v>0</v>
      </c>
      <c r="CR82" s="38">
        <v>0</v>
      </c>
      <c r="CS82" s="38">
        <v>0</v>
      </c>
      <c r="CT82" s="38">
        <v>0</v>
      </c>
      <c r="CU82" s="38">
        <v>0</v>
      </c>
      <c r="CV82" s="38">
        <v>0</v>
      </c>
      <c r="CW82" s="38">
        <v>0</v>
      </c>
      <c r="CX82" s="38">
        <v>0</v>
      </c>
      <c r="CY82" s="38">
        <v>0</v>
      </c>
      <c r="CZ82" s="38">
        <v>0</v>
      </c>
      <c r="DA82" s="38">
        <v>0</v>
      </c>
      <c r="DB82" s="38">
        <v>0</v>
      </c>
      <c r="DC82" s="38">
        <v>0</v>
      </c>
      <c r="DE82" s="46">
        <f t="shared" si="43"/>
        <v>0</v>
      </c>
      <c r="DF82" s="46">
        <f t="shared" si="39"/>
        <v>0</v>
      </c>
      <c r="DG82">
        <f t="shared" si="42"/>
        <v>21</v>
      </c>
      <c r="DH82">
        <v>0</v>
      </c>
    </row>
    <row r="83" spans="1:112" ht="15" customHeight="1">
      <c r="A83" s="124">
        <v>71</v>
      </c>
      <c r="B83" s="5" t="str">
        <f>$B$78&amp;"5."</f>
        <v>F.5.</v>
      </c>
      <c r="C83" s="164" t="s">
        <v>42</v>
      </c>
      <c r="D83" s="6"/>
      <c r="E83" s="192">
        <v>0.21</v>
      </c>
      <c r="F83" s="35">
        <f>H83+NPV(FD,I83:INDEX(I83:DC83,PAL))</f>
        <v>0</v>
      </c>
      <c r="G83" s="35">
        <f>SUMIF($H$5:$DC$5,"&lt;="&amp;PAL,$H83:$DC83)</f>
        <v>0</v>
      </c>
      <c r="H83" s="38">
        <v>0</v>
      </c>
      <c r="I83" s="38">
        <v>0</v>
      </c>
      <c r="J83" s="38">
        <v>0</v>
      </c>
      <c r="K83" s="38">
        <v>0</v>
      </c>
      <c r="L83" s="38">
        <v>0</v>
      </c>
      <c r="M83" s="38">
        <v>0</v>
      </c>
      <c r="N83" s="38">
        <v>0</v>
      </c>
      <c r="O83" s="38">
        <v>0</v>
      </c>
      <c r="P83" s="38">
        <v>0</v>
      </c>
      <c r="Q83" s="38">
        <v>0</v>
      </c>
      <c r="R83" s="38">
        <v>0</v>
      </c>
      <c r="S83" s="38">
        <v>0</v>
      </c>
      <c r="T83" s="38">
        <v>0</v>
      </c>
      <c r="U83" s="38">
        <v>0</v>
      </c>
      <c r="V83" s="38">
        <v>0</v>
      </c>
      <c r="W83" s="38">
        <v>0</v>
      </c>
      <c r="X83" s="38">
        <v>0</v>
      </c>
      <c r="Y83" s="38">
        <v>0</v>
      </c>
      <c r="Z83" s="38">
        <v>0</v>
      </c>
      <c r="AA83" s="38">
        <v>0</v>
      </c>
      <c r="AB83" s="38">
        <v>0</v>
      </c>
      <c r="AC83" s="38">
        <v>0</v>
      </c>
      <c r="AD83" s="38">
        <v>0</v>
      </c>
      <c r="AE83" s="38">
        <v>0</v>
      </c>
      <c r="AF83" s="38">
        <v>0</v>
      </c>
      <c r="AG83" s="38">
        <v>0</v>
      </c>
      <c r="AH83" s="38">
        <v>0</v>
      </c>
      <c r="AI83" s="38">
        <v>0</v>
      </c>
      <c r="AJ83" s="38">
        <v>0</v>
      </c>
      <c r="AK83" s="38">
        <v>0</v>
      </c>
      <c r="AL83" s="38">
        <v>0</v>
      </c>
      <c r="AM83" s="38">
        <v>0</v>
      </c>
      <c r="AN83" s="38">
        <v>0</v>
      </c>
      <c r="AO83" s="38">
        <v>0</v>
      </c>
      <c r="AP83" s="38">
        <v>0</v>
      </c>
      <c r="AQ83" s="38">
        <v>0</v>
      </c>
      <c r="AR83" s="38">
        <v>0</v>
      </c>
      <c r="AS83" s="38">
        <v>0</v>
      </c>
      <c r="AT83" s="38">
        <v>0</v>
      </c>
      <c r="AU83" s="38">
        <v>0</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0</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0</v>
      </c>
      <c r="CQ83" s="38">
        <v>0</v>
      </c>
      <c r="CR83" s="38">
        <v>0</v>
      </c>
      <c r="CS83" s="38">
        <v>0</v>
      </c>
      <c r="CT83" s="38">
        <v>0</v>
      </c>
      <c r="CU83" s="38">
        <v>0</v>
      </c>
      <c r="CV83" s="38">
        <v>0</v>
      </c>
      <c r="CW83" s="38">
        <v>0</v>
      </c>
      <c r="CX83" s="38">
        <v>0</v>
      </c>
      <c r="CY83" s="38">
        <v>0</v>
      </c>
      <c r="CZ83" s="38">
        <v>0</v>
      </c>
      <c r="DA83" s="38">
        <v>0</v>
      </c>
      <c r="DB83" s="38">
        <v>0</v>
      </c>
      <c r="DC83" s="38">
        <v>0</v>
      </c>
      <c r="DE83" s="46">
        <f t="shared" si="43"/>
        <v>0</v>
      </c>
      <c r="DF83" s="46">
        <f t="shared" si="39"/>
        <v>0</v>
      </c>
      <c r="DG83">
        <f t="shared" si="42"/>
        <v>21</v>
      </c>
      <c r="DH83">
        <v>0</v>
      </c>
    </row>
    <row r="84" spans="1:112" ht="15" customHeight="1">
      <c r="A84" s="124">
        <v>72</v>
      </c>
      <c r="B84" s="5" t="str">
        <f>$B$78&amp;"6."</f>
        <v>F.6.</v>
      </c>
      <c r="C84" s="164" t="s">
        <v>42</v>
      </c>
      <c r="D84" s="6"/>
      <c r="E84" s="192">
        <v>0.21</v>
      </c>
      <c r="F84" s="35">
        <f>H84+NPV(FD,I84:INDEX(I84:DC84,PAL))</f>
        <v>0</v>
      </c>
      <c r="G84" s="35">
        <f>SUMIF($H$5:$DC$5,"&lt;="&amp;PAL,$H84:$DC84)</f>
        <v>0</v>
      </c>
      <c r="H84" s="38">
        <v>0</v>
      </c>
      <c r="I84" s="38">
        <v>0</v>
      </c>
      <c r="J84" s="38">
        <v>0</v>
      </c>
      <c r="K84" s="38">
        <v>0</v>
      </c>
      <c r="L84" s="38">
        <v>0</v>
      </c>
      <c r="M84" s="38">
        <v>0</v>
      </c>
      <c r="N84" s="38">
        <v>0</v>
      </c>
      <c r="O84" s="38">
        <v>0</v>
      </c>
      <c r="P84" s="38">
        <v>0</v>
      </c>
      <c r="Q84" s="38">
        <v>0</v>
      </c>
      <c r="R84" s="38">
        <v>0</v>
      </c>
      <c r="S84" s="38">
        <v>0</v>
      </c>
      <c r="T84" s="38">
        <v>0</v>
      </c>
      <c r="U84" s="38">
        <v>0</v>
      </c>
      <c r="V84" s="38">
        <v>0</v>
      </c>
      <c r="W84" s="38">
        <v>0</v>
      </c>
      <c r="X84" s="38">
        <v>0</v>
      </c>
      <c r="Y84" s="38">
        <v>0</v>
      </c>
      <c r="Z84" s="38">
        <v>0</v>
      </c>
      <c r="AA84" s="38">
        <v>0</v>
      </c>
      <c r="AB84" s="38">
        <v>0</v>
      </c>
      <c r="AC84" s="38">
        <v>0</v>
      </c>
      <c r="AD84" s="38">
        <v>0</v>
      </c>
      <c r="AE84" s="38">
        <v>0</v>
      </c>
      <c r="AF84" s="38">
        <v>0</v>
      </c>
      <c r="AG84" s="38">
        <v>0</v>
      </c>
      <c r="AH84" s="38">
        <v>0</v>
      </c>
      <c r="AI84" s="38">
        <v>0</v>
      </c>
      <c r="AJ84" s="38">
        <v>0</v>
      </c>
      <c r="AK84" s="38">
        <v>0</v>
      </c>
      <c r="AL84" s="38">
        <v>0</v>
      </c>
      <c r="AM84" s="38">
        <v>0</v>
      </c>
      <c r="AN84" s="38">
        <v>0</v>
      </c>
      <c r="AO84" s="38">
        <v>0</v>
      </c>
      <c r="AP84" s="38">
        <v>0</v>
      </c>
      <c r="AQ84" s="38">
        <v>0</v>
      </c>
      <c r="AR84" s="38">
        <v>0</v>
      </c>
      <c r="AS84" s="38">
        <v>0</v>
      </c>
      <c r="AT84" s="38">
        <v>0</v>
      </c>
      <c r="AU84" s="38">
        <v>0</v>
      </c>
      <c r="AV84" s="38">
        <v>0</v>
      </c>
      <c r="AW84" s="38">
        <v>0</v>
      </c>
      <c r="AX84" s="38">
        <v>0</v>
      </c>
      <c r="AY84" s="38">
        <v>0</v>
      </c>
      <c r="AZ84" s="38">
        <v>0</v>
      </c>
      <c r="BA84" s="38">
        <v>0</v>
      </c>
      <c r="BB84" s="38">
        <v>0</v>
      </c>
      <c r="BC84" s="38">
        <v>0</v>
      </c>
      <c r="BD84" s="38">
        <v>0</v>
      </c>
      <c r="BE84" s="38">
        <v>0</v>
      </c>
      <c r="BF84" s="38">
        <v>0</v>
      </c>
      <c r="BG84" s="38">
        <v>0</v>
      </c>
      <c r="BH84" s="38">
        <v>0</v>
      </c>
      <c r="BI84" s="38">
        <v>0</v>
      </c>
      <c r="BJ84" s="38">
        <v>0</v>
      </c>
      <c r="BK84" s="38">
        <v>0</v>
      </c>
      <c r="BL84" s="38">
        <v>0</v>
      </c>
      <c r="BM84" s="38">
        <v>0</v>
      </c>
      <c r="BN84" s="38">
        <v>0</v>
      </c>
      <c r="BO84" s="38">
        <v>0</v>
      </c>
      <c r="BP84" s="38">
        <v>0</v>
      </c>
      <c r="BQ84" s="38">
        <v>0</v>
      </c>
      <c r="BR84" s="38">
        <v>0</v>
      </c>
      <c r="BS84" s="38">
        <v>0</v>
      </c>
      <c r="BT84" s="38">
        <v>0</v>
      </c>
      <c r="BU84" s="38">
        <v>0</v>
      </c>
      <c r="BV84" s="38">
        <v>0</v>
      </c>
      <c r="BW84" s="38">
        <v>0</v>
      </c>
      <c r="BX84" s="38">
        <v>0</v>
      </c>
      <c r="BY84" s="38">
        <v>0</v>
      </c>
      <c r="BZ84" s="38">
        <v>0</v>
      </c>
      <c r="CA84" s="38">
        <v>0</v>
      </c>
      <c r="CB84" s="38">
        <v>0</v>
      </c>
      <c r="CC84" s="38">
        <v>0</v>
      </c>
      <c r="CD84" s="38">
        <v>0</v>
      </c>
      <c r="CE84" s="38">
        <v>0</v>
      </c>
      <c r="CF84" s="38">
        <v>0</v>
      </c>
      <c r="CG84" s="38">
        <v>0</v>
      </c>
      <c r="CH84" s="38">
        <v>0</v>
      </c>
      <c r="CI84" s="38">
        <v>0</v>
      </c>
      <c r="CJ84" s="38">
        <v>0</v>
      </c>
      <c r="CK84" s="38">
        <v>0</v>
      </c>
      <c r="CL84" s="38">
        <v>0</v>
      </c>
      <c r="CM84" s="38">
        <v>0</v>
      </c>
      <c r="CN84" s="38">
        <v>0</v>
      </c>
      <c r="CO84" s="38">
        <v>0</v>
      </c>
      <c r="CP84" s="38">
        <v>0</v>
      </c>
      <c r="CQ84" s="38">
        <v>0</v>
      </c>
      <c r="CR84" s="38">
        <v>0</v>
      </c>
      <c r="CS84" s="38">
        <v>0</v>
      </c>
      <c r="CT84" s="38">
        <v>0</v>
      </c>
      <c r="CU84" s="38">
        <v>0</v>
      </c>
      <c r="CV84" s="38">
        <v>0</v>
      </c>
      <c r="CW84" s="38">
        <v>0</v>
      </c>
      <c r="CX84" s="38">
        <v>0</v>
      </c>
      <c r="CY84" s="38">
        <v>0</v>
      </c>
      <c r="CZ84" s="38">
        <v>0</v>
      </c>
      <c r="DA84" s="38">
        <v>0</v>
      </c>
      <c r="DB84" s="38">
        <v>0</v>
      </c>
      <c r="DC84" s="38">
        <v>0</v>
      </c>
      <c r="DE84" s="46">
        <f t="shared" si="43"/>
        <v>0</v>
      </c>
      <c r="DF84" s="46">
        <f t="shared" si="39"/>
        <v>0</v>
      </c>
      <c r="DG84">
        <f t="shared" si="42"/>
        <v>21</v>
      </c>
      <c r="DH84">
        <v>0</v>
      </c>
    </row>
    <row r="85" spans="1:112" ht="15" customHeight="1">
      <c r="A85" s="124">
        <v>73</v>
      </c>
      <c r="B85" s="5" t="str">
        <f>$B$78&amp;"7."</f>
        <v>F.7.</v>
      </c>
      <c r="C85" s="164" t="s">
        <v>42</v>
      </c>
      <c r="D85" s="6"/>
      <c r="E85" s="192">
        <v>0.21</v>
      </c>
      <c r="F85" s="35">
        <f>H85+NPV(FD,I85:INDEX(I85:DC85,PAL))</f>
        <v>0</v>
      </c>
      <c r="G85" s="35">
        <f>SUMIF($H$5:$DC$5,"&lt;="&amp;PAL,$H85:$DC85)</f>
        <v>0</v>
      </c>
      <c r="H85" s="38">
        <v>0</v>
      </c>
      <c r="I85" s="38">
        <v>0</v>
      </c>
      <c r="J85" s="38">
        <v>0</v>
      </c>
      <c r="K85" s="38">
        <v>0</v>
      </c>
      <c r="L85" s="38">
        <v>0</v>
      </c>
      <c r="M85" s="38">
        <v>0</v>
      </c>
      <c r="N85" s="38">
        <v>0</v>
      </c>
      <c r="O85" s="38">
        <v>0</v>
      </c>
      <c r="P85" s="38">
        <v>0</v>
      </c>
      <c r="Q85" s="38">
        <v>0</v>
      </c>
      <c r="R85" s="38">
        <v>0</v>
      </c>
      <c r="S85" s="38">
        <v>0</v>
      </c>
      <c r="T85" s="38">
        <v>0</v>
      </c>
      <c r="U85" s="38">
        <v>0</v>
      </c>
      <c r="V85" s="38">
        <v>0</v>
      </c>
      <c r="W85" s="38">
        <v>0</v>
      </c>
      <c r="X85" s="38">
        <v>0</v>
      </c>
      <c r="Y85" s="38">
        <v>0</v>
      </c>
      <c r="Z85" s="38">
        <v>0</v>
      </c>
      <c r="AA85" s="38">
        <v>0</v>
      </c>
      <c r="AB85" s="38">
        <v>0</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0</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0</v>
      </c>
      <c r="BO85" s="38">
        <v>0</v>
      </c>
      <c r="BP85" s="38">
        <v>0</v>
      </c>
      <c r="BQ85" s="38">
        <v>0</v>
      </c>
      <c r="BR85" s="38">
        <v>0</v>
      </c>
      <c r="BS85" s="38">
        <v>0</v>
      </c>
      <c r="BT85" s="38">
        <v>0</v>
      </c>
      <c r="BU85" s="38">
        <v>0</v>
      </c>
      <c r="BV85" s="38">
        <v>0</v>
      </c>
      <c r="BW85" s="38">
        <v>0</v>
      </c>
      <c r="BX85" s="38">
        <v>0</v>
      </c>
      <c r="BY85" s="38">
        <v>0</v>
      </c>
      <c r="BZ85" s="38">
        <v>0</v>
      </c>
      <c r="CA85" s="38">
        <v>0</v>
      </c>
      <c r="CB85" s="38">
        <v>0</v>
      </c>
      <c r="CC85" s="38">
        <v>0</v>
      </c>
      <c r="CD85" s="38">
        <v>0</v>
      </c>
      <c r="CE85" s="38">
        <v>0</v>
      </c>
      <c r="CF85" s="38">
        <v>0</v>
      </c>
      <c r="CG85" s="38">
        <v>0</v>
      </c>
      <c r="CH85" s="38">
        <v>0</v>
      </c>
      <c r="CI85" s="38">
        <v>0</v>
      </c>
      <c r="CJ85" s="38">
        <v>0</v>
      </c>
      <c r="CK85" s="38">
        <v>0</v>
      </c>
      <c r="CL85" s="38">
        <v>0</v>
      </c>
      <c r="CM85" s="38">
        <v>0</v>
      </c>
      <c r="CN85" s="38">
        <v>0</v>
      </c>
      <c r="CO85" s="38">
        <v>0</v>
      </c>
      <c r="CP85" s="38">
        <v>0</v>
      </c>
      <c r="CQ85" s="38">
        <v>0</v>
      </c>
      <c r="CR85" s="38">
        <v>0</v>
      </c>
      <c r="CS85" s="38">
        <v>0</v>
      </c>
      <c r="CT85" s="38">
        <v>0</v>
      </c>
      <c r="CU85" s="38">
        <v>0</v>
      </c>
      <c r="CV85" s="38">
        <v>0</v>
      </c>
      <c r="CW85" s="38">
        <v>0</v>
      </c>
      <c r="CX85" s="38">
        <v>0</v>
      </c>
      <c r="CY85" s="38">
        <v>0</v>
      </c>
      <c r="CZ85" s="38">
        <v>0</v>
      </c>
      <c r="DA85" s="38">
        <v>0</v>
      </c>
      <c r="DB85" s="38">
        <v>0</v>
      </c>
      <c r="DC85" s="38">
        <v>0</v>
      </c>
      <c r="DE85" s="46">
        <f t="shared" si="43"/>
        <v>0</v>
      </c>
      <c r="DF85" s="46">
        <f t="shared" si="39"/>
        <v>0</v>
      </c>
      <c r="DG85">
        <f t="shared" si="42"/>
        <v>21</v>
      </c>
      <c r="DH85">
        <v>0</v>
      </c>
    </row>
    <row r="86" spans="1:112" ht="15" customHeight="1">
      <c r="A86" s="124">
        <v>74</v>
      </c>
      <c r="B86" s="5" t="str">
        <f>$B$78&amp;"8."</f>
        <v>F.8.</v>
      </c>
      <c r="C86" s="164" t="s">
        <v>42</v>
      </c>
      <c r="D86" s="6"/>
      <c r="E86" s="192">
        <v>0.21</v>
      </c>
      <c r="F86" s="35">
        <f>H86+NPV(FD,I86:INDEX(I86:DC86,PAL))</f>
        <v>0</v>
      </c>
      <c r="G86" s="35">
        <f>SUMIF($H$5:$DC$5,"&lt;="&amp;PAL,$H86:$DC86)</f>
        <v>0</v>
      </c>
      <c r="H86" s="38">
        <v>0</v>
      </c>
      <c r="I86" s="38">
        <v>0</v>
      </c>
      <c r="J86" s="38">
        <v>0</v>
      </c>
      <c r="K86" s="38">
        <v>0</v>
      </c>
      <c r="L86" s="38">
        <v>0</v>
      </c>
      <c r="M86" s="38">
        <v>0</v>
      </c>
      <c r="N86" s="38">
        <v>0</v>
      </c>
      <c r="O86" s="38">
        <v>0</v>
      </c>
      <c r="P86" s="38">
        <v>0</v>
      </c>
      <c r="Q86" s="38">
        <v>0</v>
      </c>
      <c r="R86" s="38">
        <v>0</v>
      </c>
      <c r="S86" s="38">
        <v>0</v>
      </c>
      <c r="T86" s="38">
        <v>0</v>
      </c>
      <c r="U86" s="38">
        <v>0</v>
      </c>
      <c r="V86" s="38">
        <v>0</v>
      </c>
      <c r="W86" s="38">
        <v>0</v>
      </c>
      <c r="X86" s="38">
        <v>0</v>
      </c>
      <c r="Y86" s="38">
        <v>0</v>
      </c>
      <c r="Z86" s="38">
        <v>0</v>
      </c>
      <c r="AA86" s="38">
        <v>0</v>
      </c>
      <c r="AB86" s="38">
        <v>0</v>
      </c>
      <c r="AC86" s="38">
        <v>0</v>
      </c>
      <c r="AD86" s="38">
        <v>0</v>
      </c>
      <c r="AE86" s="38">
        <v>0</v>
      </c>
      <c r="AF86" s="38">
        <v>0</v>
      </c>
      <c r="AG86" s="38">
        <v>0</v>
      </c>
      <c r="AH86" s="38">
        <v>0</v>
      </c>
      <c r="AI86" s="38">
        <v>0</v>
      </c>
      <c r="AJ86" s="38">
        <v>0</v>
      </c>
      <c r="AK86" s="38">
        <v>0</v>
      </c>
      <c r="AL86" s="38">
        <v>0</v>
      </c>
      <c r="AM86" s="38">
        <v>0</v>
      </c>
      <c r="AN86" s="38">
        <v>0</v>
      </c>
      <c r="AO86" s="38">
        <v>0</v>
      </c>
      <c r="AP86" s="38">
        <v>0</v>
      </c>
      <c r="AQ86" s="38">
        <v>0</v>
      </c>
      <c r="AR86" s="38">
        <v>0</v>
      </c>
      <c r="AS86" s="38">
        <v>0</v>
      </c>
      <c r="AT86" s="38">
        <v>0</v>
      </c>
      <c r="AU86" s="38">
        <v>0</v>
      </c>
      <c r="AV86" s="38">
        <v>0</v>
      </c>
      <c r="AW86" s="38">
        <v>0</v>
      </c>
      <c r="AX86" s="38">
        <v>0</v>
      </c>
      <c r="AY86" s="38">
        <v>0</v>
      </c>
      <c r="AZ86" s="38">
        <v>0</v>
      </c>
      <c r="BA86" s="38">
        <v>0</v>
      </c>
      <c r="BB86" s="38">
        <v>0</v>
      </c>
      <c r="BC86" s="38">
        <v>0</v>
      </c>
      <c r="BD86" s="38">
        <v>0</v>
      </c>
      <c r="BE86" s="38">
        <v>0</v>
      </c>
      <c r="BF86" s="38">
        <v>0</v>
      </c>
      <c r="BG86" s="38">
        <v>0</v>
      </c>
      <c r="BH86" s="38">
        <v>0</v>
      </c>
      <c r="BI86" s="38">
        <v>0</v>
      </c>
      <c r="BJ86" s="38">
        <v>0</v>
      </c>
      <c r="BK86" s="38">
        <v>0</v>
      </c>
      <c r="BL86" s="38">
        <v>0</v>
      </c>
      <c r="BM86" s="38">
        <v>0</v>
      </c>
      <c r="BN86" s="38">
        <v>0</v>
      </c>
      <c r="BO86" s="38">
        <v>0</v>
      </c>
      <c r="BP86" s="38">
        <v>0</v>
      </c>
      <c r="BQ86" s="38">
        <v>0</v>
      </c>
      <c r="BR86" s="38">
        <v>0</v>
      </c>
      <c r="BS86" s="38">
        <v>0</v>
      </c>
      <c r="BT86" s="38">
        <v>0</v>
      </c>
      <c r="BU86" s="38">
        <v>0</v>
      </c>
      <c r="BV86" s="38">
        <v>0</v>
      </c>
      <c r="BW86" s="38">
        <v>0</v>
      </c>
      <c r="BX86" s="38">
        <v>0</v>
      </c>
      <c r="BY86" s="38">
        <v>0</v>
      </c>
      <c r="BZ86" s="38">
        <v>0</v>
      </c>
      <c r="CA86" s="38">
        <v>0</v>
      </c>
      <c r="CB86" s="38">
        <v>0</v>
      </c>
      <c r="CC86" s="38">
        <v>0</v>
      </c>
      <c r="CD86" s="38">
        <v>0</v>
      </c>
      <c r="CE86" s="38">
        <v>0</v>
      </c>
      <c r="CF86" s="38">
        <v>0</v>
      </c>
      <c r="CG86" s="38">
        <v>0</v>
      </c>
      <c r="CH86" s="38">
        <v>0</v>
      </c>
      <c r="CI86" s="38">
        <v>0</v>
      </c>
      <c r="CJ86" s="38">
        <v>0</v>
      </c>
      <c r="CK86" s="38">
        <v>0</v>
      </c>
      <c r="CL86" s="38">
        <v>0</v>
      </c>
      <c r="CM86" s="38">
        <v>0</v>
      </c>
      <c r="CN86" s="38">
        <v>0</v>
      </c>
      <c r="CO86" s="38">
        <v>0</v>
      </c>
      <c r="CP86" s="38">
        <v>0</v>
      </c>
      <c r="CQ86" s="38">
        <v>0</v>
      </c>
      <c r="CR86" s="38">
        <v>0</v>
      </c>
      <c r="CS86" s="38">
        <v>0</v>
      </c>
      <c r="CT86" s="38">
        <v>0</v>
      </c>
      <c r="CU86" s="38">
        <v>0</v>
      </c>
      <c r="CV86" s="38">
        <v>0</v>
      </c>
      <c r="CW86" s="38">
        <v>0</v>
      </c>
      <c r="CX86" s="38">
        <v>0</v>
      </c>
      <c r="CY86" s="38">
        <v>0</v>
      </c>
      <c r="CZ86" s="38">
        <v>0</v>
      </c>
      <c r="DA86" s="38">
        <v>0</v>
      </c>
      <c r="DB86" s="38">
        <v>0</v>
      </c>
      <c r="DC86" s="38">
        <v>0</v>
      </c>
      <c r="DE86" s="46">
        <f t="shared" si="43"/>
        <v>0</v>
      </c>
      <c r="DF86" s="46">
        <f t="shared" si="39"/>
        <v>0</v>
      </c>
      <c r="DG86">
        <f t="shared" si="42"/>
        <v>21</v>
      </c>
      <c r="DH86">
        <v>0</v>
      </c>
    </row>
    <row r="87" spans="1:112" ht="15" customHeight="1">
      <c r="A87" s="124">
        <v>75</v>
      </c>
      <c r="B87" s="5" t="str">
        <f>$B$78&amp;"9."</f>
        <v>F.9.</v>
      </c>
      <c r="C87" s="17" t="s">
        <v>155</v>
      </c>
      <c r="D87" s="5"/>
      <c r="E87" s="192">
        <v>0.21</v>
      </c>
      <c r="F87" s="35">
        <f>H87+NPV(FD,I87:INDEX(I87:DC87,PAL))</f>
        <v>0</v>
      </c>
      <c r="G87" s="35">
        <f>SUMIF($H$5:$DC$5,"&lt;="&amp;PAL,$H87:$DC87)</f>
        <v>0</v>
      </c>
      <c r="H87" s="167">
        <v>0</v>
      </c>
      <c r="I87" s="167">
        <v>0</v>
      </c>
      <c r="J87" s="167">
        <v>0</v>
      </c>
      <c r="K87" s="167">
        <v>0</v>
      </c>
      <c r="L87" s="167">
        <v>0</v>
      </c>
      <c r="M87" s="167">
        <v>0</v>
      </c>
      <c r="N87" s="167">
        <v>0</v>
      </c>
      <c r="O87" s="167">
        <v>0</v>
      </c>
      <c r="P87" s="167">
        <v>0</v>
      </c>
      <c r="Q87" s="167">
        <v>0</v>
      </c>
      <c r="R87" s="167">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c r="AJ87" s="168">
        <v>0</v>
      </c>
      <c r="AK87" s="168">
        <v>0</v>
      </c>
      <c r="AL87" s="168">
        <v>0</v>
      </c>
      <c r="AM87" s="168">
        <v>0</v>
      </c>
      <c r="AN87" s="168">
        <v>0</v>
      </c>
      <c r="AO87" s="168">
        <v>0</v>
      </c>
      <c r="AP87" s="168">
        <v>0</v>
      </c>
      <c r="AQ87" s="168">
        <v>0</v>
      </c>
      <c r="AR87" s="168">
        <v>0</v>
      </c>
      <c r="AS87" s="168">
        <v>0</v>
      </c>
      <c r="AT87" s="168">
        <v>0</v>
      </c>
      <c r="AU87" s="168">
        <v>0</v>
      </c>
      <c r="AV87" s="168">
        <v>0</v>
      </c>
      <c r="AW87" s="168">
        <v>0</v>
      </c>
      <c r="AX87" s="168">
        <v>0</v>
      </c>
      <c r="AY87" s="168">
        <v>0</v>
      </c>
      <c r="AZ87" s="168">
        <v>0</v>
      </c>
      <c r="BA87" s="168">
        <v>0</v>
      </c>
      <c r="BB87" s="168">
        <v>0</v>
      </c>
      <c r="BC87" s="168">
        <v>0</v>
      </c>
      <c r="BD87" s="168">
        <v>0</v>
      </c>
      <c r="BE87" s="168">
        <v>0</v>
      </c>
      <c r="BF87" s="168">
        <v>0</v>
      </c>
      <c r="BG87" s="168">
        <v>0</v>
      </c>
      <c r="BH87" s="168">
        <v>0</v>
      </c>
      <c r="BI87" s="168">
        <v>0</v>
      </c>
      <c r="BJ87" s="168">
        <v>0</v>
      </c>
      <c r="BK87" s="168">
        <v>0</v>
      </c>
      <c r="BL87" s="168">
        <v>0</v>
      </c>
      <c r="BM87" s="168">
        <v>0</v>
      </c>
      <c r="BN87" s="168">
        <v>0</v>
      </c>
      <c r="BO87" s="168">
        <v>0</v>
      </c>
      <c r="BP87" s="168">
        <v>0</v>
      </c>
      <c r="BQ87" s="168">
        <v>0</v>
      </c>
      <c r="BR87" s="168">
        <v>0</v>
      </c>
      <c r="BS87" s="168">
        <v>0</v>
      </c>
      <c r="BT87" s="168">
        <v>0</v>
      </c>
      <c r="BU87" s="168">
        <v>0</v>
      </c>
      <c r="BV87" s="168">
        <v>0</v>
      </c>
      <c r="BW87" s="168">
        <v>0</v>
      </c>
      <c r="BX87" s="168">
        <v>0</v>
      </c>
      <c r="BY87" s="168">
        <v>0</v>
      </c>
      <c r="BZ87" s="168">
        <v>0</v>
      </c>
      <c r="CA87" s="168">
        <v>0</v>
      </c>
      <c r="CB87" s="168">
        <v>0</v>
      </c>
      <c r="CC87" s="168">
        <v>0</v>
      </c>
      <c r="CD87" s="168">
        <v>0</v>
      </c>
      <c r="CE87" s="168">
        <v>0</v>
      </c>
      <c r="CF87" s="168">
        <v>0</v>
      </c>
      <c r="CG87" s="168">
        <v>0</v>
      </c>
      <c r="CH87" s="168">
        <v>0</v>
      </c>
      <c r="CI87" s="168">
        <v>0</v>
      </c>
      <c r="CJ87" s="168">
        <v>0</v>
      </c>
      <c r="CK87" s="168">
        <v>0</v>
      </c>
      <c r="CL87" s="168">
        <v>0</v>
      </c>
      <c r="CM87" s="168">
        <v>0</v>
      </c>
      <c r="CN87" s="168">
        <v>0</v>
      </c>
      <c r="CO87" s="168">
        <v>0</v>
      </c>
      <c r="CP87" s="168">
        <v>0</v>
      </c>
      <c r="CQ87" s="168">
        <v>0</v>
      </c>
      <c r="CR87" s="168">
        <v>0</v>
      </c>
      <c r="CS87" s="168">
        <v>0</v>
      </c>
      <c r="CT87" s="168">
        <v>0</v>
      </c>
      <c r="CU87" s="168">
        <v>0</v>
      </c>
      <c r="CV87" s="168">
        <v>0</v>
      </c>
      <c r="CW87" s="168">
        <v>0</v>
      </c>
      <c r="CX87" s="168">
        <v>0</v>
      </c>
      <c r="CY87" s="168">
        <v>0</v>
      </c>
      <c r="CZ87" s="168">
        <v>0</v>
      </c>
      <c r="DA87" s="168">
        <v>0</v>
      </c>
      <c r="DB87" s="168">
        <v>0</v>
      </c>
      <c r="DC87" s="168">
        <v>0</v>
      </c>
      <c r="DE87" s="46">
        <f t="shared" si="43"/>
        <v>0</v>
      </c>
      <c r="DF87" s="46">
        <f t="shared" si="39"/>
        <v>0</v>
      </c>
      <c r="DG87">
        <f t="shared" si="42"/>
        <v>21</v>
      </c>
      <c r="DH87">
        <v>0</v>
      </c>
    </row>
    <row r="88" spans="1:112" ht="15" customHeight="1">
      <c r="A88" s="124">
        <v>76</v>
      </c>
      <c r="B88" s="5" t="str">
        <f>$B$78&amp;"L."</f>
        <v>F.L.</v>
      </c>
      <c r="C88" s="17" t="s">
        <v>16</v>
      </c>
      <c r="D88" s="5"/>
      <c r="E88" s="192">
        <v>0.21</v>
      </c>
      <c r="F88" s="35">
        <f>H88+NPV(FD,I88:INDEX(I88:DC88,PAL))</f>
        <v>0</v>
      </c>
      <c r="G88" s="35">
        <f>SUMIF($H$5:$DC$5,"&lt;="&amp;PAL,$H88:$DC88)</f>
        <v>0</v>
      </c>
      <c r="H88" s="167">
        <v>0</v>
      </c>
      <c r="I88" s="167">
        <v>0</v>
      </c>
      <c r="J88" s="167">
        <v>0</v>
      </c>
      <c r="K88" s="167">
        <v>0</v>
      </c>
      <c r="L88" s="167">
        <v>0</v>
      </c>
      <c r="M88" s="167">
        <v>0</v>
      </c>
      <c r="N88" s="167">
        <v>0</v>
      </c>
      <c r="O88" s="167">
        <v>0</v>
      </c>
      <c r="P88" s="167">
        <v>0</v>
      </c>
      <c r="Q88" s="167">
        <v>0</v>
      </c>
      <c r="R88" s="167">
        <v>0</v>
      </c>
      <c r="S88" s="167">
        <v>0</v>
      </c>
      <c r="T88" s="167">
        <v>0</v>
      </c>
      <c r="U88" s="167">
        <v>0</v>
      </c>
      <c r="V88" s="167">
        <v>0</v>
      </c>
      <c r="W88" s="167">
        <v>0</v>
      </c>
      <c r="X88" s="167">
        <v>0</v>
      </c>
      <c r="Y88" s="167">
        <v>0</v>
      </c>
      <c r="Z88" s="167">
        <v>0</v>
      </c>
      <c r="AA88" s="167">
        <v>0</v>
      </c>
      <c r="AB88" s="168">
        <v>0</v>
      </c>
      <c r="AC88" s="167">
        <v>0</v>
      </c>
      <c r="AD88" s="167">
        <v>0</v>
      </c>
      <c r="AE88" s="167">
        <v>0</v>
      </c>
      <c r="AF88" s="167">
        <v>0</v>
      </c>
      <c r="AG88" s="167">
        <v>0</v>
      </c>
      <c r="AH88" s="167">
        <v>0</v>
      </c>
      <c r="AI88" s="167">
        <v>0</v>
      </c>
      <c r="AJ88" s="167">
        <v>0</v>
      </c>
      <c r="AK88" s="167">
        <v>0</v>
      </c>
      <c r="AL88" s="168">
        <v>0</v>
      </c>
      <c r="AM88" s="167">
        <v>0</v>
      </c>
      <c r="AN88" s="167">
        <v>0</v>
      </c>
      <c r="AO88" s="167">
        <v>0</v>
      </c>
      <c r="AP88" s="167">
        <v>0</v>
      </c>
      <c r="AQ88" s="167">
        <v>0</v>
      </c>
      <c r="AR88" s="167">
        <v>0</v>
      </c>
      <c r="AS88" s="167">
        <v>0</v>
      </c>
      <c r="AT88" s="167">
        <v>0</v>
      </c>
      <c r="AU88" s="167">
        <v>0</v>
      </c>
      <c r="AV88" s="167">
        <v>0</v>
      </c>
      <c r="AW88" s="167">
        <v>0</v>
      </c>
      <c r="AX88" s="167">
        <v>0</v>
      </c>
      <c r="AY88" s="167">
        <v>0</v>
      </c>
      <c r="AZ88" s="167">
        <v>0</v>
      </c>
      <c r="BA88" s="167">
        <v>0</v>
      </c>
      <c r="BB88" s="167">
        <v>0</v>
      </c>
      <c r="BC88" s="167">
        <v>0</v>
      </c>
      <c r="BD88" s="167">
        <v>0</v>
      </c>
      <c r="BE88" s="167">
        <v>0</v>
      </c>
      <c r="BF88" s="167">
        <v>0</v>
      </c>
      <c r="BG88" s="167">
        <v>0</v>
      </c>
      <c r="BH88" s="167">
        <v>0</v>
      </c>
      <c r="BI88" s="167">
        <v>0</v>
      </c>
      <c r="BJ88" s="167">
        <v>0</v>
      </c>
      <c r="BK88" s="167">
        <v>0</v>
      </c>
      <c r="BL88" s="167">
        <v>0</v>
      </c>
      <c r="BM88" s="167">
        <v>0</v>
      </c>
      <c r="BN88" s="167">
        <v>0</v>
      </c>
      <c r="BO88" s="167">
        <v>0</v>
      </c>
      <c r="BP88" s="167">
        <v>0</v>
      </c>
      <c r="BQ88" s="167">
        <v>0</v>
      </c>
      <c r="BR88" s="167">
        <v>0</v>
      </c>
      <c r="BS88" s="167">
        <v>0</v>
      </c>
      <c r="BT88" s="167">
        <v>0</v>
      </c>
      <c r="BU88" s="167">
        <v>0</v>
      </c>
      <c r="BV88" s="167">
        <v>0</v>
      </c>
      <c r="BW88" s="167">
        <v>0</v>
      </c>
      <c r="BX88" s="167">
        <v>0</v>
      </c>
      <c r="BY88" s="167">
        <v>0</v>
      </c>
      <c r="BZ88" s="167">
        <v>0</v>
      </c>
      <c r="CA88" s="167">
        <v>0</v>
      </c>
      <c r="CB88" s="167">
        <v>0</v>
      </c>
      <c r="CC88" s="167">
        <v>0</v>
      </c>
      <c r="CD88" s="167">
        <v>0</v>
      </c>
      <c r="CE88" s="167">
        <v>0</v>
      </c>
      <c r="CF88" s="167">
        <v>0</v>
      </c>
      <c r="CG88" s="167">
        <v>0</v>
      </c>
      <c r="CH88" s="167">
        <v>0</v>
      </c>
      <c r="CI88" s="167">
        <v>0</v>
      </c>
      <c r="CJ88" s="167">
        <v>0</v>
      </c>
      <c r="CK88" s="167">
        <v>0</v>
      </c>
      <c r="CL88" s="167">
        <v>0</v>
      </c>
      <c r="CM88" s="167">
        <v>0</v>
      </c>
      <c r="CN88" s="167">
        <v>0</v>
      </c>
      <c r="CO88" s="167">
        <v>0</v>
      </c>
      <c r="CP88" s="167">
        <v>0</v>
      </c>
      <c r="CQ88" s="167">
        <v>0</v>
      </c>
      <c r="CR88" s="167">
        <v>0</v>
      </c>
      <c r="CS88" s="167">
        <v>0</v>
      </c>
      <c r="CT88" s="167">
        <v>0</v>
      </c>
      <c r="CU88" s="167">
        <v>0</v>
      </c>
      <c r="CV88" s="167">
        <v>0</v>
      </c>
      <c r="CW88" s="167">
        <v>0</v>
      </c>
      <c r="CX88" s="167">
        <v>0</v>
      </c>
      <c r="CY88" s="167">
        <v>0</v>
      </c>
      <c r="CZ88" s="167">
        <v>0</v>
      </c>
      <c r="DA88" s="167">
        <v>0</v>
      </c>
      <c r="DB88" s="167">
        <v>0</v>
      </c>
      <c r="DC88" s="168">
        <v>0</v>
      </c>
      <c r="DE88" s="46">
        <f t="shared" si="43"/>
        <v>0</v>
      </c>
      <c r="DF88" s="46">
        <f t="shared" si="39"/>
        <v>0</v>
      </c>
      <c r="DG88">
        <f t="shared" si="42"/>
        <v>21</v>
      </c>
      <c r="DH88">
        <f>DG88/(100+DG88)</f>
        <v>0.17355371900826447</v>
      </c>
    </row>
    <row r="89" spans="1:112" ht="14.25" customHeight="1">
      <c r="A89" s="124">
        <v>77</v>
      </c>
      <c r="B89" s="5" t="s">
        <v>26</v>
      </c>
      <c r="C89" s="15" t="s">
        <v>260</v>
      </c>
      <c r="E89" s="5"/>
      <c r="F89" s="11">
        <f>SUM(F90:F99)</f>
        <v>0</v>
      </c>
      <c r="G89" s="35">
        <f>SUMIF($H$5:$DC$5,"&lt;="&amp;PAL,$H89:$DC89)</f>
        <v>0</v>
      </c>
      <c r="H89" s="11">
        <f t="shared" ref="H89:BR89" si="44">SUM(H90:H99)</f>
        <v>0</v>
      </c>
      <c r="I89" s="11">
        <f t="shared" si="44"/>
        <v>0</v>
      </c>
      <c r="J89" s="11">
        <f t="shared" si="44"/>
        <v>0</v>
      </c>
      <c r="K89" s="11">
        <f t="shared" si="44"/>
        <v>0</v>
      </c>
      <c r="L89" s="11">
        <f t="shared" si="44"/>
        <v>0</v>
      </c>
      <c r="M89" s="11">
        <f t="shared" si="44"/>
        <v>0</v>
      </c>
      <c r="N89" s="11">
        <f t="shared" si="44"/>
        <v>0</v>
      </c>
      <c r="O89" s="11">
        <f t="shared" si="44"/>
        <v>0</v>
      </c>
      <c r="P89" s="11">
        <f t="shared" si="44"/>
        <v>0</v>
      </c>
      <c r="Q89" s="11">
        <f t="shared" si="44"/>
        <v>0</v>
      </c>
      <c r="R89" s="11">
        <f t="shared" si="44"/>
        <v>0</v>
      </c>
      <c r="S89" s="11">
        <f t="shared" si="44"/>
        <v>0</v>
      </c>
      <c r="T89" s="11">
        <f t="shared" si="44"/>
        <v>0</v>
      </c>
      <c r="U89" s="11">
        <f t="shared" si="44"/>
        <v>0</v>
      </c>
      <c r="V89" s="11">
        <f t="shared" si="44"/>
        <v>0</v>
      </c>
      <c r="W89" s="11">
        <f t="shared" si="44"/>
        <v>0</v>
      </c>
      <c r="X89" s="11">
        <f t="shared" si="44"/>
        <v>0</v>
      </c>
      <c r="Y89" s="11">
        <f t="shared" si="44"/>
        <v>0</v>
      </c>
      <c r="Z89" s="11">
        <f t="shared" si="44"/>
        <v>0</v>
      </c>
      <c r="AA89" s="11">
        <f t="shared" si="44"/>
        <v>0</v>
      </c>
      <c r="AB89" s="11">
        <f t="shared" si="44"/>
        <v>0</v>
      </c>
      <c r="AC89" s="11">
        <f t="shared" si="44"/>
        <v>0</v>
      </c>
      <c r="AD89" s="11">
        <f t="shared" si="44"/>
        <v>0</v>
      </c>
      <c r="AE89" s="11">
        <f t="shared" si="44"/>
        <v>0</v>
      </c>
      <c r="AF89" s="11">
        <f t="shared" si="44"/>
        <v>0</v>
      </c>
      <c r="AG89" s="11">
        <f t="shared" si="44"/>
        <v>0</v>
      </c>
      <c r="AH89" s="11">
        <f t="shared" si="44"/>
        <v>0</v>
      </c>
      <c r="AI89" s="11">
        <f t="shared" si="44"/>
        <v>0</v>
      </c>
      <c r="AJ89" s="11">
        <f t="shared" si="44"/>
        <v>0</v>
      </c>
      <c r="AK89" s="11">
        <f t="shared" si="44"/>
        <v>0</v>
      </c>
      <c r="AL89" s="11">
        <f t="shared" si="44"/>
        <v>0</v>
      </c>
      <c r="AM89" s="11">
        <f t="shared" si="44"/>
        <v>0</v>
      </c>
      <c r="AN89" s="11">
        <f t="shared" si="44"/>
        <v>0</v>
      </c>
      <c r="AO89" s="11">
        <f t="shared" si="44"/>
        <v>0</v>
      </c>
      <c r="AP89" s="11">
        <f t="shared" si="44"/>
        <v>0</v>
      </c>
      <c r="AQ89" s="11">
        <f t="shared" si="44"/>
        <v>0</v>
      </c>
      <c r="AR89" s="11">
        <f t="shared" si="44"/>
        <v>0</v>
      </c>
      <c r="AS89" s="11">
        <f t="shared" si="44"/>
        <v>0</v>
      </c>
      <c r="AT89" s="11">
        <f t="shared" si="44"/>
        <v>0</v>
      </c>
      <c r="AU89" s="11">
        <f t="shared" si="44"/>
        <v>0</v>
      </c>
      <c r="AV89" s="11">
        <f t="shared" si="44"/>
        <v>0</v>
      </c>
      <c r="AW89" s="11">
        <f t="shared" si="44"/>
        <v>0</v>
      </c>
      <c r="AX89" s="11">
        <f t="shared" si="44"/>
        <v>0</v>
      </c>
      <c r="AY89" s="11">
        <f t="shared" si="44"/>
        <v>0</v>
      </c>
      <c r="AZ89" s="11">
        <f t="shared" si="44"/>
        <v>0</v>
      </c>
      <c r="BA89" s="11">
        <f t="shared" si="44"/>
        <v>0</v>
      </c>
      <c r="BB89" s="11">
        <f t="shared" si="44"/>
        <v>0</v>
      </c>
      <c r="BC89" s="11">
        <f t="shared" si="44"/>
        <v>0</v>
      </c>
      <c r="BD89" s="11">
        <f t="shared" si="44"/>
        <v>0</v>
      </c>
      <c r="BE89" s="11">
        <f t="shared" si="44"/>
        <v>0</v>
      </c>
      <c r="BF89" s="11">
        <f t="shared" si="44"/>
        <v>0</v>
      </c>
      <c r="BG89" s="11">
        <f t="shared" si="44"/>
        <v>0</v>
      </c>
      <c r="BH89" s="11">
        <f t="shared" si="44"/>
        <v>0</v>
      </c>
      <c r="BI89" s="11">
        <f t="shared" si="44"/>
        <v>0</v>
      </c>
      <c r="BJ89" s="11">
        <f t="shared" si="44"/>
        <v>0</v>
      </c>
      <c r="BK89" s="11">
        <f t="shared" si="44"/>
        <v>0</v>
      </c>
      <c r="BL89" s="11">
        <f t="shared" si="44"/>
        <v>0</v>
      </c>
      <c r="BM89" s="11">
        <f t="shared" si="44"/>
        <v>0</v>
      </c>
      <c r="BN89" s="11">
        <f t="shared" si="44"/>
        <v>0</v>
      </c>
      <c r="BO89" s="11">
        <f t="shared" si="44"/>
        <v>0</v>
      </c>
      <c r="BP89" s="11">
        <f t="shared" si="44"/>
        <v>0</v>
      </c>
      <c r="BQ89" s="11">
        <f t="shared" si="44"/>
        <v>0</v>
      </c>
      <c r="BR89" s="11">
        <f t="shared" si="44"/>
        <v>0</v>
      </c>
      <c r="BS89" s="11">
        <f t="shared" ref="BS89:DC89" si="45">SUM(BS90:BS99)</f>
        <v>0</v>
      </c>
      <c r="BT89" s="11">
        <f t="shared" si="45"/>
        <v>0</v>
      </c>
      <c r="BU89" s="11">
        <f t="shared" si="45"/>
        <v>0</v>
      </c>
      <c r="BV89" s="11">
        <f t="shared" si="45"/>
        <v>0</v>
      </c>
      <c r="BW89" s="11">
        <f t="shared" si="45"/>
        <v>0</v>
      </c>
      <c r="BX89" s="11">
        <f t="shared" si="45"/>
        <v>0</v>
      </c>
      <c r="BY89" s="11">
        <f t="shared" si="45"/>
        <v>0</v>
      </c>
      <c r="BZ89" s="11">
        <f t="shared" si="45"/>
        <v>0</v>
      </c>
      <c r="CA89" s="11">
        <f t="shared" si="45"/>
        <v>0</v>
      </c>
      <c r="CB89" s="11">
        <f t="shared" si="45"/>
        <v>0</v>
      </c>
      <c r="CC89" s="11">
        <f t="shared" si="45"/>
        <v>0</v>
      </c>
      <c r="CD89" s="11">
        <f t="shared" si="45"/>
        <v>0</v>
      </c>
      <c r="CE89" s="11">
        <f t="shared" si="45"/>
        <v>0</v>
      </c>
      <c r="CF89" s="11">
        <f t="shared" si="45"/>
        <v>0</v>
      </c>
      <c r="CG89" s="11">
        <f t="shared" si="45"/>
        <v>0</v>
      </c>
      <c r="CH89" s="11">
        <f t="shared" si="45"/>
        <v>0</v>
      </c>
      <c r="CI89" s="11">
        <f t="shared" si="45"/>
        <v>0</v>
      </c>
      <c r="CJ89" s="11">
        <f t="shared" si="45"/>
        <v>0</v>
      </c>
      <c r="CK89" s="11">
        <f t="shared" si="45"/>
        <v>0</v>
      </c>
      <c r="CL89" s="11">
        <f t="shared" si="45"/>
        <v>0</v>
      </c>
      <c r="CM89" s="11">
        <f t="shared" si="45"/>
        <v>0</v>
      </c>
      <c r="CN89" s="11">
        <f t="shared" si="45"/>
        <v>0</v>
      </c>
      <c r="CO89" s="11">
        <f t="shared" si="45"/>
        <v>0</v>
      </c>
      <c r="CP89" s="11">
        <f t="shared" si="45"/>
        <v>0</v>
      </c>
      <c r="CQ89" s="11">
        <f t="shared" si="45"/>
        <v>0</v>
      </c>
      <c r="CR89" s="11">
        <f t="shared" si="45"/>
        <v>0</v>
      </c>
      <c r="CS89" s="11">
        <f t="shared" si="45"/>
        <v>0</v>
      </c>
      <c r="CT89" s="11">
        <f t="shared" si="45"/>
        <v>0</v>
      </c>
      <c r="CU89" s="11">
        <f t="shared" si="45"/>
        <v>0</v>
      </c>
      <c r="CV89" s="11">
        <f t="shared" si="45"/>
        <v>0</v>
      </c>
      <c r="CW89" s="11">
        <f t="shared" si="45"/>
        <v>0</v>
      </c>
      <c r="CX89" s="11">
        <f t="shared" si="45"/>
        <v>0</v>
      </c>
      <c r="CY89" s="11">
        <f t="shared" si="45"/>
        <v>0</v>
      </c>
      <c r="CZ89" s="11">
        <f t="shared" si="45"/>
        <v>0</v>
      </c>
      <c r="DA89" s="11">
        <f t="shared" si="45"/>
        <v>0</v>
      </c>
      <c r="DB89" s="11">
        <f t="shared" si="45"/>
        <v>0</v>
      </c>
      <c r="DC89" s="11">
        <f t="shared" si="45"/>
        <v>0</v>
      </c>
      <c r="DF89" s="46">
        <f t="shared" si="39"/>
        <v>0</v>
      </c>
    </row>
    <row r="90" spans="1:112" ht="15" customHeight="1">
      <c r="A90" s="124">
        <v>78</v>
      </c>
      <c r="B90" s="5" t="str">
        <f>$B$89&amp;"1."</f>
        <v>G.1.</v>
      </c>
      <c r="C90" s="164" t="s">
        <v>211</v>
      </c>
      <c r="D90" s="5"/>
      <c r="E90" s="193">
        <v>0.21</v>
      </c>
      <c r="F90" s="35">
        <f>H90+NPV(FD,I90:INDEX(I90:DC90,PAL))</f>
        <v>0</v>
      </c>
      <c r="G90" s="35">
        <f>SUMIF($H$5:$DC$5,"&lt;="&amp;PAL,$H90:$DC90)</f>
        <v>0</v>
      </c>
      <c r="H90" s="38">
        <v>0</v>
      </c>
      <c r="I90" s="38">
        <v>0</v>
      </c>
      <c r="J90" s="38">
        <v>0</v>
      </c>
      <c r="K90" s="38">
        <v>0</v>
      </c>
      <c r="L90" s="38">
        <v>0</v>
      </c>
      <c r="M90" s="38">
        <v>0</v>
      </c>
      <c r="N90" s="38">
        <v>0</v>
      </c>
      <c r="O90" s="38">
        <v>0</v>
      </c>
      <c r="P90" s="38">
        <v>0</v>
      </c>
      <c r="Q90" s="38">
        <v>0</v>
      </c>
      <c r="R90" s="38">
        <v>0</v>
      </c>
      <c r="S90" s="38">
        <v>0</v>
      </c>
      <c r="T90" s="38">
        <v>0</v>
      </c>
      <c r="U90" s="38">
        <v>0</v>
      </c>
      <c r="V90" s="38">
        <v>0</v>
      </c>
      <c r="W90" s="38">
        <v>0</v>
      </c>
      <c r="X90" s="38">
        <v>0</v>
      </c>
      <c r="Y90" s="38">
        <v>0</v>
      </c>
      <c r="Z90" s="38">
        <v>0</v>
      </c>
      <c r="AA90" s="38">
        <v>0</v>
      </c>
      <c r="AB90" s="38">
        <v>0</v>
      </c>
      <c r="AC90" s="38">
        <v>0</v>
      </c>
      <c r="AD90" s="38">
        <v>0</v>
      </c>
      <c r="AE90" s="38">
        <v>0</v>
      </c>
      <c r="AF90" s="38">
        <v>0</v>
      </c>
      <c r="AG90" s="38">
        <v>0</v>
      </c>
      <c r="AH90" s="38">
        <v>0</v>
      </c>
      <c r="AI90" s="38">
        <v>0</v>
      </c>
      <c r="AJ90" s="38">
        <v>0</v>
      </c>
      <c r="AK90" s="38">
        <v>0</v>
      </c>
      <c r="AL90" s="38">
        <v>0</v>
      </c>
      <c r="AM90" s="38">
        <v>0</v>
      </c>
      <c r="AN90" s="38">
        <v>0</v>
      </c>
      <c r="AO90" s="38">
        <v>0</v>
      </c>
      <c r="AP90" s="38">
        <v>0</v>
      </c>
      <c r="AQ90" s="38">
        <v>0</v>
      </c>
      <c r="AR90" s="38">
        <v>0</v>
      </c>
      <c r="AS90" s="38">
        <v>0</v>
      </c>
      <c r="AT90" s="38">
        <v>0</v>
      </c>
      <c r="AU90" s="38">
        <v>0</v>
      </c>
      <c r="AV90" s="38">
        <v>0</v>
      </c>
      <c r="AW90" s="38">
        <v>0</v>
      </c>
      <c r="AX90" s="38">
        <v>0</v>
      </c>
      <c r="AY90" s="38">
        <v>0</v>
      </c>
      <c r="AZ90" s="38">
        <v>0</v>
      </c>
      <c r="BA90" s="38">
        <v>0</v>
      </c>
      <c r="BB90" s="38">
        <v>0</v>
      </c>
      <c r="BC90" s="38">
        <v>0</v>
      </c>
      <c r="BD90" s="38">
        <v>0</v>
      </c>
      <c r="BE90" s="38">
        <v>0</v>
      </c>
      <c r="BF90" s="38">
        <v>0</v>
      </c>
      <c r="BG90" s="38">
        <v>0</v>
      </c>
      <c r="BH90" s="38">
        <v>0</v>
      </c>
      <c r="BI90" s="38">
        <v>0</v>
      </c>
      <c r="BJ90" s="38">
        <v>0</v>
      </c>
      <c r="BK90" s="38">
        <v>0</v>
      </c>
      <c r="BL90" s="38">
        <v>0</v>
      </c>
      <c r="BM90" s="38">
        <v>0</v>
      </c>
      <c r="BN90" s="38">
        <v>0</v>
      </c>
      <c r="BO90" s="38">
        <v>0</v>
      </c>
      <c r="BP90" s="38">
        <v>0</v>
      </c>
      <c r="BQ90" s="38">
        <v>0</v>
      </c>
      <c r="BR90" s="38">
        <v>0</v>
      </c>
      <c r="BS90" s="38">
        <v>0</v>
      </c>
      <c r="BT90" s="38">
        <v>0</v>
      </c>
      <c r="BU90" s="38">
        <v>0</v>
      </c>
      <c r="BV90" s="38">
        <v>0</v>
      </c>
      <c r="BW90" s="38">
        <v>0</v>
      </c>
      <c r="BX90" s="38">
        <v>0</v>
      </c>
      <c r="BY90" s="38">
        <v>0</v>
      </c>
      <c r="BZ90" s="38">
        <v>0</v>
      </c>
      <c r="CA90" s="38">
        <v>0</v>
      </c>
      <c r="CB90" s="38">
        <v>0</v>
      </c>
      <c r="CC90" s="38">
        <v>0</v>
      </c>
      <c r="CD90" s="38">
        <v>0</v>
      </c>
      <c r="CE90" s="38">
        <v>0</v>
      </c>
      <c r="CF90" s="38">
        <v>0</v>
      </c>
      <c r="CG90" s="38">
        <v>0</v>
      </c>
      <c r="CH90" s="38">
        <v>0</v>
      </c>
      <c r="CI90" s="38">
        <v>0</v>
      </c>
      <c r="CJ90" s="38">
        <v>0</v>
      </c>
      <c r="CK90" s="38">
        <v>0</v>
      </c>
      <c r="CL90" s="38">
        <v>0</v>
      </c>
      <c r="CM90" s="38">
        <v>0</v>
      </c>
      <c r="CN90" s="38">
        <v>0</v>
      </c>
      <c r="CO90" s="38">
        <v>0</v>
      </c>
      <c r="CP90" s="38">
        <v>0</v>
      </c>
      <c r="CQ90" s="38">
        <v>0</v>
      </c>
      <c r="CR90" s="38">
        <v>0</v>
      </c>
      <c r="CS90" s="38">
        <v>0</v>
      </c>
      <c r="CT90" s="38">
        <v>0</v>
      </c>
      <c r="CU90" s="38">
        <v>0</v>
      </c>
      <c r="CV90" s="38">
        <v>0</v>
      </c>
      <c r="CW90" s="38">
        <v>0</v>
      </c>
      <c r="CX90" s="38">
        <v>0</v>
      </c>
      <c r="CY90" s="38">
        <v>0</v>
      </c>
      <c r="CZ90" s="38">
        <v>0</v>
      </c>
      <c r="DA90" s="38">
        <v>0</v>
      </c>
      <c r="DB90" s="38">
        <v>0</v>
      </c>
      <c r="DC90" s="38">
        <v>0</v>
      </c>
      <c r="DE90" s="46">
        <f t="shared" ref="DE90:DE116" si="46">COUNTBLANK(H90:DC90)</f>
        <v>0</v>
      </c>
      <c r="DF90" s="46">
        <f t="shared" si="39"/>
        <v>0</v>
      </c>
      <c r="DG90">
        <f t="shared" ref="DG90:DG110" si="47">IF(ISNUMBER(E90),E90*100,0)</f>
        <v>21</v>
      </c>
    </row>
    <row r="91" spans="1:112" ht="15" customHeight="1">
      <c r="A91" s="124">
        <v>79</v>
      </c>
      <c r="B91" s="5" t="str">
        <f>$B$89&amp;"2."</f>
        <v>G.2.</v>
      </c>
      <c r="C91" s="164" t="s">
        <v>213</v>
      </c>
      <c r="D91" s="5"/>
      <c r="E91" s="193">
        <v>0.21</v>
      </c>
      <c r="F91" s="35">
        <f>H91+NPV(FD,I91:INDEX(I91:DC91,PAL))</f>
        <v>0</v>
      </c>
      <c r="G91" s="35">
        <f>SUMIF($H$5:$DC$5,"&lt;="&amp;PAL,$H91:$DC91)</f>
        <v>0</v>
      </c>
      <c r="H91" s="38">
        <v>0</v>
      </c>
      <c r="I91" s="38">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0</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0</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E91" s="46">
        <f t="shared" si="46"/>
        <v>0</v>
      </c>
      <c r="DF91" s="46">
        <f t="shared" si="39"/>
        <v>0</v>
      </c>
      <c r="DG91">
        <f t="shared" si="47"/>
        <v>21</v>
      </c>
    </row>
    <row r="92" spans="1:112" ht="15" customHeight="1">
      <c r="A92" s="124">
        <v>80</v>
      </c>
      <c r="B92" s="5" t="str">
        <f>$B$89&amp;"3."</f>
        <v>G.3.</v>
      </c>
      <c r="C92" s="164" t="s">
        <v>215</v>
      </c>
      <c r="D92" s="5"/>
      <c r="E92" s="193">
        <v>0.21</v>
      </c>
      <c r="F92" s="35">
        <f>H92+NPV(FD,I92:INDEX(I92:DC92,PAL))</f>
        <v>0</v>
      </c>
      <c r="G92" s="35">
        <f>SUMIF($H$5:$DC$5,"&lt;="&amp;PAL,$H92:$DC92)</f>
        <v>0</v>
      </c>
      <c r="H92" s="38">
        <v>0</v>
      </c>
      <c r="I92" s="38">
        <v>0</v>
      </c>
      <c r="J92" s="38">
        <v>0</v>
      </c>
      <c r="K92" s="38">
        <v>0</v>
      </c>
      <c r="L92" s="38">
        <v>0</v>
      </c>
      <c r="M92" s="38">
        <v>0</v>
      </c>
      <c r="N92" s="38">
        <v>0</v>
      </c>
      <c r="O92" s="38">
        <v>0</v>
      </c>
      <c r="P92" s="38">
        <v>0</v>
      </c>
      <c r="Q92" s="38">
        <v>0</v>
      </c>
      <c r="R92" s="38">
        <v>0</v>
      </c>
      <c r="S92" s="38">
        <v>0</v>
      </c>
      <c r="T92" s="38">
        <v>0</v>
      </c>
      <c r="U92" s="38">
        <v>0</v>
      </c>
      <c r="V92" s="38">
        <v>0</v>
      </c>
      <c r="W92" s="38">
        <v>0</v>
      </c>
      <c r="X92" s="38">
        <v>0</v>
      </c>
      <c r="Y92" s="38">
        <v>0</v>
      </c>
      <c r="Z92" s="38">
        <v>0</v>
      </c>
      <c r="AA92" s="38">
        <v>0</v>
      </c>
      <c r="AB92" s="38">
        <v>0</v>
      </c>
      <c r="AC92" s="38">
        <v>0</v>
      </c>
      <c r="AD92" s="38">
        <v>0</v>
      </c>
      <c r="AE92" s="38">
        <v>0</v>
      </c>
      <c r="AF92" s="38">
        <v>0</v>
      </c>
      <c r="AG92" s="38">
        <v>0</v>
      </c>
      <c r="AH92" s="38">
        <v>0</v>
      </c>
      <c r="AI92" s="38">
        <v>0</v>
      </c>
      <c r="AJ92" s="38">
        <v>0</v>
      </c>
      <c r="AK92" s="38">
        <v>0</v>
      </c>
      <c r="AL92" s="38">
        <v>0</v>
      </c>
      <c r="AM92" s="38">
        <v>0</v>
      </c>
      <c r="AN92" s="38">
        <v>0</v>
      </c>
      <c r="AO92" s="38">
        <v>0</v>
      </c>
      <c r="AP92" s="38">
        <v>0</v>
      </c>
      <c r="AQ92" s="38">
        <v>0</v>
      </c>
      <c r="AR92" s="38">
        <v>0</v>
      </c>
      <c r="AS92" s="38">
        <v>0</v>
      </c>
      <c r="AT92" s="38">
        <v>0</v>
      </c>
      <c r="AU92" s="38">
        <v>0</v>
      </c>
      <c r="AV92" s="38">
        <v>0</v>
      </c>
      <c r="AW92" s="38">
        <v>0</v>
      </c>
      <c r="AX92" s="38">
        <v>0</v>
      </c>
      <c r="AY92" s="38">
        <v>0</v>
      </c>
      <c r="AZ92" s="38">
        <v>0</v>
      </c>
      <c r="BA92" s="38">
        <v>0</v>
      </c>
      <c r="BB92" s="38">
        <v>0</v>
      </c>
      <c r="BC92" s="38">
        <v>0</v>
      </c>
      <c r="BD92" s="38">
        <v>0</v>
      </c>
      <c r="BE92" s="38">
        <v>0</v>
      </c>
      <c r="BF92" s="38">
        <v>0</v>
      </c>
      <c r="BG92" s="38">
        <v>0</v>
      </c>
      <c r="BH92" s="38">
        <v>0</v>
      </c>
      <c r="BI92" s="38">
        <v>0</v>
      </c>
      <c r="BJ92" s="38">
        <v>0</v>
      </c>
      <c r="BK92" s="38">
        <v>0</v>
      </c>
      <c r="BL92" s="38">
        <v>0</v>
      </c>
      <c r="BM92" s="38">
        <v>0</v>
      </c>
      <c r="BN92" s="38">
        <v>0</v>
      </c>
      <c r="BO92" s="38">
        <v>0</v>
      </c>
      <c r="BP92" s="38">
        <v>0</v>
      </c>
      <c r="BQ92" s="38">
        <v>0</v>
      </c>
      <c r="BR92" s="38">
        <v>0</v>
      </c>
      <c r="BS92" s="38">
        <v>0</v>
      </c>
      <c r="BT92" s="38">
        <v>0</v>
      </c>
      <c r="BU92" s="38">
        <v>0</v>
      </c>
      <c r="BV92" s="38">
        <v>0</v>
      </c>
      <c r="BW92" s="38">
        <v>0</v>
      </c>
      <c r="BX92" s="38">
        <v>0</v>
      </c>
      <c r="BY92" s="38">
        <v>0</v>
      </c>
      <c r="BZ92" s="38">
        <v>0</v>
      </c>
      <c r="CA92" s="38">
        <v>0</v>
      </c>
      <c r="CB92" s="38">
        <v>0</v>
      </c>
      <c r="CC92" s="38">
        <v>0</v>
      </c>
      <c r="CD92" s="38">
        <v>0</v>
      </c>
      <c r="CE92" s="38">
        <v>0</v>
      </c>
      <c r="CF92" s="38">
        <v>0</v>
      </c>
      <c r="CG92" s="38">
        <v>0</v>
      </c>
      <c r="CH92" s="38">
        <v>0</v>
      </c>
      <c r="CI92" s="38">
        <v>0</v>
      </c>
      <c r="CJ92" s="38">
        <v>0</v>
      </c>
      <c r="CK92" s="38">
        <v>0</v>
      </c>
      <c r="CL92" s="38">
        <v>0</v>
      </c>
      <c r="CM92" s="38">
        <v>0</v>
      </c>
      <c r="CN92" s="38">
        <v>0</v>
      </c>
      <c r="CO92" s="38">
        <v>0</v>
      </c>
      <c r="CP92" s="38">
        <v>0</v>
      </c>
      <c r="CQ92" s="38">
        <v>0</v>
      </c>
      <c r="CR92" s="38">
        <v>0</v>
      </c>
      <c r="CS92" s="38">
        <v>0</v>
      </c>
      <c r="CT92" s="38">
        <v>0</v>
      </c>
      <c r="CU92" s="38">
        <v>0</v>
      </c>
      <c r="CV92" s="38">
        <v>0</v>
      </c>
      <c r="CW92" s="38">
        <v>0</v>
      </c>
      <c r="CX92" s="38">
        <v>0</v>
      </c>
      <c r="CY92" s="38">
        <v>0</v>
      </c>
      <c r="CZ92" s="38">
        <v>0</v>
      </c>
      <c r="DA92" s="38">
        <v>0</v>
      </c>
      <c r="DB92" s="38">
        <v>0</v>
      </c>
      <c r="DC92" s="38">
        <v>0</v>
      </c>
      <c r="DE92" s="46">
        <f t="shared" si="46"/>
        <v>0</v>
      </c>
      <c r="DF92" s="46">
        <f t="shared" si="39"/>
        <v>0</v>
      </c>
      <c r="DG92">
        <f t="shared" si="47"/>
        <v>21</v>
      </c>
    </row>
    <row r="93" spans="1:112" ht="15" customHeight="1">
      <c r="A93" s="124">
        <v>81</v>
      </c>
      <c r="B93" s="5" t="str">
        <f>$B$89&amp;"4."</f>
        <v>G.4.</v>
      </c>
      <c r="C93" s="164" t="s">
        <v>217</v>
      </c>
      <c r="D93" s="5"/>
      <c r="E93" s="193">
        <v>0.21</v>
      </c>
      <c r="F93" s="35">
        <f>H93+NPV(FD,I93:INDEX(I93:DC93,PAL))</f>
        <v>0</v>
      </c>
      <c r="G93" s="35">
        <f>SUMIF($H$5:$DC$5,"&lt;="&amp;PAL,$H93:$DC93)</f>
        <v>0</v>
      </c>
      <c r="H93" s="38">
        <v>0</v>
      </c>
      <c r="I93" s="38">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0</v>
      </c>
      <c r="AV93" s="38">
        <v>0</v>
      </c>
      <c r="AW93" s="38">
        <v>0</v>
      </c>
      <c r="AX93" s="38">
        <v>0</v>
      </c>
      <c r="AY93" s="38">
        <v>0</v>
      </c>
      <c r="AZ93" s="38">
        <v>0</v>
      </c>
      <c r="BA93" s="38">
        <v>0</v>
      </c>
      <c r="BB93" s="38">
        <v>0</v>
      </c>
      <c r="BC93" s="38">
        <v>0</v>
      </c>
      <c r="BD93" s="38">
        <v>0</v>
      </c>
      <c r="BE93" s="38">
        <v>0</v>
      </c>
      <c r="BF93" s="38">
        <v>0</v>
      </c>
      <c r="BG93" s="38">
        <v>0</v>
      </c>
      <c r="BH93" s="38">
        <v>0</v>
      </c>
      <c r="BI93" s="38">
        <v>0</v>
      </c>
      <c r="BJ93" s="38">
        <v>0</v>
      </c>
      <c r="BK93" s="38">
        <v>0</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0</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E93" s="46">
        <f t="shared" si="46"/>
        <v>0</v>
      </c>
      <c r="DF93" s="46">
        <f t="shared" si="39"/>
        <v>0</v>
      </c>
      <c r="DG93">
        <f t="shared" si="47"/>
        <v>21</v>
      </c>
    </row>
    <row r="94" spans="1:112" ht="15" customHeight="1">
      <c r="A94" s="124">
        <v>82</v>
      </c>
      <c r="B94" s="5" t="str">
        <f>$B$89&amp;"5."</f>
        <v>G.5.</v>
      </c>
      <c r="C94" s="164" t="s">
        <v>219</v>
      </c>
      <c r="D94" s="5"/>
      <c r="E94" s="193">
        <v>0.21</v>
      </c>
      <c r="F94" s="35">
        <f>H94+NPV(FD,I94:INDEX(I94:DC94,PAL))</f>
        <v>0</v>
      </c>
      <c r="G94" s="35">
        <f>SUMIF($H$5:$DC$5,"&lt;="&amp;PAL,$H94:$DC94)</f>
        <v>0</v>
      </c>
      <c r="H94" s="38">
        <v>0</v>
      </c>
      <c r="I94" s="38">
        <v>0</v>
      </c>
      <c r="J94" s="38">
        <v>0</v>
      </c>
      <c r="K94" s="38">
        <v>0</v>
      </c>
      <c r="L94" s="38">
        <v>0</v>
      </c>
      <c r="M94" s="38">
        <v>0</v>
      </c>
      <c r="N94" s="38">
        <v>0</v>
      </c>
      <c r="O94" s="38">
        <v>0</v>
      </c>
      <c r="P94" s="38">
        <v>0</v>
      </c>
      <c r="Q94" s="38">
        <v>0</v>
      </c>
      <c r="R94" s="38">
        <v>0</v>
      </c>
      <c r="S94" s="38">
        <v>0</v>
      </c>
      <c r="T94" s="38">
        <v>0</v>
      </c>
      <c r="U94" s="38">
        <v>0</v>
      </c>
      <c r="V94" s="38">
        <v>0</v>
      </c>
      <c r="W94" s="38">
        <v>0</v>
      </c>
      <c r="X94" s="38">
        <v>0</v>
      </c>
      <c r="Y94" s="38">
        <v>0</v>
      </c>
      <c r="Z94" s="38">
        <v>0</v>
      </c>
      <c r="AA94" s="38">
        <v>0</v>
      </c>
      <c r="AB94" s="38">
        <v>0</v>
      </c>
      <c r="AC94" s="38">
        <v>0</v>
      </c>
      <c r="AD94" s="38">
        <v>0</v>
      </c>
      <c r="AE94" s="38">
        <v>0</v>
      </c>
      <c r="AF94" s="38">
        <v>0</v>
      </c>
      <c r="AG94" s="38">
        <v>0</v>
      </c>
      <c r="AH94" s="38">
        <v>0</v>
      </c>
      <c r="AI94" s="38">
        <v>0</v>
      </c>
      <c r="AJ94" s="38">
        <v>0</v>
      </c>
      <c r="AK94" s="38">
        <v>0</v>
      </c>
      <c r="AL94" s="38">
        <v>0</v>
      </c>
      <c r="AM94" s="38">
        <v>0</v>
      </c>
      <c r="AN94" s="38">
        <v>0</v>
      </c>
      <c r="AO94" s="38">
        <v>0</v>
      </c>
      <c r="AP94" s="38">
        <v>0</v>
      </c>
      <c r="AQ94" s="38">
        <v>0</v>
      </c>
      <c r="AR94" s="38">
        <v>0</v>
      </c>
      <c r="AS94" s="38">
        <v>0</v>
      </c>
      <c r="AT94" s="38">
        <v>0</v>
      </c>
      <c r="AU94" s="38">
        <v>0</v>
      </c>
      <c r="AV94" s="38">
        <v>0</v>
      </c>
      <c r="AW94" s="38">
        <v>0</v>
      </c>
      <c r="AX94" s="38">
        <v>0</v>
      </c>
      <c r="AY94" s="38">
        <v>0</v>
      </c>
      <c r="AZ94" s="38">
        <v>0</v>
      </c>
      <c r="BA94" s="38">
        <v>0</v>
      </c>
      <c r="BB94" s="38">
        <v>0</v>
      </c>
      <c r="BC94" s="38">
        <v>0</v>
      </c>
      <c r="BD94" s="38">
        <v>0</v>
      </c>
      <c r="BE94" s="38">
        <v>0</v>
      </c>
      <c r="BF94" s="38">
        <v>0</v>
      </c>
      <c r="BG94" s="38">
        <v>0</v>
      </c>
      <c r="BH94" s="38">
        <v>0</v>
      </c>
      <c r="BI94" s="38">
        <v>0</v>
      </c>
      <c r="BJ94" s="38">
        <v>0</v>
      </c>
      <c r="BK94" s="38">
        <v>0</v>
      </c>
      <c r="BL94" s="38">
        <v>0</v>
      </c>
      <c r="BM94" s="38">
        <v>0</v>
      </c>
      <c r="BN94" s="38">
        <v>0</v>
      </c>
      <c r="BO94" s="38">
        <v>0</v>
      </c>
      <c r="BP94" s="38">
        <v>0</v>
      </c>
      <c r="BQ94" s="38">
        <v>0</v>
      </c>
      <c r="BR94" s="38">
        <v>0</v>
      </c>
      <c r="BS94" s="38">
        <v>0</v>
      </c>
      <c r="BT94" s="38">
        <v>0</v>
      </c>
      <c r="BU94" s="38">
        <v>0</v>
      </c>
      <c r="BV94" s="38">
        <v>0</v>
      </c>
      <c r="BW94" s="38">
        <v>0</v>
      </c>
      <c r="BX94" s="38">
        <v>0</v>
      </c>
      <c r="BY94" s="38">
        <v>0</v>
      </c>
      <c r="BZ94" s="38">
        <v>0</v>
      </c>
      <c r="CA94" s="38">
        <v>0</v>
      </c>
      <c r="CB94" s="38">
        <v>0</v>
      </c>
      <c r="CC94" s="38">
        <v>0</v>
      </c>
      <c r="CD94" s="38">
        <v>0</v>
      </c>
      <c r="CE94" s="38">
        <v>0</v>
      </c>
      <c r="CF94" s="38">
        <v>0</v>
      </c>
      <c r="CG94" s="38">
        <v>0</v>
      </c>
      <c r="CH94" s="38">
        <v>0</v>
      </c>
      <c r="CI94" s="38">
        <v>0</v>
      </c>
      <c r="CJ94" s="38">
        <v>0</v>
      </c>
      <c r="CK94" s="38">
        <v>0</v>
      </c>
      <c r="CL94" s="38">
        <v>0</v>
      </c>
      <c r="CM94" s="38">
        <v>0</v>
      </c>
      <c r="CN94" s="38">
        <v>0</v>
      </c>
      <c r="CO94" s="38">
        <v>0</v>
      </c>
      <c r="CP94" s="38">
        <v>0</v>
      </c>
      <c r="CQ94" s="38">
        <v>0</v>
      </c>
      <c r="CR94" s="38">
        <v>0</v>
      </c>
      <c r="CS94" s="38">
        <v>0</v>
      </c>
      <c r="CT94" s="38">
        <v>0</v>
      </c>
      <c r="CU94" s="38">
        <v>0</v>
      </c>
      <c r="CV94" s="38">
        <v>0</v>
      </c>
      <c r="CW94" s="38">
        <v>0</v>
      </c>
      <c r="CX94" s="38">
        <v>0</v>
      </c>
      <c r="CY94" s="38">
        <v>0</v>
      </c>
      <c r="CZ94" s="38">
        <v>0</v>
      </c>
      <c r="DA94" s="38">
        <v>0</v>
      </c>
      <c r="DB94" s="38">
        <v>0</v>
      </c>
      <c r="DC94" s="38">
        <v>0</v>
      </c>
      <c r="DE94" s="46">
        <f t="shared" si="46"/>
        <v>0</v>
      </c>
      <c r="DF94" s="46">
        <f t="shared" si="39"/>
        <v>0</v>
      </c>
      <c r="DG94">
        <f t="shared" si="47"/>
        <v>21</v>
      </c>
    </row>
    <row r="95" spans="1:112" ht="15" customHeight="1">
      <c r="A95" s="124">
        <v>83</v>
      </c>
      <c r="B95" s="5" t="str">
        <f>$B$89&amp;"6."</f>
        <v>G.6.</v>
      </c>
      <c r="C95" s="164" t="s">
        <v>212</v>
      </c>
      <c r="D95" s="5"/>
      <c r="E95" s="193">
        <v>0.21</v>
      </c>
      <c r="F95" s="35">
        <f>H95+NPV(FD,I95:INDEX(I95:DC95,PAL))</f>
        <v>0</v>
      </c>
      <c r="G95" s="35">
        <f>SUMIF($H$5:$DC$5,"&lt;="&amp;PAL,$H95:$DC95)</f>
        <v>0</v>
      </c>
      <c r="H95" s="38">
        <v>0</v>
      </c>
      <c r="I95" s="38">
        <v>0</v>
      </c>
      <c r="J95" s="38">
        <v>0</v>
      </c>
      <c r="K95" s="38">
        <v>0</v>
      </c>
      <c r="L95" s="38">
        <v>0</v>
      </c>
      <c r="M95" s="38">
        <v>0</v>
      </c>
      <c r="N95" s="38">
        <v>0</v>
      </c>
      <c r="O95" s="38">
        <v>0</v>
      </c>
      <c r="P95" s="38">
        <v>0</v>
      </c>
      <c r="Q95" s="38">
        <v>0</v>
      </c>
      <c r="R95" s="38">
        <v>0</v>
      </c>
      <c r="S95" s="38">
        <v>0</v>
      </c>
      <c r="T95" s="38">
        <v>0</v>
      </c>
      <c r="U95" s="38">
        <v>0</v>
      </c>
      <c r="V95" s="38">
        <v>0</v>
      </c>
      <c r="W95" s="38">
        <v>0</v>
      </c>
      <c r="X95" s="38">
        <v>0</v>
      </c>
      <c r="Y95" s="38">
        <v>0</v>
      </c>
      <c r="Z95" s="38">
        <v>0</v>
      </c>
      <c r="AA95" s="38">
        <v>0</v>
      </c>
      <c r="AB95" s="38">
        <v>0</v>
      </c>
      <c r="AC95" s="38">
        <v>0</v>
      </c>
      <c r="AD95" s="38">
        <v>0</v>
      </c>
      <c r="AE95" s="38">
        <v>0</v>
      </c>
      <c r="AF95" s="38">
        <v>0</v>
      </c>
      <c r="AG95" s="38">
        <v>0</v>
      </c>
      <c r="AH95" s="38">
        <v>0</v>
      </c>
      <c r="AI95" s="38">
        <v>0</v>
      </c>
      <c r="AJ95" s="38">
        <v>0</v>
      </c>
      <c r="AK95" s="38">
        <v>0</v>
      </c>
      <c r="AL95" s="38">
        <v>0</v>
      </c>
      <c r="AM95" s="38">
        <v>0</v>
      </c>
      <c r="AN95" s="38">
        <v>0</v>
      </c>
      <c r="AO95" s="38">
        <v>0</v>
      </c>
      <c r="AP95" s="38">
        <v>0</v>
      </c>
      <c r="AQ95" s="38">
        <v>0</v>
      </c>
      <c r="AR95" s="38">
        <v>0</v>
      </c>
      <c r="AS95" s="38">
        <v>0</v>
      </c>
      <c r="AT95" s="38">
        <v>0</v>
      </c>
      <c r="AU95" s="38">
        <v>0</v>
      </c>
      <c r="AV95" s="38">
        <v>0</v>
      </c>
      <c r="AW95" s="38">
        <v>0</v>
      </c>
      <c r="AX95" s="38">
        <v>0</v>
      </c>
      <c r="AY95" s="38">
        <v>0</v>
      </c>
      <c r="AZ95" s="38">
        <v>0</v>
      </c>
      <c r="BA95" s="38">
        <v>0</v>
      </c>
      <c r="BB95" s="38">
        <v>0</v>
      </c>
      <c r="BC95" s="38">
        <v>0</v>
      </c>
      <c r="BD95" s="38">
        <v>0</v>
      </c>
      <c r="BE95" s="38">
        <v>0</v>
      </c>
      <c r="BF95" s="38">
        <v>0</v>
      </c>
      <c r="BG95" s="38">
        <v>0</v>
      </c>
      <c r="BH95" s="38">
        <v>0</v>
      </c>
      <c r="BI95" s="38">
        <v>0</v>
      </c>
      <c r="BJ95" s="38">
        <v>0</v>
      </c>
      <c r="BK95" s="38">
        <v>0</v>
      </c>
      <c r="BL95" s="38">
        <v>0</v>
      </c>
      <c r="BM95" s="38">
        <v>0</v>
      </c>
      <c r="BN95" s="38">
        <v>0</v>
      </c>
      <c r="BO95" s="38">
        <v>0</v>
      </c>
      <c r="BP95" s="38">
        <v>0</v>
      </c>
      <c r="BQ95" s="38">
        <v>0</v>
      </c>
      <c r="BR95" s="38">
        <v>0</v>
      </c>
      <c r="BS95" s="38">
        <v>0</v>
      </c>
      <c r="BT95" s="38">
        <v>0</v>
      </c>
      <c r="BU95" s="38">
        <v>0</v>
      </c>
      <c r="BV95" s="38">
        <v>0</v>
      </c>
      <c r="BW95" s="38">
        <v>0</v>
      </c>
      <c r="BX95" s="38">
        <v>0</v>
      </c>
      <c r="BY95" s="38">
        <v>0</v>
      </c>
      <c r="BZ95" s="38">
        <v>0</v>
      </c>
      <c r="CA95" s="38">
        <v>0</v>
      </c>
      <c r="CB95" s="38">
        <v>0</v>
      </c>
      <c r="CC95" s="38">
        <v>0</v>
      </c>
      <c r="CD95" s="38">
        <v>0</v>
      </c>
      <c r="CE95" s="38">
        <v>0</v>
      </c>
      <c r="CF95" s="38">
        <v>0</v>
      </c>
      <c r="CG95" s="38">
        <v>0</v>
      </c>
      <c r="CH95" s="38">
        <v>0</v>
      </c>
      <c r="CI95" s="38">
        <v>0</v>
      </c>
      <c r="CJ95" s="38">
        <v>0</v>
      </c>
      <c r="CK95" s="38">
        <v>0</v>
      </c>
      <c r="CL95" s="38">
        <v>0</v>
      </c>
      <c r="CM95" s="38">
        <v>0</v>
      </c>
      <c r="CN95" s="38">
        <v>0</v>
      </c>
      <c r="CO95" s="38">
        <v>0</v>
      </c>
      <c r="CP95" s="38">
        <v>0</v>
      </c>
      <c r="CQ95" s="38">
        <v>0</v>
      </c>
      <c r="CR95" s="38">
        <v>0</v>
      </c>
      <c r="CS95" s="38">
        <v>0</v>
      </c>
      <c r="CT95" s="38">
        <v>0</v>
      </c>
      <c r="CU95" s="38">
        <v>0</v>
      </c>
      <c r="CV95" s="38">
        <v>0</v>
      </c>
      <c r="CW95" s="38">
        <v>0</v>
      </c>
      <c r="CX95" s="38">
        <v>0</v>
      </c>
      <c r="CY95" s="38">
        <v>0</v>
      </c>
      <c r="CZ95" s="38">
        <v>0</v>
      </c>
      <c r="DA95" s="38">
        <v>0</v>
      </c>
      <c r="DB95" s="38">
        <v>0</v>
      </c>
      <c r="DC95" s="38">
        <v>0</v>
      </c>
      <c r="DE95" s="46">
        <f t="shared" si="46"/>
        <v>0</v>
      </c>
      <c r="DF95" s="46">
        <f t="shared" si="39"/>
        <v>0</v>
      </c>
      <c r="DG95">
        <f t="shared" si="47"/>
        <v>21</v>
      </c>
    </row>
    <row r="96" spans="1:112" ht="15" customHeight="1">
      <c r="A96" s="124">
        <v>84</v>
      </c>
      <c r="B96" s="5" t="str">
        <f>$B$89&amp;"7."</f>
        <v>G.7.</v>
      </c>
      <c r="C96" s="164" t="s">
        <v>214</v>
      </c>
      <c r="D96" s="5"/>
      <c r="E96" s="193">
        <v>0.21</v>
      </c>
      <c r="F96" s="35">
        <f>H96+NPV(FD,I96:INDEX(I96:DC96,PAL))</f>
        <v>0</v>
      </c>
      <c r="G96" s="35">
        <f>SUMIF($H$5:$DC$5,"&lt;="&amp;PAL,$H96:$DC96)</f>
        <v>0</v>
      </c>
      <c r="H96" s="38">
        <v>0</v>
      </c>
      <c r="I96" s="38">
        <v>0</v>
      </c>
      <c r="J96" s="38">
        <v>0</v>
      </c>
      <c r="K96" s="38">
        <v>0</v>
      </c>
      <c r="L96" s="38">
        <v>0</v>
      </c>
      <c r="M96" s="38">
        <v>0</v>
      </c>
      <c r="N96" s="38">
        <v>0</v>
      </c>
      <c r="O96" s="38">
        <v>0</v>
      </c>
      <c r="P96" s="38">
        <v>0</v>
      </c>
      <c r="Q96" s="38">
        <v>0</v>
      </c>
      <c r="R96" s="38">
        <v>0</v>
      </c>
      <c r="S96" s="38">
        <v>0</v>
      </c>
      <c r="T96" s="38">
        <v>0</v>
      </c>
      <c r="U96" s="38">
        <v>0</v>
      </c>
      <c r="V96" s="38">
        <v>0</v>
      </c>
      <c r="W96" s="38">
        <v>0</v>
      </c>
      <c r="X96" s="38">
        <v>0</v>
      </c>
      <c r="Y96" s="38">
        <v>0</v>
      </c>
      <c r="Z96" s="38">
        <v>0</v>
      </c>
      <c r="AA96" s="38">
        <v>0</v>
      </c>
      <c r="AB96" s="38">
        <v>0</v>
      </c>
      <c r="AC96" s="38">
        <v>0</v>
      </c>
      <c r="AD96" s="38">
        <v>0</v>
      </c>
      <c r="AE96" s="38">
        <v>0</v>
      </c>
      <c r="AF96" s="38">
        <v>0</v>
      </c>
      <c r="AG96" s="38">
        <v>0</v>
      </c>
      <c r="AH96" s="38">
        <v>0</v>
      </c>
      <c r="AI96" s="38">
        <v>0</v>
      </c>
      <c r="AJ96" s="38">
        <v>0</v>
      </c>
      <c r="AK96" s="38">
        <v>0</v>
      </c>
      <c r="AL96" s="38">
        <v>0</v>
      </c>
      <c r="AM96" s="38">
        <v>0</v>
      </c>
      <c r="AN96" s="38">
        <v>0</v>
      </c>
      <c r="AO96" s="38">
        <v>0</v>
      </c>
      <c r="AP96" s="38">
        <v>0</v>
      </c>
      <c r="AQ96" s="38">
        <v>0</v>
      </c>
      <c r="AR96" s="38">
        <v>0</v>
      </c>
      <c r="AS96" s="38">
        <v>0</v>
      </c>
      <c r="AT96" s="38">
        <v>0</v>
      </c>
      <c r="AU96" s="38">
        <v>0</v>
      </c>
      <c r="AV96" s="38">
        <v>0</v>
      </c>
      <c r="AW96" s="38">
        <v>0</v>
      </c>
      <c r="AX96" s="38">
        <v>0</v>
      </c>
      <c r="AY96" s="38">
        <v>0</v>
      </c>
      <c r="AZ96" s="38">
        <v>0</v>
      </c>
      <c r="BA96" s="38">
        <v>0</v>
      </c>
      <c r="BB96" s="38">
        <v>0</v>
      </c>
      <c r="BC96" s="38">
        <v>0</v>
      </c>
      <c r="BD96" s="38">
        <v>0</v>
      </c>
      <c r="BE96" s="38">
        <v>0</v>
      </c>
      <c r="BF96" s="38">
        <v>0</v>
      </c>
      <c r="BG96" s="38">
        <v>0</v>
      </c>
      <c r="BH96" s="38">
        <v>0</v>
      </c>
      <c r="BI96" s="38">
        <v>0</v>
      </c>
      <c r="BJ96" s="38">
        <v>0</v>
      </c>
      <c r="BK96" s="38">
        <v>0</v>
      </c>
      <c r="BL96" s="38">
        <v>0</v>
      </c>
      <c r="BM96" s="38">
        <v>0</v>
      </c>
      <c r="BN96" s="38">
        <v>0</v>
      </c>
      <c r="BO96" s="38">
        <v>0</v>
      </c>
      <c r="BP96" s="38">
        <v>0</v>
      </c>
      <c r="BQ96" s="38">
        <v>0</v>
      </c>
      <c r="BR96" s="38">
        <v>0</v>
      </c>
      <c r="BS96" s="38">
        <v>0</v>
      </c>
      <c r="BT96" s="38">
        <v>0</v>
      </c>
      <c r="BU96" s="38">
        <v>0</v>
      </c>
      <c r="BV96" s="38">
        <v>0</v>
      </c>
      <c r="BW96" s="38">
        <v>0</v>
      </c>
      <c r="BX96" s="38">
        <v>0</v>
      </c>
      <c r="BY96" s="38">
        <v>0</v>
      </c>
      <c r="BZ96" s="38">
        <v>0</v>
      </c>
      <c r="CA96" s="38">
        <v>0</v>
      </c>
      <c r="CB96" s="38">
        <v>0</v>
      </c>
      <c r="CC96" s="38">
        <v>0</v>
      </c>
      <c r="CD96" s="38">
        <v>0</v>
      </c>
      <c r="CE96" s="38">
        <v>0</v>
      </c>
      <c r="CF96" s="38">
        <v>0</v>
      </c>
      <c r="CG96" s="38">
        <v>0</v>
      </c>
      <c r="CH96" s="38">
        <v>0</v>
      </c>
      <c r="CI96" s="38">
        <v>0</v>
      </c>
      <c r="CJ96" s="38">
        <v>0</v>
      </c>
      <c r="CK96" s="38">
        <v>0</v>
      </c>
      <c r="CL96" s="38">
        <v>0</v>
      </c>
      <c r="CM96" s="38">
        <v>0</v>
      </c>
      <c r="CN96" s="38">
        <v>0</v>
      </c>
      <c r="CO96" s="38">
        <v>0</v>
      </c>
      <c r="CP96" s="38">
        <v>0</v>
      </c>
      <c r="CQ96" s="38">
        <v>0</v>
      </c>
      <c r="CR96" s="38">
        <v>0</v>
      </c>
      <c r="CS96" s="38">
        <v>0</v>
      </c>
      <c r="CT96" s="38">
        <v>0</v>
      </c>
      <c r="CU96" s="38">
        <v>0</v>
      </c>
      <c r="CV96" s="38">
        <v>0</v>
      </c>
      <c r="CW96" s="38">
        <v>0</v>
      </c>
      <c r="CX96" s="38">
        <v>0</v>
      </c>
      <c r="CY96" s="38">
        <v>0</v>
      </c>
      <c r="CZ96" s="38">
        <v>0</v>
      </c>
      <c r="DA96" s="38">
        <v>0</v>
      </c>
      <c r="DB96" s="38">
        <v>0</v>
      </c>
      <c r="DC96" s="38">
        <v>0</v>
      </c>
      <c r="DE96" s="46">
        <f t="shared" si="46"/>
        <v>0</v>
      </c>
      <c r="DF96" s="46">
        <f t="shared" si="39"/>
        <v>0</v>
      </c>
      <c r="DG96">
        <f t="shared" si="47"/>
        <v>21</v>
      </c>
    </row>
    <row r="97" spans="1:113" ht="15" customHeight="1">
      <c r="A97" s="124">
        <v>85</v>
      </c>
      <c r="B97" s="5" t="str">
        <f>$B$89&amp;"8."</f>
        <v>G.8.</v>
      </c>
      <c r="C97" s="164" t="s">
        <v>216</v>
      </c>
      <c r="D97" s="5"/>
      <c r="E97" s="193">
        <v>0.21</v>
      </c>
      <c r="F97" s="35">
        <f>H97+NPV(FD,I97:INDEX(I97:DC97,PAL))</f>
        <v>0</v>
      </c>
      <c r="G97" s="35">
        <f>SUMIF($H$5:$DC$5,"&lt;="&amp;PAL,$H97:$DC97)</f>
        <v>0</v>
      </c>
      <c r="H97" s="38">
        <v>0</v>
      </c>
      <c r="I97" s="38">
        <v>0</v>
      </c>
      <c r="J97" s="38">
        <v>0</v>
      </c>
      <c r="K97" s="38">
        <v>0</v>
      </c>
      <c r="L97" s="38">
        <v>0</v>
      </c>
      <c r="M97" s="38">
        <v>0</v>
      </c>
      <c r="N97" s="38">
        <v>0</v>
      </c>
      <c r="O97" s="38">
        <v>0</v>
      </c>
      <c r="P97" s="38">
        <v>0</v>
      </c>
      <c r="Q97" s="38">
        <v>0</v>
      </c>
      <c r="R97" s="38">
        <v>0</v>
      </c>
      <c r="S97" s="38">
        <v>0</v>
      </c>
      <c r="T97" s="38">
        <v>0</v>
      </c>
      <c r="U97" s="38">
        <v>0</v>
      </c>
      <c r="V97" s="38">
        <v>0</v>
      </c>
      <c r="W97" s="38">
        <v>0</v>
      </c>
      <c r="X97" s="38">
        <v>0</v>
      </c>
      <c r="Y97" s="38">
        <v>0</v>
      </c>
      <c r="Z97" s="38">
        <v>0</v>
      </c>
      <c r="AA97" s="38">
        <v>0</v>
      </c>
      <c r="AB97" s="38">
        <v>0</v>
      </c>
      <c r="AC97" s="38">
        <v>0</v>
      </c>
      <c r="AD97" s="38">
        <v>0</v>
      </c>
      <c r="AE97" s="38">
        <v>0</v>
      </c>
      <c r="AF97" s="38">
        <v>0</v>
      </c>
      <c r="AG97" s="38">
        <v>0</v>
      </c>
      <c r="AH97" s="38">
        <v>0</v>
      </c>
      <c r="AI97" s="38">
        <v>0</v>
      </c>
      <c r="AJ97" s="38">
        <v>0</v>
      </c>
      <c r="AK97" s="38">
        <v>0</v>
      </c>
      <c r="AL97" s="38">
        <v>0</v>
      </c>
      <c r="AM97" s="38">
        <v>0</v>
      </c>
      <c r="AN97" s="38">
        <v>0</v>
      </c>
      <c r="AO97" s="38">
        <v>0</v>
      </c>
      <c r="AP97" s="38">
        <v>0</v>
      </c>
      <c r="AQ97" s="38">
        <v>0</v>
      </c>
      <c r="AR97" s="38">
        <v>0</v>
      </c>
      <c r="AS97" s="38">
        <v>0</v>
      </c>
      <c r="AT97" s="38">
        <v>0</v>
      </c>
      <c r="AU97" s="38">
        <v>0</v>
      </c>
      <c r="AV97" s="38">
        <v>0</v>
      </c>
      <c r="AW97" s="38">
        <v>0</v>
      </c>
      <c r="AX97" s="38">
        <v>0</v>
      </c>
      <c r="AY97" s="38">
        <v>0</v>
      </c>
      <c r="AZ97" s="38">
        <v>0</v>
      </c>
      <c r="BA97" s="38">
        <v>0</v>
      </c>
      <c r="BB97" s="38">
        <v>0</v>
      </c>
      <c r="BC97" s="38">
        <v>0</v>
      </c>
      <c r="BD97" s="38">
        <v>0</v>
      </c>
      <c r="BE97" s="38">
        <v>0</v>
      </c>
      <c r="BF97" s="38">
        <v>0</v>
      </c>
      <c r="BG97" s="38">
        <v>0</v>
      </c>
      <c r="BH97" s="38">
        <v>0</v>
      </c>
      <c r="BI97" s="38">
        <v>0</v>
      </c>
      <c r="BJ97" s="38">
        <v>0</v>
      </c>
      <c r="BK97" s="38">
        <v>0</v>
      </c>
      <c r="BL97" s="38">
        <v>0</v>
      </c>
      <c r="BM97" s="38">
        <v>0</v>
      </c>
      <c r="BN97" s="38">
        <v>0</v>
      </c>
      <c r="BO97" s="38">
        <v>0</v>
      </c>
      <c r="BP97" s="38">
        <v>0</v>
      </c>
      <c r="BQ97" s="38">
        <v>0</v>
      </c>
      <c r="BR97" s="38">
        <v>0</v>
      </c>
      <c r="BS97" s="38">
        <v>0</v>
      </c>
      <c r="BT97" s="38">
        <v>0</v>
      </c>
      <c r="BU97" s="38">
        <v>0</v>
      </c>
      <c r="BV97" s="38">
        <v>0</v>
      </c>
      <c r="BW97" s="38">
        <v>0</v>
      </c>
      <c r="BX97" s="38">
        <v>0</v>
      </c>
      <c r="BY97" s="38">
        <v>0</v>
      </c>
      <c r="BZ97" s="38">
        <v>0</v>
      </c>
      <c r="CA97" s="38">
        <v>0</v>
      </c>
      <c r="CB97" s="38">
        <v>0</v>
      </c>
      <c r="CC97" s="38">
        <v>0</v>
      </c>
      <c r="CD97" s="38">
        <v>0</v>
      </c>
      <c r="CE97" s="38">
        <v>0</v>
      </c>
      <c r="CF97" s="38">
        <v>0</v>
      </c>
      <c r="CG97" s="38">
        <v>0</v>
      </c>
      <c r="CH97" s="38">
        <v>0</v>
      </c>
      <c r="CI97" s="38">
        <v>0</v>
      </c>
      <c r="CJ97" s="38">
        <v>0</v>
      </c>
      <c r="CK97" s="38">
        <v>0</v>
      </c>
      <c r="CL97" s="38">
        <v>0</v>
      </c>
      <c r="CM97" s="38">
        <v>0</v>
      </c>
      <c r="CN97" s="38">
        <v>0</v>
      </c>
      <c r="CO97" s="38">
        <v>0</v>
      </c>
      <c r="CP97" s="38">
        <v>0</v>
      </c>
      <c r="CQ97" s="38">
        <v>0</v>
      </c>
      <c r="CR97" s="38">
        <v>0</v>
      </c>
      <c r="CS97" s="38">
        <v>0</v>
      </c>
      <c r="CT97" s="38">
        <v>0</v>
      </c>
      <c r="CU97" s="38">
        <v>0</v>
      </c>
      <c r="CV97" s="38">
        <v>0</v>
      </c>
      <c r="CW97" s="38">
        <v>0</v>
      </c>
      <c r="CX97" s="38">
        <v>0</v>
      </c>
      <c r="CY97" s="38">
        <v>0</v>
      </c>
      <c r="CZ97" s="38">
        <v>0</v>
      </c>
      <c r="DA97" s="38">
        <v>0</v>
      </c>
      <c r="DB97" s="38">
        <v>0</v>
      </c>
      <c r="DC97" s="38">
        <v>0</v>
      </c>
      <c r="DE97" s="46">
        <f t="shared" si="46"/>
        <v>0</v>
      </c>
      <c r="DF97" s="46">
        <f t="shared" si="39"/>
        <v>0</v>
      </c>
      <c r="DG97">
        <f t="shared" si="47"/>
        <v>21</v>
      </c>
    </row>
    <row r="98" spans="1:113" ht="15" customHeight="1">
      <c r="A98" s="124">
        <v>86</v>
      </c>
      <c r="B98" s="5" t="str">
        <f>$B$89&amp;"9."</f>
        <v>G.9.</v>
      </c>
      <c r="C98" s="164" t="s">
        <v>218</v>
      </c>
      <c r="D98" s="5"/>
      <c r="E98" s="193">
        <v>0.21</v>
      </c>
      <c r="F98" s="35">
        <f>H98+NPV(FD,I98:INDEX(I98:DC98,PAL))</f>
        <v>0</v>
      </c>
      <c r="G98" s="35">
        <f>SUMIF($H$5:$DC$5,"&lt;="&amp;PAL,$H98:$DC98)</f>
        <v>0</v>
      </c>
      <c r="H98" s="38">
        <v>0</v>
      </c>
      <c r="I98" s="38">
        <v>0</v>
      </c>
      <c r="J98" s="38">
        <v>0</v>
      </c>
      <c r="K98" s="38">
        <v>0</v>
      </c>
      <c r="L98" s="38">
        <v>0</v>
      </c>
      <c r="M98" s="38">
        <v>0</v>
      </c>
      <c r="N98" s="38">
        <v>0</v>
      </c>
      <c r="O98" s="38">
        <v>0</v>
      </c>
      <c r="P98" s="38">
        <v>0</v>
      </c>
      <c r="Q98" s="38">
        <v>0</v>
      </c>
      <c r="R98" s="38">
        <v>0</v>
      </c>
      <c r="S98" s="38">
        <v>0</v>
      </c>
      <c r="T98" s="38">
        <v>0</v>
      </c>
      <c r="U98" s="38">
        <v>0</v>
      </c>
      <c r="V98" s="38">
        <v>0</v>
      </c>
      <c r="W98" s="38">
        <v>0</v>
      </c>
      <c r="X98" s="38">
        <v>0</v>
      </c>
      <c r="Y98" s="38">
        <v>0</v>
      </c>
      <c r="Z98" s="38">
        <v>0</v>
      </c>
      <c r="AA98" s="38">
        <v>0</v>
      </c>
      <c r="AB98" s="38">
        <v>0</v>
      </c>
      <c r="AC98" s="38">
        <v>0</v>
      </c>
      <c r="AD98" s="38">
        <v>0</v>
      </c>
      <c r="AE98" s="38">
        <v>0</v>
      </c>
      <c r="AF98" s="38">
        <v>0</v>
      </c>
      <c r="AG98" s="38">
        <v>0</v>
      </c>
      <c r="AH98" s="38">
        <v>0</v>
      </c>
      <c r="AI98" s="38">
        <v>0</v>
      </c>
      <c r="AJ98" s="38">
        <v>0</v>
      </c>
      <c r="AK98" s="38">
        <v>0</v>
      </c>
      <c r="AL98" s="38">
        <v>0</v>
      </c>
      <c r="AM98" s="38">
        <v>0</v>
      </c>
      <c r="AN98" s="38">
        <v>0</v>
      </c>
      <c r="AO98" s="38">
        <v>0</v>
      </c>
      <c r="AP98" s="38">
        <v>0</v>
      </c>
      <c r="AQ98" s="38">
        <v>0</v>
      </c>
      <c r="AR98" s="38">
        <v>0</v>
      </c>
      <c r="AS98" s="38">
        <v>0</v>
      </c>
      <c r="AT98" s="38">
        <v>0</v>
      </c>
      <c r="AU98" s="38">
        <v>0</v>
      </c>
      <c r="AV98" s="38">
        <v>0</v>
      </c>
      <c r="AW98" s="38">
        <v>0</v>
      </c>
      <c r="AX98" s="38">
        <v>0</v>
      </c>
      <c r="AY98" s="38">
        <v>0</v>
      </c>
      <c r="AZ98" s="38">
        <v>0</v>
      </c>
      <c r="BA98" s="38">
        <v>0</v>
      </c>
      <c r="BB98" s="38">
        <v>0</v>
      </c>
      <c r="BC98" s="38">
        <v>0</v>
      </c>
      <c r="BD98" s="38">
        <v>0</v>
      </c>
      <c r="BE98" s="38">
        <v>0</v>
      </c>
      <c r="BF98" s="38">
        <v>0</v>
      </c>
      <c r="BG98" s="38">
        <v>0</v>
      </c>
      <c r="BH98" s="38">
        <v>0</v>
      </c>
      <c r="BI98" s="38">
        <v>0</v>
      </c>
      <c r="BJ98" s="38">
        <v>0</v>
      </c>
      <c r="BK98" s="38">
        <v>0</v>
      </c>
      <c r="BL98" s="38">
        <v>0</v>
      </c>
      <c r="BM98" s="38">
        <v>0</v>
      </c>
      <c r="BN98" s="38">
        <v>0</v>
      </c>
      <c r="BO98" s="38">
        <v>0</v>
      </c>
      <c r="BP98" s="38">
        <v>0</v>
      </c>
      <c r="BQ98" s="38">
        <v>0</v>
      </c>
      <c r="BR98" s="38">
        <v>0</v>
      </c>
      <c r="BS98" s="38">
        <v>0</v>
      </c>
      <c r="BT98" s="38">
        <v>0</v>
      </c>
      <c r="BU98" s="38">
        <v>0</v>
      </c>
      <c r="BV98" s="38">
        <v>0</v>
      </c>
      <c r="BW98" s="38">
        <v>0</v>
      </c>
      <c r="BX98" s="38">
        <v>0</v>
      </c>
      <c r="BY98" s="38">
        <v>0</v>
      </c>
      <c r="BZ98" s="38">
        <v>0</v>
      </c>
      <c r="CA98" s="38">
        <v>0</v>
      </c>
      <c r="CB98" s="38">
        <v>0</v>
      </c>
      <c r="CC98" s="38">
        <v>0</v>
      </c>
      <c r="CD98" s="38">
        <v>0</v>
      </c>
      <c r="CE98" s="38">
        <v>0</v>
      </c>
      <c r="CF98" s="38">
        <v>0</v>
      </c>
      <c r="CG98" s="38">
        <v>0</v>
      </c>
      <c r="CH98" s="38">
        <v>0</v>
      </c>
      <c r="CI98" s="38">
        <v>0</v>
      </c>
      <c r="CJ98" s="38">
        <v>0</v>
      </c>
      <c r="CK98" s="38">
        <v>0</v>
      </c>
      <c r="CL98" s="38">
        <v>0</v>
      </c>
      <c r="CM98" s="38">
        <v>0</v>
      </c>
      <c r="CN98" s="38">
        <v>0</v>
      </c>
      <c r="CO98" s="38">
        <v>0</v>
      </c>
      <c r="CP98" s="38">
        <v>0</v>
      </c>
      <c r="CQ98" s="38">
        <v>0</v>
      </c>
      <c r="CR98" s="38">
        <v>0</v>
      </c>
      <c r="CS98" s="38">
        <v>0</v>
      </c>
      <c r="CT98" s="38">
        <v>0</v>
      </c>
      <c r="CU98" s="38">
        <v>0</v>
      </c>
      <c r="CV98" s="38">
        <v>0</v>
      </c>
      <c r="CW98" s="38">
        <v>0</v>
      </c>
      <c r="CX98" s="38">
        <v>0</v>
      </c>
      <c r="CY98" s="38">
        <v>0</v>
      </c>
      <c r="CZ98" s="38">
        <v>0</v>
      </c>
      <c r="DA98" s="38">
        <v>0</v>
      </c>
      <c r="DB98" s="38">
        <v>0</v>
      </c>
      <c r="DC98" s="38">
        <v>0</v>
      </c>
      <c r="DE98" s="46">
        <f t="shared" si="46"/>
        <v>0</v>
      </c>
      <c r="DF98" s="46">
        <f t="shared" si="39"/>
        <v>0</v>
      </c>
      <c r="DG98">
        <f t="shared" si="47"/>
        <v>21</v>
      </c>
    </row>
    <row r="99" spans="1:113" ht="15" customHeight="1">
      <c r="A99" s="124">
        <v>87</v>
      </c>
      <c r="B99" s="5" t="str">
        <f>$B$89&amp;"10."</f>
        <v>G.10.</v>
      </c>
      <c r="C99" s="164" t="s">
        <v>220</v>
      </c>
      <c r="D99" s="5"/>
      <c r="E99" s="193">
        <v>0.21</v>
      </c>
      <c r="F99" s="35">
        <f>H99+NPV(FD,I99:INDEX(I99:DC99,PAL))</f>
        <v>0</v>
      </c>
      <c r="G99" s="35">
        <f>SUMIF($H$5:$DC$5,"&lt;="&amp;PAL,$H99:$DC99)</f>
        <v>0</v>
      </c>
      <c r="H99" s="38">
        <v>0</v>
      </c>
      <c r="I99" s="38">
        <v>0</v>
      </c>
      <c r="J99" s="38">
        <v>0</v>
      </c>
      <c r="K99" s="38">
        <v>0</v>
      </c>
      <c r="L99" s="38">
        <v>0</v>
      </c>
      <c r="M99" s="38">
        <v>0</v>
      </c>
      <c r="N99" s="38">
        <v>0</v>
      </c>
      <c r="O99" s="38">
        <v>0</v>
      </c>
      <c r="P99" s="38">
        <v>0</v>
      </c>
      <c r="Q99" s="38">
        <v>0</v>
      </c>
      <c r="R99" s="38">
        <v>0</v>
      </c>
      <c r="S99" s="38">
        <v>0</v>
      </c>
      <c r="T99" s="38">
        <v>0</v>
      </c>
      <c r="U99" s="38">
        <v>0</v>
      </c>
      <c r="V99" s="38">
        <v>0</v>
      </c>
      <c r="W99" s="38">
        <v>0</v>
      </c>
      <c r="X99" s="38">
        <v>0</v>
      </c>
      <c r="Y99" s="38">
        <v>0</v>
      </c>
      <c r="Z99" s="38">
        <v>0</v>
      </c>
      <c r="AA99" s="38">
        <v>0</v>
      </c>
      <c r="AB99" s="38">
        <v>0</v>
      </c>
      <c r="AC99" s="38">
        <v>0</v>
      </c>
      <c r="AD99" s="38">
        <v>0</v>
      </c>
      <c r="AE99" s="38">
        <v>0</v>
      </c>
      <c r="AF99" s="38">
        <v>0</v>
      </c>
      <c r="AG99" s="38">
        <v>0</v>
      </c>
      <c r="AH99" s="38">
        <v>0</v>
      </c>
      <c r="AI99" s="38">
        <v>0</v>
      </c>
      <c r="AJ99" s="38">
        <v>0</v>
      </c>
      <c r="AK99" s="38">
        <v>0</v>
      </c>
      <c r="AL99" s="38">
        <v>0</v>
      </c>
      <c r="AM99" s="38">
        <v>0</v>
      </c>
      <c r="AN99" s="38">
        <v>0</v>
      </c>
      <c r="AO99" s="38">
        <v>0</v>
      </c>
      <c r="AP99" s="38">
        <v>0</v>
      </c>
      <c r="AQ99" s="38">
        <v>0</v>
      </c>
      <c r="AR99" s="38">
        <v>0</v>
      </c>
      <c r="AS99" s="38">
        <v>0</v>
      </c>
      <c r="AT99" s="38">
        <v>0</v>
      </c>
      <c r="AU99" s="38">
        <v>0</v>
      </c>
      <c r="AV99" s="38">
        <v>0</v>
      </c>
      <c r="AW99" s="38">
        <v>0</v>
      </c>
      <c r="AX99" s="38">
        <v>0</v>
      </c>
      <c r="AY99" s="38">
        <v>0</v>
      </c>
      <c r="AZ99" s="38">
        <v>0</v>
      </c>
      <c r="BA99" s="38">
        <v>0</v>
      </c>
      <c r="BB99" s="38">
        <v>0</v>
      </c>
      <c r="BC99" s="38">
        <v>0</v>
      </c>
      <c r="BD99" s="38">
        <v>0</v>
      </c>
      <c r="BE99" s="38">
        <v>0</v>
      </c>
      <c r="BF99" s="38">
        <v>0</v>
      </c>
      <c r="BG99" s="38">
        <v>0</v>
      </c>
      <c r="BH99" s="38">
        <v>0</v>
      </c>
      <c r="BI99" s="38">
        <v>0</v>
      </c>
      <c r="BJ99" s="38">
        <v>0</v>
      </c>
      <c r="BK99" s="38">
        <v>0</v>
      </c>
      <c r="BL99" s="38">
        <v>0</v>
      </c>
      <c r="BM99" s="38">
        <v>0</v>
      </c>
      <c r="BN99" s="38">
        <v>0</v>
      </c>
      <c r="BO99" s="38">
        <v>0</v>
      </c>
      <c r="BP99" s="38">
        <v>0</v>
      </c>
      <c r="BQ99" s="38">
        <v>0</v>
      </c>
      <c r="BR99" s="38">
        <v>0</v>
      </c>
      <c r="BS99" s="38">
        <v>0</v>
      </c>
      <c r="BT99" s="38">
        <v>0</v>
      </c>
      <c r="BU99" s="38">
        <v>0</v>
      </c>
      <c r="BV99" s="38">
        <v>0</v>
      </c>
      <c r="BW99" s="38">
        <v>0</v>
      </c>
      <c r="BX99" s="38">
        <v>0</v>
      </c>
      <c r="BY99" s="38">
        <v>0</v>
      </c>
      <c r="BZ99" s="38">
        <v>0</v>
      </c>
      <c r="CA99" s="38">
        <v>0</v>
      </c>
      <c r="CB99" s="38">
        <v>0</v>
      </c>
      <c r="CC99" s="38">
        <v>0</v>
      </c>
      <c r="CD99" s="38">
        <v>0</v>
      </c>
      <c r="CE99" s="38">
        <v>0</v>
      </c>
      <c r="CF99" s="38">
        <v>0</v>
      </c>
      <c r="CG99" s="38">
        <v>0</v>
      </c>
      <c r="CH99" s="38">
        <v>0</v>
      </c>
      <c r="CI99" s="38">
        <v>0</v>
      </c>
      <c r="CJ99" s="38">
        <v>0</v>
      </c>
      <c r="CK99" s="38">
        <v>0</v>
      </c>
      <c r="CL99" s="38">
        <v>0</v>
      </c>
      <c r="CM99" s="38">
        <v>0</v>
      </c>
      <c r="CN99" s="38">
        <v>0</v>
      </c>
      <c r="CO99" s="38">
        <v>0</v>
      </c>
      <c r="CP99" s="38">
        <v>0</v>
      </c>
      <c r="CQ99" s="38">
        <v>0</v>
      </c>
      <c r="CR99" s="38">
        <v>0</v>
      </c>
      <c r="CS99" s="38">
        <v>0</v>
      </c>
      <c r="CT99" s="38">
        <v>0</v>
      </c>
      <c r="CU99" s="38">
        <v>0</v>
      </c>
      <c r="CV99" s="38">
        <v>0</v>
      </c>
      <c r="CW99" s="38">
        <v>0</v>
      </c>
      <c r="CX99" s="38">
        <v>0</v>
      </c>
      <c r="CY99" s="38">
        <v>0</v>
      </c>
      <c r="CZ99" s="38">
        <v>0</v>
      </c>
      <c r="DA99" s="38">
        <v>0</v>
      </c>
      <c r="DB99" s="38">
        <v>0</v>
      </c>
      <c r="DC99" s="38">
        <v>0</v>
      </c>
      <c r="DE99" s="46">
        <f t="shared" si="46"/>
        <v>0</v>
      </c>
      <c r="DF99" s="46">
        <f t="shared" si="39"/>
        <v>0</v>
      </c>
      <c r="DG99">
        <f t="shared" si="47"/>
        <v>21</v>
      </c>
    </row>
    <row r="100" spans="1:113" ht="17.25" customHeight="1">
      <c r="A100" s="124">
        <v>88</v>
      </c>
      <c r="B100" s="5" t="s">
        <v>38</v>
      </c>
      <c r="C100" s="15" t="s">
        <v>262</v>
      </c>
      <c r="D100" s="5"/>
      <c r="E100" s="5"/>
      <c r="F100" s="11">
        <f>SUM(F101:F110)</f>
        <v>0</v>
      </c>
      <c r="G100" s="35">
        <f>SUMIF($H$5:$DC$5,"&lt;="&amp;PAL,$H100:$DC100)</f>
        <v>0</v>
      </c>
      <c r="H100" s="11">
        <f t="shared" ref="H100:BR100" si="48">SUM(H101:H110)</f>
        <v>0</v>
      </c>
      <c r="I100" s="11">
        <f t="shared" si="48"/>
        <v>0</v>
      </c>
      <c r="J100" s="11">
        <f t="shared" si="48"/>
        <v>0</v>
      </c>
      <c r="K100" s="11">
        <f t="shared" si="48"/>
        <v>0</v>
      </c>
      <c r="L100" s="11">
        <f t="shared" si="48"/>
        <v>0</v>
      </c>
      <c r="M100" s="11">
        <f t="shared" si="48"/>
        <v>0</v>
      </c>
      <c r="N100" s="11">
        <f t="shared" si="48"/>
        <v>0</v>
      </c>
      <c r="O100" s="11">
        <f t="shared" si="48"/>
        <v>0</v>
      </c>
      <c r="P100" s="11">
        <f t="shared" si="48"/>
        <v>0</v>
      </c>
      <c r="Q100" s="11">
        <f t="shared" si="48"/>
        <v>0</v>
      </c>
      <c r="R100" s="11">
        <f t="shared" si="48"/>
        <v>0</v>
      </c>
      <c r="S100" s="11">
        <f t="shared" si="48"/>
        <v>0</v>
      </c>
      <c r="T100" s="11">
        <f t="shared" si="48"/>
        <v>0</v>
      </c>
      <c r="U100" s="11">
        <f t="shared" si="48"/>
        <v>0</v>
      </c>
      <c r="V100" s="11">
        <f t="shared" si="48"/>
        <v>0</v>
      </c>
      <c r="W100" s="11">
        <f t="shared" si="48"/>
        <v>0</v>
      </c>
      <c r="X100" s="11">
        <f t="shared" si="48"/>
        <v>0</v>
      </c>
      <c r="Y100" s="11">
        <f t="shared" si="48"/>
        <v>0</v>
      </c>
      <c r="Z100" s="11">
        <f t="shared" si="48"/>
        <v>0</v>
      </c>
      <c r="AA100" s="11">
        <f t="shared" si="48"/>
        <v>0</v>
      </c>
      <c r="AB100" s="11">
        <f t="shared" si="48"/>
        <v>0</v>
      </c>
      <c r="AC100" s="11">
        <f t="shared" si="48"/>
        <v>0</v>
      </c>
      <c r="AD100" s="11">
        <f t="shared" si="48"/>
        <v>0</v>
      </c>
      <c r="AE100" s="11">
        <f t="shared" si="48"/>
        <v>0</v>
      </c>
      <c r="AF100" s="11">
        <f t="shared" si="48"/>
        <v>0</v>
      </c>
      <c r="AG100" s="11">
        <f t="shared" si="48"/>
        <v>0</v>
      </c>
      <c r="AH100" s="11">
        <f t="shared" si="48"/>
        <v>0</v>
      </c>
      <c r="AI100" s="11">
        <f t="shared" si="48"/>
        <v>0</v>
      </c>
      <c r="AJ100" s="11">
        <f t="shared" si="48"/>
        <v>0</v>
      </c>
      <c r="AK100" s="11">
        <f t="shared" si="48"/>
        <v>0</v>
      </c>
      <c r="AL100" s="11">
        <f t="shared" si="48"/>
        <v>0</v>
      </c>
      <c r="AM100" s="11">
        <f t="shared" si="48"/>
        <v>0</v>
      </c>
      <c r="AN100" s="11">
        <f t="shared" si="48"/>
        <v>0</v>
      </c>
      <c r="AO100" s="11">
        <f t="shared" si="48"/>
        <v>0</v>
      </c>
      <c r="AP100" s="11">
        <f t="shared" si="48"/>
        <v>0</v>
      </c>
      <c r="AQ100" s="11">
        <f t="shared" si="48"/>
        <v>0</v>
      </c>
      <c r="AR100" s="11">
        <f t="shared" si="48"/>
        <v>0</v>
      </c>
      <c r="AS100" s="11">
        <f t="shared" si="48"/>
        <v>0</v>
      </c>
      <c r="AT100" s="11">
        <f t="shared" si="48"/>
        <v>0</v>
      </c>
      <c r="AU100" s="11">
        <f t="shared" si="48"/>
        <v>0</v>
      </c>
      <c r="AV100" s="11">
        <f t="shared" si="48"/>
        <v>0</v>
      </c>
      <c r="AW100" s="11">
        <f t="shared" si="48"/>
        <v>0</v>
      </c>
      <c r="AX100" s="11">
        <f t="shared" si="48"/>
        <v>0</v>
      </c>
      <c r="AY100" s="11">
        <f t="shared" si="48"/>
        <v>0</v>
      </c>
      <c r="AZ100" s="11">
        <f t="shared" si="48"/>
        <v>0</v>
      </c>
      <c r="BA100" s="11">
        <f t="shared" si="48"/>
        <v>0</v>
      </c>
      <c r="BB100" s="11">
        <f t="shared" si="48"/>
        <v>0</v>
      </c>
      <c r="BC100" s="11">
        <f t="shared" si="48"/>
        <v>0</v>
      </c>
      <c r="BD100" s="11">
        <f t="shared" si="48"/>
        <v>0</v>
      </c>
      <c r="BE100" s="11">
        <f t="shared" si="48"/>
        <v>0</v>
      </c>
      <c r="BF100" s="11">
        <f t="shared" si="48"/>
        <v>0</v>
      </c>
      <c r="BG100" s="11">
        <f t="shared" si="48"/>
        <v>0</v>
      </c>
      <c r="BH100" s="11">
        <f t="shared" si="48"/>
        <v>0</v>
      </c>
      <c r="BI100" s="11">
        <f t="shared" si="48"/>
        <v>0</v>
      </c>
      <c r="BJ100" s="11">
        <f t="shared" si="48"/>
        <v>0</v>
      </c>
      <c r="BK100" s="11">
        <f t="shared" si="48"/>
        <v>0</v>
      </c>
      <c r="BL100" s="11">
        <f t="shared" si="48"/>
        <v>0</v>
      </c>
      <c r="BM100" s="11">
        <f t="shared" si="48"/>
        <v>0</v>
      </c>
      <c r="BN100" s="11">
        <f t="shared" si="48"/>
        <v>0</v>
      </c>
      <c r="BO100" s="11">
        <f t="shared" si="48"/>
        <v>0</v>
      </c>
      <c r="BP100" s="11">
        <f t="shared" si="48"/>
        <v>0</v>
      </c>
      <c r="BQ100" s="11">
        <f t="shared" si="48"/>
        <v>0</v>
      </c>
      <c r="BR100" s="11">
        <f t="shared" si="48"/>
        <v>0</v>
      </c>
      <c r="BS100" s="11">
        <f t="shared" ref="BS100:DC100" si="49">SUM(BS101:BS110)</f>
        <v>0</v>
      </c>
      <c r="BT100" s="11">
        <f t="shared" si="49"/>
        <v>0</v>
      </c>
      <c r="BU100" s="11">
        <f t="shared" si="49"/>
        <v>0</v>
      </c>
      <c r="BV100" s="11">
        <f t="shared" si="49"/>
        <v>0</v>
      </c>
      <c r="BW100" s="11">
        <f t="shared" si="49"/>
        <v>0</v>
      </c>
      <c r="BX100" s="11">
        <f t="shared" si="49"/>
        <v>0</v>
      </c>
      <c r="BY100" s="11">
        <f t="shared" si="49"/>
        <v>0</v>
      </c>
      <c r="BZ100" s="11">
        <f t="shared" si="49"/>
        <v>0</v>
      </c>
      <c r="CA100" s="11">
        <f t="shared" si="49"/>
        <v>0</v>
      </c>
      <c r="CB100" s="11">
        <f t="shared" si="49"/>
        <v>0</v>
      </c>
      <c r="CC100" s="11">
        <f t="shared" si="49"/>
        <v>0</v>
      </c>
      <c r="CD100" s="11">
        <f t="shared" si="49"/>
        <v>0</v>
      </c>
      <c r="CE100" s="11">
        <f t="shared" si="49"/>
        <v>0</v>
      </c>
      <c r="CF100" s="11">
        <f t="shared" si="49"/>
        <v>0</v>
      </c>
      <c r="CG100" s="11">
        <f t="shared" si="49"/>
        <v>0</v>
      </c>
      <c r="CH100" s="11">
        <f t="shared" si="49"/>
        <v>0</v>
      </c>
      <c r="CI100" s="11">
        <f t="shared" si="49"/>
        <v>0</v>
      </c>
      <c r="CJ100" s="11">
        <f t="shared" si="49"/>
        <v>0</v>
      </c>
      <c r="CK100" s="11">
        <f t="shared" si="49"/>
        <v>0</v>
      </c>
      <c r="CL100" s="11">
        <f t="shared" si="49"/>
        <v>0</v>
      </c>
      <c r="CM100" s="11">
        <f t="shared" si="49"/>
        <v>0</v>
      </c>
      <c r="CN100" s="11">
        <f t="shared" si="49"/>
        <v>0</v>
      </c>
      <c r="CO100" s="11">
        <f t="shared" si="49"/>
        <v>0</v>
      </c>
      <c r="CP100" s="11">
        <f t="shared" si="49"/>
        <v>0</v>
      </c>
      <c r="CQ100" s="11">
        <f t="shared" si="49"/>
        <v>0</v>
      </c>
      <c r="CR100" s="11">
        <f t="shared" si="49"/>
        <v>0</v>
      </c>
      <c r="CS100" s="11">
        <f t="shared" si="49"/>
        <v>0</v>
      </c>
      <c r="CT100" s="11">
        <f t="shared" si="49"/>
        <v>0</v>
      </c>
      <c r="CU100" s="11">
        <f t="shared" si="49"/>
        <v>0</v>
      </c>
      <c r="CV100" s="11">
        <f t="shared" si="49"/>
        <v>0</v>
      </c>
      <c r="CW100" s="11">
        <f t="shared" si="49"/>
        <v>0</v>
      </c>
      <c r="CX100" s="11">
        <f t="shared" si="49"/>
        <v>0</v>
      </c>
      <c r="CY100" s="11">
        <f t="shared" si="49"/>
        <v>0</v>
      </c>
      <c r="CZ100" s="11">
        <f t="shared" si="49"/>
        <v>0</v>
      </c>
      <c r="DA100" s="11">
        <f t="shared" si="49"/>
        <v>0</v>
      </c>
      <c r="DB100" s="11">
        <f t="shared" si="49"/>
        <v>0</v>
      </c>
      <c r="DC100" s="11">
        <f t="shared" si="49"/>
        <v>0</v>
      </c>
      <c r="DF100" s="46">
        <f t="shared" si="39"/>
        <v>0</v>
      </c>
    </row>
    <row r="101" spans="1:113" ht="15" customHeight="1">
      <c r="A101" s="124">
        <v>89</v>
      </c>
      <c r="B101" s="5" t="str">
        <f>$B$100&amp;"1."</f>
        <v>H.1.</v>
      </c>
      <c r="C101" s="164" t="s">
        <v>221</v>
      </c>
      <c r="D101" s="5"/>
      <c r="E101" s="184" t="s">
        <v>255</v>
      </c>
      <c r="F101" s="35">
        <f>H101+NPV(FD,I101:INDEX(I101:DC101,PAL))</f>
        <v>0</v>
      </c>
      <c r="G101" s="35">
        <f>SUMIF($H$5:$DC$5,"&lt;="&amp;PAL,$H101:$DC101)</f>
        <v>0</v>
      </c>
      <c r="H101" s="38">
        <v>0</v>
      </c>
      <c r="I101" s="38">
        <v>0</v>
      </c>
      <c r="J101" s="38">
        <v>0</v>
      </c>
      <c r="K101" s="38">
        <v>0</v>
      </c>
      <c r="L101" s="38">
        <v>0</v>
      </c>
      <c r="M101" s="38">
        <v>0</v>
      </c>
      <c r="N101" s="38">
        <v>0</v>
      </c>
      <c r="O101" s="38">
        <v>0</v>
      </c>
      <c r="P101" s="38">
        <v>0</v>
      </c>
      <c r="Q101" s="38">
        <v>0</v>
      </c>
      <c r="R101" s="38">
        <v>0</v>
      </c>
      <c r="S101" s="38">
        <v>0</v>
      </c>
      <c r="T101" s="38">
        <v>0</v>
      </c>
      <c r="U101" s="38">
        <v>0</v>
      </c>
      <c r="V101" s="38">
        <v>0</v>
      </c>
      <c r="W101" s="38">
        <v>0</v>
      </c>
      <c r="X101" s="38">
        <v>0</v>
      </c>
      <c r="Y101" s="38">
        <v>0</v>
      </c>
      <c r="Z101" s="38">
        <v>0</v>
      </c>
      <c r="AA101" s="38">
        <v>0</v>
      </c>
      <c r="AB101" s="38">
        <v>0</v>
      </c>
      <c r="AC101" s="38">
        <v>0</v>
      </c>
      <c r="AD101" s="38">
        <v>0</v>
      </c>
      <c r="AE101" s="38">
        <v>0</v>
      </c>
      <c r="AF101" s="38">
        <v>0</v>
      </c>
      <c r="AG101" s="38">
        <v>0</v>
      </c>
      <c r="AH101" s="38">
        <v>0</v>
      </c>
      <c r="AI101" s="38">
        <v>0</v>
      </c>
      <c r="AJ101" s="38">
        <v>0</v>
      </c>
      <c r="AK101" s="38">
        <v>0</v>
      </c>
      <c r="AL101" s="38">
        <v>0</v>
      </c>
      <c r="AM101" s="38">
        <v>0</v>
      </c>
      <c r="AN101" s="38">
        <v>0</v>
      </c>
      <c r="AO101" s="38">
        <v>0</v>
      </c>
      <c r="AP101" s="38">
        <v>0</v>
      </c>
      <c r="AQ101" s="38">
        <v>0</v>
      </c>
      <c r="AR101" s="38">
        <v>0</v>
      </c>
      <c r="AS101" s="38">
        <v>0</v>
      </c>
      <c r="AT101" s="38">
        <v>0</v>
      </c>
      <c r="AU101" s="38">
        <v>0</v>
      </c>
      <c r="AV101" s="38">
        <v>0</v>
      </c>
      <c r="AW101" s="38">
        <v>0</v>
      </c>
      <c r="AX101" s="38">
        <v>0</v>
      </c>
      <c r="AY101" s="38">
        <v>0</v>
      </c>
      <c r="AZ101" s="38">
        <v>0</v>
      </c>
      <c r="BA101" s="38">
        <v>0</v>
      </c>
      <c r="BB101" s="38">
        <v>0</v>
      </c>
      <c r="BC101" s="38">
        <v>0</v>
      </c>
      <c r="BD101" s="38">
        <v>0</v>
      </c>
      <c r="BE101" s="38">
        <v>0</v>
      </c>
      <c r="BF101" s="38">
        <v>0</v>
      </c>
      <c r="BG101" s="38">
        <v>0</v>
      </c>
      <c r="BH101" s="38">
        <v>0</v>
      </c>
      <c r="BI101" s="38">
        <v>0</v>
      </c>
      <c r="BJ101" s="38">
        <v>0</v>
      </c>
      <c r="BK101" s="38">
        <v>0</v>
      </c>
      <c r="BL101" s="38">
        <v>0</v>
      </c>
      <c r="BM101" s="38">
        <v>0</v>
      </c>
      <c r="BN101" s="38">
        <v>0</v>
      </c>
      <c r="BO101" s="38">
        <v>0</v>
      </c>
      <c r="BP101" s="38">
        <v>0</v>
      </c>
      <c r="BQ101" s="38">
        <v>0</v>
      </c>
      <c r="BR101" s="38">
        <v>0</v>
      </c>
      <c r="BS101" s="38">
        <v>0</v>
      </c>
      <c r="BT101" s="38">
        <v>0</v>
      </c>
      <c r="BU101" s="38">
        <v>0</v>
      </c>
      <c r="BV101" s="38">
        <v>0</v>
      </c>
      <c r="BW101" s="38">
        <v>0</v>
      </c>
      <c r="BX101" s="38">
        <v>0</v>
      </c>
      <c r="BY101" s="38">
        <v>0</v>
      </c>
      <c r="BZ101" s="38">
        <v>0</v>
      </c>
      <c r="CA101" s="38">
        <v>0</v>
      </c>
      <c r="CB101" s="38">
        <v>0</v>
      </c>
      <c r="CC101" s="38">
        <v>0</v>
      </c>
      <c r="CD101" s="38">
        <v>0</v>
      </c>
      <c r="CE101" s="38">
        <v>0</v>
      </c>
      <c r="CF101" s="38">
        <v>0</v>
      </c>
      <c r="CG101" s="38">
        <v>0</v>
      </c>
      <c r="CH101" s="38">
        <v>0</v>
      </c>
      <c r="CI101" s="38">
        <v>0</v>
      </c>
      <c r="CJ101" s="38">
        <v>0</v>
      </c>
      <c r="CK101" s="38">
        <v>0</v>
      </c>
      <c r="CL101" s="38">
        <v>0</v>
      </c>
      <c r="CM101" s="38">
        <v>0</v>
      </c>
      <c r="CN101" s="38">
        <v>0</v>
      </c>
      <c r="CO101" s="38">
        <v>0</v>
      </c>
      <c r="CP101" s="38">
        <v>0</v>
      </c>
      <c r="CQ101" s="38">
        <v>0</v>
      </c>
      <c r="CR101" s="38">
        <v>0</v>
      </c>
      <c r="CS101" s="38">
        <v>0</v>
      </c>
      <c r="CT101" s="38">
        <v>0</v>
      </c>
      <c r="CU101" s="38">
        <v>0</v>
      </c>
      <c r="CV101" s="38">
        <v>0</v>
      </c>
      <c r="CW101" s="38">
        <v>0</v>
      </c>
      <c r="CX101" s="38">
        <v>0</v>
      </c>
      <c r="CY101" s="38">
        <v>0</v>
      </c>
      <c r="CZ101" s="38">
        <v>0</v>
      </c>
      <c r="DA101" s="38">
        <v>0</v>
      </c>
      <c r="DB101" s="38">
        <v>0</v>
      </c>
      <c r="DC101" s="38">
        <v>0</v>
      </c>
      <c r="DE101" s="46">
        <f>COUNTBLANK(H101:DC101)</f>
        <v>0</v>
      </c>
      <c r="DF101" s="46">
        <f t="shared" si="39"/>
        <v>0</v>
      </c>
      <c r="DG101">
        <f t="shared" si="47"/>
        <v>0</v>
      </c>
    </row>
    <row r="102" spans="1:113" ht="15" customHeight="1">
      <c r="A102" s="124">
        <v>90</v>
      </c>
      <c r="B102" s="5" t="str">
        <f>$B$100&amp;"2."</f>
        <v>H.2.</v>
      </c>
      <c r="C102" s="164" t="s">
        <v>223</v>
      </c>
      <c r="D102" s="5"/>
      <c r="E102" s="184" t="s">
        <v>255</v>
      </c>
      <c r="F102" s="35">
        <f>H102+NPV(FD,I102:INDEX(I102:DC102,PAL))</f>
        <v>0</v>
      </c>
      <c r="G102" s="35">
        <f>SUMIF($H$5:$DC$5,"&lt;="&amp;PAL,$H102:$DC102)</f>
        <v>0</v>
      </c>
      <c r="H102" s="38">
        <v>0</v>
      </c>
      <c r="I102" s="38">
        <v>0</v>
      </c>
      <c r="J102" s="38">
        <v>0</v>
      </c>
      <c r="K102" s="38">
        <v>0</v>
      </c>
      <c r="L102" s="38">
        <v>0</v>
      </c>
      <c r="M102" s="38">
        <v>0</v>
      </c>
      <c r="N102" s="38">
        <v>0</v>
      </c>
      <c r="O102" s="38">
        <v>0</v>
      </c>
      <c r="P102" s="38">
        <v>0</v>
      </c>
      <c r="Q102" s="38">
        <v>0</v>
      </c>
      <c r="R102" s="38">
        <v>0</v>
      </c>
      <c r="S102" s="38">
        <v>0</v>
      </c>
      <c r="T102" s="38">
        <v>0</v>
      </c>
      <c r="U102" s="38">
        <v>0</v>
      </c>
      <c r="V102" s="38">
        <v>0</v>
      </c>
      <c r="W102" s="38">
        <v>0</v>
      </c>
      <c r="X102" s="38">
        <v>0</v>
      </c>
      <c r="Y102" s="38">
        <v>0</v>
      </c>
      <c r="Z102" s="38">
        <v>0</v>
      </c>
      <c r="AA102" s="38">
        <v>0</v>
      </c>
      <c r="AB102" s="38">
        <v>0</v>
      </c>
      <c r="AC102" s="38">
        <v>0</v>
      </c>
      <c r="AD102" s="38">
        <v>0</v>
      </c>
      <c r="AE102" s="38">
        <v>0</v>
      </c>
      <c r="AF102" s="38">
        <v>0</v>
      </c>
      <c r="AG102" s="38">
        <v>0</v>
      </c>
      <c r="AH102" s="38">
        <v>0</v>
      </c>
      <c r="AI102" s="38">
        <v>0</v>
      </c>
      <c r="AJ102" s="38">
        <v>0</v>
      </c>
      <c r="AK102" s="38">
        <v>0</v>
      </c>
      <c r="AL102" s="38">
        <v>0</v>
      </c>
      <c r="AM102" s="38">
        <v>0</v>
      </c>
      <c r="AN102" s="38">
        <v>0</v>
      </c>
      <c r="AO102" s="38">
        <v>0</v>
      </c>
      <c r="AP102" s="38">
        <v>0</v>
      </c>
      <c r="AQ102" s="38">
        <v>0</v>
      </c>
      <c r="AR102" s="38">
        <v>0</v>
      </c>
      <c r="AS102" s="38">
        <v>0</v>
      </c>
      <c r="AT102" s="38">
        <v>0</v>
      </c>
      <c r="AU102" s="38">
        <v>0</v>
      </c>
      <c r="AV102" s="38">
        <v>0</v>
      </c>
      <c r="AW102" s="38">
        <v>0</v>
      </c>
      <c r="AX102" s="38">
        <v>0</v>
      </c>
      <c r="AY102" s="38">
        <v>0</v>
      </c>
      <c r="AZ102" s="38">
        <v>0</v>
      </c>
      <c r="BA102" s="38">
        <v>0</v>
      </c>
      <c r="BB102" s="38">
        <v>0</v>
      </c>
      <c r="BC102" s="38">
        <v>0</v>
      </c>
      <c r="BD102" s="38">
        <v>0</v>
      </c>
      <c r="BE102" s="38">
        <v>0</v>
      </c>
      <c r="BF102" s="38">
        <v>0</v>
      </c>
      <c r="BG102" s="38">
        <v>0</v>
      </c>
      <c r="BH102" s="38">
        <v>0</v>
      </c>
      <c r="BI102" s="38">
        <v>0</v>
      </c>
      <c r="BJ102" s="38">
        <v>0</v>
      </c>
      <c r="BK102" s="38">
        <v>0</v>
      </c>
      <c r="BL102" s="38">
        <v>0</v>
      </c>
      <c r="BM102" s="38">
        <v>0</v>
      </c>
      <c r="BN102" s="38">
        <v>0</v>
      </c>
      <c r="BO102" s="38">
        <v>0</v>
      </c>
      <c r="BP102" s="38">
        <v>0</v>
      </c>
      <c r="BQ102" s="38">
        <v>0</v>
      </c>
      <c r="BR102" s="38">
        <v>0</v>
      </c>
      <c r="BS102" s="38">
        <v>0</v>
      </c>
      <c r="BT102" s="38">
        <v>0</v>
      </c>
      <c r="BU102" s="38">
        <v>0</v>
      </c>
      <c r="BV102" s="38">
        <v>0</v>
      </c>
      <c r="BW102" s="38">
        <v>0</v>
      </c>
      <c r="BX102" s="38">
        <v>0</v>
      </c>
      <c r="BY102" s="38">
        <v>0</v>
      </c>
      <c r="BZ102" s="38">
        <v>0</v>
      </c>
      <c r="CA102" s="38">
        <v>0</v>
      </c>
      <c r="CB102" s="38">
        <v>0</v>
      </c>
      <c r="CC102" s="38">
        <v>0</v>
      </c>
      <c r="CD102" s="38">
        <v>0</v>
      </c>
      <c r="CE102" s="38">
        <v>0</v>
      </c>
      <c r="CF102" s="38">
        <v>0</v>
      </c>
      <c r="CG102" s="38">
        <v>0</v>
      </c>
      <c r="CH102" s="38">
        <v>0</v>
      </c>
      <c r="CI102" s="38">
        <v>0</v>
      </c>
      <c r="CJ102" s="38">
        <v>0</v>
      </c>
      <c r="CK102" s="38">
        <v>0</v>
      </c>
      <c r="CL102" s="38">
        <v>0</v>
      </c>
      <c r="CM102" s="38">
        <v>0</v>
      </c>
      <c r="CN102" s="38">
        <v>0</v>
      </c>
      <c r="CO102" s="38">
        <v>0</v>
      </c>
      <c r="CP102" s="38">
        <v>0</v>
      </c>
      <c r="CQ102" s="38">
        <v>0</v>
      </c>
      <c r="CR102" s="38">
        <v>0</v>
      </c>
      <c r="CS102" s="38">
        <v>0</v>
      </c>
      <c r="CT102" s="38">
        <v>0</v>
      </c>
      <c r="CU102" s="38">
        <v>0</v>
      </c>
      <c r="CV102" s="38">
        <v>0</v>
      </c>
      <c r="CW102" s="38">
        <v>0</v>
      </c>
      <c r="CX102" s="38">
        <v>0</v>
      </c>
      <c r="CY102" s="38">
        <v>0</v>
      </c>
      <c r="CZ102" s="38">
        <v>0</v>
      </c>
      <c r="DA102" s="38">
        <v>0</v>
      </c>
      <c r="DB102" s="38">
        <v>0</v>
      </c>
      <c r="DC102" s="38">
        <v>0</v>
      </c>
      <c r="DE102" s="46">
        <f>COUNTBLANK(H102:DC102)</f>
        <v>0</v>
      </c>
      <c r="DF102" s="46">
        <f t="shared" si="39"/>
        <v>0</v>
      </c>
      <c r="DG102">
        <f t="shared" si="47"/>
        <v>0</v>
      </c>
    </row>
    <row r="103" spans="1:113" ht="15" customHeight="1">
      <c r="A103" s="124">
        <v>91</v>
      </c>
      <c r="B103" s="5" t="str">
        <f>$B$100&amp;"3."</f>
        <v>H.3.</v>
      </c>
      <c r="C103" s="164" t="s">
        <v>225</v>
      </c>
      <c r="D103" s="5"/>
      <c r="E103" s="184" t="s">
        <v>255</v>
      </c>
      <c r="F103" s="35">
        <f>H103+NPV(FD,I103:INDEX(I103:DC103,PAL))</f>
        <v>0</v>
      </c>
      <c r="G103" s="35">
        <f>SUMIF($H$5:$DC$5,"&lt;="&amp;PAL,$H103:$DC103)</f>
        <v>0</v>
      </c>
      <c r="H103" s="38">
        <v>0</v>
      </c>
      <c r="I103" s="38">
        <v>0</v>
      </c>
      <c r="J103" s="38">
        <v>0</v>
      </c>
      <c r="K103" s="38">
        <v>0</v>
      </c>
      <c r="L103" s="38">
        <v>0</v>
      </c>
      <c r="M103" s="38">
        <v>0</v>
      </c>
      <c r="N103" s="38">
        <v>0</v>
      </c>
      <c r="O103" s="38">
        <v>0</v>
      </c>
      <c r="P103" s="38">
        <v>0</v>
      </c>
      <c r="Q103" s="38">
        <v>0</v>
      </c>
      <c r="R103" s="38">
        <v>0</v>
      </c>
      <c r="S103" s="38">
        <v>0</v>
      </c>
      <c r="T103" s="38">
        <v>0</v>
      </c>
      <c r="U103" s="38">
        <v>0</v>
      </c>
      <c r="V103" s="38">
        <v>0</v>
      </c>
      <c r="W103" s="38">
        <v>0</v>
      </c>
      <c r="X103" s="38">
        <v>0</v>
      </c>
      <c r="Y103" s="38">
        <v>0</v>
      </c>
      <c r="Z103" s="38">
        <v>0</v>
      </c>
      <c r="AA103" s="38">
        <v>0</v>
      </c>
      <c r="AB103" s="38">
        <v>0</v>
      </c>
      <c r="AC103" s="38">
        <v>0</v>
      </c>
      <c r="AD103" s="38">
        <v>0</v>
      </c>
      <c r="AE103" s="38">
        <v>0</v>
      </c>
      <c r="AF103" s="38">
        <v>0</v>
      </c>
      <c r="AG103" s="38">
        <v>0</v>
      </c>
      <c r="AH103" s="38">
        <v>0</v>
      </c>
      <c r="AI103" s="38">
        <v>0</v>
      </c>
      <c r="AJ103" s="38">
        <v>0</v>
      </c>
      <c r="AK103" s="38">
        <v>0</v>
      </c>
      <c r="AL103" s="38">
        <v>0</v>
      </c>
      <c r="AM103" s="38">
        <v>0</v>
      </c>
      <c r="AN103" s="38">
        <v>0</v>
      </c>
      <c r="AO103" s="38">
        <v>0</v>
      </c>
      <c r="AP103" s="38">
        <v>0</v>
      </c>
      <c r="AQ103" s="38">
        <v>0</v>
      </c>
      <c r="AR103" s="38">
        <v>0</v>
      </c>
      <c r="AS103" s="38">
        <v>0</v>
      </c>
      <c r="AT103" s="38">
        <v>0</v>
      </c>
      <c r="AU103" s="38">
        <v>0</v>
      </c>
      <c r="AV103" s="38">
        <v>0</v>
      </c>
      <c r="AW103" s="38">
        <v>0</v>
      </c>
      <c r="AX103" s="38">
        <v>0</v>
      </c>
      <c r="AY103" s="38">
        <v>0</v>
      </c>
      <c r="AZ103" s="38">
        <v>0</v>
      </c>
      <c r="BA103" s="38">
        <v>0</v>
      </c>
      <c r="BB103" s="38">
        <v>0</v>
      </c>
      <c r="BC103" s="38">
        <v>0</v>
      </c>
      <c r="BD103" s="38">
        <v>0</v>
      </c>
      <c r="BE103" s="38">
        <v>0</v>
      </c>
      <c r="BF103" s="38">
        <v>0</v>
      </c>
      <c r="BG103" s="38">
        <v>0</v>
      </c>
      <c r="BH103" s="38">
        <v>0</v>
      </c>
      <c r="BI103" s="38">
        <v>0</v>
      </c>
      <c r="BJ103" s="38">
        <v>0</v>
      </c>
      <c r="BK103" s="38">
        <v>0</v>
      </c>
      <c r="BL103" s="38">
        <v>0</v>
      </c>
      <c r="BM103" s="38">
        <v>0</v>
      </c>
      <c r="BN103" s="38">
        <v>0</v>
      </c>
      <c r="BO103" s="38">
        <v>0</v>
      </c>
      <c r="BP103" s="38">
        <v>0</v>
      </c>
      <c r="BQ103" s="38">
        <v>0</v>
      </c>
      <c r="BR103" s="38">
        <v>0</v>
      </c>
      <c r="BS103" s="38">
        <v>0</v>
      </c>
      <c r="BT103" s="38">
        <v>0</v>
      </c>
      <c r="BU103" s="38">
        <v>0</v>
      </c>
      <c r="BV103" s="38">
        <v>0</v>
      </c>
      <c r="BW103" s="38">
        <v>0</v>
      </c>
      <c r="BX103" s="38">
        <v>0</v>
      </c>
      <c r="BY103" s="38">
        <v>0</v>
      </c>
      <c r="BZ103" s="38">
        <v>0</v>
      </c>
      <c r="CA103" s="38">
        <v>0</v>
      </c>
      <c r="CB103" s="38">
        <v>0</v>
      </c>
      <c r="CC103" s="38">
        <v>0</v>
      </c>
      <c r="CD103" s="38">
        <v>0</v>
      </c>
      <c r="CE103" s="38">
        <v>0</v>
      </c>
      <c r="CF103" s="38">
        <v>0</v>
      </c>
      <c r="CG103" s="38">
        <v>0</v>
      </c>
      <c r="CH103" s="38">
        <v>0</v>
      </c>
      <c r="CI103" s="38">
        <v>0</v>
      </c>
      <c r="CJ103" s="38">
        <v>0</v>
      </c>
      <c r="CK103" s="38">
        <v>0</v>
      </c>
      <c r="CL103" s="38">
        <v>0</v>
      </c>
      <c r="CM103" s="38">
        <v>0</v>
      </c>
      <c r="CN103" s="38">
        <v>0</v>
      </c>
      <c r="CO103" s="38">
        <v>0</v>
      </c>
      <c r="CP103" s="38">
        <v>0</v>
      </c>
      <c r="CQ103" s="38">
        <v>0</v>
      </c>
      <c r="CR103" s="38">
        <v>0</v>
      </c>
      <c r="CS103" s="38">
        <v>0</v>
      </c>
      <c r="CT103" s="38">
        <v>0</v>
      </c>
      <c r="CU103" s="38">
        <v>0</v>
      </c>
      <c r="CV103" s="38">
        <v>0</v>
      </c>
      <c r="CW103" s="38">
        <v>0</v>
      </c>
      <c r="CX103" s="38">
        <v>0</v>
      </c>
      <c r="CY103" s="38">
        <v>0</v>
      </c>
      <c r="CZ103" s="38">
        <v>0</v>
      </c>
      <c r="DA103" s="38">
        <v>0</v>
      </c>
      <c r="DB103" s="38">
        <v>0</v>
      </c>
      <c r="DC103" s="38">
        <v>0</v>
      </c>
      <c r="DE103" s="46">
        <f>COUNTBLANK(H103:DC103)</f>
        <v>0</v>
      </c>
      <c r="DF103" s="46">
        <f t="shared" si="39"/>
        <v>0</v>
      </c>
      <c r="DG103">
        <f t="shared" si="47"/>
        <v>0</v>
      </c>
    </row>
    <row r="104" spans="1:113" ht="15" customHeight="1">
      <c r="A104" s="124">
        <v>92</v>
      </c>
      <c r="B104" s="5" t="str">
        <f>$B$100&amp;"4."</f>
        <v>H.4.</v>
      </c>
      <c r="C104" s="164" t="s">
        <v>229</v>
      </c>
      <c r="D104" s="5"/>
      <c r="E104" s="184" t="s">
        <v>255</v>
      </c>
      <c r="F104" s="35">
        <f>H104+NPV(FD,I104:INDEX(I104:DC104,PAL))</f>
        <v>0</v>
      </c>
      <c r="G104" s="35">
        <f>SUMIF($H$5:$DC$5,"&lt;="&amp;PAL,$H104:$DC104)</f>
        <v>0</v>
      </c>
      <c r="H104" s="38">
        <v>0</v>
      </c>
      <c r="I104" s="38">
        <v>0</v>
      </c>
      <c r="J104" s="38">
        <v>0</v>
      </c>
      <c r="K104" s="38">
        <v>0</v>
      </c>
      <c r="L104" s="38">
        <v>0</v>
      </c>
      <c r="M104" s="38">
        <v>0</v>
      </c>
      <c r="N104" s="38">
        <v>0</v>
      </c>
      <c r="O104" s="38">
        <v>0</v>
      </c>
      <c r="P104" s="38">
        <v>0</v>
      </c>
      <c r="Q104" s="38">
        <v>0</v>
      </c>
      <c r="R104" s="38">
        <v>0</v>
      </c>
      <c r="S104" s="38">
        <v>0</v>
      </c>
      <c r="T104" s="38">
        <v>0</v>
      </c>
      <c r="U104" s="38">
        <v>0</v>
      </c>
      <c r="V104" s="38">
        <v>0</v>
      </c>
      <c r="W104" s="38">
        <v>0</v>
      </c>
      <c r="X104" s="38">
        <v>0</v>
      </c>
      <c r="Y104" s="38">
        <v>0</v>
      </c>
      <c r="Z104" s="38">
        <v>0</v>
      </c>
      <c r="AA104" s="38">
        <v>0</v>
      </c>
      <c r="AB104" s="38">
        <v>0</v>
      </c>
      <c r="AC104" s="38">
        <v>0</v>
      </c>
      <c r="AD104" s="38">
        <v>0</v>
      </c>
      <c r="AE104" s="38">
        <v>0</v>
      </c>
      <c r="AF104" s="38">
        <v>0</v>
      </c>
      <c r="AG104" s="38">
        <v>0</v>
      </c>
      <c r="AH104" s="38">
        <v>0</v>
      </c>
      <c r="AI104" s="38">
        <v>0</v>
      </c>
      <c r="AJ104" s="38">
        <v>0</v>
      </c>
      <c r="AK104" s="38">
        <v>0</v>
      </c>
      <c r="AL104" s="38">
        <v>0</v>
      </c>
      <c r="AM104" s="38">
        <v>0</v>
      </c>
      <c r="AN104" s="38">
        <v>0</v>
      </c>
      <c r="AO104" s="38">
        <v>0</v>
      </c>
      <c r="AP104" s="38">
        <v>0</v>
      </c>
      <c r="AQ104" s="38">
        <v>0</v>
      </c>
      <c r="AR104" s="38">
        <v>0</v>
      </c>
      <c r="AS104" s="38">
        <v>0</v>
      </c>
      <c r="AT104" s="38">
        <v>0</v>
      </c>
      <c r="AU104" s="38">
        <v>0</v>
      </c>
      <c r="AV104" s="38">
        <v>0</v>
      </c>
      <c r="AW104" s="38">
        <v>0</v>
      </c>
      <c r="AX104" s="38">
        <v>0</v>
      </c>
      <c r="AY104" s="38">
        <v>0</v>
      </c>
      <c r="AZ104" s="38">
        <v>0</v>
      </c>
      <c r="BA104" s="38">
        <v>0</v>
      </c>
      <c r="BB104" s="38">
        <v>0</v>
      </c>
      <c r="BC104" s="38">
        <v>0</v>
      </c>
      <c r="BD104" s="38">
        <v>0</v>
      </c>
      <c r="BE104" s="38">
        <v>0</v>
      </c>
      <c r="BF104" s="38">
        <v>0</v>
      </c>
      <c r="BG104" s="38">
        <v>0</v>
      </c>
      <c r="BH104" s="38">
        <v>0</v>
      </c>
      <c r="BI104" s="38">
        <v>0</v>
      </c>
      <c r="BJ104" s="38">
        <v>0</v>
      </c>
      <c r="BK104" s="38">
        <v>0</v>
      </c>
      <c r="BL104" s="38">
        <v>0</v>
      </c>
      <c r="BM104" s="38">
        <v>0</v>
      </c>
      <c r="BN104" s="38">
        <v>0</v>
      </c>
      <c r="BO104" s="38">
        <v>0</v>
      </c>
      <c r="BP104" s="38">
        <v>0</v>
      </c>
      <c r="BQ104" s="38">
        <v>0</v>
      </c>
      <c r="BR104" s="38">
        <v>0</v>
      </c>
      <c r="BS104" s="38">
        <v>0</v>
      </c>
      <c r="BT104" s="38">
        <v>0</v>
      </c>
      <c r="BU104" s="38">
        <v>0</v>
      </c>
      <c r="BV104" s="38">
        <v>0</v>
      </c>
      <c r="BW104" s="38">
        <v>0</v>
      </c>
      <c r="BX104" s="38">
        <v>0</v>
      </c>
      <c r="BY104" s="38">
        <v>0</v>
      </c>
      <c r="BZ104" s="38">
        <v>0</v>
      </c>
      <c r="CA104" s="38">
        <v>0</v>
      </c>
      <c r="CB104" s="38">
        <v>0</v>
      </c>
      <c r="CC104" s="38">
        <v>0</v>
      </c>
      <c r="CD104" s="38">
        <v>0</v>
      </c>
      <c r="CE104" s="38">
        <v>0</v>
      </c>
      <c r="CF104" s="38">
        <v>0</v>
      </c>
      <c r="CG104" s="38">
        <v>0</v>
      </c>
      <c r="CH104" s="38">
        <v>0</v>
      </c>
      <c r="CI104" s="38">
        <v>0</v>
      </c>
      <c r="CJ104" s="38">
        <v>0</v>
      </c>
      <c r="CK104" s="38">
        <v>0</v>
      </c>
      <c r="CL104" s="38">
        <v>0</v>
      </c>
      <c r="CM104" s="38">
        <v>0</v>
      </c>
      <c r="CN104" s="38">
        <v>0</v>
      </c>
      <c r="CO104" s="38">
        <v>0</v>
      </c>
      <c r="CP104" s="38">
        <v>0</v>
      </c>
      <c r="CQ104" s="38">
        <v>0</v>
      </c>
      <c r="CR104" s="38">
        <v>0</v>
      </c>
      <c r="CS104" s="38">
        <v>0</v>
      </c>
      <c r="CT104" s="38">
        <v>0</v>
      </c>
      <c r="CU104" s="38">
        <v>0</v>
      </c>
      <c r="CV104" s="38">
        <v>0</v>
      </c>
      <c r="CW104" s="38">
        <v>0</v>
      </c>
      <c r="CX104" s="38">
        <v>0</v>
      </c>
      <c r="CY104" s="38">
        <v>0</v>
      </c>
      <c r="CZ104" s="38">
        <v>0</v>
      </c>
      <c r="DA104" s="38">
        <v>0</v>
      </c>
      <c r="DB104" s="38">
        <v>0</v>
      </c>
      <c r="DC104" s="38">
        <v>0</v>
      </c>
      <c r="DE104" s="46">
        <f>COUNTBLANK(H104:DC104)</f>
        <v>0</v>
      </c>
      <c r="DF104" s="46">
        <f t="shared" si="39"/>
        <v>0</v>
      </c>
      <c r="DG104">
        <f t="shared" si="47"/>
        <v>0</v>
      </c>
    </row>
    <row r="105" spans="1:113" ht="15" customHeight="1">
      <c r="A105" s="124">
        <v>93</v>
      </c>
      <c r="B105" s="5" t="str">
        <f>$B$100&amp;"5."</f>
        <v>H.5.</v>
      </c>
      <c r="C105" s="164" t="s">
        <v>227</v>
      </c>
      <c r="D105" s="5"/>
      <c r="E105" s="184" t="s">
        <v>255</v>
      </c>
      <c r="F105" s="35">
        <f>H105+NPV(FD,I105:INDEX(I105:DC105,PAL))</f>
        <v>0</v>
      </c>
      <c r="G105" s="35">
        <f>SUMIF($H$5:$DC$5,"&lt;="&amp;PAL,$H105:$DC105)</f>
        <v>0</v>
      </c>
      <c r="H105" s="38">
        <v>0</v>
      </c>
      <c r="I105" s="38">
        <v>0</v>
      </c>
      <c r="J105" s="38">
        <v>0</v>
      </c>
      <c r="K105" s="38">
        <v>0</v>
      </c>
      <c r="L105" s="38">
        <v>0</v>
      </c>
      <c r="M105" s="38">
        <v>0</v>
      </c>
      <c r="N105" s="38">
        <v>0</v>
      </c>
      <c r="O105" s="38">
        <v>0</v>
      </c>
      <c r="P105" s="38">
        <v>0</v>
      </c>
      <c r="Q105" s="38">
        <v>0</v>
      </c>
      <c r="R105" s="38">
        <v>0</v>
      </c>
      <c r="S105" s="38">
        <v>0</v>
      </c>
      <c r="T105" s="38">
        <v>0</v>
      </c>
      <c r="U105" s="38">
        <v>0</v>
      </c>
      <c r="V105" s="38">
        <v>0</v>
      </c>
      <c r="W105" s="38">
        <v>0</v>
      </c>
      <c r="X105" s="38">
        <v>0</v>
      </c>
      <c r="Y105" s="38">
        <v>0</v>
      </c>
      <c r="Z105" s="38">
        <v>0</v>
      </c>
      <c r="AA105" s="38">
        <v>0</v>
      </c>
      <c r="AB105" s="38">
        <v>0</v>
      </c>
      <c r="AC105" s="38">
        <v>0</v>
      </c>
      <c r="AD105" s="38">
        <v>0</v>
      </c>
      <c r="AE105" s="38">
        <v>0</v>
      </c>
      <c r="AF105" s="38">
        <v>0</v>
      </c>
      <c r="AG105" s="38">
        <v>0</v>
      </c>
      <c r="AH105" s="38">
        <v>0</v>
      </c>
      <c r="AI105" s="38">
        <v>0</v>
      </c>
      <c r="AJ105" s="38">
        <v>0</v>
      </c>
      <c r="AK105" s="38">
        <v>0</v>
      </c>
      <c r="AL105" s="38">
        <v>0</v>
      </c>
      <c r="AM105" s="38">
        <v>0</v>
      </c>
      <c r="AN105" s="38">
        <v>0</v>
      </c>
      <c r="AO105" s="38">
        <v>0</v>
      </c>
      <c r="AP105" s="38">
        <v>0</v>
      </c>
      <c r="AQ105" s="38">
        <v>0</v>
      </c>
      <c r="AR105" s="38">
        <v>0</v>
      </c>
      <c r="AS105" s="38">
        <v>0</v>
      </c>
      <c r="AT105" s="38">
        <v>0</v>
      </c>
      <c r="AU105" s="38">
        <v>0</v>
      </c>
      <c r="AV105" s="38">
        <v>0</v>
      </c>
      <c r="AW105" s="38">
        <v>0</v>
      </c>
      <c r="AX105" s="38">
        <v>0</v>
      </c>
      <c r="AY105" s="38">
        <v>0</v>
      </c>
      <c r="AZ105" s="38">
        <v>0</v>
      </c>
      <c r="BA105" s="38">
        <v>0</v>
      </c>
      <c r="BB105" s="38">
        <v>0</v>
      </c>
      <c r="BC105" s="38">
        <v>0</v>
      </c>
      <c r="BD105" s="38">
        <v>0</v>
      </c>
      <c r="BE105" s="38">
        <v>0</v>
      </c>
      <c r="BF105" s="38">
        <v>0</v>
      </c>
      <c r="BG105" s="38">
        <v>0</v>
      </c>
      <c r="BH105" s="38">
        <v>0</v>
      </c>
      <c r="BI105" s="38">
        <v>0</v>
      </c>
      <c r="BJ105" s="38">
        <v>0</v>
      </c>
      <c r="BK105" s="38">
        <v>0</v>
      </c>
      <c r="BL105" s="38">
        <v>0</v>
      </c>
      <c r="BM105" s="38">
        <v>0</v>
      </c>
      <c r="BN105" s="38">
        <v>0</v>
      </c>
      <c r="BO105" s="38">
        <v>0</v>
      </c>
      <c r="BP105" s="38">
        <v>0</v>
      </c>
      <c r="BQ105" s="38">
        <v>0</v>
      </c>
      <c r="BR105" s="38">
        <v>0</v>
      </c>
      <c r="BS105" s="38">
        <v>0</v>
      </c>
      <c r="BT105" s="38">
        <v>0</v>
      </c>
      <c r="BU105" s="38">
        <v>0</v>
      </c>
      <c r="BV105" s="38">
        <v>0</v>
      </c>
      <c r="BW105" s="38">
        <v>0</v>
      </c>
      <c r="BX105" s="38">
        <v>0</v>
      </c>
      <c r="BY105" s="38">
        <v>0</v>
      </c>
      <c r="BZ105" s="38">
        <v>0</v>
      </c>
      <c r="CA105" s="38">
        <v>0</v>
      </c>
      <c r="CB105" s="38">
        <v>0</v>
      </c>
      <c r="CC105" s="38">
        <v>0</v>
      </c>
      <c r="CD105" s="38">
        <v>0</v>
      </c>
      <c r="CE105" s="38">
        <v>0</v>
      </c>
      <c r="CF105" s="38">
        <v>0</v>
      </c>
      <c r="CG105" s="38">
        <v>0</v>
      </c>
      <c r="CH105" s="38">
        <v>0</v>
      </c>
      <c r="CI105" s="38">
        <v>0</v>
      </c>
      <c r="CJ105" s="38">
        <v>0</v>
      </c>
      <c r="CK105" s="38">
        <v>0</v>
      </c>
      <c r="CL105" s="38">
        <v>0</v>
      </c>
      <c r="CM105" s="38">
        <v>0</v>
      </c>
      <c r="CN105" s="38">
        <v>0</v>
      </c>
      <c r="CO105" s="38">
        <v>0</v>
      </c>
      <c r="CP105" s="38">
        <v>0</v>
      </c>
      <c r="CQ105" s="38">
        <v>0</v>
      </c>
      <c r="CR105" s="38">
        <v>0</v>
      </c>
      <c r="CS105" s="38">
        <v>0</v>
      </c>
      <c r="CT105" s="38">
        <v>0</v>
      </c>
      <c r="CU105" s="38">
        <v>0</v>
      </c>
      <c r="CV105" s="38">
        <v>0</v>
      </c>
      <c r="CW105" s="38">
        <v>0</v>
      </c>
      <c r="CX105" s="38">
        <v>0</v>
      </c>
      <c r="CY105" s="38">
        <v>0</v>
      </c>
      <c r="CZ105" s="38">
        <v>0</v>
      </c>
      <c r="DA105" s="38">
        <v>0</v>
      </c>
      <c r="DB105" s="38">
        <v>0</v>
      </c>
      <c r="DC105" s="38">
        <v>0</v>
      </c>
      <c r="DE105" s="46">
        <f>COUNTBLANK(H105:DC105)</f>
        <v>0</v>
      </c>
      <c r="DF105" s="46">
        <f t="shared" si="39"/>
        <v>0</v>
      </c>
      <c r="DG105">
        <f t="shared" si="47"/>
        <v>0</v>
      </c>
    </row>
    <row r="106" spans="1:113" ht="15" customHeight="1">
      <c r="A106" s="124">
        <v>94</v>
      </c>
      <c r="B106" s="5" t="str">
        <f>$B$100&amp;"6."</f>
        <v>H.6.</v>
      </c>
      <c r="C106" s="164" t="s">
        <v>222</v>
      </c>
      <c r="D106" s="76">
        <f>IF(E106="Be PVM",DI106,E106)</f>
        <v>0</v>
      </c>
      <c r="E106" s="184"/>
      <c r="F106" s="35">
        <f>H106+NPV(FD,I106:INDEX(I106:DC106,PAL))</f>
        <v>0</v>
      </c>
      <c r="G106" s="35">
        <f>SUMIF($H$5:$DC$5,"&lt;="&amp;PAL,$H106:$DC106)</f>
        <v>0</v>
      </c>
      <c r="H106" s="38">
        <v>0</v>
      </c>
      <c r="I106" s="38">
        <v>0</v>
      </c>
      <c r="J106" s="38">
        <v>0</v>
      </c>
      <c r="K106" s="38">
        <v>0</v>
      </c>
      <c r="L106" s="38">
        <v>0</v>
      </c>
      <c r="M106" s="38">
        <v>0</v>
      </c>
      <c r="N106" s="38">
        <v>0</v>
      </c>
      <c r="O106" s="38">
        <v>0</v>
      </c>
      <c r="P106" s="38">
        <v>0</v>
      </c>
      <c r="Q106" s="38">
        <v>0</v>
      </c>
      <c r="R106" s="38">
        <v>0</v>
      </c>
      <c r="S106" s="38">
        <v>0</v>
      </c>
      <c r="T106" s="38">
        <v>0</v>
      </c>
      <c r="U106" s="38">
        <v>0</v>
      </c>
      <c r="V106" s="38">
        <v>0</v>
      </c>
      <c r="W106" s="38">
        <v>0</v>
      </c>
      <c r="X106" s="38">
        <v>0</v>
      </c>
      <c r="Y106" s="38">
        <v>0</v>
      </c>
      <c r="Z106" s="38">
        <v>0</v>
      </c>
      <c r="AA106" s="38">
        <v>0</v>
      </c>
      <c r="AB106" s="38">
        <v>0</v>
      </c>
      <c r="AC106" s="38">
        <v>0</v>
      </c>
      <c r="AD106" s="38">
        <v>0</v>
      </c>
      <c r="AE106" s="38">
        <v>0</v>
      </c>
      <c r="AF106" s="38">
        <v>0</v>
      </c>
      <c r="AG106" s="38">
        <v>0</v>
      </c>
      <c r="AH106" s="38">
        <v>0</v>
      </c>
      <c r="AI106" s="38">
        <v>0</v>
      </c>
      <c r="AJ106" s="38">
        <v>0</v>
      </c>
      <c r="AK106" s="38">
        <v>0</v>
      </c>
      <c r="AL106" s="38">
        <v>0</v>
      </c>
      <c r="AM106" s="38">
        <v>0</v>
      </c>
      <c r="AN106" s="38">
        <v>0</v>
      </c>
      <c r="AO106" s="38">
        <v>0</v>
      </c>
      <c r="AP106" s="38">
        <v>0</v>
      </c>
      <c r="AQ106" s="38">
        <v>0</v>
      </c>
      <c r="AR106" s="38">
        <v>0</v>
      </c>
      <c r="AS106" s="38">
        <v>0</v>
      </c>
      <c r="AT106" s="38">
        <v>0</v>
      </c>
      <c r="AU106" s="38">
        <v>0</v>
      </c>
      <c r="AV106" s="38">
        <v>0</v>
      </c>
      <c r="AW106" s="38">
        <v>0</v>
      </c>
      <c r="AX106" s="38">
        <v>0</v>
      </c>
      <c r="AY106" s="38">
        <v>0</v>
      </c>
      <c r="AZ106" s="38">
        <v>0</v>
      </c>
      <c r="BA106" s="38">
        <v>0</v>
      </c>
      <c r="BB106" s="38">
        <v>0</v>
      </c>
      <c r="BC106" s="38">
        <v>0</v>
      </c>
      <c r="BD106" s="38">
        <v>0</v>
      </c>
      <c r="BE106" s="38">
        <v>0</v>
      </c>
      <c r="BF106" s="38">
        <v>0</v>
      </c>
      <c r="BG106" s="38">
        <v>0</v>
      </c>
      <c r="BH106" s="38">
        <v>0</v>
      </c>
      <c r="BI106" s="38">
        <v>0</v>
      </c>
      <c r="BJ106" s="38">
        <v>0</v>
      </c>
      <c r="BK106" s="38">
        <v>0</v>
      </c>
      <c r="BL106" s="38">
        <v>0</v>
      </c>
      <c r="BM106" s="38">
        <v>0</v>
      </c>
      <c r="BN106" s="38">
        <v>0</v>
      </c>
      <c r="BO106" s="38">
        <v>0</v>
      </c>
      <c r="BP106" s="38">
        <v>0</v>
      </c>
      <c r="BQ106" s="38">
        <v>0</v>
      </c>
      <c r="BR106" s="38">
        <v>0</v>
      </c>
      <c r="BS106" s="38">
        <v>0</v>
      </c>
      <c r="BT106" s="38">
        <v>0</v>
      </c>
      <c r="BU106" s="38">
        <v>0</v>
      </c>
      <c r="BV106" s="38">
        <v>0</v>
      </c>
      <c r="BW106" s="38">
        <v>0</v>
      </c>
      <c r="BX106" s="38">
        <v>0</v>
      </c>
      <c r="BY106" s="38">
        <v>0</v>
      </c>
      <c r="BZ106" s="38">
        <v>0</v>
      </c>
      <c r="CA106" s="38">
        <v>0</v>
      </c>
      <c r="CB106" s="38">
        <v>0</v>
      </c>
      <c r="CC106" s="38">
        <v>0</v>
      </c>
      <c r="CD106" s="38">
        <v>0</v>
      </c>
      <c r="CE106" s="38">
        <v>0</v>
      </c>
      <c r="CF106" s="38">
        <v>0</v>
      </c>
      <c r="CG106" s="38">
        <v>0</v>
      </c>
      <c r="CH106" s="38">
        <v>0</v>
      </c>
      <c r="CI106" s="38">
        <v>0</v>
      </c>
      <c r="CJ106" s="38">
        <v>0</v>
      </c>
      <c r="CK106" s="38">
        <v>0</v>
      </c>
      <c r="CL106" s="38">
        <v>0</v>
      </c>
      <c r="CM106" s="38">
        <v>0</v>
      </c>
      <c r="CN106" s="38">
        <v>0</v>
      </c>
      <c r="CO106" s="38">
        <v>0</v>
      </c>
      <c r="CP106" s="38">
        <v>0</v>
      </c>
      <c r="CQ106" s="38">
        <v>0</v>
      </c>
      <c r="CR106" s="38">
        <v>0</v>
      </c>
      <c r="CS106" s="38">
        <v>0</v>
      </c>
      <c r="CT106" s="38">
        <v>0</v>
      </c>
      <c r="CU106" s="38">
        <v>0</v>
      </c>
      <c r="CV106" s="38">
        <v>0</v>
      </c>
      <c r="CW106" s="38">
        <v>0</v>
      </c>
      <c r="CX106" s="38">
        <v>0</v>
      </c>
      <c r="CY106" s="38">
        <v>0</v>
      </c>
      <c r="CZ106" s="38">
        <v>0</v>
      </c>
      <c r="DA106" s="38">
        <v>0</v>
      </c>
      <c r="DB106" s="38">
        <v>0</v>
      </c>
      <c r="DC106" s="38">
        <v>0</v>
      </c>
      <c r="DE106" s="46">
        <f t="shared" si="46"/>
        <v>0</v>
      </c>
      <c r="DF106" s="46">
        <f t="shared" si="39"/>
        <v>0</v>
      </c>
      <c r="DG106">
        <f t="shared" si="47"/>
        <v>0</v>
      </c>
      <c r="DI106" s="64"/>
    </row>
    <row r="107" spans="1:113" ht="15" customHeight="1">
      <c r="A107" s="124">
        <v>95</v>
      </c>
      <c r="B107" s="5" t="str">
        <f>$B$100&amp;"7."</f>
        <v>H.7.</v>
      </c>
      <c r="C107" s="164" t="s">
        <v>224</v>
      </c>
      <c r="D107" s="76">
        <f>IF(E107="Be PVM",DI107,E107)</f>
        <v>0</v>
      </c>
      <c r="E107" s="184"/>
      <c r="F107" s="35">
        <f>H107+NPV(FD,I107:INDEX(I107:DC107,PAL))</f>
        <v>0</v>
      </c>
      <c r="G107" s="35">
        <f>SUMIF($H$5:$DC$5,"&lt;="&amp;PAL,$H107:$DC107)</f>
        <v>0</v>
      </c>
      <c r="H107" s="38">
        <v>0</v>
      </c>
      <c r="I107" s="38">
        <v>0</v>
      </c>
      <c r="J107" s="38">
        <v>0</v>
      </c>
      <c r="K107" s="38">
        <v>0</v>
      </c>
      <c r="L107" s="38">
        <v>0</v>
      </c>
      <c r="M107" s="38">
        <v>0</v>
      </c>
      <c r="N107" s="38">
        <v>0</v>
      </c>
      <c r="O107" s="38">
        <v>0</v>
      </c>
      <c r="P107" s="38">
        <v>0</v>
      </c>
      <c r="Q107" s="38">
        <v>0</v>
      </c>
      <c r="R107" s="38">
        <v>0</v>
      </c>
      <c r="S107" s="38">
        <v>0</v>
      </c>
      <c r="T107" s="38">
        <v>0</v>
      </c>
      <c r="U107" s="38">
        <v>0</v>
      </c>
      <c r="V107" s="38">
        <v>0</v>
      </c>
      <c r="W107" s="38">
        <v>0</v>
      </c>
      <c r="X107" s="38">
        <v>0</v>
      </c>
      <c r="Y107" s="38">
        <v>0</v>
      </c>
      <c r="Z107" s="38">
        <v>0</v>
      </c>
      <c r="AA107" s="38">
        <v>0</v>
      </c>
      <c r="AB107" s="38">
        <v>0</v>
      </c>
      <c r="AC107" s="38">
        <v>0</v>
      </c>
      <c r="AD107" s="38">
        <v>0</v>
      </c>
      <c r="AE107" s="38">
        <v>0</v>
      </c>
      <c r="AF107" s="38">
        <v>0</v>
      </c>
      <c r="AG107" s="38">
        <v>0</v>
      </c>
      <c r="AH107" s="38">
        <v>0</v>
      </c>
      <c r="AI107" s="38">
        <v>0</v>
      </c>
      <c r="AJ107" s="38">
        <v>0</v>
      </c>
      <c r="AK107" s="38">
        <v>0</v>
      </c>
      <c r="AL107" s="38">
        <v>0</v>
      </c>
      <c r="AM107" s="38">
        <v>0</v>
      </c>
      <c r="AN107" s="38">
        <v>0</v>
      </c>
      <c r="AO107" s="38">
        <v>0</v>
      </c>
      <c r="AP107" s="38">
        <v>0</v>
      </c>
      <c r="AQ107" s="38">
        <v>0</v>
      </c>
      <c r="AR107" s="38">
        <v>0</v>
      </c>
      <c r="AS107" s="38">
        <v>0</v>
      </c>
      <c r="AT107" s="38">
        <v>0</v>
      </c>
      <c r="AU107" s="38">
        <v>0</v>
      </c>
      <c r="AV107" s="38">
        <v>0</v>
      </c>
      <c r="AW107" s="38">
        <v>0</v>
      </c>
      <c r="AX107" s="38">
        <v>0</v>
      </c>
      <c r="AY107" s="38">
        <v>0</v>
      </c>
      <c r="AZ107" s="38">
        <v>0</v>
      </c>
      <c r="BA107" s="38">
        <v>0</v>
      </c>
      <c r="BB107" s="38">
        <v>0</v>
      </c>
      <c r="BC107" s="38">
        <v>0</v>
      </c>
      <c r="BD107" s="38">
        <v>0</v>
      </c>
      <c r="BE107" s="38">
        <v>0</v>
      </c>
      <c r="BF107" s="38">
        <v>0</v>
      </c>
      <c r="BG107" s="38">
        <v>0</v>
      </c>
      <c r="BH107" s="38">
        <v>0</v>
      </c>
      <c r="BI107" s="38">
        <v>0</v>
      </c>
      <c r="BJ107" s="38">
        <v>0</v>
      </c>
      <c r="BK107" s="38">
        <v>0</v>
      </c>
      <c r="BL107" s="38">
        <v>0</v>
      </c>
      <c r="BM107" s="38">
        <v>0</v>
      </c>
      <c r="BN107" s="38">
        <v>0</v>
      </c>
      <c r="BO107" s="38">
        <v>0</v>
      </c>
      <c r="BP107" s="38">
        <v>0</v>
      </c>
      <c r="BQ107" s="38">
        <v>0</v>
      </c>
      <c r="BR107" s="38">
        <v>0</v>
      </c>
      <c r="BS107" s="38">
        <v>0</v>
      </c>
      <c r="BT107" s="38">
        <v>0</v>
      </c>
      <c r="BU107" s="38">
        <v>0</v>
      </c>
      <c r="BV107" s="38">
        <v>0</v>
      </c>
      <c r="BW107" s="38">
        <v>0</v>
      </c>
      <c r="BX107" s="38">
        <v>0</v>
      </c>
      <c r="BY107" s="38">
        <v>0</v>
      </c>
      <c r="BZ107" s="38">
        <v>0</v>
      </c>
      <c r="CA107" s="38">
        <v>0</v>
      </c>
      <c r="CB107" s="38">
        <v>0</v>
      </c>
      <c r="CC107" s="38">
        <v>0</v>
      </c>
      <c r="CD107" s="38">
        <v>0</v>
      </c>
      <c r="CE107" s="38">
        <v>0</v>
      </c>
      <c r="CF107" s="38">
        <v>0</v>
      </c>
      <c r="CG107" s="38">
        <v>0</v>
      </c>
      <c r="CH107" s="38">
        <v>0</v>
      </c>
      <c r="CI107" s="38">
        <v>0</v>
      </c>
      <c r="CJ107" s="38">
        <v>0</v>
      </c>
      <c r="CK107" s="38">
        <v>0</v>
      </c>
      <c r="CL107" s="38">
        <v>0</v>
      </c>
      <c r="CM107" s="38">
        <v>0</v>
      </c>
      <c r="CN107" s="38">
        <v>0</v>
      </c>
      <c r="CO107" s="38">
        <v>0</v>
      </c>
      <c r="CP107" s="38">
        <v>0</v>
      </c>
      <c r="CQ107" s="38">
        <v>0</v>
      </c>
      <c r="CR107" s="38">
        <v>0</v>
      </c>
      <c r="CS107" s="38">
        <v>0</v>
      </c>
      <c r="CT107" s="38">
        <v>0</v>
      </c>
      <c r="CU107" s="38">
        <v>0</v>
      </c>
      <c r="CV107" s="38">
        <v>0</v>
      </c>
      <c r="CW107" s="38">
        <v>0</v>
      </c>
      <c r="CX107" s="38">
        <v>0</v>
      </c>
      <c r="CY107" s="38">
        <v>0</v>
      </c>
      <c r="CZ107" s="38">
        <v>0</v>
      </c>
      <c r="DA107" s="38">
        <v>0</v>
      </c>
      <c r="DB107" s="38">
        <v>0</v>
      </c>
      <c r="DC107" s="38">
        <v>0</v>
      </c>
      <c r="DE107" s="46">
        <f t="shared" si="46"/>
        <v>0</v>
      </c>
      <c r="DF107" s="46">
        <f t="shared" si="39"/>
        <v>0</v>
      </c>
      <c r="DG107">
        <f t="shared" si="47"/>
        <v>0</v>
      </c>
      <c r="DI107" s="64"/>
    </row>
    <row r="108" spans="1:113" ht="15" customHeight="1">
      <c r="A108" s="124">
        <v>96</v>
      </c>
      <c r="B108" s="5" t="str">
        <f>$B$100&amp;"8."</f>
        <v>H.8.</v>
      </c>
      <c r="C108" s="164" t="s">
        <v>228</v>
      </c>
      <c r="D108" s="76">
        <f>IF(E108="Be PVM",DI108,E108)</f>
        <v>0</v>
      </c>
      <c r="E108" s="184"/>
      <c r="F108" s="35">
        <f>H108+NPV(FD,I108:INDEX(I108:DC108,PAL))</f>
        <v>0</v>
      </c>
      <c r="G108" s="35">
        <f>SUMIF($H$5:$DC$5,"&lt;="&amp;PAL,$H108:$DC108)</f>
        <v>0</v>
      </c>
      <c r="H108" s="38">
        <v>0</v>
      </c>
      <c r="I108" s="38">
        <v>0</v>
      </c>
      <c r="J108" s="38">
        <v>0</v>
      </c>
      <c r="K108" s="38">
        <v>0</v>
      </c>
      <c r="L108" s="38">
        <v>0</v>
      </c>
      <c r="M108" s="38">
        <v>0</v>
      </c>
      <c r="N108" s="38">
        <v>0</v>
      </c>
      <c r="O108" s="38">
        <v>0</v>
      </c>
      <c r="P108" s="38">
        <v>0</v>
      </c>
      <c r="Q108" s="38">
        <v>0</v>
      </c>
      <c r="R108" s="38">
        <v>0</v>
      </c>
      <c r="S108" s="38">
        <v>0</v>
      </c>
      <c r="T108" s="38">
        <v>0</v>
      </c>
      <c r="U108" s="38">
        <v>0</v>
      </c>
      <c r="V108" s="38">
        <v>0</v>
      </c>
      <c r="W108" s="38">
        <v>0</v>
      </c>
      <c r="X108" s="38">
        <v>0</v>
      </c>
      <c r="Y108" s="38">
        <v>0</v>
      </c>
      <c r="Z108" s="38">
        <v>0</v>
      </c>
      <c r="AA108" s="38">
        <v>0</v>
      </c>
      <c r="AB108" s="38">
        <v>0</v>
      </c>
      <c r="AC108" s="38">
        <v>0</v>
      </c>
      <c r="AD108" s="38">
        <v>0</v>
      </c>
      <c r="AE108" s="38">
        <v>0</v>
      </c>
      <c r="AF108" s="38">
        <v>0</v>
      </c>
      <c r="AG108" s="38">
        <v>0</v>
      </c>
      <c r="AH108" s="38">
        <v>0</v>
      </c>
      <c r="AI108" s="38">
        <v>0</v>
      </c>
      <c r="AJ108" s="38">
        <v>0</v>
      </c>
      <c r="AK108" s="38">
        <v>0</v>
      </c>
      <c r="AL108" s="38">
        <v>0</v>
      </c>
      <c r="AM108" s="38">
        <v>0</v>
      </c>
      <c r="AN108" s="38">
        <v>0</v>
      </c>
      <c r="AO108" s="38">
        <v>0</v>
      </c>
      <c r="AP108" s="38">
        <v>0</v>
      </c>
      <c r="AQ108" s="38">
        <v>0</v>
      </c>
      <c r="AR108" s="38">
        <v>0</v>
      </c>
      <c r="AS108" s="38">
        <v>0</v>
      </c>
      <c r="AT108" s="38">
        <v>0</v>
      </c>
      <c r="AU108" s="38">
        <v>0</v>
      </c>
      <c r="AV108" s="38">
        <v>0</v>
      </c>
      <c r="AW108" s="38">
        <v>0</v>
      </c>
      <c r="AX108" s="38">
        <v>0</v>
      </c>
      <c r="AY108" s="38">
        <v>0</v>
      </c>
      <c r="AZ108" s="38">
        <v>0</v>
      </c>
      <c r="BA108" s="38">
        <v>0</v>
      </c>
      <c r="BB108" s="38">
        <v>0</v>
      </c>
      <c r="BC108" s="38">
        <v>0</v>
      </c>
      <c r="BD108" s="38">
        <v>0</v>
      </c>
      <c r="BE108" s="38">
        <v>0</v>
      </c>
      <c r="BF108" s="38">
        <v>0</v>
      </c>
      <c r="BG108" s="38">
        <v>0</v>
      </c>
      <c r="BH108" s="38">
        <v>0</v>
      </c>
      <c r="BI108" s="38">
        <v>0</v>
      </c>
      <c r="BJ108" s="38">
        <v>0</v>
      </c>
      <c r="BK108" s="38">
        <v>0</v>
      </c>
      <c r="BL108" s="38">
        <v>0</v>
      </c>
      <c r="BM108" s="38">
        <v>0</v>
      </c>
      <c r="BN108" s="38">
        <v>0</v>
      </c>
      <c r="BO108" s="38">
        <v>0</v>
      </c>
      <c r="BP108" s="38">
        <v>0</v>
      </c>
      <c r="BQ108" s="38">
        <v>0</v>
      </c>
      <c r="BR108" s="38">
        <v>0</v>
      </c>
      <c r="BS108" s="38">
        <v>0</v>
      </c>
      <c r="BT108" s="38">
        <v>0</v>
      </c>
      <c r="BU108" s="38">
        <v>0</v>
      </c>
      <c r="BV108" s="38">
        <v>0</v>
      </c>
      <c r="BW108" s="38">
        <v>0</v>
      </c>
      <c r="BX108" s="38">
        <v>0</v>
      </c>
      <c r="BY108" s="38">
        <v>0</v>
      </c>
      <c r="BZ108" s="38">
        <v>0</v>
      </c>
      <c r="CA108" s="38">
        <v>0</v>
      </c>
      <c r="CB108" s="38">
        <v>0</v>
      </c>
      <c r="CC108" s="38">
        <v>0</v>
      </c>
      <c r="CD108" s="38">
        <v>0</v>
      </c>
      <c r="CE108" s="38">
        <v>0</v>
      </c>
      <c r="CF108" s="38">
        <v>0</v>
      </c>
      <c r="CG108" s="38">
        <v>0</v>
      </c>
      <c r="CH108" s="38">
        <v>0</v>
      </c>
      <c r="CI108" s="38">
        <v>0</v>
      </c>
      <c r="CJ108" s="38">
        <v>0</v>
      </c>
      <c r="CK108" s="38">
        <v>0</v>
      </c>
      <c r="CL108" s="38">
        <v>0</v>
      </c>
      <c r="CM108" s="38">
        <v>0</v>
      </c>
      <c r="CN108" s="38">
        <v>0</v>
      </c>
      <c r="CO108" s="38">
        <v>0</v>
      </c>
      <c r="CP108" s="38">
        <v>0</v>
      </c>
      <c r="CQ108" s="38">
        <v>0</v>
      </c>
      <c r="CR108" s="38">
        <v>0</v>
      </c>
      <c r="CS108" s="38">
        <v>0</v>
      </c>
      <c r="CT108" s="38">
        <v>0</v>
      </c>
      <c r="CU108" s="38">
        <v>0</v>
      </c>
      <c r="CV108" s="38">
        <v>0</v>
      </c>
      <c r="CW108" s="38">
        <v>0</v>
      </c>
      <c r="CX108" s="38">
        <v>0</v>
      </c>
      <c r="CY108" s="38">
        <v>0</v>
      </c>
      <c r="CZ108" s="38">
        <v>0</v>
      </c>
      <c r="DA108" s="38">
        <v>0</v>
      </c>
      <c r="DB108" s="38">
        <v>0</v>
      </c>
      <c r="DC108" s="38">
        <v>0</v>
      </c>
      <c r="DE108" s="46">
        <f t="shared" si="46"/>
        <v>0</v>
      </c>
      <c r="DF108" s="46">
        <f t="shared" si="39"/>
        <v>0</v>
      </c>
      <c r="DG108">
        <f t="shared" si="47"/>
        <v>0</v>
      </c>
      <c r="DI108" s="64"/>
    </row>
    <row r="109" spans="1:113" ht="15" customHeight="1">
      <c r="A109" s="124">
        <v>97</v>
      </c>
      <c r="B109" s="5" t="str">
        <f>$B$100&amp;"9."</f>
        <v>H.9.</v>
      </c>
      <c r="C109" s="164" t="s">
        <v>226</v>
      </c>
      <c r="D109" s="76">
        <f>IF(E109="Be PVM",DI109,E109)</f>
        <v>0</v>
      </c>
      <c r="E109" s="184"/>
      <c r="F109" s="35">
        <f>H109+NPV(FD,I109:INDEX(I109:DC109,PAL))</f>
        <v>0</v>
      </c>
      <c r="G109" s="35">
        <f>SUMIF($H$5:$DC$5,"&lt;="&amp;PAL,$H109:$DC109)</f>
        <v>0</v>
      </c>
      <c r="H109" s="38">
        <v>0</v>
      </c>
      <c r="I109" s="38">
        <v>0</v>
      </c>
      <c r="J109" s="38">
        <v>0</v>
      </c>
      <c r="K109" s="38">
        <v>0</v>
      </c>
      <c r="L109" s="38">
        <v>0</v>
      </c>
      <c r="M109" s="38">
        <v>0</v>
      </c>
      <c r="N109" s="38">
        <v>0</v>
      </c>
      <c r="O109" s="38">
        <v>0</v>
      </c>
      <c r="P109" s="38">
        <v>0</v>
      </c>
      <c r="Q109" s="38">
        <v>0</v>
      </c>
      <c r="R109" s="38">
        <v>0</v>
      </c>
      <c r="S109" s="38">
        <v>0</v>
      </c>
      <c r="T109" s="38">
        <v>0</v>
      </c>
      <c r="U109" s="38">
        <v>0</v>
      </c>
      <c r="V109" s="38">
        <v>0</v>
      </c>
      <c r="W109" s="38">
        <v>0</v>
      </c>
      <c r="X109" s="38">
        <v>0</v>
      </c>
      <c r="Y109" s="38">
        <v>0</v>
      </c>
      <c r="Z109" s="38">
        <v>0</v>
      </c>
      <c r="AA109" s="38">
        <v>0</v>
      </c>
      <c r="AB109" s="38">
        <v>0</v>
      </c>
      <c r="AC109" s="38">
        <v>0</v>
      </c>
      <c r="AD109" s="38">
        <v>0</v>
      </c>
      <c r="AE109" s="38">
        <v>0</v>
      </c>
      <c r="AF109" s="38">
        <v>0</v>
      </c>
      <c r="AG109" s="38">
        <v>0</v>
      </c>
      <c r="AH109" s="38">
        <v>0</v>
      </c>
      <c r="AI109" s="38">
        <v>0</v>
      </c>
      <c r="AJ109" s="38">
        <v>0</v>
      </c>
      <c r="AK109" s="38">
        <v>0</v>
      </c>
      <c r="AL109" s="38">
        <v>0</v>
      </c>
      <c r="AM109" s="38">
        <v>0</v>
      </c>
      <c r="AN109" s="38">
        <v>0</v>
      </c>
      <c r="AO109" s="38">
        <v>0</v>
      </c>
      <c r="AP109" s="38">
        <v>0</v>
      </c>
      <c r="AQ109" s="38">
        <v>0</v>
      </c>
      <c r="AR109" s="38">
        <v>0</v>
      </c>
      <c r="AS109" s="38">
        <v>0</v>
      </c>
      <c r="AT109" s="38">
        <v>0</v>
      </c>
      <c r="AU109" s="38">
        <v>0</v>
      </c>
      <c r="AV109" s="38">
        <v>0</v>
      </c>
      <c r="AW109" s="38">
        <v>0</v>
      </c>
      <c r="AX109" s="38">
        <v>0</v>
      </c>
      <c r="AY109" s="38">
        <v>0</v>
      </c>
      <c r="AZ109" s="38">
        <v>0</v>
      </c>
      <c r="BA109" s="38">
        <v>0</v>
      </c>
      <c r="BB109" s="38">
        <v>0</v>
      </c>
      <c r="BC109" s="38">
        <v>0</v>
      </c>
      <c r="BD109" s="38">
        <v>0</v>
      </c>
      <c r="BE109" s="38">
        <v>0</v>
      </c>
      <c r="BF109" s="38">
        <v>0</v>
      </c>
      <c r="BG109" s="38">
        <v>0</v>
      </c>
      <c r="BH109" s="38">
        <v>0</v>
      </c>
      <c r="BI109" s="38">
        <v>0</v>
      </c>
      <c r="BJ109" s="38">
        <v>0</v>
      </c>
      <c r="BK109" s="38">
        <v>0</v>
      </c>
      <c r="BL109" s="38">
        <v>0</v>
      </c>
      <c r="BM109" s="38">
        <v>0</v>
      </c>
      <c r="BN109" s="38">
        <v>0</v>
      </c>
      <c r="BO109" s="38">
        <v>0</v>
      </c>
      <c r="BP109" s="38">
        <v>0</v>
      </c>
      <c r="BQ109" s="38">
        <v>0</v>
      </c>
      <c r="BR109" s="38">
        <v>0</v>
      </c>
      <c r="BS109" s="38">
        <v>0</v>
      </c>
      <c r="BT109" s="38">
        <v>0</v>
      </c>
      <c r="BU109" s="38">
        <v>0</v>
      </c>
      <c r="BV109" s="38">
        <v>0</v>
      </c>
      <c r="BW109" s="38">
        <v>0</v>
      </c>
      <c r="BX109" s="38">
        <v>0</v>
      </c>
      <c r="BY109" s="38">
        <v>0</v>
      </c>
      <c r="BZ109" s="38">
        <v>0</v>
      </c>
      <c r="CA109" s="38">
        <v>0</v>
      </c>
      <c r="CB109" s="38">
        <v>0</v>
      </c>
      <c r="CC109" s="38">
        <v>0</v>
      </c>
      <c r="CD109" s="38">
        <v>0</v>
      </c>
      <c r="CE109" s="38">
        <v>0</v>
      </c>
      <c r="CF109" s="38">
        <v>0</v>
      </c>
      <c r="CG109" s="38">
        <v>0</v>
      </c>
      <c r="CH109" s="38">
        <v>0</v>
      </c>
      <c r="CI109" s="38">
        <v>0</v>
      </c>
      <c r="CJ109" s="38">
        <v>0</v>
      </c>
      <c r="CK109" s="38">
        <v>0</v>
      </c>
      <c r="CL109" s="38">
        <v>0</v>
      </c>
      <c r="CM109" s="38">
        <v>0</v>
      </c>
      <c r="CN109" s="38">
        <v>0</v>
      </c>
      <c r="CO109" s="38">
        <v>0</v>
      </c>
      <c r="CP109" s="38">
        <v>0</v>
      </c>
      <c r="CQ109" s="38">
        <v>0</v>
      </c>
      <c r="CR109" s="38">
        <v>0</v>
      </c>
      <c r="CS109" s="38">
        <v>0</v>
      </c>
      <c r="CT109" s="38">
        <v>0</v>
      </c>
      <c r="CU109" s="38">
        <v>0</v>
      </c>
      <c r="CV109" s="38">
        <v>0</v>
      </c>
      <c r="CW109" s="38">
        <v>0</v>
      </c>
      <c r="CX109" s="38">
        <v>0</v>
      </c>
      <c r="CY109" s="38">
        <v>0</v>
      </c>
      <c r="CZ109" s="38">
        <v>0</v>
      </c>
      <c r="DA109" s="38">
        <v>0</v>
      </c>
      <c r="DB109" s="38">
        <v>0</v>
      </c>
      <c r="DC109" s="38">
        <v>0</v>
      </c>
      <c r="DE109" s="46">
        <f t="shared" si="46"/>
        <v>0</v>
      </c>
      <c r="DF109" s="46">
        <f t="shared" si="39"/>
        <v>0</v>
      </c>
      <c r="DG109">
        <f t="shared" si="47"/>
        <v>0</v>
      </c>
    </row>
    <row r="110" spans="1:113" ht="15" customHeight="1">
      <c r="A110" s="124">
        <v>98</v>
      </c>
      <c r="B110" s="5" t="str">
        <f>$B$100&amp;"10."</f>
        <v>H.10.</v>
      </c>
      <c r="C110" s="164" t="s">
        <v>230</v>
      </c>
      <c r="D110" s="76">
        <f>IF(E110="Be PVM",DI110,E110)</f>
        <v>0</v>
      </c>
      <c r="E110" s="184"/>
      <c r="F110" s="35">
        <f>H110+NPV(FD,I110:INDEX(I110:DC110,PAL))</f>
        <v>0</v>
      </c>
      <c r="G110" s="35">
        <f>SUMIF($H$5:$DC$5,"&lt;="&amp;PAL,$H110:$DC110)</f>
        <v>0</v>
      </c>
      <c r="H110" s="38">
        <v>0</v>
      </c>
      <c r="I110" s="38">
        <v>0</v>
      </c>
      <c r="J110" s="38">
        <v>0</v>
      </c>
      <c r="K110" s="38">
        <v>0</v>
      </c>
      <c r="L110" s="38">
        <v>0</v>
      </c>
      <c r="M110" s="38">
        <v>0</v>
      </c>
      <c r="N110" s="38">
        <v>0</v>
      </c>
      <c r="O110" s="38">
        <v>0</v>
      </c>
      <c r="P110" s="38">
        <v>0</v>
      </c>
      <c r="Q110" s="38">
        <v>0</v>
      </c>
      <c r="R110" s="38">
        <v>0</v>
      </c>
      <c r="S110" s="38">
        <v>0</v>
      </c>
      <c r="T110" s="38">
        <v>0</v>
      </c>
      <c r="U110" s="38">
        <v>0</v>
      </c>
      <c r="V110" s="38">
        <v>0</v>
      </c>
      <c r="W110" s="38">
        <v>0</v>
      </c>
      <c r="X110" s="38">
        <v>0</v>
      </c>
      <c r="Y110" s="38">
        <v>0</v>
      </c>
      <c r="Z110" s="38">
        <v>0</v>
      </c>
      <c r="AA110" s="38">
        <v>0</v>
      </c>
      <c r="AB110" s="38">
        <v>0</v>
      </c>
      <c r="AC110" s="38">
        <v>0</v>
      </c>
      <c r="AD110" s="38">
        <v>0</v>
      </c>
      <c r="AE110" s="38">
        <v>0</v>
      </c>
      <c r="AF110" s="38">
        <v>0</v>
      </c>
      <c r="AG110" s="38">
        <v>0</v>
      </c>
      <c r="AH110" s="38">
        <v>0</v>
      </c>
      <c r="AI110" s="38">
        <v>0</v>
      </c>
      <c r="AJ110" s="38">
        <v>0</v>
      </c>
      <c r="AK110" s="38">
        <v>0</v>
      </c>
      <c r="AL110" s="38">
        <v>0</v>
      </c>
      <c r="AM110" s="38">
        <v>0</v>
      </c>
      <c r="AN110" s="38">
        <v>0</v>
      </c>
      <c r="AO110" s="38">
        <v>0</v>
      </c>
      <c r="AP110" s="38">
        <v>0</v>
      </c>
      <c r="AQ110" s="38">
        <v>0</v>
      </c>
      <c r="AR110" s="38">
        <v>0</v>
      </c>
      <c r="AS110" s="38">
        <v>0</v>
      </c>
      <c r="AT110" s="38">
        <v>0</v>
      </c>
      <c r="AU110" s="38">
        <v>0</v>
      </c>
      <c r="AV110" s="38">
        <v>0</v>
      </c>
      <c r="AW110" s="38">
        <v>0</v>
      </c>
      <c r="AX110" s="38">
        <v>0</v>
      </c>
      <c r="AY110" s="38">
        <v>0</v>
      </c>
      <c r="AZ110" s="38">
        <v>0</v>
      </c>
      <c r="BA110" s="38">
        <v>0</v>
      </c>
      <c r="BB110" s="38">
        <v>0</v>
      </c>
      <c r="BC110" s="38">
        <v>0</v>
      </c>
      <c r="BD110" s="38">
        <v>0</v>
      </c>
      <c r="BE110" s="38">
        <v>0</v>
      </c>
      <c r="BF110" s="38">
        <v>0</v>
      </c>
      <c r="BG110" s="38">
        <v>0</v>
      </c>
      <c r="BH110" s="38">
        <v>0</v>
      </c>
      <c r="BI110" s="38">
        <v>0</v>
      </c>
      <c r="BJ110" s="38">
        <v>0</v>
      </c>
      <c r="BK110" s="38">
        <v>0</v>
      </c>
      <c r="BL110" s="38">
        <v>0</v>
      </c>
      <c r="BM110" s="38">
        <v>0</v>
      </c>
      <c r="BN110" s="38">
        <v>0</v>
      </c>
      <c r="BO110" s="38">
        <v>0</v>
      </c>
      <c r="BP110" s="38">
        <v>0</v>
      </c>
      <c r="BQ110" s="38">
        <v>0</v>
      </c>
      <c r="BR110" s="38">
        <v>0</v>
      </c>
      <c r="BS110" s="38">
        <v>0</v>
      </c>
      <c r="BT110" s="38">
        <v>0</v>
      </c>
      <c r="BU110" s="38">
        <v>0</v>
      </c>
      <c r="BV110" s="38">
        <v>0</v>
      </c>
      <c r="BW110" s="38">
        <v>0</v>
      </c>
      <c r="BX110" s="38">
        <v>0</v>
      </c>
      <c r="BY110" s="38">
        <v>0</v>
      </c>
      <c r="BZ110" s="38">
        <v>0</v>
      </c>
      <c r="CA110" s="38">
        <v>0</v>
      </c>
      <c r="CB110" s="38">
        <v>0</v>
      </c>
      <c r="CC110" s="38">
        <v>0</v>
      </c>
      <c r="CD110" s="38">
        <v>0</v>
      </c>
      <c r="CE110" s="38">
        <v>0</v>
      </c>
      <c r="CF110" s="38">
        <v>0</v>
      </c>
      <c r="CG110" s="38">
        <v>0</v>
      </c>
      <c r="CH110" s="38">
        <v>0</v>
      </c>
      <c r="CI110" s="38">
        <v>0</v>
      </c>
      <c r="CJ110" s="38">
        <v>0</v>
      </c>
      <c r="CK110" s="38">
        <v>0</v>
      </c>
      <c r="CL110" s="38">
        <v>0</v>
      </c>
      <c r="CM110" s="38">
        <v>0</v>
      </c>
      <c r="CN110" s="38">
        <v>0</v>
      </c>
      <c r="CO110" s="38">
        <v>0</v>
      </c>
      <c r="CP110" s="38">
        <v>0</v>
      </c>
      <c r="CQ110" s="38">
        <v>0</v>
      </c>
      <c r="CR110" s="38">
        <v>0</v>
      </c>
      <c r="CS110" s="38">
        <v>0</v>
      </c>
      <c r="CT110" s="38">
        <v>0</v>
      </c>
      <c r="CU110" s="38">
        <v>0</v>
      </c>
      <c r="CV110" s="38">
        <v>0</v>
      </c>
      <c r="CW110" s="38">
        <v>0</v>
      </c>
      <c r="CX110" s="38">
        <v>0</v>
      </c>
      <c r="CY110" s="38">
        <v>0</v>
      </c>
      <c r="CZ110" s="38">
        <v>0</v>
      </c>
      <c r="DA110" s="38">
        <v>0</v>
      </c>
      <c r="DB110" s="38">
        <v>0</v>
      </c>
      <c r="DC110" s="38">
        <v>0</v>
      </c>
      <c r="DE110" s="46">
        <f t="shared" si="46"/>
        <v>0</v>
      </c>
      <c r="DF110" s="46">
        <f t="shared" si="39"/>
        <v>0</v>
      </c>
      <c r="DG110">
        <f t="shared" si="47"/>
        <v>0</v>
      </c>
    </row>
    <row r="111" spans="1:113" ht="14.4">
      <c r="A111" s="124">
        <v>99</v>
      </c>
      <c r="B111" s="5" t="s">
        <v>149</v>
      </c>
      <c r="C111" s="15" t="s">
        <v>258</v>
      </c>
      <c r="D111" s="3"/>
      <c r="E111" s="3"/>
      <c r="F111" s="35">
        <f>H111+NPV(FD,I111:INDEX(I111:DC111,PAL))</f>
        <v>0</v>
      </c>
      <c r="G111" s="35">
        <f>SUMIF($H$5:$DC$5,"&lt;="&amp;PAL,$H111:$DC111)</f>
        <v>0</v>
      </c>
      <c r="H111" s="38">
        <v>0</v>
      </c>
      <c r="I111" s="38">
        <v>0</v>
      </c>
      <c r="J111" s="38">
        <v>0</v>
      </c>
      <c r="K111" s="38">
        <v>0</v>
      </c>
      <c r="L111" s="38">
        <v>0</v>
      </c>
      <c r="M111" s="38">
        <v>0</v>
      </c>
      <c r="N111" s="38">
        <v>0</v>
      </c>
      <c r="O111" s="38">
        <v>0</v>
      </c>
      <c r="P111" s="38">
        <v>0</v>
      </c>
      <c r="Q111" s="38">
        <v>0</v>
      </c>
      <c r="R111" s="38">
        <v>0</v>
      </c>
      <c r="S111" s="38">
        <v>0</v>
      </c>
      <c r="T111" s="38">
        <v>0</v>
      </c>
      <c r="U111" s="38">
        <v>0</v>
      </c>
      <c r="V111" s="38">
        <v>0</v>
      </c>
      <c r="W111" s="38">
        <v>0</v>
      </c>
      <c r="X111" s="38">
        <v>0</v>
      </c>
      <c r="Y111" s="38">
        <v>0</v>
      </c>
      <c r="Z111" s="38">
        <v>0</v>
      </c>
      <c r="AA111" s="38">
        <v>0</v>
      </c>
      <c r="AB111" s="38">
        <v>0</v>
      </c>
      <c r="AC111" s="38">
        <v>0</v>
      </c>
      <c r="AD111" s="38">
        <v>0</v>
      </c>
      <c r="AE111" s="38">
        <v>0</v>
      </c>
      <c r="AF111" s="38">
        <v>0</v>
      </c>
      <c r="AG111" s="38">
        <v>0</v>
      </c>
      <c r="AH111" s="38">
        <v>0</v>
      </c>
      <c r="AI111" s="38">
        <v>0</v>
      </c>
      <c r="AJ111" s="38">
        <v>0</v>
      </c>
      <c r="AK111" s="38">
        <v>0</v>
      </c>
      <c r="AL111" s="38">
        <v>0</v>
      </c>
      <c r="AM111" s="38">
        <v>0</v>
      </c>
      <c r="AN111" s="38">
        <v>0</v>
      </c>
      <c r="AO111" s="38">
        <v>0</v>
      </c>
      <c r="AP111" s="38">
        <v>0</v>
      </c>
      <c r="AQ111" s="38">
        <v>0</v>
      </c>
      <c r="AR111" s="38">
        <v>0</v>
      </c>
      <c r="AS111" s="38">
        <v>0</v>
      </c>
      <c r="AT111" s="38">
        <v>0</v>
      </c>
      <c r="AU111" s="38">
        <v>0</v>
      </c>
      <c r="AV111" s="38">
        <v>0</v>
      </c>
      <c r="AW111" s="38">
        <v>0</v>
      </c>
      <c r="AX111" s="38">
        <v>0</v>
      </c>
      <c r="AY111" s="38">
        <v>0</v>
      </c>
      <c r="AZ111" s="38">
        <v>0</v>
      </c>
      <c r="BA111" s="38">
        <v>0</v>
      </c>
      <c r="BB111" s="38">
        <v>0</v>
      </c>
      <c r="BC111" s="38">
        <v>0</v>
      </c>
      <c r="BD111" s="38">
        <v>0</v>
      </c>
      <c r="BE111" s="38">
        <v>0</v>
      </c>
      <c r="BF111" s="38">
        <v>0</v>
      </c>
      <c r="BG111" s="38">
        <v>0</v>
      </c>
      <c r="BH111" s="38">
        <v>0</v>
      </c>
      <c r="BI111" s="38">
        <v>0</v>
      </c>
      <c r="BJ111" s="38">
        <v>0</v>
      </c>
      <c r="BK111" s="38">
        <v>0</v>
      </c>
      <c r="BL111" s="38">
        <v>0</v>
      </c>
      <c r="BM111" s="38">
        <v>0</v>
      </c>
      <c r="BN111" s="38">
        <v>0</v>
      </c>
      <c r="BO111" s="38">
        <v>0</v>
      </c>
      <c r="BP111" s="38">
        <v>0</v>
      </c>
      <c r="BQ111" s="38">
        <v>0</v>
      </c>
      <c r="BR111" s="38">
        <v>0</v>
      </c>
      <c r="BS111" s="38">
        <v>0</v>
      </c>
      <c r="BT111" s="38">
        <v>0</v>
      </c>
      <c r="BU111" s="38">
        <v>0</v>
      </c>
      <c r="BV111" s="38">
        <v>0</v>
      </c>
      <c r="BW111" s="38">
        <v>0</v>
      </c>
      <c r="BX111" s="38">
        <v>0</v>
      </c>
      <c r="BY111" s="38">
        <v>0</v>
      </c>
      <c r="BZ111" s="38">
        <v>0</v>
      </c>
      <c r="CA111" s="38">
        <v>0</v>
      </c>
      <c r="CB111" s="38">
        <v>0</v>
      </c>
      <c r="CC111" s="38">
        <v>0</v>
      </c>
      <c r="CD111" s="38">
        <v>0</v>
      </c>
      <c r="CE111" s="38">
        <v>0</v>
      </c>
      <c r="CF111" s="38">
        <v>0</v>
      </c>
      <c r="CG111" s="38">
        <v>0</v>
      </c>
      <c r="CH111" s="38">
        <v>0</v>
      </c>
      <c r="CI111" s="38">
        <v>0</v>
      </c>
      <c r="CJ111" s="38">
        <v>0</v>
      </c>
      <c r="CK111" s="38">
        <v>0</v>
      </c>
      <c r="CL111" s="38">
        <v>0</v>
      </c>
      <c r="CM111" s="38">
        <v>0</v>
      </c>
      <c r="CN111" s="38">
        <v>0</v>
      </c>
      <c r="CO111" s="38">
        <v>0</v>
      </c>
      <c r="CP111" s="38">
        <v>0</v>
      </c>
      <c r="CQ111" s="38">
        <v>0</v>
      </c>
      <c r="CR111" s="38">
        <v>0</v>
      </c>
      <c r="CS111" s="38">
        <v>0</v>
      </c>
      <c r="CT111" s="38">
        <v>0</v>
      </c>
      <c r="CU111" s="38">
        <v>0</v>
      </c>
      <c r="CV111" s="38">
        <v>0</v>
      </c>
      <c r="CW111" s="38">
        <v>0</v>
      </c>
      <c r="CX111" s="38">
        <v>0</v>
      </c>
      <c r="CY111" s="38">
        <v>0</v>
      </c>
      <c r="CZ111" s="38">
        <v>0</v>
      </c>
      <c r="DA111" s="38">
        <v>0</v>
      </c>
      <c r="DB111" s="38">
        <v>0</v>
      </c>
      <c r="DC111" s="38">
        <v>0</v>
      </c>
      <c r="DE111" s="46">
        <f>COUNTBLANK(H111:DC111)</f>
        <v>0</v>
      </c>
      <c r="DF111" s="46">
        <f t="shared" si="39"/>
        <v>0</v>
      </c>
    </row>
    <row r="112" spans="1:113" ht="27.75" customHeight="1">
      <c r="A112" s="124">
        <v>102</v>
      </c>
      <c r="B112" s="5" t="s">
        <v>150</v>
      </c>
      <c r="C112" s="15" t="s">
        <v>163</v>
      </c>
      <c r="D112" s="15"/>
      <c r="E112" s="3"/>
      <c r="F112" s="11">
        <f>F113+F114-F115</f>
        <v>0</v>
      </c>
      <c r="G112" s="35">
        <f>SUMIF($H$5:$DC$5,"&lt;="&amp;PAL,$H112:$DC112)</f>
        <v>0</v>
      </c>
      <c r="H112" s="11">
        <f>H113+H114-H115</f>
        <v>0</v>
      </c>
      <c r="I112" s="11">
        <f t="shared" ref="I112:BR112" si="50">I113+I114-I115</f>
        <v>0</v>
      </c>
      <c r="J112" s="11">
        <f t="shared" si="50"/>
        <v>0</v>
      </c>
      <c r="K112" s="11">
        <f t="shared" si="50"/>
        <v>0</v>
      </c>
      <c r="L112" s="11">
        <f t="shared" si="50"/>
        <v>0</v>
      </c>
      <c r="M112" s="11">
        <f t="shared" si="50"/>
        <v>0</v>
      </c>
      <c r="N112" s="11">
        <f t="shared" si="50"/>
        <v>0</v>
      </c>
      <c r="O112" s="11">
        <f t="shared" si="50"/>
        <v>0</v>
      </c>
      <c r="P112" s="11">
        <f t="shared" si="50"/>
        <v>0</v>
      </c>
      <c r="Q112" s="11">
        <f t="shared" si="50"/>
        <v>0</v>
      </c>
      <c r="R112" s="11">
        <f t="shared" si="50"/>
        <v>0</v>
      </c>
      <c r="S112" s="11">
        <f t="shared" si="50"/>
        <v>0</v>
      </c>
      <c r="T112" s="11">
        <f t="shared" si="50"/>
        <v>0</v>
      </c>
      <c r="U112" s="11">
        <f t="shared" si="50"/>
        <v>0</v>
      </c>
      <c r="V112" s="11">
        <f t="shared" si="50"/>
        <v>0</v>
      </c>
      <c r="W112" s="11">
        <f t="shared" si="50"/>
        <v>0</v>
      </c>
      <c r="X112" s="11">
        <f t="shared" si="50"/>
        <v>0</v>
      </c>
      <c r="Y112" s="11">
        <f t="shared" si="50"/>
        <v>0</v>
      </c>
      <c r="Z112" s="11">
        <f t="shared" si="50"/>
        <v>0</v>
      </c>
      <c r="AA112" s="11">
        <f t="shared" si="50"/>
        <v>0</v>
      </c>
      <c r="AB112" s="11">
        <f t="shared" si="50"/>
        <v>0</v>
      </c>
      <c r="AC112" s="11">
        <f t="shared" si="50"/>
        <v>0</v>
      </c>
      <c r="AD112" s="11">
        <f t="shared" si="50"/>
        <v>0</v>
      </c>
      <c r="AE112" s="11">
        <f t="shared" si="50"/>
        <v>0</v>
      </c>
      <c r="AF112" s="11">
        <f t="shared" si="50"/>
        <v>0</v>
      </c>
      <c r="AG112" s="11">
        <f t="shared" si="50"/>
        <v>0</v>
      </c>
      <c r="AH112" s="11">
        <f t="shared" si="50"/>
        <v>0</v>
      </c>
      <c r="AI112" s="11">
        <f t="shared" si="50"/>
        <v>0</v>
      </c>
      <c r="AJ112" s="11">
        <f t="shared" si="50"/>
        <v>0</v>
      </c>
      <c r="AK112" s="11">
        <f t="shared" si="50"/>
        <v>0</v>
      </c>
      <c r="AL112" s="11">
        <f t="shared" si="50"/>
        <v>0</v>
      </c>
      <c r="AM112" s="11">
        <f t="shared" si="50"/>
        <v>0</v>
      </c>
      <c r="AN112" s="11">
        <f t="shared" si="50"/>
        <v>0</v>
      </c>
      <c r="AO112" s="11">
        <f t="shared" si="50"/>
        <v>0</v>
      </c>
      <c r="AP112" s="11">
        <f t="shared" si="50"/>
        <v>0</v>
      </c>
      <c r="AQ112" s="11">
        <f t="shared" si="50"/>
        <v>0</v>
      </c>
      <c r="AR112" s="11">
        <f t="shared" si="50"/>
        <v>0</v>
      </c>
      <c r="AS112" s="11">
        <f t="shared" si="50"/>
        <v>0</v>
      </c>
      <c r="AT112" s="11">
        <f t="shared" si="50"/>
        <v>0</v>
      </c>
      <c r="AU112" s="11">
        <f t="shared" si="50"/>
        <v>0</v>
      </c>
      <c r="AV112" s="11">
        <f t="shared" si="50"/>
        <v>0</v>
      </c>
      <c r="AW112" s="11">
        <f t="shared" si="50"/>
        <v>0</v>
      </c>
      <c r="AX112" s="11">
        <f t="shared" si="50"/>
        <v>0</v>
      </c>
      <c r="AY112" s="11">
        <f t="shared" si="50"/>
        <v>0</v>
      </c>
      <c r="AZ112" s="11">
        <f t="shared" si="50"/>
        <v>0</v>
      </c>
      <c r="BA112" s="11">
        <f t="shared" si="50"/>
        <v>0</v>
      </c>
      <c r="BB112" s="11">
        <f t="shared" si="50"/>
        <v>0</v>
      </c>
      <c r="BC112" s="11">
        <f t="shared" si="50"/>
        <v>0</v>
      </c>
      <c r="BD112" s="11">
        <f t="shared" si="50"/>
        <v>0</v>
      </c>
      <c r="BE112" s="11">
        <f t="shared" si="50"/>
        <v>0</v>
      </c>
      <c r="BF112" s="11">
        <f t="shared" si="50"/>
        <v>0</v>
      </c>
      <c r="BG112" s="11">
        <f t="shared" si="50"/>
        <v>0</v>
      </c>
      <c r="BH112" s="11">
        <f t="shared" si="50"/>
        <v>0</v>
      </c>
      <c r="BI112" s="11">
        <f t="shared" si="50"/>
        <v>0</v>
      </c>
      <c r="BJ112" s="11">
        <f t="shared" si="50"/>
        <v>0</v>
      </c>
      <c r="BK112" s="11">
        <f t="shared" si="50"/>
        <v>0</v>
      </c>
      <c r="BL112" s="11">
        <f t="shared" si="50"/>
        <v>0</v>
      </c>
      <c r="BM112" s="11">
        <f t="shared" si="50"/>
        <v>0</v>
      </c>
      <c r="BN112" s="11">
        <f t="shared" si="50"/>
        <v>0</v>
      </c>
      <c r="BO112" s="11">
        <f t="shared" si="50"/>
        <v>0</v>
      </c>
      <c r="BP112" s="11">
        <f t="shared" si="50"/>
        <v>0</v>
      </c>
      <c r="BQ112" s="11">
        <f t="shared" si="50"/>
        <v>0</v>
      </c>
      <c r="BR112" s="11">
        <f t="shared" si="50"/>
        <v>0</v>
      </c>
      <c r="BS112" s="11">
        <f t="shared" ref="BS112:DC112" si="51">BS113+BS114-BS115</f>
        <v>0</v>
      </c>
      <c r="BT112" s="11">
        <f t="shared" si="51"/>
        <v>0</v>
      </c>
      <c r="BU112" s="11">
        <f t="shared" si="51"/>
        <v>0</v>
      </c>
      <c r="BV112" s="11">
        <f t="shared" si="51"/>
        <v>0</v>
      </c>
      <c r="BW112" s="11">
        <f t="shared" si="51"/>
        <v>0</v>
      </c>
      <c r="BX112" s="11">
        <f t="shared" si="51"/>
        <v>0</v>
      </c>
      <c r="BY112" s="11">
        <f t="shared" si="51"/>
        <v>0</v>
      </c>
      <c r="BZ112" s="11">
        <f t="shared" si="51"/>
        <v>0</v>
      </c>
      <c r="CA112" s="11">
        <f t="shared" si="51"/>
        <v>0</v>
      </c>
      <c r="CB112" s="11">
        <f t="shared" si="51"/>
        <v>0</v>
      </c>
      <c r="CC112" s="11">
        <f t="shared" si="51"/>
        <v>0</v>
      </c>
      <c r="CD112" s="11">
        <f t="shared" si="51"/>
        <v>0</v>
      </c>
      <c r="CE112" s="11">
        <f t="shared" si="51"/>
        <v>0</v>
      </c>
      <c r="CF112" s="11">
        <f t="shared" si="51"/>
        <v>0</v>
      </c>
      <c r="CG112" s="11">
        <f t="shared" si="51"/>
        <v>0</v>
      </c>
      <c r="CH112" s="11">
        <f t="shared" si="51"/>
        <v>0</v>
      </c>
      <c r="CI112" s="11">
        <f t="shared" si="51"/>
        <v>0</v>
      </c>
      <c r="CJ112" s="11">
        <f t="shared" si="51"/>
        <v>0</v>
      </c>
      <c r="CK112" s="11">
        <f t="shared" si="51"/>
        <v>0</v>
      </c>
      <c r="CL112" s="11">
        <f t="shared" si="51"/>
        <v>0</v>
      </c>
      <c r="CM112" s="11">
        <f t="shared" si="51"/>
        <v>0</v>
      </c>
      <c r="CN112" s="11">
        <f t="shared" si="51"/>
        <v>0</v>
      </c>
      <c r="CO112" s="11">
        <f t="shared" si="51"/>
        <v>0</v>
      </c>
      <c r="CP112" s="11">
        <f t="shared" si="51"/>
        <v>0</v>
      </c>
      <c r="CQ112" s="11">
        <f t="shared" si="51"/>
        <v>0</v>
      </c>
      <c r="CR112" s="11">
        <f t="shared" si="51"/>
        <v>0</v>
      </c>
      <c r="CS112" s="11">
        <f t="shared" si="51"/>
        <v>0</v>
      </c>
      <c r="CT112" s="11">
        <f t="shared" si="51"/>
        <v>0</v>
      </c>
      <c r="CU112" s="11">
        <f t="shared" si="51"/>
        <v>0</v>
      </c>
      <c r="CV112" s="11">
        <f t="shared" si="51"/>
        <v>0</v>
      </c>
      <c r="CW112" s="11">
        <f t="shared" si="51"/>
        <v>0</v>
      </c>
      <c r="CX112" s="11">
        <f t="shared" si="51"/>
        <v>0</v>
      </c>
      <c r="CY112" s="11">
        <f t="shared" si="51"/>
        <v>0</v>
      </c>
      <c r="CZ112" s="11">
        <f t="shared" si="51"/>
        <v>0</v>
      </c>
      <c r="DA112" s="11">
        <f t="shared" si="51"/>
        <v>0</v>
      </c>
      <c r="DB112" s="11">
        <f t="shared" si="51"/>
        <v>0</v>
      </c>
      <c r="DC112" s="11">
        <f t="shared" si="51"/>
        <v>0</v>
      </c>
      <c r="DF112" s="46">
        <f t="shared" si="39"/>
        <v>0</v>
      </c>
    </row>
    <row r="113" spans="1:110" ht="15" customHeight="1">
      <c r="A113" s="124">
        <v>103</v>
      </c>
      <c r="B113" s="5" t="s">
        <v>151</v>
      </c>
      <c r="C113" s="24" t="s">
        <v>203</v>
      </c>
      <c r="D113" s="5"/>
      <c r="E113" s="5"/>
      <c r="F113" s="35">
        <f>H113+NPV(FD,I113:INDEX(I113:DC113,PAL))</f>
        <v>0</v>
      </c>
      <c r="G113" s="35">
        <f>SUMIF($H$5:$DC$5,"&lt;="&amp;PAL,$H113:$DC113)</f>
        <v>0</v>
      </c>
      <c r="H113" s="66">
        <f t="shared" ref="H113:AM113" si="52">SUMPRODUCT($DG12:$DG20,H12:H20,1/($DG12:$DG20+100))+SUMPRODUCT($DG23:$DG31,H23:H31,1/($DG23:$DG31+100))+SUMPRODUCT($DG34:$DG42,H34:H42,1/($DG34:$DG42+100))+SUMPRODUCT($DG46:$DG54,H46:H54,1/($DG46:$DG54+100))+SUMPRODUCT($DG57:$DG65,H57:H65,1/($DG57:$DG65+100))+SUMPRODUCT($DG68:$DG76,H68:H76,1/($DG68:$DG76+100))+SUMPRODUCT($DG79:$DG87,H79:H87,1/($DG79:$DG87+100))</f>
        <v>0</v>
      </c>
      <c r="I113" s="66">
        <f t="shared" si="52"/>
        <v>0</v>
      </c>
      <c r="J113" s="66">
        <f t="shared" si="52"/>
        <v>0</v>
      </c>
      <c r="K113" s="66">
        <f t="shared" si="52"/>
        <v>0</v>
      </c>
      <c r="L113" s="66">
        <f t="shared" si="52"/>
        <v>0</v>
      </c>
      <c r="M113" s="66">
        <f t="shared" si="52"/>
        <v>0</v>
      </c>
      <c r="N113" s="66">
        <f t="shared" si="52"/>
        <v>0</v>
      </c>
      <c r="O113" s="66">
        <f t="shared" si="52"/>
        <v>0</v>
      </c>
      <c r="P113" s="66">
        <f t="shared" si="52"/>
        <v>0</v>
      </c>
      <c r="Q113" s="66">
        <f t="shared" si="52"/>
        <v>0</v>
      </c>
      <c r="R113" s="66">
        <f t="shared" si="52"/>
        <v>0</v>
      </c>
      <c r="S113" s="66">
        <f t="shared" si="52"/>
        <v>0</v>
      </c>
      <c r="T113" s="66">
        <f t="shared" si="52"/>
        <v>0</v>
      </c>
      <c r="U113" s="66">
        <f t="shared" si="52"/>
        <v>0</v>
      </c>
      <c r="V113" s="66">
        <f t="shared" si="52"/>
        <v>0</v>
      </c>
      <c r="W113" s="66">
        <f t="shared" si="52"/>
        <v>0</v>
      </c>
      <c r="X113" s="66">
        <f t="shared" si="52"/>
        <v>0</v>
      </c>
      <c r="Y113" s="66">
        <f t="shared" si="52"/>
        <v>0</v>
      </c>
      <c r="Z113" s="66">
        <f t="shared" si="52"/>
        <v>0</v>
      </c>
      <c r="AA113" s="66">
        <f t="shared" si="52"/>
        <v>0</v>
      </c>
      <c r="AB113" s="66">
        <f t="shared" si="52"/>
        <v>0</v>
      </c>
      <c r="AC113" s="66">
        <f t="shared" si="52"/>
        <v>0</v>
      </c>
      <c r="AD113" s="66">
        <f t="shared" si="52"/>
        <v>0</v>
      </c>
      <c r="AE113" s="66">
        <f t="shared" si="52"/>
        <v>0</v>
      </c>
      <c r="AF113" s="66">
        <f t="shared" si="52"/>
        <v>0</v>
      </c>
      <c r="AG113" s="66">
        <f t="shared" si="52"/>
        <v>0</v>
      </c>
      <c r="AH113" s="66">
        <f t="shared" si="52"/>
        <v>0</v>
      </c>
      <c r="AI113" s="66">
        <f t="shared" si="52"/>
        <v>0</v>
      </c>
      <c r="AJ113" s="66">
        <f t="shared" si="52"/>
        <v>0</v>
      </c>
      <c r="AK113" s="66">
        <f t="shared" si="52"/>
        <v>0</v>
      </c>
      <c r="AL113" s="66">
        <f t="shared" si="52"/>
        <v>0</v>
      </c>
      <c r="AM113" s="66">
        <f t="shared" si="52"/>
        <v>0</v>
      </c>
      <c r="AN113" s="66">
        <f t="shared" ref="AN113:BS113" si="53">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6">
        <f t="shared" si="53"/>
        <v>0</v>
      </c>
      <c r="AP113" s="66">
        <f t="shared" si="53"/>
        <v>0</v>
      </c>
      <c r="AQ113" s="66">
        <f t="shared" si="53"/>
        <v>0</v>
      </c>
      <c r="AR113" s="66">
        <f t="shared" si="53"/>
        <v>0</v>
      </c>
      <c r="AS113" s="66">
        <f t="shared" si="53"/>
        <v>0</v>
      </c>
      <c r="AT113" s="66">
        <f t="shared" si="53"/>
        <v>0</v>
      </c>
      <c r="AU113" s="66">
        <f t="shared" si="53"/>
        <v>0</v>
      </c>
      <c r="AV113" s="66">
        <f t="shared" si="53"/>
        <v>0</v>
      </c>
      <c r="AW113" s="66">
        <f t="shared" si="53"/>
        <v>0</v>
      </c>
      <c r="AX113" s="66">
        <f t="shared" si="53"/>
        <v>0</v>
      </c>
      <c r="AY113" s="66">
        <f t="shared" si="53"/>
        <v>0</v>
      </c>
      <c r="AZ113" s="66">
        <f t="shared" si="53"/>
        <v>0</v>
      </c>
      <c r="BA113" s="66">
        <f t="shared" si="53"/>
        <v>0</v>
      </c>
      <c r="BB113" s="66">
        <f t="shared" si="53"/>
        <v>0</v>
      </c>
      <c r="BC113" s="66">
        <f t="shared" si="53"/>
        <v>0</v>
      </c>
      <c r="BD113" s="66">
        <f t="shared" si="53"/>
        <v>0</v>
      </c>
      <c r="BE113" s="66">
        <f t="shared" si="53"/>
        <v>0</v>
      </c>
      <c r="BF113" s="66">
        <f t="shared" si="53"/>
        <v>0</v>
      </c>
      <c r="BG113" s="66">
        <f t="shared" si="53"/>
        <v>0</v>
      </c>
      <c r="BH113" s="66">
        <f t="shared" si="53"/>
        <v>0</v>
      </c>
      <c r="BI113" s="66">
        <f t="shared" si="53"/>
        <v>0</v>
      </c>
      <c r="BJ113" s="66">
        <f t="shared" si="53"/>
        <v>0</v>
      </c>
      <c r="BK113" s="66">
        <f t="shared" si="53"/>
        <v>0</v>
      </c>
      <c r="BL113" s="66">
        <f t="shared" si="53"/>
        <v>0</v>
      </c>
      <c r="BM113" s="66">
        <f t="shared" si="53"/>
        <v>0</v>
      </c>
      <c r="BN113" s="66">
        <f t="shared" si="53"/>
        <v>0</v>
      </c>
      <c r="BO113" s="66">
        <f t="shared" si="53"/>
        <v>0</v>
      </c>
      <c r="BP113" s="66">
        <f t="shared" si="53"/>
        <v>0</v>
      </c>
      <c r="BQ113" s="66">
        <f t="shared" si="53"/>
        <v>0</v>
      </c>
      <c r="BR113" s="66">
        <f t="shared" si="53"/>
        <v>0</v>
      </c>
      <c r="BS113" s="66">
        <f t="shared" si="53"/>
        <v>0</v>
      </c>
      <c r="BT113" s="66">
        <f t="shared" ref="BT113:DC113" si="54">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6">
        <f t="shared" si="54"/>
        <v>0</v>
      </c>
      <c r="BV113" s="66">
        <f t="shared" si="54"/>
        <v>0</v>
      </c>
      <c r="BW113" s="66">
        <f t="shared" si="54"/>
        <v>0</v>
      </c>
      <c r="BX113" s="66">
        <f t="shared" si="54"/>
        <v>0</v>
      </c>
      <c r="BY113" s="66">
        <f t="shared" si="54"/>
        <v>0</v>
      </c>
      <c r="BZ113" s="66">
        <f t="shared" si="54"/>
        <v>0</v>
      </c>
      <c r="CA113" s="66">
        <f t="shared" si="54"/>
        <v>0</v>
      </c>
      <c r="CB113" s="66">
        <f t="shared" si="54"/>
        <v>0</v>
      </c>
      <c r="CC113" s="66">
        <f t="shared" si="54"/>
        <v>0</v>
      </c>
      <c r="CD113" s="66">
        <f t="shared" si="54"/>
        <v>0</v>
      </c>
      <c r="CE113" s="66">
        <f t="shared" si="54"/>
        <v>0</v>
      </c>
      <c r="CF113" s="66">
        <f t="shared" si="54"/>
        <v>0</v>
      </c>
      <c r="CG113" s="66">
        <f t="shared" si="54"/>
        <v>0</v>
      </c>
      <c r="CH113" s="66">
        <f t="shared" si="54"/>
        <v>0</v>
      </c>
      <c r="CI113" s="66">
        <f t="shared" si="54"/>
        <v>0</v>
      </c>
      <c r="CJ113" s="66">
        <f t="shared" si="54"/>
        <v>0</v>
      </c>
      <c r="CK113" s="66">
        <f t="shared" si="54"/>
        <v>0</v>
      </c>
      <c r="CL113" s="66">
        <f t="shared" si="54"/>
        <v>0</v>
      </c>
      <c r="CM113" s="66">
        <f t="shared" si="54"/>
        <v>0</v>
      </c>
      <c r="CN113" s="66">
        <f t="shared" si="54"/>
        <v>0</v>
      </c>
      <c r="CO113" s="66">
        <f t="shared" si="54"/>
        <v>0</v>
      </c>
      <c r="CP113" s="66">
        <f t="shared" si="54"/>
        <v>0</v>
      </c>
      <c r="CQ113" s="66">
        <f t="shared" si="54"/>
        <v>0</v>
      </c>
      <c r="CR113" s="66">
        <f t="shared" si="54"/>
        <v>0</v>
      </c>
      <c r="CS113" s="66">
        <f t="shared" si="54"/>
        <v>0</v>
      </c>
      <c r="CT113" s="66">
        <f t="shared" si="54"/>
        <v>0</v>
      </c>
      <c r="CU113" s="66">
        <f t="shared" si="54"/>
        <v>0</v>
      </c>
      <c r="CV113" s="66">
        <f t="shared" si="54"/>
        <v>0</v>
      </c>
      <c r="CW113" s="66">
        <f t="shared" si="54"/>
        <v>0</v>
      </c>
      <c r="CX113" s="66">
        <f t="shared" si="54"/>
        <v>0</v>
      </c>
      <c r="CY113" s="66">
        <f t="shared" si="54"/>
        <v>0</v>
      </c>
      <c r="CZ113" s="66">
        <f t="shared" si="54"/>
        <v>0</v>
      </c>
      <c r="DA113" s="66">
        <f t="shared" si="54"/>
        <v>0</v>
      </c>
      <c r="DB113" s="66">
        <f t="shared" si="54"/>
        <v>0</v>
      </c>
      <c r="DC113" s="66">
        <f t="shared" si="54"/>
        <v>0</v>
      </c>
      <c r="DF113" s="46">
        <f t="shared" si="39"/>
        <v>0</v>
      </c>
    </row>
    <row r="114" spans="1:110" ht="15" customHeight="1">
      <c r="A114" s="124">
        <v>104</v>
      </c>
      <c r="B114" s="5" t="s">
        <v>152</v>
      </c>
      <c r="C114" s="24" t="s">
        <v>204</v>
      </c>
      <c r="D114" s="5"/>
      <c r="E114" s="5"/>
      <c r="F114" s="35">
        <f>H114+NPV(FD,I114:INDEX(I114:DC114,PAL))</f>
        <v>0</v>
      </c>
      <c r="G114" s="35">
        <f>SUMIF($H$5:$DC$5,"&lt;="&amp;PAL,$H114:$DC114)</f>
        <v>0</v>
      </c>
      <c r="H114" s="66">
        <f t="shared" ref="H114:AM114" si="55">SUMPRODUCT($DG90:$DG99,H90:H99,1/($DG90:$DG99+100))</f>
        <v>0</v>
      </c>
      <c r="I114" s="66">
        <f t="shared" si="55"/>
        <v>0</v>
      </c>
      <c r="J114" s="66">
        <f t="shared" si="55"/>
        <v>0</v>
      </c>
      <c r="K114" s="66">
        <f t="shared" si="55"/>
        <v>0</v>
      </c>
      <c r="L114" s="66">
        <f t="shared" si="55"/>
        <v>0</v>
      </c>
      <c r="M114" s="66">
        <f t="shared" si="55"/>
        <v>0</v>
      </c>
      <c r="N114" s="66">
        <f t="shared" si="55"/>
        <v>0</v>
      </c>
      <c r="O114" s="66">
        <f t="shared" si="55"/>
        <v>0</v>
      </c>
      <c r="P114" s="66">
        <f t="shared" si="55"/>
        <v>0</v>
      </c>
      <c r="Q114" s="66">
        <f t="shared" si="55"/>
        <v>0</v>
      </c>
      <c r="R114" s="66">
        <f t="shared" si="55"/>
        <v>0</v>
      </c>
      <c r="S114" s="66">
        <f t="shared" si="55"/>
        <v>0</v>
      </c>
      <c r="T114" s="66">
        <f t="shared" si="55"/>
        <v>0</v>
      </c>
      <c r="U114" s="66">
        <f t="shared" si="55"/>
        <v>0</v>
      </c>
      <c r="V114" s="66">
        <f t="shared" si="55"/>
        <v>0</v>
      </c>
      <c r="W114" s="66">
        <f t="shared" si="55"/>
        <v>0</v>
      </c>
      <c r="X114" s="66">
        <f t="shared" si="55"/>
        <v>0</v>
      </c>
      <c r="Y114" s="66">
        <f t="shared" si="55"/>
        <v>0</v>
      </c>
      <c r="Z114" s="66">
        <f t="shared" si="55"/>
        <v>0</v>
      </c>
      <c r="AA114" s="66">
        <f t="shared" si="55"/>
        <v>0</v>
      </c>
      <c r="AB114" s="66">
        <f t="shared" si="55"/>
        <v>0</v>
      </c>
      <c r="AC114" s="66">
        <f t="shared" si="55"/>
        <v>0</v>
      </c>
      <c r="AD114" s="66">
        <f t="shared" si="55"/>
        <v>0</v>
      </c>
      <c r="AE114" s="66">
        <f t="shared" si="55"/>
        <v>0</v>
      </c>
      <c r="AF114" s="66">
        <f t="shared" si="55"/>
        <v>0</v>
      </c>
      <c r="AG114" s="66">
        <f t="shared" si="55"/>
        <v>0</v>
      </c>
      <c r="AH114" s="66">
        <f t="shared" si="55"/>
        <v>0</v>
      </c>
      <c r="AI114" s="66">
        <f t="shared" si="55"/>
        <v>0</v>
      </c>
      <c r="AJ114" s="66">
        <f t="shared" si="55"/>
        <v>0</v>
      </c>
      <c r="AK114" s="66">
        <f t="shared" si="55"/>
        <v>0</v>
      </c>
      <c r="AL114" s="66">
        <f t="shared" si="55"/>
        <v>0</v>
      </c>
      <c r="AM114" s="66">
        <f t="shared" si="55"/>
        <v>0</v>
      </c>
      <c r="AN114" s="66">
        <f t="shared" ref="AN114:BS114" si="56">SUMPRODUCT($DG90:$DG99,AN90:AN99,1/($DG90:$DG99+100))</f>
        <v>0</v>
      </c>
      <c r="AO114" s="66">
        <f t="shared" si="56"/>
        <v>0</v>
      </c>
      <c r="AP114" s="66">
        <f t="shared" si="56"/>
        <v>0</v>
      </c>
      <c r="AQ114" s="66">
        <f t="shared" si="56"/>
        <v>0</v>
      </c>
      <c r="AR114" s="66">
        <f t="shared" si="56"/>
        <v>0</v>
      </c>
      <c r="AS114" s="66">
        <f t="shared" si="56"/>
        <v>0</v>
      </c>
      <c r="AT114" s="66">
        <f t="shared" si="56"/>
        <v>0</v>
      </c>
      <c r="AU114" s="66">
        <f t="shared" si="56"/>
        <v>0</v>
      </c>
      <c r="AV114" s="66">
        <f t="shared" si="56"/>
        <v>0</v>
      </c>
      <c r="AW114" s="66">
        <f t="shared" si="56"/>
        <v>0</v>
      </c>
      <c r="AX114" s="66">
        <f t="shared" si="56"/>
        <v>0</v>
      </c>
      <c r="AY114" s="66">
        <f t="shared" si="56"/>
        <v>0</v>
      </c>
      <c r="AZ114" s="66">
        <f t="shared" si="56"/>
        <v>0</v>
      </c>
      <c r="BA114" s="66">
        <f t="shared" si="56"/>
        <v>0</v>
      </c>
      <c r="BB114" s="66">
        <f t="shared" si="56"/>
        <v>0</v>
      </c>
      <c r="BC114" s="66">
        <f t="shared" si="56"/>
        <v>0</v>
      </c>
      <c r="BD114" s="66">
        <f t="shared" si="56"/>
        <v>0</v>
      </c>
      <c r="BE114" s="66">
        <f t="shared" si="56"/>
        <v>0</v>
      </c>
      <c r="BF114" s="66">
        <f t="shared" si="56"/>
        <v>0</v>
      </c>
      <c r="BG114" s="66">
        <f t="shared" si="56"/>
        <v>0</v>
      </c>
      <c r="BH114" s="66">
        <f t="shared" si="56"/>
        <v>0</v>
      </c>
      <c r="BI114" s="66">
        <f t="shared" si="56"/>
        <v>0</v>
      </c>
      <c r="BJ114" s="66">
        <f t="shared" si="56"/>
        <v>0</v>
      </c>
      <c r="BK114" s="66">
        <f t="shared" si="56"/>
        <v>0</v>
      </c>
      <c r="BL114" s="66">
        <f t="shared" si="56"/>
        <v>0</v>
      </c>
      <c r="BM114" s="66">
        <f t="shared" si="56"/>
        <v>0</v>
      </c>
      <c r="BN114" s="66">
        <f t="shared" si="56"/>
        <v>0</v>
      </c>
      <c r="BO114" s="66">
        <f t="shared" si="56"/>
        <v>0</v>
      </c>
      <c r="BP114" s="66">
        <f t="shared" si="56"/>
        <v>0</v>
      </c>
      <c r="BQ114" s="66">
        <f t="shared" si="56"/>
        <v>0</v>
      </c>
      <c r="BR114" s="66">
        <f t="shared" si="56"/>
        <v>0</v>
      </c>
      <c r="BS114" s="66">
        <f t="shared" si="56"/>
        <v>0</v>
      </c>
      <c r="BT114" s="66">
        <f t="shared" ref="BT114:DC114" si="57">SUMPRODUCT($DG90:$DG99,BT90:BT99,1/($DG90:$DG99+100))</f>
        <v>0</v>
      </c>
      <c r="BU114" s="66">
        <f t="shared" si="57"/>
        <v>0</v>
      </c>
      <c r="BV114" s="66">
        <f t="shared" si="57"/>
        <v>0</v>
      </c>
      <c r="BW114" s="66">
        <f t="shared" si="57"/>
        <v>0</v>
      </c>
      <c r="BX114" s="66">
        <f t="shared" si="57"/>
        <v>0</v>
      </c>
      <c r="BY114" s="66">
        <f t="shared" si="57"/>
        <v>0</v>
      </c>
      <c r="BZ114" s="66">
        <f t="shared" si="57"/>
        <v>0</v>
      </c>
      <c r="CA114" s="66">
        <f t="shared" si="57"/>
        <v>0</v>
      </c>
      <c r="CB114" s="66">
        <f t="shared" si="57"/>
        <v>0</v>
      </c>
      <c r="CC114" s="66">
        <f t="shared" si="57"/>
        <v>0</v>
      </c>
      <c r="CD114" s="66">
        <f t="shared" si="57"/>
        <v>0</v>
      </c>
      <c r="CE114" s="66">
        <f t="shared" si="57"/>
        <v>0</v>
      </c>
      <c r="CF114" s="66">
        <f t="shared" si="57"/>
        <v>0</v>
      </c>
      <c r="CG114" s="66">
        <f t="shared" si="57"/>
        <v>0</v>
      </c>
      <c r="CH114" s="66">
        <f t="shared" si="57"/>
        <v>0</v>
      </c>
      <c r="CI114" s="66">
        <f t="shared" si="57"/>
        <v>0</v>
      </c>
      <c r="CJ114" s="66">
        <f t="shared" si="57"/>
        <v>0</v>
      </c>
      <c r="CK114" s="66">
        <f t="shared" si="57"/>
        <v>0</v>
      </c>
      <c r="CL114" s="66">
        <f t="shared" si="57"/>
        <v>0</v>
      </c>
      <c r="CM114" s="66">
        <f t="shared" si="57"/>
        <v>0</v>
      </c>
      <c r="CN114" s="66">
        <f t="shared" si="57"/>
        <v>0</v>
      </c>
      <c r="CO114" s="66">
        <f t="shared" si="57"/>
        <v>0</v>
      </c>
      <c r="CP114" s="66">
        <f t="shared" si="57"/>
        <v>0</v>
      </c>
      <c r="CQ114" s="66">
        <f t="shared" si="57"/>
        <v>0</v>
      </c>
      <c r="CR114" s="66">
        <f t="shared" si="57"/>
        <v>0</v>
      </c>
      <c r="CS114" s="66">
        <f t="shared" si="57"/>
        <v>0</v>
      </c>
      <c r="CT114" s="66">
        <f t="shared" si="57"/>
        <v>0</v>
      </c>
      <c r="CU114" s="66">
        <f t="shared" si="57"/>
        <v>0</v>
      </c>
      <c r="CV114" s="66">
        <f t="shared" si="57"/>
        <v>0</v>
      </c>
      <c r="CW114" s="66">
        <f t="shared" si="57"/>
        <v>0</v>
      </c>
      <c r="CX114" s="66">
        <f t="shared" si="57"/>
        <v>0</v>
      </c>
      <c r="CY114" s="66">
        <f t="shared" si="57"/>
        <v>0</v>
      </c>
      <c r="CZ114" s="66">
        <f t="shared" si="57"/>
        <v>0</v>
      </c>
      <c r="DA114" s="66">
        <f t="shared" si="57"/>
        <v>0</v>
      </c>
      <c r="DB114" s="66">
        <f t="shared" si="57"/>
        <v>0</v>
      </c>
      <c r="DC114" s="66">
        <f t="shared" si="57"/>
        <v>0</v>
      </c>
      <c r="DD114" s="65"/>
      <c r="DF114" s="46">
        <f t="shared" si="39"/>
        <v>0</v>
      </c>
    </row>
    <row r="115" spans="1:110" ht="15" customHeight="1">
      <c r="A115" s="124">
        <v>105</v>
      </c>
      <c r="B115" s="5" t="s">
        <v>202</v>
      </c>
      <c r="C115" s="24" t="s">
        <v>12</v>
      </c>
      <c r="D115" s="24"/>
      <c r="E115" s="5"/>
      <c r="F115" s="35">
        <f>H115+NPV(FD,I115:INDEX(I115:DC115,PAL))</f>
        <v>0</v>
      </c>
      <c r="G115" s="35">
        <f>SUMIF($H$5:$DC$5,"&lt;="&amp;PAL,$H115:$DC115)</f>
        <v>0</v>
      </c>
      <c r="H115" s="66">
        <f>SUMPRODUCT($DG101:$DG110,H101:H110,1/($DG101:$DG110+100))</f>
        <v>0</v>
      </c>
      <c r="I115" s="66">
        <f t="shared" ref="I115:BT115" si="58">SUMPRODUCT($DG101:$DG110,I101:I110,1/($DG101:$DG110+100))</f>
        <v>0</v>
      </c>
      <c r="J115" s="66">
        <f t="shared" si="58"/>
        <v>0</v>
      </c>
      <c r="K115" s="66">
        <f t="shared" si="58"/>
        <v>0</v>
      </c>
      <c r="L115" s="66">
        <f t="shared" si="58"/>
        <v>0</v>
      </c>
      <c r="M115" s="66">
        <f t="shared" si="58"/>
        <v>0</v>
      </c>
      <c r="N115" s="66">
        <f t="shared" si="58"/>
        <v>0</v>
      </c>
      <c r="O115" s="66">
        <f t="shared" si="58"/>
        <v>0</v>
      </c>
      <c r="P115" s="66">
        <f t="shared" si="58"/>
        <v>0</v>
      </c>
      <c r="Q115" s="66">
        <f t="shared" si="58"/>
        <v>0</v>
      </c>
      <c r="R115" s="66">
        <f t="shared" si="58"/>
        <v>0</v>
      </c>
      <c r="S115" s="66">
        <f t="shared" si="58"/>
        <v>0</v>
      </c>
      <c r="T115" s="66">
        <f t="shared" si="58"/>
        <v>0</v>
      </c>
      <c r="U115" s="66">
        <f t="shared" si="58"/>
        <v>0</v>
      </c>
      <c r="V115" s="66">
        <f t="shared" si="58"/>
        <v>0</v>
      </c>
      <c r="W115" s="66">
        <f t="shared" si="58"/>
        <v>0</v>
      </c>
      <c r="X115" s="66">
        <f t="shared" si="58"/>
        <v>0</v>
      </c>
      <c r="Y115" s="66">
        <f t="shared" si="58"/>
        <v>0</v>
      </c>
      <c r="Z115" s="66">
        <f t="shared" si="58"/>
        <v>0</v>
      </c>
      <c r="AA115" s="66">
        <f t="shared" si="58"/>
        <v>0</v>
      </c>
      <c r="AB115" s="66">
        <f t="shared" si="58"/>
        <v>0</v>
      </c>
      <c r="AC115" s="66">
        <f t="shared" si="58"/>
        <v>0</v>
      </c>
      <c r="AD115" s="66">
        <f t="shared" si="58"/>
        <v>0</v>
      </c>
      <c r="AE115" s="66">
        <f t="shared" si="58"/>
        <v>0</v>
      </c>
      <c r="AF115" s="66">
        <f t="shared" si="58"/>
        <v>0</v>
      </c>
      <c r="AG115" s="66">
        <f t="shared" si="58"/>
        <v>0</v>
      </c>
      <c r="AH115" s="66">
        <f t="shared" si="58"/>
        <v>0</v>
      </c>
      <c r="AI115" s="66">
        <f t="shared" si="58"/>
        <v>0</v>
      </c>
      <c r="AJ115" s="66">
        <f t="shared" si="58"/>
        <v>0</v>
      </c>
      <c r="AK115" s="66">
        <f t="shared" si="58"/>
        <v>0</v>
      </c>
      <c r="AL115" s="66">
        <f t="shared" si="58"/>
        <v>0</v>
      </c>
      <c r="AM115" s="66">
        <f t="shared" si="58"/>
        <v>0</v>
      </c>
      <c r="AN115" s="66">
        <f t="shared" si="58"/>
        <v>0</v>
      </c>
      <c r="AO115" s="66">
        <f t="shared" si="58"/>
        <v>0</v>
      </c>
      <c r="AP115" s="66">
        <f t="shared" si="58"/>
        <v>0</v>
      </c>
      <c r="AQ115" s="66">
        <f t="shared" si="58"/>
        <v>0</v>
      </c>
      <c r="AR115" s="66">
        <f t="shared" si="58"/>
        <v>0</v>
      </c>
      <c r="AS115" s="66">
        <f t="shared" si="58"/>
        <v>0</v>
      </c>
      <c r="AT115" s="66">
        <f t="shared" si="58"/>
        <v>0</v>
      </c>
      <c r="AU115" s="66">
        <f t="shared" si="58"/>
        <v>0</v>
      </c>
      <c r="AV115" s="66">
        <f t="shared" si="58"/>
        <v>0</v>
      </c>
      <c r="AW115" s="66">
        <f t="shared" si="58"/>
        <v>0</v>
      </c>
      <c r="AX115" s="66">
        <f t="shared" si="58"/>
        <v>0</v>
      </c>
      <c r="AY115" s="66">
        <f t="shared" si="58"/>
        <v>0</v>
      </c>
      <c r="AZ115" s="66">
        <f t="shared" si="58"/>
        <v>0</v>
      </c>
      <c r="BA115" s="66">
        <f t="shared" si="58"/>
        <v>0</v>
      </c>
      <c r="BB115" s="66">
        <f t="shared" si="58"/>
        <v>0</v>
      </c>
      <c r="BC115" s="66">
        <f t="shared" si="58"/>
        <v>0</v>
      </c>
      <c r="BD115" s="66">
        <f t="shared" si="58"/>
        <v>0</v>
      </c>
      <c r="BE115" s="66">
        <f t="shared" si="58"/>
        <v>0</v>
      </c>
      <c r="BF115" s="66">
        <f t="shared" si="58"/>
        <v>0</v>
      </c>
      <c r="BG115" s="66">
        <f t="shared" si="58"/>
        <v>0</v>
      </c>
      <c r="BH115" s="66">
        <f t="shared" si="58"/>
        <v>0</v>
      </c>
      <c r="BI115" s="66">
        <f t="shared" si="58"/>
        <v>0</v>
      </c>
      <c r="BJ115" s="66">
        <f t="shared" si="58"/>
        <v>0</v>
      </c>
      <c r="BK115" s="66">
        <f t="shared" si="58"/>
        <v>0</v>
      </c>
      <c r="BL115" s="66">
        <f t="shared" si="58"/>
        <v>0</v>
      </c>
      <c r="BM115" s="66">
        <f t="shared" si="58"/>
        <v>0</v>
      </c>
      <c r="BN115" s="66">
        <f t="shared" si="58"/>
        <v>0</v>
      </c>
      <c r="BO115" s="66">
        <f t="shared" si="58"/>
        <v>0</v>
      </c>
      <c r="BP115" s="66">
        <f t="shared" si="58"/>
        <v>0</v>
      </c>
      <c r="BQ115" s="66">
        <f t="shared" si="58"/>
        <v>0</v>
      </c>
      <c r="BR115" s="66">
        <f t="shared" si="58"/>
        <v>0</v>
      </c>
      <c r="BS115" s="66">
        <f t="shared" si="58"/>
        <v>0</v>
      </c>
      <c r="BT115" s="66">
        <f t="shared" si="58"/>
        <v>0</v>
      </c>
      <c r="BU115" s="66">
        <f t="shared" ref="BU115:DC115" si="59">SUMPRODUCT($DG101:$DG110,BU101:BU110,1/($DG101:$DG110+100))</f>
        <v>0</v>
      </c>
      <c r="BV115" s="66">
        <f t="shared" si="59"/>
        <v>0</v>
      </c>
      <c r="BW115" s="66">
        <f t="shared" si="59"/>
        <v>0</v>
      </c>
      <c r="BX115" s="66">
        <f t="shared" si="59"/>
        <v>0</v>
      </c>
      <c r="BY115" s="66">
        <f t="shared" si="59"/>
        <v>0</v>
      </c>
      <c r="BZ115" s="66">
        <f t="shared" si="59"/>
        <v>0</v>
      </c>
      <c r="CA115" s="66">
        <f t="shared" si="59"/>
        <v>0</v>
      </c>
      <c r="CB115" s="66">
        <f t="shared" si="59"/>
        <v>0</v>
      </c>
      <c r="CC115" s="66">
        <f t="shared" si="59"/>
        <v>0</v>
      </c>
      <c r="CD115" s="66">
        <f t="shared" si="59"/>
        <v>0</v>
      </c>
      <c r="CE115" s="66">
        <f t="shared" si="59"/>
        <v>0</v>
      </c>
      <c r="CF115" s="66">
        <f t="shared" si="59"/>
        <v>0</v>
      </c>
      <c r="CG115" s="66">
        <f t="shared" si="59"/>
        <v>0</v>
      </c>
      <c r="CH115" s="66">
        <f t="shared" si="59"/>
        <v>0</v>
      </c>
      <c r="CI115" s="66">
        <f t="shared" si="59"/>
        <v>0</v>
      </c>
      <c r="CJ115" s="66">
        <f t="shared" si="59"/>
        <v>0</v>
      </c>
      <c r="CK115" s="66">
        <f t="shared" si="59"/>
        <v>0</v>
      </c>
      <c r="CL115" s="66">
        <f t="shared" si="59"/>
        <v>0</v>
      </c>
      <c r="CM115" s="66">
        <f t="shared" si="59"/>
        <v>0</v>
      </c>
      <c r="CN115" s="66">
        <f t="shared" si="59"/>
        <v>0</v>
      </c>
      <c r="CO115" s="66">
        <f t="shared" si="59"/>
        <v>0</v>
      </c>
      <c r="CP115" s="66">
        <f t="shared" si="59"/>
        <v>0</v>
      </c>
      <c r="CQ115" s="66">
        <f t="shared" si="59"/>
        <v>0</v>
      </c>
      <c r="CR115" s="66">
        <f t="shared" si="59"/>
        <v>0</v>
      </c>
      <c r="CS115" s="66">
        <f t="shared" si="59"/>
        <v>0</v>
      </c>
      <c r="CT115" s="66">
        <f t="shared" si="59"/>
        <v>0</v>
      </c>
      <c r="CU115" s="66">
        <f t="shared" si="59"/>
        <v>0</v>
      </c>
      <c r="CV115" s="66">
        <f t="shared" si="59"/>
        <v>0</v>
      </c>
      <c r="CW115" s="66">
        <f t="shared" si="59"/>
        <v>0</v>
      </c>
      <c r="CX115" s="66">
        <f t="shared" si="59"/>
        <v>0</v>
      </c>
      <c r="CY115" s="66">
        <f t="shared" si="59"/>
        <v>0</v>
      </c>
      <c r="CZ115" s="66">
        <f t="shared" si="59"/>
        <v>0</v>
      </c>
      <c r="DA115" s="66">
        <f>SUMPRODUCT($DG101:$DG110,DA101:DA110,1/($DG101:$DG110+100))</f>
        <v>0</v>
      </c>
      <c r="DB115" s="66">
        <f t="shared" si="59"/>
        <v>0</v>
      </c>
      <c r="DC115" s="66">
        <f t="shared" si="59"/>
        <v>0</v>
      </c>
      <c r="DE115" s="46">
        <f>COUNTBLANK(H115:DC115)</f>
        <v>0</v>
      </c>
      <c r="DF115" s="46">
        <f t="shared" si="39"/>
        <v>0</v>
      </c>
    </row>
    <row r="116" spans="1:110" ht="31.5" customHeight="1">
      <c r="A116" s="124">
        <v>106</v>
      </c>
      <c r="B116" s="5" t="s">
        <v>27</v>
      </c>
      <c r="C116" s="183" t="str">
        <f>CONCATENATE("SIEKIAMAS REZULTATAS: ",IF(Result=0,"",Result),", matavimo vienetas: ",IF(Result_mat=0,"",Result_mat))</f>
        <v>SIEKIAMAS REZULTATAS: Lietuvos gyventojų dalis, mananti, kad Lietuvos diplomatinė tarnyba labai gerai, gerai atstovauja Lietuvos saugumo interesams, išnaudoja dvišalio ir daugiašalio bendradarbiavimo priemones bei narystės NATO teikiamas galimybes, matavimo vienetas: proc.</v>
      </c>
      <c r="D116" s="24"/>
      <c r="E116" s="5"/>
      <c r="F116" s="35">
        <f>H116+NPV(FD,I116:INDEX(I116:DC116,PAL))</f>
        <v>0</v>
      </c>
      <c r="G116" s="35">
        <f>SUMIF($H$5:$DC$5,"&lt;="&amp;PAL,$H116:$DC116)</f>
        <v>0</v>
      </c>
      <c r="H116" s="38">
        <v>0</v>
      </c>
      <c r="I116" s="38">
        <v>0</v>
      </c>
      <c r="J116" s="38">
        <v>0</v>
      </c>
      <c r="K116" s="38">
        <v>0</v>
      </c>
      <c r="L116" s="38">
        <v>0</v>
      </c>
      <c r="M116" s="38">
        <v>0</v>
      </c>
      <c r="N116" s="38">
        <v>0</v>
      </c>
      <c r="O116" s="38">
        <v>0</v>
      </c>
      <c r="P116" s="38">
        <v>0</v>
      </c>
      <c r="Q116" s="38">
        <v>0</v>
      </c>
      <c r="R116" s="38">
        <v>0</v>
      </c>
      <c r="S116" s="38">
        <v>0</v>
      </c>
      <c r="T116" s="38">
        <v>0</v>
      </c>
      <c r="U116" s="38">
        <v>0</v>
      </c>
      <c r="V116" s="38">
        <v>0</v>
      </c>
      <c r="W116" s="38">
        <v>0</v>
      </c>
      <c r="X116" s="38">
        <v>0</v>
      </c>
      <c r="Y116" s="38">
        <v>0</v>
      </c>
      <c r="Z116" s="38">
        <v>0</v>
      </c>
      <c r="AA116" s="38">
        <v>0</v>
      </c>
      <c r="AB116" s="38">
        <v>0</v>
      </c>
      <c r="AC116" s="38">
        <v>0</v>
      </c>
      <c r="AD116" s="38">
        <v>0</v>
      </c>
      <c r="AE116" s="38">
        <v>0</v>
      </c>
      <c r="AF116" s="38">
        <v>0</v>
      </c>
      <c r="AG116" s="38">
        <v>0</v>
      </c>
      <c r="AH116" s="38">
        <v>0</v>
      </c>
      <c r="AI116" s="38">
        <v>0</v>
      </c>
      <c r="AJ116" s="38">
        <v>0</v>
      </c>
      <c r="AK116" s="38">
        <v>0</v>
      </c>
      <c r="AL116" s="38">
        <v>0</v>
      </c>
      <c r="AM116" s="38">
        <v>0</v>
      </c>
      <c r="AN116" s="38">
        <v>0</v>
      </c>
      <c r="AO116" s="38">
        <v>0</v>
      </c>
      <c r="AP116" s="38">
        <v>0</v>
      </c>
      <c r="AQ116" s="38">
        <v>0</v>
      </c>
      <c r="AR116" s="38">
        <v>0</v>
      </c>
      <c r="AS116" s="38">
        <v>0</v>
      </c>
      <c r="AT116" s="38">
        <v>0</v>
      </c>
      <c r="AU116" s="38">
        <v>0</v>
      </c>
      <c r="AV116" s="38">
        <v>0</v>
      </c>
      <c r="AW116" s="38">
        <v>0</v>
      </c>
      <c r="AX116" s="38">
        <v>0</v>
      </c>
      <c r="AY116" s="38">
        <v>0</v>
      </c>
      <c r="AZ116" s="38">
        <v>0</v>
      </c>
      <c r="BA116" s="38">
        <v>0</v>
      </c>
      <c r="BB116" s="38">
        <v>0</v>
      </c>
      <c r="BC116" s="38">
        <v>0</v>
      </c>
      <c r="BD116" s="38">
        <v>0</v>
      </c>
      <c r="BE116" s="38">
        <v>0</v>
      </c>
      <c r="BF116" s="38">
        <v>0</v>
      </c>
      <c r="BG116" s="38">
        <v>0</v>
      </c>
      <c r="BH116" s="38">
        <v>0</v>
      </c>
      <c r="BI116" s="38">
        <v>0</v>
      </c>
      <c r="BJ116" s="38">
        <v>0</v>
      </c>
      <c r="BK116" s="38">
        <v>0</v>
      </c>
      <c r="BL116" s="38">
        <v>0</v>
      </c>
      <c r="BM116" s="38">
        <v>0</v>
      </c>
      <c r="BN116" s="38">
        <v>0</v>
      </c>
      <c r="BO116" s="38">
        <v>0</v>
      </c>
      <c r="BP116" s="38">
        <v>0</v>
      </c>
      <c r="BQ116" s="38">
        <v>0</v>
      </c>
      <c r="BR116" s="38">
        <v>0</v>
      </c>
      <c r="BS116" s="38">
        <v>0</v>
      </c>
      <c r="BT116" s="38">
        <v>0</v>
      </c>
      <c r="BU116" s="38">
        <v>0</v>
      </c>
      <c r="BV116" s="38">
        <v>0</v>
      </c>
      <c r="BW116" s="38">
        <v>0</v>
      </c>
      <c r="BX116" s="38">
        <v>0</v>
      </c>
      <c r="BY116" s="38">
        <v>0</v>
      </c>
      <c r="BZ116" s="38">
        <v>0</v>
      </c>
      <c r="CA116" s="38">
        <v>0</v>
      </c>
      <c r="CB116" s="38">
        <v>0</v>
      </c>
      <c r="CC116" s="38">
        <v>0</v>
      </c>
      <c r="CD116" s="38">
        <v>0</v>
      </c>
      <c r="CE116" s="38">
        <v>0</v>
      </c>
      <c r="CF116" s="38">
        <v>0</v>
      </c>
      <c r="CG116" s="38">
        <v>0</v>
      </c>
      <c r="CH116" s="38">
        <v>0</v>
      </c>
      <c r="CI116" s="38">
        <v>0</v>
      </c>
      <c r="CJ116" s="38">
        <v>0</v>
      </c>
      <c r="CK116" s="38">
        <v>0</v>
      </c>
      <c r="CL116" s="38">
        <v>0</v>
      </c>
      <c r="CM116" s="38">
        <v>0</v>
      </c>
      <c r="CN116" s="38">
        <v>0</v>
      </c>
      <c r="CO116" s="38">
        <v>0</v>
      </c>
      <c r="CP116" s="38">
        <v>0</v>
      </c>
      <c r="CQ116" s="38">
        <v>0</v>
      </c>
      <c r="CR116" s="38">
        <v>0</v>
      </c>
      <c r="CS116" s="38">
        <v>0</v>
      </c>
      <c r="CT116" s="38">
        <v>0</v>
      </c>
      <c r="CU116" s="38">
        <v>0</v>
      </c>
      <c r="CV116" s="38">
        <v>0</v>
      </c>
      <c r="CW116" s="38">
        <v>0</v>
      </c>
      <c r="CX116" s="38">
        <v>0</v>
      </c>
      <c r="CY116" s="38">
        <v>0</v>
      </c>
      <c r="CZ116" s="38">
        <v>0</v>
      </c>
      <c r="DA116" s="38">
        <v>0</v>
      </c>
      <c r="DB116" s="38">
        <v>0</v>
      </c>
      <c r="DC116" s="38">
        <v>0</v>
      </c>
      <c r="DE116" s="46">
        <f t="shared" si="46"/>
        <v>0</v>
      </c>
      <c r="DF116" s="46">
        <f t="shared" si="39"/>
        <v>0</v>
      </c>
    </row>
    <row r="117" spans="1:110" ht="14.4">
      <c r="A117" s="124">
        <v>107</v>
      </c>
      <c r="B117" s="5" t="s">
        <v>18</v>
      </c>
      <c r="C117" s="15" t="s">
        <v>274</v>
      </c>
      <c r="D117" s="24"/>
      <c r="E117" s="5"/>
      <c r="F117" s="11">
        <f>SUM(F118-F126)</f>
        <v>0</v>
      </c>
      <c r="G117" s="35">
        <f>SUMIF($H$5:$DC$5,"&lt;="&amp;PAL,$H117:$DC117)</f>
        <v>0</v>
      </c>
      <c r="H117" s="11">
        <f>SUM(H118-H126)</f>
        <v>0</v>
      </c>
      <c r="I117" s="11">
        <f t="shared" ref="I117:BT117" si="60">SUM(I118-I126)</f>
        <v>0</v>
      </c>
      <c r="J117" s="11">
        <f t="shared" si="60"/>
        <v>0</v>
      </c>
      <c r="K117" s="11">
        <f t="shared" si="60"/>
        <v>0</v>
      </c>
      <c r="L117" s="11">
        <f t="shared" si="60"/>
        <v>0</v>
      </c>
      <c r="M117" s="11">
        <f t="shared" si="60"/>
        <v>0</v>
      </c>
      <c r="N117" s="11">
        <f t="shared" si="60"/>
        <v>0</v>
      </c>
      <c r="O117" s="11">
        <f t="shared" si="60"/>
        <v>0</v>
      </c>
      <c r="P117" s="11">
        <f t="shared" si="60"/>
        <v>0</v>
      </c>
      <c r="Q117" s="11">
        <f t="shared" si="60"/>
        <v>0</v>
      </c>
      <c r="R117" s="11">
        <f t="shared" si="60"/>
        <v>0</v>
      </c>
      <c r="S117" s="11">
        <f t="shared" si="60"/>
        <v>0</v>
      </c>
      <c r="T117" s="11">
        <f t="shared" si="60"/>
        <v>0</v>
      </c>
      <c r="U117" s="11">
        <f t="shared" si="60"/>
        <v>0</v>
      </c>
      <c r="V117" s="11">
        <f t="shared" si="60"/>
        <v>0</v>
      </c>
      <c r="W117" s="11">
        <f t="shared" si="60"/>
        <v>0</v>
      </c>
      <c r="X117" s="11">
        <f t="shared" si="60"/>
        <v>0</v>
      </c>
      <c r="Y117" s="11">
        <f t="shared" si="60"/>
        <v>0</v>
      </c>
      <c r="Z117" s="11">
        <f t="shared" si="60"/>
        <v>0</v>
      </c>
      <c r="AA117" s="11">
        <f t="shared" si="60"/>
        <v>0</v>
      </c>
      <c r="AB117" s="11">
        <f t="shared" si="60"/>
        <v>0</v>
      </c>
      <c r="AC117" s="11">
        <f t="shared" si="60"/>
        <v>0</v>
      </c>
      <c r="AD117" s="11">
        <f t="shared" si="60"/>
        <v>0</v>
      </c>
      <c r="AE117" s="11">
        <f t="shared" si="60"/>
        <v>0</v>
      </c>
      <c r="AF117" s="11">
        <f t="shared" si="60"/>
        <v>0</v>
      </c>
      <c r="AG117" s="11">
        <f t="shared" si="60"/>
        <v>0</v>
      </c>
      <c r="AH117" s="11">
        <f t="shared" si="60"/>
        <v>0</v>
      </c>
      <c r="AI117" s="11">
        <f t="shared" si="60"/>
        <v>0</v>
      </c>
      <c r="AJ117" s="11">
        <f t="shared" si="60"/>
        <v>0</v>
      </c>
      <c r="AK117" s="11">
        <f t="shared" si="60"/>
        <v>0</v>
      </c>
      <c r="AL117" s="11">
        <f t="shared" si="60"/>
        <v>0</v>
      </c>
      <c r="AM117" s="11">
        <f t="shared" si="60"/>
        <v>0</v>
      </c>
      <c r="AN117" s="11">
        <f t="shared" si="60"/>
        <v>0</v>
      </c>
      <c r="AO117" s="11">
        <f t="shared" si="60"/>
        <v>0</v>
      </c>
      <c r="AP117" s="11">
        <f t="shared" si="60"/>
        <v>0</v>
      </c>
      <c r="AQ117" s="11">
        <f t="shared" si="60"/>
        <v>0</v>
      </c>
      <c r="AR117" s="11">
        <f t="shared" si="60"/>
        <v>0</v>
      </c>
      <c r="AS117" s="11">
        <f t="shared" si="60"/>
        <v>0</v>
      </c>
      <c r="AT117" s="11">
        <f t="shared" si="60"/>
        <v>0</v>
      </c>
      <c r="AU117" s="11">
        <f t="shared" si="60"/>
        <v>0</v>
      </c>
      <c r="AV117" s="11">
        <f t="shared" si="60"/>
        <v>0</v>
      </c>
      <c r="AW117" s="11">
        <f t="shared" si="60"/>
        <v>0</v>
      </c>
      <c r="AX117" s="11">
        <f t="shared" si="60"/>
        <v>0</v>
      </c>
      <c r="AY117" s="11">
        <f t="shared" si="60"/>
        <v>0</v>
      </c>
      <c r="AZ117" s="11">
        <f t="shared" si="60"/>
        <v>0</v>
      </c>
      <c r="BA117" s="11">
        <f t="shared" si="60"/>
        <v>0</v>
      </c>
      <c r="BB117" s="11">
        <f t="shared" si="60"/>
        <v>0</v>
      </c>
      <c r="BC117" s="11">
        <f t="shared" si="60"/>
        <v>0</v>
      </c>
      <c r="BD117" s="11">
        <f t="shared" si="60"/>
        <v>0</v>
      </c>
      <c r="BE117" s="11">
        <f t="shared" si="60"/>
        <v>0</v>
      </c>
      <c r="BF117" s="11">
        <f t="shared" si="60"/>
        <v>0</v>
      </c>
      <c r="BG117" s="11">
        <f t="shared" si="60"/>
        <v>0</v>
      </c>
      <c r="BH117" s="11">
        <f t="shared" si="60"/>
        <v>0</v>
      </c>
      <c r="BI117" s="11">
        <f t="shared" si="60"/>
        <v>0</v>
      </c>
      <c r="BJ117" s="11">
        <f t="shared" si="60"/>
        <v>0</v>
      </c>
      <c r="BK117" s="11">
        <f t="shared" si="60"/>
        <v>0</v>
      </c>
      <c r="BL117" s="11">
        <f t="shared" si="60"/>
        <v>0</v>
      </c>
      <c r="BM117" s="11">
        <f t="shared" si="60"/>
        <v>0</v>
      </c>
      <c r="BN117" s="11">
        <f t="shared" si="60"/>
        <v>0</v>
      </c>
      <c r="BO117" s="11">
        <f t="shared" si="60"/>
        <v>0</v>
      </c>
      <c r="BP117" s="11">
        <f t="shared" si="60"/>
        <v>0</v>
      </c>
      <c r="BQ117" s="11">
        <f t="shared" si="60"/>
        <v>0</v>
      </c>
      <c r="BR117" s="11">
        <f t="shared" si="60"/>
        <v>0</v>
      </c>
      <c r="BS117" s="11">
        <f t="shared" si="60"/>
        <v>0</v>
      </c>
      <c r="BT117" s="11">
        <f t="shared" si="60"/>
        <v>0</v>
      </c>
      <c r="BU117" s="11">
        <f t="shared" ref="BU117:DC117" si="61">SUM(BU118-BU126)</f>
        <v>0</v>
      </c>
      <c r="BV117" s="11">
        <f t="shared" si="61"/>
        <v>0</v>
      </c>
      <c r="BW117" s="11">
        <f t="shared" si="61"/>
        <v>0</v>
      </c>
      <c r="BX117" s="11">
        <f t="shared" si="61"/>
        <v>0</v>
      </c>
      <c r="BY117" s="11">
        <f t="shared" si="61"/>
        <v>0</v>
      </c>
      <c r="BZ117" s="11">
        <f t="shared" si="61"/>
        <v>0</v>
      </c>
      <c r="CA117" s="11">
        <f t="shared" si="61"/>
        <v>0</v>
      </c>
      <c r="CB117" s="11">
        <f t="shared" si="61"/>
        <v>0</v>
      </c>
      <c r="CC117" s="11">
        <f t="shared" si="61"/>
        <v>0</v>
      </c>
      <c r="CD117" s="11">
        <f t="shared" si="61"/>
        <v>0</v>
      </c>
      <c r="CE117" s="11">
        <f t="shared" si="61"/>
        <v>0</v>
      </c>
      <c r="CF117" s="11">
        <f t="shared" si="61"/>
        <v>0</v>
      </c>
      <c r="CG117" s="11">
        <f t="shared" si="61"/>
        <v>0</v>
      </c>
      <c r="CH117" s="11">
        <f t="shared" si="61"/>
        <v>0</v>
      </c>
      <c r="CI117" s="11">
        <f t="shared" si="61"/>
        <v>0</v>
      </c>
      <c r="CJ117" s="11">
        <f t="shared" si="61"/>
        <v>0</v>
      </c>
      <c r="CK117" s="11">
        <f t="shared" si="61"/>
        <v>0</v>
      </c>
      <c r="CL117" s="11">
        <f t="shared" si="61"/>
        <v>0</v>
      </c>
      <c r="CM117" s="11">
        <f t="shared" si="61"/>
        <v>0</v>
      </c>
      <c r="CN117" s="11">
        <f t="shared" si="61"/>
        <v>0</v>
      </c>
      <c r="CO117" s="11">
        <f t="shared" si="61"/>
        <v>0</v>
      </c>
      <c r="CP117" s="11">
        <f t="shared" si="61"/>
        <v>0</v>
      </c>
      <c r="CQ117" s="11">
        <f t="shared" si="61"/>
        <v>0</v>
      </c>
      <c r="CR117" s="11">
        <f t="shared" si="61"/>
        <v>0</v>
      </c>
      <c r="CS117" s="11">
        <f t="shared" si="61"/>
        <v>0</v>
      </c>
      <c r="CT117" s="11">
        <f t="shared" si="61"/>
        <v>0</v>
      </c>
      <c r="CU117" s="11">
        <f t="shared" si="61"/>
        <v>0</v>
      </c>
      <c r="CV117" s="11">
        <f t="shared" si="61"/>
        <v>0</v>
      </c>
      <c r="CW117" s="11">
        <f t="shared" si="61"/>
        <v>0</v>
      </c>
      <c r="CX117" s="11">
        <f t="shared" si="61"/>
        <v>0</v>
      </c>
      <c r="CY117" s="11">
        <f t="shared" si="61"/>
        <v>0</v>
      </c>
      <c r="CZ117" s="11">
        <f t="shared" si="61"/>
        <v>0</v>
      </c>
      <c r="DA117" s="11">
        <f t="shared" si="61"/>
        <v>0</v>
      </c>
      <c r="DB117" s="11">
        <f t="shared" si="61"/>
        <v>0</v>
      </c>
      <c r="DC117" s="11">
        <f t="shared" si="61"/>
        <v>0</v>
      </c>
      <c r="DF117" s="46">
        <f t="shared" si="39"/>
        <v>0</v>
      </c>
    </row>
    <row r="118" spans="1:110" ht="14.4">
      <c r="A118" s="124">
        <v>108</v>
      </c>
      <c r="B118" s="5" t="s">
        <v>192</v>
      </c>
      <c r="C118" s="24" t="s">
        <v>275</v>
      </c>
      <c r="D118" s="24"/>
      <c r="E118" s="5"/>
      <c r="F118" s="11">
        <f>SUM(F119:F125)</f>
        <v>0</v>
      </c>
      <c r="G118" s="35">
        <f>SUMIF($H$5:$DC$5,"&lt;="&amp;PAL,$H118:$DC118)</f>
        <v>0</v>
      </c>
      <c r="H118" s="11">
        <f>SUM(H119:H125)</f>
        <v>0</v>
      </c>
      <c r="I118" s="11">
        <f t="shared" ref="I118:BT118" si="62">SUM(I119:I125)</f>
        <v>0</v>
      </c>
      <c r="J118" s="11">
        <f t="shared" si="62"/>
        <v>0</v>
      </c>
      <c r="K118" s="11">
        <f t="shared" si="62"/>
        <v>0</v>
      </c>
      <c r="L118" s="11">
        <f t="shared" si="62"/>
        <v>0</v>
      </c>
      <c r="M118" s="11">
        <f t="shared" si="62"/>
        <v>0</v>
      </c>
      <c r="N118" s="11">
        <f t="shared" si="62"/>
        <v>0</v>
      </c>
      <c r="O118" s="11">
        <f t="shared" si="62"/>
        <v>0</v>
      </c>
      <c r="P118" s="11">
        <f t="shared" si="62"/>
        <v>0</v>
      </c>
      <c r="Q118" s="11">
        <f t="shared" si="62"/>
        <v>0</v>
      </c>
      <c r="R118" s="11">
        <f t="shared" si="62"/>
        <v>0</v>
      </c>
      <c r="S118" s="11">
        <f t="shared" si="62"/>
        <v>0</v>
      </c>
      <c r="T118" s="11">
        <f t="shared" si="62"/>
        <v>0</v>
      </c>
      <c r="U118" s="11">
        <f t="shared" si="62"/>
        <v>0</v>
      </c>
      <c r="V118" s="11">
        <f t="shared" si="62"/>
        <v>0</v>
      </c>
      <c r="W118" s="11">
        <f t="shared" si="62"/>
        <v>0</v>
      </c>
      <c r="X118" s="11">
        <f t="shared" si="62"/>
        <v>0</v>
      </c>
      <c r="Y118" s="11">
        <f t="shared" si="62"/>
        <v>0</v>
      </c>
      <c r="Z118" s="11">
        <f t="shared" si="62"/>
        <v>0</v>
      </c>
      <c r="AA118" s="11">
        <f t="shared" si="62"/>
        <v>0</v>
      </c>
      <c r="AB118" s="11">
        <f t="shared" si="62"/>
        <v>0</v>
      </c>
      <c r="AC118" s="11">
        <f t="shared" si="62"/>
        <v>0</v>
      </c>
      <c r="AD118" s="11">
        <f t="shared" si="62"/>
        <v>0</v>
      </c>
      <c r="AE118" s="11">
        <f t="shared" si="62"/>
        <v>0</v>
      </c>
      <c r="AF118" s="11">
        <f t="shared" si="62"/>
        <v>0</v>
      </c>
      <c r="AG118" s="11">
        <f t="shared" si="62"/>
        <v>0</v>
      </c>
      <c r="AH118" s="11">
        <f t="shared" si="62"/>
        <v>0</v>
      </c>
      <c r="AI118" s="11">
        <f t="shared" si="62"/>
        <v>0</v>
      </c>
      <c r="AJ118" s="11">
        <f t="shared" si="62"/>
        <v>0</v>
      </c>
      <c r="AK118" s="11">
        <f t="shared" si="62"/>
        <v>0</v>
      </c>
      <c r="AL118" s="11">
        <f t="shared" si="62"/>
        <v>0</v>
      </c>
      <c r="AM118" s="11">
        <f t="shared" si="62"/>
        <v>0</v>
      </c>
      <c r="AN118" s="11">
        <f t="shared" si="62"/>
        <v>0</v>
      </c>
      <c r="AO118" s="11">
        <f t="shared" si="62"/>
        <v>0</v>
      </c>
      <c r="AP118" s="11">
        <f t="shared" si="62"/>
        <v>0</v>
      </c>
      <c r="AQ118" s="11">
        <f t="shared" si="62"/>
        <v>0</v>
      </c>
      <c r="AR118" s="11">
        <f t="shared" si="62"/>
        <v>0</v>
      </c>
      <c r="AS118" s="11">
        <f t="shared" si="62"/>
        <v>0</v>
      </c>
      <c r="AT118" s="11">
        <f t="shared" si="62"/>
        <v>0</v>
      </c>
      <c r="AU118" s="11">
        <f t="shared" si="62"/>
        <v>0</v>
      </c>
      <c r="AV118" s="11">
        <f t="shared" si="62"/>
        <v>0</v>
      </c>
      <c r="AW118" s="11">
        <f t="shared" si="62"/>
        <v>0</v>
      </c>
      <c r="AX118" s="11">
        <f t="shared" si="62"/>
        <v>0</v>
      </c>
      <c r="AY118" s="11">
        <f t="shared" si="62"/>
        <v>0</v>
      </c>
      <c r="AZ118" s="11">
        <f t="shared" si="62"/>
        <v>0</v>
      </c>
      <c r="BA118" s="11">
        <f t="shared" si="62"/>
        <v>0</v>
      </c>
      <c r="BB118" s="11">
        <f t="shared" si="62"/>
        <v>0</v>
      </c>
      <c r="BC118" s="11">
        <f t="shared" si="62"/>
        <v>0</v>
      </c>
      <c r="BD118" s="11">
        <f t="shared" si="62"/>
        <v>0</v>
      </c>
      <c r="BE118" s="11">
        <f t="shared" si="62"/>
        <v>0</v>
      </c>
      <c r="BF118" s="11">
        <f t="shared" si="62"/>
        <v>0</v>
      </c>
      <c r="BG118" s="11">
        <f t="shared" si="62"/>
        <v>0</v>
      </c>
      <c r="BH118" s="11">
        <f t="shared" si="62"/>
        <v>0</v>
      </c>
      <c r="BI118" s="11">
        <f t="shared" si="62"/>
        <v>0</v>
      </c>
      <c r="BJ118" s="11">
        <f t="shared" si="62"/>
        <v>0</v>
      </c>
      <c r="BK118" s="11">
        <f t="shared" si="62"/>
        <v>0</v>
      </c>
      <c r="BL118" s="11">
        <f t="shared" si="62"/>
        <v>0</v>
      </c>
      <c r="BM118" s="11">
        <f t="shared" si="62"/>
        <v>0</v>
      </c>
      <c r="BN118" s="11">
        <f t="shared" si="62"/>
        <v>0</v>
      </c>
      <c r="BO118" s="11">
        <f t="shared" si="62"/>
        <v>0</v>
      </c>
      <c r="BP118" s="11">
        <f t="shared" si="62"/>
        <v>0</v>
      </c>
      <c r="BQ118" s="11">
        <f t="shared" si="62"/>
        <v>0</v>
      </c>
      <c r="BR118" s="11">
        <f t="shared" si="62"/>
        <v>0</v>
      </c>
      <c r="BS118" s="11">
        <f t="shared" si="62"/>
        <v>0</v>
      </c>
      <c r="BT118" s="11">
        <f t="shared" si="62"/>
        <v>0</v>
      </c>
      <c r="BU118" s="11">
        <f t="shared" ref="BU118:DC118" si="63">SUM(BU119:BU125)</f>
        <v>0</v>
      </c>
      <c r="BV118" s="11">
        <f t="shared" si="63"/>
        <v>0</v>
      </c>
      <c r="BW118" s="11">
        <f t="shared" si="63"/>
        <v>0</v>
      </c>
      <c r="BX118" s="11">
        <f t="shared" si="63"/>
        <v>0</v>
      </c>
      <c r="BY118" s="11">
        <f t="shared" si="63"/>
        <v>0</v>
      </c>
      <c r="BZ118" s="11">
        <f t="shared" si="63"/>
        <v>0</v>
      </c>
      <c r="CA118" s="11">
        <f t="shared" si="63"/>
        <v>0</v>
      </c>
      <c r="CB118" s="11">
        <f t="shared" si="63"/>
        <v>0</v>
      </c>
      <c r="CC118" s="11">
        <f t="shared" si="63"/>
        <v>0</v>
      </c>
      <c r="CD118" s="11">
        <f t="shared" si="63"/>
        <v>0</v>
      </c>
      <c r="CE118" s="11">
        <f t="shared" si="63"/>
        <v>0</v>
      </c>
      <c r="CF118" s="11">
        <f t="shared" si="63"/>
        <v>0</v>
      </c>
      <c r="CG118" s="11">
        <f t="shared" si="63"/>
        <v>0</v>
      </c>
      <c r="CH118" s="11">
        <f t="shared" si="63"/>
        <v>0</v>
      </c>
      <c r="CI118" s="11">
        <f t="shared" si="63"/>
        <v>0</v>
      </c>
      <c r="CJ118" s="11">
        <f t="shared" si="63"/>
        <v>0</v>
      </c>
      <c r="CK118" s="11">
        <f t="shared" si="63"/>
        <v>0</v>
      </c>
      <c r="CL118" s="11">
        <f t="shared" si="63"/>
        <v>0</v>
      </c>
      <c r="CM118" s="11">
        <f t="shared" si="63"/>
        <v>0</v>
      </c>
      <c r="CN118" s="11">
        <f t="shared" si="63"/>
        <v>0</v>
      </c>
      <c r="CO118" s="11">
        <f t="shared" si="63"/>
        <v>0</v>
      </c>
      <c r="CP118" s="11">
        <f t="shared" si="63"/>
        <v>0</v>
      </c>
      <c r="CQ118" s="11">
        <f t="shared" si="63"/>
        <v>0</v>
      </c>
      <c r="CR118" s="11">
        <f t="shared" si="63"/>
        <v>0</v>
      </c>
      <c r="CS118" s="11">
        <f t="shared" si="63"/>
        <v>0</v>
      </c>
      <c r="CT118" s="11">
        <f t="shared" si="63"/>
        <v>0</v>
      </c>
      <c r="CU118" s="11">
        <f t="shared" si="63"/>
        <v>0</v>
      </c>
      <c r="CV118" s="11">
        <f t="shared" si="63"/>
        <v>0</v>
      </c>
      <c r="CW118" s="11">
        <f t="shared" si="63"/>
        <v>0</v>
      </c>
      <c r="CX118" s="11">
        <f t="shared" si="63"/>
        <v>0</v>
      </c>
      <c r="CY118" s="11">
        <f t="shared" si="63"/>
        <v>0</v>
      </c>
      <c r="CZ118" s="11">
        <f t="shared" si="63"/>
        <v>0</v>
      </c>
      <c r="DA118" s="11">
        <f t="shared" si="63"/>
        <v>0</v>
      </c>
      <c r="DB118" s="11">
        <f t="shared" si="63"/>
        <v>0</v>
      </c>
      <c r="DC118" s="11">
        <f t="shared" si="63"/>
        <v>0</v>
      </c>
      <c r="DF118" s="46">
        <f t="shared" si="39"/>
        <v>0</v>
      </c>
    </row>
    <row r="119" spans="1:110" ht="14.4">
      <c r="A119" s="124">
        <v>109</v>
      </c>
      <c r="B119" s="5" t="str">
        <f>$B$118&amp;"1."</f>
        <v>L.1.1.</v>
      </c>
      <c r="C119" s="170"/>
      <c r="D119" s="24"/>
      <c r="E119" s="5"/>
      <c r="F119" s="35">
        <f>H119+NPV(SD,I119:INDEX(I119:DC119,PAL))</f>
        <v>0</v>
      </c>
      <c r="G119" s="35">
        <f>SUMIF($H$5:$DC$5,"&lt;="&amp;PAL,$H119:$DC119)</f>
        <v>0</v>
      </c>
      <c r="H119" s="38">
        <v>0</v>
      </c>
      <c r="I119" s="38">
        <v>0</v>
      </c>
      <c r="J119" s="38">
        <v>0</v>
      </c>
      <c r="K119" s="38">
        <v>0</v>
      </c>
      <c r="L119" s="38">
        <v>0</v>
      </c>
      <c r="M119" s="38">
        <v>0</v>
      </c>
      <c r="N119" s="38">
        <v>0</v>
      </c>
      <c r="O119" s="38">
        <v>0</v>
      </c>
      <c r="P119" s="38">
        <v>0</v>
      </c>
      <c r="Q119" s="38">
        <v>0</v>
      </c>
      <c r="R119" s="38">
        <v>0</v>
      </c>
      <c r="S119" s="38">
        <v>0</v>
      </c>
      <c r="T119" s="38">
        <v>0</v>
      </c>
      <c r="U119" s="38">
        <v>0</v>
      </c>
      <c r="V119" s="38">
        <v>0</v>
      </c>
      <c r="W119" s="38">
        <v>0</v>
      </c>
      <c r="X119" s="38">
        <v>0</v>
      </c>
      <c r="Y119" s="38">
        <v>0</v>
      </c>
      <c r="Z119" s="38">
        <v>0</v>
      </c>
      <c r="AA119" s="38">
        <v>0</v>
      </c>
      <c r="AB119" s="38">
        <v>0</v>
      </c>
      <c r="AC119" s="38">
        <v>0</v>
      </c>
      <c r="AD119" s="38">
        <v>0</v>
      </c>
      <c r="AE119" s="38">
        <v>0</v>
      </c>
      <c r="AF119" s="38">
        <v>0</v>
      </c>
      <c r="AG119" s="38">
        <v>0</v>
      </c>
      <c r="AH119" s="38">
        <v>0</v>
      </c>
      <c r="AI119" s="38">
        <v>0</v>
      </c>
      <c r="AJ119" s="38">
        <v>0</v>
      </c>
      <c r="AK119" s="38">
        <v>0</v>
      </c>
      <c r="AL119" s="38">
        <v>0</v>
      </c>
      <c r="AM119" s="38">
        <v>0</v>
      </c>
      <c r="AN119" s="38">
        <v>0</v>
      </c>
      <c r="AO119" s="38">
        <v>0</v>
      </c>
      <c r="AP119" s="38">
        <v>0</v>
      </c>
      <c r="AQ119" s="38">
        <v>0</v>
      </c>
      <c r="AR119" s="38">
        <v>0</v>
      </c>
      <c r="AS119" s="38">
        <v>0</v>
      </c>
      <c r="AT119" s="38">
        <v>0</v>
      </c>
      <c r="AU119" s="38">
        <v>0</v>
      </c>
      <c r="AV119" s="38">
        <v>0</v>
      </c>
      <c r="AW119" s="38">
        <v>0</v>
      </c>
      <c r="AX119" s="38">
        <v>0</v>
      </c>
      <c r="AY119" s="38">
        <v>0</v>
      </c>
      <c r="AZ119" s="38">
        <v>0</v>
      </c>
      <c r="BA119" s="38">
        <v>0</v>
      </c>
      <c r="BB119" s="38">
        <v>0</v>
      </c>
      <c r="BC119" s="38">
        <v>0</v>
      </c>
      <c r="BD119" s="38">
        <v>0</v>
      </c>
      <c r="BE119" s="38">
        <v>0</v>
      </c>
      <c r="BF119" s="38">
        <v>0</v>
      </c>
      <c r="BG119" s="38">
        <v>0</v>
      </c>
      <c r="BH119" s="38">
        <v>0</v>
      </c>
      <c r="BI119" s="38">
        <v>0</v>
      </c>
      <c r="BJ119" s="38">
        <v>0</v>
      </c>
      <c r="BK119" s="38">
        <v>0</v>
      </c>
      <c r="BL119" s="38">
        <v>0</v>
      </c>
      <c r="BM119" s="38">
        <v>0</v>
      </c>
      <c r="BN119" s="38">
        <v>0</v>
      </c>
      <c r="BO119" s="38">
        <v>0</v>
      </c>
      <c r="BP119" s="38">
        <v>0</v>
      </c>
      <c r="BQ119" s="38">
        <v>0</v>
      </c>
      <c r="BR119" s="38">
        <v>0</v>
      </c>
      <c r="BS119" s="38">
        <v>0</v>
      </c>
      <c r="BT119" s="38">
        <v>0</v>
      </c>
      <c r="BU119" s="38">
        <v>0</v>
      </c>
      <c r="BV119" s="38">
        <v>0</v>
      </c>
      <c r="BW119" s="38">
        <v>0</v>
      </c>
      <c r="BX119" s="38">
        <v>0</v>
      </c>
      <c r="BY119" s="38">
        <v>0</v>
      </c>
      <c r="BZ119" s="38">
        <v>0</v>
      </c>
      <c r="CA119" s="38">
        <v>0</v>
      </c>
      <c r="CB119" s="38">
        <v>0</v>
      </c>
      <c r="CC119" s="38">
        <v>0</v>
      </c>
      <c r="CD119" s="38">
        <v>0</v>
      </c>
      <c r="CE119" s="38">
        <v>0</v>
      </c>
      <c r="CF119" s="38">
        <v>0</v>
      </c>
      <c r="CG119" s="38">
        <v>0</v>
      </c>
      <c r="CH119" s="38">
        <v>0</v>
      </c>
      <c r="CI119" s="38">
        <v>0</v>
      </c>
      <c r="CJ119" s="38">
        <v>0</v>
      </c>
      <c r="CK119" s="38">
        <v>0</v>
      </c>
      <c r="CL119" s="38">
        <v>0</v>
      </c>
      <c r="CM119" s="38">
        <v>0</v>
      </c>
      <c r="CN119" s="38">
        <v>0</v>
      </c>
      <c r="CO119" s="38">
        <v>0</v>
      </c>
      <c r="CP119" s="38">
        <v>0</v>
      </c>
      <c r="CQ119" s="38">
        <v>0</v>
      </c>
      <c r="CR119" s="38">
        <v>0</v>
      </c>
      <c r="CS119" s="38">
        <v>0</v>
      </c>
      <c r="CT119" s="38">
        <v>0</v>
      </c>
      <c r="CU119" s="38">
        <v>0</v>
      </c>
      <c r="CV119" s="38">
        <v>0</v>
      </c>
      <c r="CW119" s="38">
        <v>0</v>
      </c>
      <c r="CX119" s="38">
        <v>0</v>
      </c>
      <c r="CY119" s="38">
        <v>0</v>
      </c>
      <c r="CZ119" s="38">
        <v>0</v>
      </c>
      <c r="DA119" s="38">
        <v>0</v>
      </c>
      <c r="DB119" s="38">
        <v>0</v>
      </c>
      <c r="DC119" s="38">
        <v>0</v>
      </c>
      <c r="DE119" s="46">
        <f t="shared" ref="DE119:DE129" si="64">COUNTBLANK(H119:DC119)</f>
        <v>0</v>
      </c>
      <c r="DF119" s="46">
        <f t="shared" si="39"/>
        <v>0</v>
      </c>
    </row>
    <row r="120" spans="1:110" ht="15" customHeight="1">
      <c r="A120" s="124">
        <v>110</v>
      </c>
      <c r="B120" s="5" t="str">
        <f>$B$118&amp;"2."</f>
        <v>L.1.2.</v>
      </c>
      <c r="C120" s="170"/>
      <c r="D120" s="24"/>
      <c r="E120" s="5"/>
      <c r="F120" s="35">
        <f>H120+NPV(SD,I120:INDEX(I120:DC120,PAL))</f>
        <v>0</v>
      </c>
      <c r="G120" s="35">
        <f>SUMIF($H$5:$DC$5,"&lt;="&amp;PAL,$H120:$DC120)</f>
        <v>0</v>
      </c>
      <c r="H120" s="38">
        <v>0</v>
      </c>
      <c r="I120" s="38">
        <v>0</v>
      </c>
      <c r="J120" s="38">
        <v>0</v>
      </c>
      <c r="K120" s="38">
        <v>0</v>
      </c>
      <c r="L120" s="38">
        <v>0</v>
      </c>
      <c r="M120" s="38">
        <v>0</v>
      </c>
      <c r="N120" s="38">
        <v>0</v>
      </c>
      <c r="O120" s="38">
        <v>0</v>
      </c>
      <c r="P120" s="38">
        <v>0</v>
      </c>
      <c r="Q120" s="38">
        <v>0</v>
      </c>
      <c r="R120" s="38">
        <v>0</v>
      </c>
      <c r="S120" s="38">
        <v>0</v>
      </c>
      <c r="T120" s="38">
        <v>0</v>
      </c>
      <c r="U120" s="38">
        <v>0</v>
      </c>
      <c r="V120" s="38">
        <v>0</v>
      </c>
      <c r="W120" s="38">
        <v>0</v>
      </c>
      <c r="X120" s="38">
        <v>0</v>
      </c>
      <c r="Y120" s="38">
        <v>0</v>
      </c>
      <c r="Z120" s="38">
        <v>0</v>
      </c>
      <c r="AA120" s="38">
        <v>0</v>
      </c>
      <c r="AB120" s="38">
        <v>0</v>
      </c>
      <c r="AC120" s="38">
        <v>0</v>
      </c>
      <c r="AD120" s="38">
        <v>0</v>
      </c>
      <c r="AE120" s="38">
        <v>0</v>
      </c>
      <c r="AF120" s="38">
        <v>0</v>
      </c>
      <c r="AG120" s="38">
        <v>0</v>
      </c>
      <c r="AH120" s="38">
        <v>0</v>
      </c>
      <c r="AI120" s="38">
        <v>0</v>
      </c>
      <c r="AJ120" s="38">
        <v>0</v>
      </c>
      <c r="AK120" s="38">
        <v>0</v>
      </c>
      <c r="AL120" s="38">
        <v>0</v>
      </c>
      <c r="AM120" s="38">
        <v>0</v>
      </c>
      <c r="AN120" s="38">
        <v>0</v>
      </c>
      <c r="AO120" s="38">
        <v>0</v>
      </c>
      <c r="AP120" s="38">
        <v>0</v>
      </c>
      <c r="AQ120" s="38">
        <v>0</v>
      </c>
      <c r="AR120" s="38">
        <v>0</v>
      </c>
      <c r="AS120" s="38">
        <v>0</v>
      </c>
      <c r="AT120" s="38">
        <v>0</v>
      </c>
      <c r="AU120" s="38">
        <v>0</v>
      </c>
      <c r="AV120" s="38">
        <v>0</v>
      </c>
      <c r="AW120" s="38">
        <v>0</v>
      </c>
      <c r="AX120" s="38">
        <v>0</v>
      </c>
      <c r="AY120" s="38">
        <v>0</v>
      </c>
      <c r="AZ120" s="38">
        <v>0</v>
      </c>
      <c r="BA120" s="38">
        <v>0</v>
      </c>
      <c r="BB120" s="38">
        <v>0</v>
      </c>
      <c r="BC120" s="38">
        <v>0</v>
      </c>
      <c r="BD120" s="38">
        <v>0</v>
      </c>
      <c r="BE120" s="38">
        <v>0</v>
      </c>
      <c r="BF120" s="38">
        <v>0</v>
      </c>
      <c r="BG120" s="38">
        <v>0</v>
      </c>
      <c r="BH120" s="38">
        <v>0</v>
      </c>
      <c r="BI120" s="38">
        <v>0</v>
      </c>
      <c r="BJ120" s="38">
        <v>0</v>
      </c>
      <c r="BK120" s="38">
        <v>0</v>
      </c>
      <c r="BL120" s="38">
        <v>0</v>
      </c>
      <c r="BM120" s="38">
        <v>0</v>
      </c>
      <c r="BN120" s="38">
        <v>0</v>
      </c>
      <c r="BO120" s="38">
        <v>0</v>
      </c>
      <c r="BP120" s="38">
        <v>0</v>
      </c>
      <c r="BQ120" s="38">
        <v>0</v>
      </c>
      <c r="BR120" s="38">
        <v>0</v>
      </c>
      <c r="BS120" s="38">
        <v>0</v>
      </c>
      <c r="BT120" s="38">
        <v>0</v>
      </c>
      <c r="BU120" s="38">
        <v>0</v>
      </c>
      <c r="BV120" s="38">
        <v>0</v>
      </c>
      <c r="BW120" s="38">
        <v>0</v>
      </c>
      <c r="BX120" s="38">
        <v>0</v>
      </c>
      <c r="BY120" s="38">
        <v>0</v>
      </c>
      <c r="BZ120" s="38">
        <v>0</v>
      </c>
      <c r="CA120" s="38">
        <v>0</v>
      </c>
      <c r="CB120" s="38">
        <v>0</v>
      </c>
      <c r="CC120" s="38">
        <v>0</v>
      </c>
      <c r="CD120" s="38">
        <v>0</v>
      </c>
      <c r="CE120" s="38">
        <v>0</v>
      </c>
      <c r="CF120" s="38">
        <v>0</v>
      </c>
      <c r="CG120" s="38">
        <v>0</v>
      </c>
      <c r="CH120" s="38">
        <v>0</v>
      </c>
      <c r="CI120" s="38">
        <v>0</v>
      </c>
      <c r="CJ120" s="38">
        <v>0</v>
      </c>
      <c r="CK120" s="38">
        <v>0</v>
      </c>
      <c r="CL120" s="38">
        <v>0</v>
      </c>
      <c r="CM120" s="38">
        <v>0</v>
      </c>
      <c r="CN120" s="38">
        <v>0</v>
      </c>
      <c r="CO120" s="38">
        <v>0</v>
      </c>
      <c r="CP120" s="38">
        <v>0</v>
      </c>
      <c r="CQ120" s="38">
        <v>0</v>
      </c>
      <c r="CR120" s="38">
        <v>0</v>
      </c>
      <c r="CS120" s="38">
        <v>0</v>
      </c>
      <c r="CT120" s="38">
        <v>0</v>
      </c>
      <c r="CU120" s="38">
        <v>0</v>
      </c>
      <c r="CV120" s="38">
        <v>0</v>
      </c>
      <c r="CW120" s="38">
        <v>0</v>
      </c>
      <c r="CX120" s="38">
        <v>0</v>
      </c>
      <c r="CY120" s="38">
        <v>0</v>
      </c>
      <c r="CZ120" s="38">
        <v>0</v>
      </c>
      <c r="DA120" s="38">
        <v>0</v>
      </c>
      <c r="DB120" s="38">
        <v>0</v>
      </c>
      <c r="DC120" s="38">
        <v>0</v>
      </c>
      <c r="DE120" s="46">
        <f t="shared" si="64"/>
        <v>0</v>
      </c>
      <c r="DF120" s="46">
        <f t="shared" si="39"/>
        <v>0</v>
      </c>
    </row>
    <row r="121" spans="1:110" ht="15" customHeight="1">
      <c r="A121" s="124">
        <v>111</v>
      </c>
      <c r="B121" s="5" t="str">
        <f>$B$118&amp;"3."</f>
        <v>L.1.3.</v>
      </c>
      <c r="C121" s="170"/>
      <c r="D121" s="24"/>
      <c r="E121" s="5"/>
      <c r="F121" s="35">
        <f>H121+NPV(SD,I121:INDEX(I121:DC121,PAL))</f>
        <v>0</v>
      </c>
      <c r="G121" s="35">
        <f>SUMIF($H$5:$DC$5,"&lt;="&amp;PAL,$H121:$DC121)</f>
        <v>0</v>
      </c>
      <c r="H121" s="38">
        <v>0</v>
      </c>
      <c r="I121" s="38">
        <v>0</v>
      </c>
      <c r="J121" s="38">
        <v>0</v>
      </c>
      <c r="K121" s="38">
        <v>0</v>
      </c>
      <c r="L121" s="38">
        <v>0</v>
      </c>
      <c r="M121" s="38">
        <v>0</v>
      </c>
      <c r="N121" s="38">
        <v>0</v>
      </c>
      <c r="O121" s="38">
        <v>0</v>
      </c>
      <c r="P121" s="38">
        <v>0</v>
      </c>
      <c r="Q121" s="38">
        <v>0</v>
      </c>
      <c r="R121" s="38">
        <v>0</v>
      </c>
      <c r="S121" s="38">
        <v>0</v>
      </c>
      <c r="T121" s="38">
        <v>0</v>
      </c>
      <c r="U121" s="38">
        <v>0</v>
      </c>
      <c r="V121" s="38">
        <v>0</v>
      </c>
      <c r="W121" s="38">
        <v>0</v>
      </c>
      <c r="X121" s="38">
        <v>0</v>
      </c>
      <c r="Y121" s="38">
        <v>0</v>
      </c>
      <c r="Z121" s="38">
        <v>0</v>
      </c>
      <c r="AA121" s="38">
        <v>0</v>
      </c>
      <c r="AB121" s="38">
        <v>0</v>
      </c>
      <c r="AC121" s="38">
        <v>0</v>
      </c>
      <c r="AD121" s="38">
        <v>0</v>
      </c>
      <c r="AE121" s="38">
        <v>0</v>
      </c>
      <c r="AF121" s="38">
        <v>0</v>
      </c>
      <c r="AG121" s="38">
        <v>0</v>
      </c>
      <c r="AH121" s="38">
        <v>0</v>
      </c>
      <c r="AI121" s="38">
        <v>0</v>
      </c>
      <c r="AJ121" s="38">
        <v>0</v>
      </c>
      <c r="AK121" s="38">
        <v>0</v>
      </c>
      <c r="AL121" s="38">
        <v>0</v>
      </c>
      <c r="AM121" s="38">
        <v>0</v>
      </c>
      <c r="AN121" s="38">
        <v>0</v>
      </c>
      <c r="AO121" s="38">
        <v>0</v>
      </c>
      <c r="AP121" s="38">
        <v>0</v>
      </c>
      <c r="AQ121" s="38">
        <v>0</v>
      </c>
      <c r="AR121" s="38">
        <v>0</v>
      </c>
      <c r="AS121" s="38">
        <v>0</v>
      </c>
      <c r="AT121" s="38">
        <v>0</v>
      </c>
      <c r="AU121" s="38">
        <v>0</v>
      </c>
      <c r="AV121" s="38">
        <v>0</v>
      </c>
      <c r="AW121" s="38">
        <v>0</v>
      </c>
      <c r="AX121" s="38">
        <v>0</v>
      </c>
      <c r="AY121" s="38">
        <v>0</v>
      </c>
      <c r="AZ121" s="38">
        <v>0</v>
      </c>
      <c r="BA121" s="38">
        <v>0</v>
      </c>
      <c r="BB121" s="38">
        <v>0</v>
      </c>
      <c r="BC121" s="38">
        <v>0</v>
      </c>
      <c r="BD121" s="38">
        <v>0</v>
      </c>
      <c r="BE121" s="38">
        <v>0</v>
      </c>
      <c r="BF121" s="38">
        <v>0</v>
      </c>
      <c r="BG121" s="38">
        <v>0</v>
      </c>
      <c r="BH121" s="38">
        <v>0</v>
      </c>
      <c r="BI121" s="38">
        <v>0</v>
      </c>
      <c r="BJ121" s="38">
        <v>0</v>
      </c>
      <c r="BK121" s="38">
        <v>0</v>
      </c>
      <c r="BL121" s="38">
        <v>0</v>
      </c>
      <c r="BM121" s="38">
        <v>0</v>
      </c>
      <c r="BN121" s="38">
        <v>0</v>
      </c>
      <c r="BO121" s="38">
        <v>0</v>
      </c>
      <c r="BP121" s="38">
        <v>0</v>
      </c>
      <c r="BQ121" s="38">
        <v>0</v>
      </c>
      <c r="BR121" s="38">
        <v>0</v>
      </c>
      <c r="BS121" s="38">
        <v>0</v>
      </c>
      <c r="BT121" s="38">
        <v>0</v>
      </c>
      <c r="BU121" s="38">
        <v>0</v>
      </c>
      <c r="BV121" s="38">
        <v>0</v>
      </c>
      <c r="BW121" s="38">
        <v>0</v>
      </c>
      <c r="BX121" s="38">
        <v>0</v>
      </c>
      <c r="BY121" s="38">
        <v>0</v>
      </c>
      <c r="BZ121" s="38">
        <v>0</v>
      </c>
      <c r="CA121" s="38">
        <v>0</v>
      </c>
      <c r="CB121" s="38">
        <v>0</v>
      </c>
      <c r="CC121" s="38">
        <v>0</v>
      </c>
      <c r="CD121" s="38">
        <v>0</v>
      </c>
      <c r="CE121" s="38">
        <v>0</v>
      </c>
      <c r="CF121" s="38">
        <v>0</v>
      </c>
      <c r="CG121" s="38">
        <v>0</v>
      </c>
      <c r="CH121" s="38">
        <v>0</v>
      </c>
      <c r="CI121" s="38">
        <v>0</v>
      </c>
      <c r="CJ121" s="38">
        <v>0</v>
      </c>
      <c r="CK121" s="38">
        <v>0</v>
      </c>
      <c r="CL121" s="38">
        <v>0</v>
      </c>
      <c r="CM121" s="38">
        <v>0</v>
      </c>
      <c r="CN121" s="38">
        <v>0</v>
      </c>
      <c r="CO121" s="38">
        <v>0</v>
      </c>
      <c r="CP121" s="38">
        <v>0</v>
      </c>
      <c r="CQ121" s="38">
        <v>0</v>
      </c>
      <c r="CR121" s="38">
        <v>0</v>
      </c>
      <c r="CS121" s="38">
        <v>0</v>
      </c>
      <c r="CT121" s="38">
        <v>0</v>
      </c>
      <c r="CU121" s="38">
        <v>0</v>
      </c>
      <c r="CV121" s="38">
        <v>0</v>
      </c>
      <c r="CW121" s="38">
        <v>0</v>
      </c>
      <c r="CX121" s="38">
        <v>0</v>
      </c>
      <c r="CY121" s="38">
        <v>0</v>
      </c>
      <c r="CZ121" s="38">
        <v>0</v>
      </c>
      <c r="DA121" s="38">
        <v>0</v>
      </c>
      <c r="DB121" s="38">
        <v>0</v>
      </c>
      <c r="DC121" s="38">
        <v>0</v>
      </c>
      <c r="DE121" s="46">
        <f t="shared" si="64"/>
        <v>0</v>
      </c>
      <c r="DF121" s="46">
        <f t="shared" si="39"/>
        <v>0</v>
      </c>
    </row>
    <row r="122" spans="1:110" ht="15" customHeight="1">
      <c r="A122" s="124">
        <v>112</v>
      </c>
      <c r="B122" s="5" t="str">
        <f>$B$118&amp;"4."</f>
        <v>L.1.4.</v>
      </c>
      <c r="C122" s="170"/>
      <c r="D122" s="24"/>
      <c r="E122" s="5"/>
      <c r="F122" s="35">
        <f>H122+NPV(SD,I122:INDEX(I122:DC122,PAL))</f>
        <v>0</v>
      </c>
      <c r="G122" s="35">
        <f>SUMIF($H$5:$DC$5,"&lt;="&amp;PAL,$H122:$DC122)</f>
        <v>0</v>
      </c>
      <c r="H122" s="38">
        <v>0</v>
      </c>
      <c r="I122" s="38">
        <v>0</v>
      </c>
      <c r="J122" s="38">
        <v>0</v>
      </c>
      <c r="K122" s="38">
        <v>0</v>
      </c>
      <c r="L122" s="38">
        <v>0</v>
      </c>
      <c r="M122" s="38">
        <v>0</v>
      </c>
      <c r="N122" s="38">
        <v>0</v>
      </c>
      <c r="O122" s="38">
        <v>0</v>
      </c>
      <c r="P122" s="38">
        <v>0</v>
      </c>
      <c r="Q122" s="38">
        <v>0</v>
      </c>
      <c r="R122" s="38">
        <v>0</v>
      </c>
      <c r="S122" s="38">
        <v>0</v>
      </c>
      <c r="T122" s="38">
        <v>0</v>
      </c>
      <c r="U122" s="38">
        <v>0</v>
      </c>
      <c r="V122" s="38">
        <v>0</v>
      </c>
      <c r="W122" s="38">
        <v>0</v>
      </c>
      <c r="X122" s="38">
        <v>0</v>
      </c>
      <c r="Y122" s="38">
        <v>0</v>
      </c>
      <c r="Z122" s="38">
        <v>0</v>
      </c>
      <c r="AA122" s="38">
        <v>0</v>
      </c>
      <c r="AB122" s="38">
        <v>0</v>
      </c>
      <c r="AC122" s="38">
        <v>0</v>
      </c>
      <c r="AD122" s="38">
        <v>0</v>
      </c>
      <c r="AE122" s="38">
        <v>0</v>
      </c>
      <c r="AF122" s="38">
        <v>0</v>
      </c>
      <c r="AG122" s="38">
        <v>0</v>
      </c>
      <c r="AH122" s="38">
        <v>0</v>
      </c>
      <c r="AI122" s="38">
        <v>0</v>
      </c>
      <c r="AJ122" s="38">
        <v>0</v>
      </c>
      <c r="AK122" s="38">
        <v>0</v>
      </c>
      <c r="AL122" s="38">
        <v>0</v>
      </c>
      <c r="AM122" s="38">
        <v>0</v>
      </c>
      <c r="AN122" s="38">
        <v>0</v>
      </c>
      <c r="AO122" s="38">
        <v>0</v>
      </c>
      <c r="AP122" s="38">
        <v>0</v>
      </c>
      <c r="AQ122" s="38">
        <v>0</v>
      </c>
      <c r="AR122" s="38">
        <v>0</v>
      </c>
      <c r="AS122" s="38">
        <v>0</v>
      </c>
      <c r="AT122" s="38">
        <v>0</v>
      </c>
      <c r="AU122" s="38">
        <v>0</v>
      </c>
      <c r="AV122" s="38">
        <v>0</v>
      </c>
      <c r="AW122" s="38">
        <v>0</v>
      </c>
      <c r="AX122" s="38">
        <v>0</v>
      </c>
      <c r="AY122" s="38">
        <v>0</v>
      </c>
      <c r="AZ122" s="38">
        <v>0</v>
      </c>
      <c r="BA122" s="38">
        <v>0</v>
      </c>
      <c r="BB122" s="38">
        <v>0</v>
      </c>
      <c r="BC122" s="38">
        <v>0</v>
      </c>
      <c r="BD122" s="38">
        <v>0</v>
      </c>
      <c r="BE122" s="38">
        <v>0</v>
      </c>
      <c r="BF122" s="38">
        <v>0</v>
      </c>
      <c r="BG122" s="38">
        <v>0</v>
      </c>
      <c r="BH122" s="38">
        <v>0</v>
      </c>
      <c r="BI122" s="38">
        <v>0</v>
      </c>
      <c r="BJ122" s="38">
        <v>0</v>
      </c>
      <c r="BK122" s="38">
        <v>0</v>
      </c>
      <c r="BL122" s="38">
        <v>0</v>
      </c>
      <c r="BM122" s="38">
        <v>0</v>
      </c>
      <c r="BN122" s="38">
        <v>0</v>
      </c>
      <c r="BO122" s="38">
        <v>0</v>
      </c>
      <c r="BP122" s="38">
        <v>0</v>
      </c>
      <c r="BQ122" s="38">
        <v>0</v>
      </c>
      <c r="BR122" s="38">
        <v>0</v>
      </c>
      <c r="BS122" s="38">
        <v>0</v>
      </c>
      <c r="BT122" s="38">
        <v>0</v>
      </c>
      <c r="BU122" s="38">
        <v>0</v>
      </c>
      <c r="BV122" s="38">
        <v>0</v>
      </c>
      <c r="BW122" s="38">
        <v>0</v>
      </c>
      <c r="BX122" s="38">
        <v>0</v>
      </c>
      <c r="BY122" s="38">
        <v>0</v>
      </c>
      <c r="BZ122" s="38">
        <v>0</v>
      </c>
      <c r="CA122" s="38">
        <v>0</v>
      </c>
      <c r="CB122" s="38">
        <v>0</v>
      </c>
      <c r="CC122" s="38">
        <v>0</v>
      </c>
      <c r="CD122" s="38">
        <v>0</v>
      </c>
      <c r="CE122" s="38">
        <v>0</v>
      </c>
      <c r="CF122" s="38">
        <v>0</v>
      </c>
      <c r="CG122" s="38">
        <v>0</v>
      </c>
      <c r="CH122" s="38">
        <v>0</v>
      </c>
      <c r="CI122" s="38">
        <v>0</v>
      </c>
      <c r="CJ122" s="38">
        <v>0</v>
      </c>
      <c r="CK122" s="38">
        <v>0</v>
      </c>
      <c r="CL122" s="38">
        <v>0</v>
      </c>
      <c r="CM122" s="38">
        <v>0</v>
      </c>
      <c r="CN122" s="38">
        <v>0</v>
      </c>
      <c r="CO122" s="38">
        <v>0</v>
      </c>
      <c r="CP122" s="38">
        <v>0</v>
      </c>
      <c r="CQ122" s="38">
        <v>0</v>
      </c>
      <c r="CR122" s="38">
        <v>0</v>
      </c>
      <c r="CS122" s="38">
        <v>0</v>
      </c>
      <c r="CT122" s="38">
        <v>0</v>
      </c>
      <c r="CU122" s="38">
        <v>0</v>
      </c>
      <c r="CV122" s="38">
        <v>0</v>
      </c>
      <c r="CW122" s="38">
        <v>0</v>
      </c>
      <c r="CX122" s="38">
        <v>0</v>
      </c>
      <c r="CY122" s="38">
        <v>0</v>
      </c>
      <c r="CZ122" s="38">
        <v>0</v>
      </c>
      <c r="DA122" s="38">
        <v>0</v>
      </c>
      <c r="DB122" s="38">
        <v>0</v>
      </c>
      <c r="DC122" s="38">
        <v>0</v>
      </c>
      <c r="DE122" s="46">
        <f t="shared" si="64"/>
        <v>0</v>
      </c>
      <c r="DF122" s="46">
        <f t="shared" si="39"/>
        <v>0</v>
      </c>
    </row>
    <row r="123" spans="1:110" ht="15" customHeight="1">
      <c r="A123" s="124">
        <v>113</v>
      </c>
      <c r="B123" s="5" t="str">
        <f>$B$118&amp;"5."</f>
        <v>L.1.5.</v>
      </c>
      <c r="C123" s="170"/>
      <c r="D123" s="24"/>
      <c r="E123" s="5"/>
      <c r="F123" s="35">
        <f>H123+NPV(SD,I123:INDEX(I123:DC123,PAL))</f>
        <v>0</v>
      </c>
      <c r="G123" s="35">
        <f>SUMIF($H$5:$DC$5,"&lt;="&amp;PAL,$H123:$DC123)</f>
        <v>0</v>
      </c>
      <c r="H123" s="38">
        <v>0</v>
      </c>
      <c r="I123" s="38">
        <v>0</v>
      </c>
      <c r="J123" s="38">
        <v>0</v>
      </c>
      <c r="K123" s="38">
        <v>0</v>
      </c>
      <c r="L123" s="38">
        <v>0</v>
      </c>
      <c r="M123" s="38">
        <v>0</v>
      </c>
      <c r="N123" s="38">
        <v>0</v>
      </c>
      <c r="O123" s="38">
        <v>0</v>
      </c>
      <c r="P123" s="38">
        <v>0</v>
      </c>
      <c r="Q123" s="38">
        <v>0</v>
      </c>
      <c r="R123" s="38">
        <v>0</v>
      </c>
      <c r="S123" s="38">
        <v>0</v>
      </c>
      <c r="T123" s="38">
        <v>0</v>
      </c>
      <c r="U123" s="38">
        <v>0</v>
      </c>
      <c r="V123" s="38">
        <v>0</v>
      </c>
      <c r="W123" s="38">
        <v>0</v>
      </c>
      <c r="X123" s="38">
        <v>0</v>
      </c>
      <c r="Y123" s="38">
        <v>0</v>
      </c>
      <c r="Z123" s="38">
        <v>0</v>
      </c>
      <c r="AA123" s="38">
        <v>0</v>
      </c>
      <c r="AB123" s="38">
        <v>0</v>
      </c>
      <c r="AC123" s="38">
        <v>0</v>
      </c>
      <c r="AD123" s="38">
        <v>0</v>
      </c>
      <c r="AE123" s="38">
        <v>0</v>
      </c>
      <c r="AF123" s="38">
        <v>0</v>
      </c>
      <c r="AG123" s="38">
        <v>0</v>
      </c>
      <c r="AH123" s="38">
        <v>0</v>
      </c>
      <c r="AI123" s="38">
        <v>0</v>
      </c>
      <c r="AJ123" s="38">
        <v>0</v>
      </c>
      <c r="AK123" s="38">
        <v>0</v>
      </c>
      <c r="AL123" s="38">
        <v>0</v>
      </c>
      <c r="AM123" s="38">
        <v>0</v>
      </c>
      <c r="AN123" s="38">
        <v>0</v>
      </c>
      <c r="AO123" s="38">
        <v>0</v>
      </c>
      <c r="AP123" s="38">
        <v>0</v>
      </c>
      <c r="AQ123" s="38">
        <v>0</v>
      </c>
      <c r="AR123" s="38">
        <v>0</v>
      </c>
      <c r="AS123" s="38">
        <v>0</v>
      </c>
      <c r="AT123" s="38">
        <v>0</v>
      </c>
      <c r="AU123" s="38">
        <v>0</v>
      </c>
      <c r="AV123" s="38">
        <v>0</v>
      </c>
      <c r="AW123" s="38">
        <v>0</v>
      </c>
      <c r="AX123" s="38">
        <v>0</v>
      </c>
      <c r="AY123" s="38">
        <v>0</v>
      </c>
      <c r="AZ123" s="38">
        <v>0</v>
      </c>
      <c r="BA123" s="38">
        <v>0</v>
      </c>
      <c r="BB123" s="38">
        <v>0</v>
      </c>
      <c r="BC123" s="38">
        <v>0</v>
      </c>
      <c r="BD123" s="38">
        <v>0</v>
      </c>
      <c r="BE123" s="38">
        <v>0</v>
      </c>
      <c r="BF123" s="38">
        <v>0</v>
      </c>
      <c r="BG123" s="38">
        <v>0</v>
      </c>
      <c r="BH123" s="38">
        <v>0</v>
      </c>
      <c r="BI123" s="38">
        <v>0</v>
      </c>
      <c r="BJ123" s="38">
        <v>0</v>
      </c>
      <c r="BK123" s="38">
        <v>0</v>
      </c>
      <c r="BL123" s="38">
        <v>0</v>
      </c>
      <c r="BM123" s="38">
        <v>0</v>
      </c>
      <c r="BN123" s="38">
        <v>0</v>
      </c>
      <c r="BO123" s="38">
        <v>0</v>
      </c>
      <c r="BP123" s="38">
        <v>0</v>
      </c>
      <c r="BQ123" s="38">
        <v>0</v>
      </c>
      <c r="BR123" s="38">
        <v>0</v>
      </c>
      <c r="BS123" s="38">
        <v>0</v>
      </c>
      <c r="BT123" s="38">
        <v>0</v>
      </c>
      <c r="BU123" s="38">
        <v>0</v>
      </c>
      <c r="BV123" s="38">
        <v>0</v>
      </c>
      <c r="BW123" s="38">
        <v>0</v>
      </c>
      <c r="BX123" s="38">
        <v>0</v>
      </c>
      <c r="BY123" s="38">
        <v>0</v>
      </c>
      <c r="BZ123" s="38">
        <v>0</v>
      </c>
      <c r="CA123" s="38">
        <v>0</v>
      </c>
      <c r="CB123" s="38">
        <v>0</v>
      </c>
      <c r="CC123" s="38">
        <v>0</v>
      </c>
      <c r="CD123" s="38">
        <v>0</v>
      </c>
      <c r="CE123" s="38">
        <v>0</v>
      </c>
      <c r="CF123" s="38">
        <v>0</v>
      </c>
      <c r="CG123" s="38">
        <v>0</v>
      </c>
      <c r="CH123" s="38">
        <v>0</v>
      </c>
      <c r="CI123" s="38">
        <v>0</v>
      </c>
      <c r="CJ123" s="38">
        <v>0</v>
      </c>
      <c r="CK123" s="38">
        <v>0</v>
      </c>
      <c r="CL123" s="38">
        <v>0</v>
      </c>
      <c r="CM123" s="38">
        <v>0</v>
      </c>
      <c r="CN123" s="38">
        <v>0</v>
      </c>
      <c r="CO123" s="38">
        <v>0</v>
      </c>
      <c r="CP123" s="38">
        <v>0</v>
      </c>
      <c r="CQ123" s="38">
        <v>0</v>
      </c>
      <c r="CR123" s="38">
        <v>0</v>
      </c>
      <c r="CS123" s="38">
        <v>0</v>
      </c>
      <c r="CT123" s="38">
        <v>0</v>
      </c>
      <c r="CU123" s="38">
        <v>0</v>
      </c>
      <c r="CV123" s="38">
        <v>0</v>
      </c>
      <c r="CW123" s="38">
        <v>0</v>
      </c>
      <c r="CX123" s="38">
        <v>0</v>
      </c>
      <c r="CY123" s="38">
        <v>0</v>
      </c>
      <c r="CZ123" s="38">
        <v>0</v>
      </c>
      <c r="DA123" s="38">
        <v>0</v>
      </c>
      <c r="DB123" s="38">
        <v>0</v>
      </c>
      <c r="DC123" s="38">
        <v>0</v>
      </c>
      <c r="DE123" s="46">
        <f t="shared" si="64"/>
        <v>0</v>
      </c>
      <c r="DF123" s="46">
        <f t="shared" si="39"/>
        <v>0</v>
      </c>
    </row>
    <row r="124" spans="1:110" ht="15" customHeight="1">
      <c r="A124" s="124">
        <v>114</v>
      </c>
      <c r="B124" s="5" t="str">
        <f>$B$118&amp;"6."</f>
        <v>L.1.6.</v>
      </c>
      <c r="C124" s="170"/>
      <c r="D124" s="24"/>
      <c r="E124" s="5"/>
      <c r="F124" s="35">
        <f>H124+NPV(SD,I124:INDEX(I124:DC124,PAL))</f>
        <v>0</v>
      </c>
      <c r="G124" s="35">
        <f>SUMIF($H$5:$DC$5,"&lt;="&amp;PAL,$H124:$DC124)</f>
        <v>0</v>
      </c>
      <c r="H124" s="38">
        <v>0</v>
      </c>
      <c r="I124" s="38">
        <v>0</v>
      </c>
      <c r="J124" s="38">
        <v>0</v>
      </c>
      <c r="K124" s="38">
        <v>0</v>
      </c>
      <c r="L124" s="38">
        <v>0</v>
      </c>
      <c r="M124" s="38">
        <v>0</v>
      </c>
      <c r="N124" s="38">
        <v>0</v>
      </c>
      <c r="O124" s="38">
        <v>0</v>
      </c>
      <c r="P124" s="38">
        <v>0</v>
      </c>
      <c r="Q124" s="38">
        <v>0</v>
      </c>
      <c r="R124" s="38">
        <v>0</v>
      </c>
      <c r="S124" s="38">
        <v>0</v>
      </c>
      <c r="T124" s="38">
        <v>0</v>
      </c>
      <c r="U124" s="38">
        <v>0</v>
      </c>
      <c r="V124" s="38">
        <v>0</v>
      </c>
      <c r="W124" s="38">
        <v>0</v>
      </c>
      <c r="X124" s="38">
        <v>0</v>
      </c>
      <c r="Y124" s="38">
        <v>0</v>
      </c>
      <c r="Z124" s="38">
        <v>0</v>
      </c>
      <c r="AA124" s="38">
        <v>0</v>
      </c>
      <c r="AB124" s="38">
        <v>0</v>
      </c>
      <c r="AC124" s="38">
        <v>0</v>
      </c>
      <c r="AD124" s="38">
        <v>0</v>
      </c>
      <c r="AE124" s="38">
        <v>0</v>
      </c>
      <c r="AF124" s="38">
        <v>0</v>
      </c>
      <c r="AG124" s="38">
        <v>0</v>
      </c>
      <c r="AH124" s="38">
        <v>0</v>
      </c>
      <c r="AI124" s="38">
        <v>0</v>
      </c>
      <c r="AJ124" s="38">
        <v>0</v>
      </c>
      <c r="AK124" s="38">
        <v>0</v>
      </c>
      <c r="AL124" s="38">
        <v>0</v>
      </c>
      <c r="AM124" s="38">
        <v>0</v>
      </c>
      <c r="AN124" s="38">
        <v>0</v>
      </c>
      <c r="AO124" s="38">
        <v>0</v>
      </c>
      <c r="AP124" s="38">
        <v>0</v>
      </c>
      <c r="AQ124" s="38">
        <v>0</v>
      </c>
      <c r="AR124" s="38">
        <v>0</v>
      </c>
      <c r="AS124" s="38">
        <v>0</v>
      </c>
      <c r="AT124" s="38">
        <v>0</v>
      </c>
      <c r="AU124" s="38">
        <v>0</v>
      </c>
      <c r="AV124" s="38">
        <v>0</v>
      </c>
      <c r="AW124" s="38">
        <v>0</v>
      </c>
      <c r="AX124" s="38">
        <v>0</v>
      </c>
      <c r="AY124" s="38">
        <v>0</v>
      </c>
      <c r="AZ124" s="38">
        <v>0</v>
      </c>
      <c r="BA124" s="38">
        <v>0</v>
      </c>
      <c r="BB124" s="38">
        <v>0</v>
      </c>
      <c r="BC124" s="38">
        <v>0</v>
      </c>
      <c r="BD124" s="38">
        <v>0</v>
      </c>
      <c r="BE124" s="38">
        <v>0</v>
      </c>
      <c r="BF124" s="38">
        <v>0</v>
      </c>
      <c r="BG124" s="38">
        <v>0</v>
      </c>
      <c r="BH124" s="38">
        <v>0</v>
      </c>
      <c r="BI124" s="38">
        <v>0</v>
      </c>
      <c r="BJ124" s="38">
        <v>0</v>
      </c>
      <c r="BK124" s="38">
        <v>0</v>
      </c>
      <c r="BL124" s="38">
        <v>0</v>
      </c>
      <c r="BM124" s="38">
        <v>0</v>
      </c>
      <c r="BN124" s="38">
        <v>0</v>
      </c>
      <c r="BO124" s="38">
        <v>0</v>
      </c>
      <c r="BP124" s="38">
        <v>0</v>
      </c>
      <c r="BQ124" s="38">
        <v>0</v>
      </c>
      <c r="BR124" s="38">
        <v>0</v>
      </c>
      <c r="BS124" s="38">
        <v>0</v>
      </c>
      <c r="BT124" s="38">
        <v>0</v>
      </c>
      <c r="BU124" s="38">
        <v>0</v>
      </c>
      <c r="BV124" s="38">
        <v>0</v>
      </c>
      <c r="BW124" s="38">
        <v>0</v>
      </c>
      <c r="BX124" s="38">
        <v>0</v>
      </c>
      <c r="BY124" s="38">
        <v>0</v>
      </c>
      <c r="BZ124" s="38">
        <v>0</v>
      </c>
      <c r="CA124" s="38">
        <v>0</v>
      </c>
      <c r="CB124" s="38">
        <v>0</v>
      </c>
      <c r="CC124" s="38">
        <v>0</v>
      </c>
      <c r="CD124" s="38">
        <v>0</v>
      </c>
      <c r="CE124" s="38">
        <v>0</v>
      </c>
      <c r="CF124" s="38">
        <v>0</v>
      </c>
      <c r="CG124" s="38">
        <v>0</v>
      </c>
      <c r="CH124" s="38">
        <v>0</v>
      </c>
      <c r="CI124" s="38">
        <v>0</v>
      </c>
      <c r="CJ124" s="38">
        <v>0</v>
      </c>
      <c r="CK124" s="38">
        <v>0</v>
      </c>
      <c r="CL124" s="38">
        <v>0</v>
      </c>
      <c r="CM124" s="38">
        <v>0</v>
      </c>
      <c r="CN124" s="38">
        <v>0</v>
      </c>
      <c r="CO124" s="38">
        <v>0</v>
      </c>
      <c r="CP124" s="38">
        <v>0</v>
      </c>
      <c r="CQ124" s="38">
        <v>0</v>
      </c>
      <c r="CR124" s="38">
        <v>0</v>
      </c>
      <c r="CS124" s="38">
        <v>0</v>
      </c>
      <c r="CT124" s="38">
        <v>0</v>
      </c>
      <c r="CU124" s="38">
        <v>0</v>
      </c>
      <c r="CV124" s="38">
        <v>0</v>
      </c>
      <c r="CW124" s="38">
        <v>0</v>
      </c>
      <c r="CX124" s="38">
        <v>0</v>
      </c>
      <c r="CY124" s="38">
        <v>0</v>
      </c>
      <c r="CZ124" s="38">
        <v>0</v>
      </c>
      <c r="DA124" s="38">
        <v>0</v>
      </c>
      <c r="DB124" s="38">
        <v>0</v>
      </c>
      <c r="DC124" s="38">
        <v>0</v>
      </c>
      <c r="DE124" s="46">
        <f t="shared" si="64"/>
        <v>0</v>
      </c>
      <c r="DF124" s="46">
        <f t="shared" si="39"/>
        <v>0</v>
      </c>
    </row>
    <row r="125" spans="1:110" ht="15" customHeight="1">
      <c r="A125" s="124">
        <v>115</v>
      </c>
      <c r="B125" s="5" t="str">
        <f>$B$118&amp;"7."</f>
        <v>L.1.7.</v>
      </c>
      <c r="C125" s="170"/>
      <c r="D125" s="24"/>
      <c r="E125" s="5"/>
      <c r="F125" s="35">
        <f>H125+NPV(SD,I125:INDEX(I125:DC125,PAL))</f>
        <v>0</v>
      </c>
      <c r="G125" s="35">
        <f>SUMIF($H$5:$DC$5,"&lt;="&amp;PAL,$H125:$DC125)</f>
        <v>0</v>
      </c>
      <c r="H125" s="38">
        <v>0</v>
      </c>
      <c r="I125" s="38">
        <v>0</v>
      </c>
      <c r="J125" s="38">
        <v>0</v>
      </c>
      <c r="K125" s="38">
        <v>0</v>
      </c>
      <c r="L125" s="38">
        <v>0</v>
      </c>
      <c r="M125" s="38">
        <v>0</v>
      </c>
      <c r="N125" s="38">
        <v>0</v>
      </c>
      <c r="O125" s="38">
        <v>0</v>
      </c>
      <c r="P125" s="38">
        <v>0</v>
      </c>
      <c r="Q125" s="38">
        <v>0</v>
      </c>
      <c r="R125" s="38">
        <v>0</v>
      </c>
      <c r="S125" s="38">
        <v>0</v>
      </c>
      <c r="T125" s="38">
        <v>0</v>
      </c>
      <c r="U125" s="38">
        <v>0</v>
      </c>
      <c r="V125" s="38">
        <v>0</v>
      </c>
      <c r="W125" s="38">
        <v>0</v>
      </c>
      <c r="X125" s="38">
        <v>0</v>
      </c>
      <c r="Y125" s="38">
        <v>0</v>
      </c>
      <c r="Z125" s="38">
        <v>0</v>
      </c>
      <c r="AA125" s="38">
        <v>0</v>
      </c>
      <c r="AB125" s="38">
        <v>0</v>
      </c>
      <c r="AC125" s="38">
        <v>0</v>
      </c>
      <c r="AD125" s="38">
        <v>0</v>
      </c>
      <c r="AE125" s="38">
        <v>0</v>
      </c>
      <c r="AF125" s="38">
        <v>0</v>
      </c>
      <c r="AG125" s="38">
        <v>0</v>
      </c>
      <c r="AH125" s="38">
        <v>0</v>
      </c>
      <c r="AI125" s="38">
        <v>0</v>
      </c>
      <c r="AJ125" s="38">
        <v>0</v>
      </c>
      <c r="AK125" s="38">
        <v>0</v>
      </c>
      <c r="AL125" s="38">
        <v>0</v>
      </c>
      <c r="AM125" s="38">
        <v>0</v>
      </c>
      <c r="AN125" s="38">
        <v>0</v>
      </c>
      <c r="AO125" s="38">
        <v>0</v>
      </c>
      <c r="AP125" s="38">
        <v>0</v>
      </c>
      <c r="AQ125" s="38">
        <v>0</v>
      </c>
      <c r="AR125" s="38">
        <v>0</v>
      </c>
      <c r="AS125" s="38">
        <v>0</v>
      </c>
      <c r="AT125" s="38">
        <v>0</v>
      </c>
      <c r="AU125" s="38">
        <v>0</v>
      </c>
      <c r="AV125" s="38">
        <v>0</v>
      </c>
      <c r="AW125" s="38">
        <v>0</v>
      </c>
      <c r="AX125" s="38">
        <v>0</v>
      </c>
      <c r="AY125" s="38">
        <v>0</v>
      </c>
      <c r="AZ125" s="38">
        <v>0</v>
      </c>
      <c r="BA125" s="38">
        <v>0</v>
      </c>
      <c r="BB125" s="38">
        <v>0</v>
      </c>
      <c r="BC125" s="38">
        <v>0</v>
      </c>
      <c r="BD125" s="38">
        <v>0</v>
      </c>
      <c r="BE125" s="38">
        <v>0</v>
      </c>
      <c r="BF125" s="38">
        <v>0</v>
      </c>
      <c r="BG125" s="38">
        <v>0</v>
      </c>
      <c r="BH125" s="38">
        <v>0</v>
      </c>
      <c r="BI125" s="38">
        <v>0</v>
      </c>
      <c r="BJ125" s="38">
        <v>0</v>
      </c>
      <c r="BK125" s="38">
        <v>0</v>
      </c>
      <c r="BL125" s="38">
        <v>0</v>
      </c>
      <c r="BM125" s="38">
        <v>0</v>
      </c>
      <c r="BN125" s="38">
        <v>0</v>
      </c>
      <c r="BO125" s="38">
        <v>0</v>
      </c>
      <c r="BP125" s="38">
        <v>0</v>
      </c>
      <c r="BQ125" s="38">
        <v>0</v>
      </c>
      <c r="BR125" s="38">
        <v>0</v>
      </c>
      <c r="BS125" s="38">
        <v>0</v>
      </c>
      <c r="BT125" s="38">
        <v>0</v>
      </c>
      <c r="BU125" s="38">
        <v>0</v>
      </c>
      <c r="BV125" s="38">
        <v>0</v>
      </c>
      <c r="BW125" s="38">
        <v>0</v>
      </c>
      <c r="BX125" s="38">
        <v>0</v>
      </c>
      <c r="BY125" s="38">
        <v>0</v>
      </c>
      <c r="BZ125" s="38">
        <v>0</v>
      </c>
      <c r="CA125" s="38">
        <v>0</v>
      </c>
      <c r="CB125" s="38">
        <v>0</v>
      </c>
      <c r="CC125" s="38">
        <v>0</v>
      </c>
      <c r="CD125" s="38">
        <v>0</v>
      </c>
      <c r="CE125" s="38">
        <v>0</v>
      </c>
      <c r="CF125" s="38">
        <v>0</v>
      </c>
      <c r="CG125" s="38">
        <v>0</v>
      </c>
      <c r="CH125" s="38">
        <v>0</v>
      </c>
      <c r="CI125" s="38">
        <v>0</v>
      </c>
      <c r="CJ125" s="38">
        <v>0</v>
      </c>
      <c r="CK125" s="38">
        <v>0</v>
      </c>
      <c r="CL125" s="38">
        <v>0</v>
      </c>
      <c r="CM125" s="38">
        <v>0</v>
      </c>
      <c r="CN125" s="38">
        <v>0</v>
      </c>
      <c r="CO125" s="38">
        <v>0</v>
      </c>
      <c r="CP125" s="38">
        <v>0</v>
      </c>
      <c r="CQ125" s="38">
        <v>0</v>
      </c>
      <c r="CR125" s="38">
        <v>0</v>
      </c>
      <c r="CS125" s="38">
        <v>0</v>
      </c>
      <c r="CT125" s="38">
        <v>0</v>
      </c>
      <c r="CU125" s="38">
        <v>0</v>
      </c>
      <c r="CV125" s="38">
        <v>0</v>
      </c>
      <c r="CW125" s="38">
        <v>0</v>
      </c>
      <c r="CX125" s="38">
        <v>0</v>
      </c>
      <c r="CY125" s="38">
        <v>0</v>
      </c>
      <c r="CZ125" s="38">
        <v>0</v>
      </c>
      <c r="DA125" s="38">
        <v>0</v>
      </c>
      <c r="DB125" s="38">
        <v>0</v>
      </c>
      <c r="DC125" s="38">
        <v>0</v>
      </c>
      <c r="DE125" s="46">
        <f t="shared" si="64"/>
        <v>0</v>
      </c>
      <c r="DF125" s="46">
        <f t="shared" si="39"/>
        <v>0</v>
      </c>
    </row>
    <row r="126" spans="1:110" ht="14.4">
      <c r="A126" s="124">
        <v>116</v>
      </c>
      <c r="B126" s="5" t="s">
        <v>193</v>
      </c>
      <c r="C126" s="24" t="s">
        <v>276</v>
      </c>
      <c r="D126" s="24"/>
      <c r="E126" s="5"/>
      <c r="F126" s="11">
        <f>SUM(F127:F129)</f>
        <v>0</v>
      </c>
      <c r="G126" s="35">
        <f>SUMIF($H$5:$DC$5,"&lt;="&amp;PAL,$H126:$DC126)</f>
        <v>0</v>
      </c>
      <c r="H126" s="11">
        <f>SUM(H127:H129)</f>
        <v>0</v>
      </c>
      <c r="I126" s="11">
        <f t="shared" ref="I126:BT126" si="65">SUM(I127:I129)</f>
        <v>0</v>
      </c>
      <c r="J126" s="11">
        <f t="shared" si="65"/>
        <v>0</v>
      </c>
      <c r="K126" s="11">
        <f t="shared" si="65"/>
        <v>0</v>
      </c>
      <c r="L126" s="11">
        <f t="shared" si="65"/>
        <v>0</v>
      </c>
      <c r="M126" s="11">
        <f t="shared" si="65"/>
        <v>0</v>
      </c>
      <c r="N126" s="11">
        <f t="shared" si="65"/>
        <v>0</v>
      </c>
      <c r="O126" s="11">
        <f t="shared" si="65"/>
        <v>0</v>
      </c>
      <c r="P126" s="11">
        <f t="shared" si="65"/>
        <v>0</v>
      </c>
      <c r="Q126" s="11">
        <f t="shared" si="65"/>
        <v>0</v>
      </c>
      <c r="R126" s="11">
        <f t="shared" si="65"/>
        <v>0</v>
      </c>
      <c r="S126" s="11">
        <f t="shared" si="65"/>
        <v>0</v>
      </c>
      <c r="T126" s="11">
        <f t="shared" si="65"/>
        <v>0</v>
      </c>
      <c r="U126" s="11">
        <f t="shared" si="65"/>
        <v>0</v>
      </c>
      <c r="V126" s="11">
        <f t="shared" si="65"/>
        <v>0</v>
      </c>
      <c r="W126" s="11">
        <f t="shared" si="65"/>
        <v>0</v>
      </c>
      <c r="X126" s="11">
        <f t="shared" si="65"/>
        <v>0</v>
      </c>
      <c r="Y126" s="11">
        <f t="shared" si="65"/>
        <v>0</v>
      </c>
      <c r="Z126" s="11">
        <f t="shared" si="65"/>
        <v>0</v>
      </c>
      <c r="AA126" s="11">
        <f t="shared" si="65"/>
        <v>0</v>
      </c>
      <c r="AB126" s="11">
        <f t="shared" si="65"/>
        <v>0</v>
      </c>
      <c r="AC126" s="11">
        <f t="shared" si="65"/>
        <v>0</v>
      </c>
      <c r="AD126" s="11">
        <f t="shared" si="65"/>
        <v>0</v>
      </c>
      <c r="AE126" s="11">
        <f t="shared" si="65"/>
        <v>0</v>
      </c>
      <c r="AF126" s="11">
        <f t="shared" si="65"/>
        <v>0</v>
      </c>
      <c r="AG126" s="11">
        <f t="shared" si="65"/>
        <v>0</v>
      </c>
      <c r="AH126" s="11">
        <f t="shared" si="65"/>
        <v>0</v>
      </c>
      <c r="AI126" s="11">
        <f t="shared" si="65"/>
        <v>0</v>
      </c>
      <c r="AJ126" s="11">
        <f t="shared" si="65"/>
        <v>0</v>
      </c>
      <c r="AK126" s="11">
        <f t="shared" si="65"/>
        <v>0</v>
      </c>
      <c r="AL126" s="11">
        <f t="shared" si="65"/>
        <v>0</v>
      </c>
      <c r="AM126" s="11">
        <f t="shared" si="65"/>
        <v>0</v>
      </c>
      <c r="AN126" s="11">
        <f t="shared" si="65"/>
        <v>0</v>
      </c>
      <c r="AO126" s="11">
        <f t="shared" si="65"/>
        <v>0</v>
      </c>
      <c r="AP126" s="11">
        <f t="shared" si="65"/>
        <v>0</v>
      </c>
      <c r="AQ126" s="11">
        <f t="shared" si="65"/>
        <v>0</v>
      </c>
      <c r="AR126" s="11">
        <f t="shared" si="65"/>
        <v>0</v>
      </c>
      <c r="AS126" s="11">
        <f t="shared" si="65"/>
        <v>0</v>
      </c>
      <c r="AT126" s="11">
        <f t="shared" si="65"/>
        <v>0</v>
      </c>
      <c r="AU126" s="11">
        <f t="shared" si="65"/>
        <v>0</v>
      </c>
      <c r="AV126" s="11">
        <f t="shared" si="65"/>
        <v>0</v>
      </c>
      <c r="AW126" s="11">
        <f t="shared" si="65"/>
        <v>0</v>
      </c>
      <c r="AX126" s="11">
        <f t="shared" si="65"/>
        <v>0</v>
      </c>
      <c r="AY126" s="11">
        <f t="shared" si="65"/>
        <v>0</v>
      </c>
      <c r="AZ126" s="11">
        <f t="shared" si="65"/>
        <v>0</v>
      </c>
      <c r="BA126" s="11">
        <f t="shared" si="65"/>
        <v>0</v>
      </c>
      <c r="BB126" s="11">
        <f t="shared" si="65"/>
        <v>0</v>
      </c>
      <c r="BC126" s="11">
        <f t="shared" si="65"/>
        <v>0</v>
      </c>
      <c r="BD126" s="11">
        <f t="shared" si="65"/>
        <v>0</v>
      </c>
      <c r="BE126" s="11">
        <f t="shared" si="65"/>
        <v>0</v>
      </c>
      <c r="BF126" s="11">
        <f t="shared" si="65"/>
        <v>0</v>
      </c>
      <c r="BG126" s="11">
        <f t="shared" si="65"/>
        <v>0</v>
      </c>
      <c r="BH126" s="11">
        <f t="shared" si="65"/>
        <v>0</v>
      </c>
      <c r="BI126" s="11">
        <f t="shared" si="65"/>
        <v>0</v>
      </c>
      <c r="BJ126" s="11">
        <f t="shared" si="65"/>
        <v>0</v>
      </c>
      <c r="BK126" s="11">
        <f t="shared" si="65"/>
        <v>0</v>
      </c>
      <c r="BL126" s="11">
        <f t="shared" si="65"/>
        <v>0</v>
      </c>
      <c r="BM126" s="11">
        <f t="shared" si="65"/>
        <v>0</v>
      </c>
      <c r="BN126" s="11">
        <f t="shared" si="65"/>
        <v>0</v>
      </c>
      <c r="BO126" s="11">
        <f t="shared" si="65"/>
        <v>0</v>
      </c>
      <c r="BP126" s="11">
        <f t="shared" si="65"/>
        <v>0</v>
      </c>
      <c r="BQ126" s="11">
        <f t="shared" si="65"/>
        <v>0</v>
      </c>
      <c r="BR126" s="11">
        <f t="shared" si="65"/>
        <v>0</v>
      </c>
      <c r="BS126" s="11">
        <f t="shared" si="65"/>
        <v>0</v>
      </c>
      <c r="BT126" s="11">
        <f t="shared" si="65"/>
        <v>0</v>
      </c>
      <c r="BU126" s="11">
        <f t="shared" ref="BU126:DC126" si="66">SUM(BU127:BU129)</f>
        <v>0</v>
      </c>
      <c r="BV126" s="11">
        <f t="shared" si="66"/>
        <v>0</v>
      </c>
      <c r="BW126" s="11">
        <f t="shared" si="66"/>
        <v>0</v>
      </c>
      <c r="BX126" s="11">
        <f t="shared" si="66"/>
        <v>0</v>
      </c>
      <c r="BY126" s="11">
        <f t="shared" si="66"/>
        <v>0</v>
      </c>
      <c r="BZ126" s="11">
        <f t="shared" si="66"/>
        <v>0</v>
      </c>
      <c r="CA126" s="11">
        <f t="shared" si="66"/>
        <v>0</v>
      </c>
      <c r="CB126" s="11">
        <f t="shared" si="66"/>
        <v>0</v>
      </c>
      <c r="CC126" s="11">
        <f t="shared" si="66"/>
        <v>0</v>
      </c>
      <c r="CD126" s="11">
        <f t="shared" si="66"/>
        <v>0</v>
      </c>
      <c r="CE126" s="11">
        <f t="shared" si="66"/>
        <v>0</v>
      </c>
      <c r="CF126" s="11">
        <f t="shared" si="66"/>
        <v>0</v>
      </c>
      <c r="CG126" s="11">
        <f t="shared" si="66"/>
        <v>0</v>
      </c>
      <c r="CH126" s="11">
        <f t="shared" si="66"/>
        <v>0</v>
      </c>
      <c r="CI126" s="11">
        <f t="shared" si="66"/>
        <v>0</v>
      </c>
      <c r="CJ126" s="11">
        <f t="shared" si="66"/>
        <v>0</v>
      </c>
      <c r="CK126" s="11">
        <f t="shared" si="66"/>
        <v>0</v>
      </c>
      <c r="CL126" s="11">
        <f t="shared" si="66"/>
        <v>0</v>
      </c>
      <c r="CM126" s="11">
        <f t="shared" si="66"/>
        <v>0</v>
      </c>
      <c r="CN126" s="11">
        <f t="shared" si="66"/>
        <v>0</v>
      </c>
      <c r="CO126" s="11">
        <f t="shared" si="66"/>
        <v>0</v>
      </c>
      <c r="CP126" s="11">
        <f t="shared" si="66"/>
        <v>0</v>
      </c>
      <c r="CQ126" s="11">
        <f t="shared" si="66"/>
        <v>0</v>
      </c>
      <c r="CR126" s="11">
        <f t="shared" si="66"/>
        <v>0</v>
      </c>
      <c r="CS126" s="11">
        <f t="shared" si="66"/>
        <v>0</v>
      </c>
      <c r="CT126" s="11">
        <f t="shared" si="66"/>
        <v>0</v>
      </c>
      <c r="CU126" s="11">
        <f t="shared" si="66"/>
        <v>0</v>
      </c>
      <c r="CV126" s="11">
        <f t="shared" si="66"/>
        <v>0</v>
      </c>
      <c r="CW126" s="11">
        <f t="shared" si="66"/>
        <v>0</v>
      </c>
      <c r="CX126" s="11">
        <f t="shared" si="66"/>
        <v>0</v>
      </c>
      <c r="CY126" s="11">
        <f t="shared" si="66"/>
        <v>0</v>
      </c>
      <c r="CZ126" s="11">
        <f t="shared" si="66"/>
        <v>0</v>
      </c>
      <c r="DA126" s="11">
        <f t="shared" si="66"/>
        <v>0</v>
      </c>
      <c r="DB126" s="11">
        <f t="shared" si="66"/>
        <v>0</v>
      </c>
      <c r="DC126" s="11">
        <f t="shared" si="66"/>
        <v>0</v>
      </c>
      <c r="DF126" s="46">
        <f t="shared" si="39"/>
        <v>0</v>
      </c>
    </row>
    <row r="127" spans="1:110" ht="15" customHeight="1">
      <c r="A127" s="124">
        <v>117</v>
      </c>
      <c r="B127" s="5" t="str">
        <f>$B$126&amp;"1."</f>
        <v>L.2.1.</v>
      </c>
      <c r="C127" s="170"/>
      <c r="D127" s="24"/>
      <c r="E127" s="5"/>
      <c r="F127" s="35">
        <f>H127+NPV(SD,I127:INDEX(I127:DC127,PAL))</f>
        <v>0</v>
      </c>
      <c r="G127" s="35">
        <f>SUMIF($H$5:$DC$5,"&lt;="&amp;PAL,$H127:$DC127)</f>
        <v>0</v>
      </c>
      <c r="H127" s="38">
        <v>0</v>
      </c>
      <c r="I127" s="38">
        <v>0</v>
      </c>
      <c r="J127" s="38">
        <v>0</v>
      </c>
      <c r="K127" s="38">
        <v>0</v>
      </c>
      <c r="L127" s="38">
        <v>0</v>
      </c>
      <c r="M127" s="38">
        <v>0</v>
      </c>
      <c r="N127" s="38">
        <v>0</v>
      </c>
      <c r="O127" s="38">
        <v>0</v>
      </c>
      <c r="P127" s="38">
        <v>0</v>
      </c>
      <c r="Q127" s="38">
        <v>0</v>
      </c>
      <c r="R127" s="38">
        <v>0</v>
      </c>
      <c r="S127" s="38">
        <v>0</v>
      </c>
      <c r="T127" s="38">
        <v>0</v>
      </c>
      <c r="U127" s="38">
        <v>0</v>
      </c>
      <c r="V127" s="38">
        <v>0</v>
      </c>
      <c r="W127" s="38">
        <v>0</v>
      </c>
      <c r="X127" s="38">
        <v>0</v>
      </c>
      <c r="Y127" s="38">
        <v>0</v>
      </c>
      <c r="Z127" s="38">
        <v>0</v>
      </c>
      <c r="AA127" s="38">
        <v>0</v>
      </c>
      <c r="AB127" s="38">
        <v>0</v>
      </c>
      <c r="AC127" s="38">
        <v>0</v>
      </c>
      <c r="AD127" s="38">
        <v>0</v>
      </c>
      <c r="AE127" s="38">
        <v>0</v>
      </c>
      <c r="AF127" s="38">
        <v>0</v>
      </c>
      <c r="AG127" s="38">
        <v>0</v>
      </c>
      <c r="AH127" s="38">
        <v>0</v>
      </c>
      <c r="AI127" s="38">
        <v>0</v>
      </c>
      <c r="AJ127" s="38">
        <v>0</v>
      </c>
      <c r="AK127" s="38">
        <v>0</v>
      </c>
      <c r="AL127" s="38">
        <v>0</v>
      </c>
      <c r="AM127" s="38">
        <v>0</v>
      </c>
      <c r="AN127" s="38">
        <v>0</v>
      </c>
      <c r="AO127" s="38">
        <v>0</v>
      </c>
      <c r="AP127" s="38">
        <v>0</v>
      </c>
      <c r="AQ127" s="38">
        <v>0</v>
      </c>
      <c r="AR127" s="38">
        <v>0</v>
      </c>
      <c r="AS127" s="38">
        <v>0</v>
      </c>
      <c r="AT127" s="38">
        <v>0</v>
      </c>
      <c r="AU127" s="38">
        <v>0</v>
      </c>
      <c r="AV127" s="38">
        <v>0</v>
      </c>
      <c r="AW127" s="38">
        <v>0</v>
      </c>
      <c r="AX127" s="38">
        <v>0</v>
      </c>
      <c r="AY127" s="38">
        <v>0</v>
      </c>
      <c r="AZ127" s="38">
        <v>0</v>
      </c>
      <c r="BA127" s="38">
        <v>0</v>
      </c>
      <c r="BB127" s="38">
        <v>0</v>
      </c>
      <c r="BC127" s="38">
        <v>0</v>
      </c>
      <c r="BD127" s="38">
        <v>0</v>
      </c>
      <c r="BE127" s="38">
        <v>0</v>
      </c>
      <c r="BF127" s="38">
        <v>0</v>
      </c>
      <c r="BG127" s="38">
        <v>0</v>
      </c>
      <c r="BH127" s="38">
        <v>0</v>
      </c>
      <c r="BI127" s="38">
        <v>0</v>
      </c>
      <c r="BJ127" s="38">
        <v>0</v>
      </c>
      <c r="BK127" s="38">
        <v>0</v>
      </c>
      <c r="BL127" s="38">
        <v>0</v>
      </c>
      <c r="BM127" s="38">
        <v>0</v>
      </c>
      <c r="BN127" s="38">
        <v>0</v>
      </c>
      <c r="BO127" s="38">
        <v>0</v>
      </c>
      <c r="BP127" s="38">
        <v>0</v>
      </c>
      <c r="BQ127" s="38">
        <v>0</v>
      </c>
      <c r="BR127" s="38">
        <v>0</v>
      </c>
      <c r="BS127" s="38">
        <v>0</v>
      </c>
      <c r="BT127" s="38">
        <v>0</v>
      </c>
      <c r="BU127" s="38">
        <v>0</v>
      </c>
      <c r="BV127" s="38">
        <v>0</v>
      </c>
      <c r="BW127" s="38">
        <v>0</v>
      </c>
      <c r="BX127" s="38">
        <v>0</v>
      </c>
      <c r="BY127" s="38">
        <v>0</v>
      </c>
      <c r="BZ127" s="38">
        <v>0</v>
      </c>
      <c r="CA127" s="38">
        <v>0</v>
      </c>
      <c r="CB127" s="38">
        <v>0</v>
      </c>
      <c r="CC127" s="38">
        <v>0</v>
      </c>
      <c r="CD127" s="38">
        <v>0</v>
      </c>
      <c r="CE127" s="38">
        <v>0</v>
      </c>
      <c r="CF127" s="38">
        <v>0</v>
      </c>
      <c r="CG127" s="38">
        <v>0</v>
      </c>
      <c r="CH127" s="38">
        <v>0</v>
      </c>
      <c r="CI127" s="38">
        <v>0</v>
      </c>
      <c r="CJ127" s="38">
        <v>0</v>
      </c>
      <c r="CK127" s="38">
        <v>0</v>
      </c>
      <c r="CL127" s="38">
        <v>0</v>
      </c>
      <c r="CM127" s="38">
        <v>0</v>
      </c>
      <c r="CN127" s="38">
        <v>0</v>
      </c>
      <c r="CO127" s="38">
        <v>0</v>
      </c>
      <c r="CP127" s="38">
        <v>0</v>
      </c>
      <c r="CQ127" s="38">
        <v>0</v>
      </c>
      <c r="CR127" s="38">
        <v>0</v>
      </c>
      <c r="CS127" s="38">
        <v>0</v>
      </c>
      <c r="CT127" s="38">
        <v>0</v>
      </c>
      <c r="CU127" s="38">
        <v>0</v>
      </c>
      <c r="CV127" s="38">
        <v>0</v>
      </c>
      <c r="CW127" s="38">
        <v>0</v>
      </c>
      <c r="CX127" s="38">
        <v>0</v>
      </c>
      <c r="CY127" s="38">
        <v>0</v>
      </c>
      <c r="CZ127" s="38">
        <v>0</v>
      </c>
      <c r="DA127" s="38">
        <v>0</v>
      </c>
      <c r="DB127" s="38">
        <v>0</v>
      </c>
      <c r="DC127" s="38">
        <v>0</v>
      </c>
      <c r="DE127" s="46">
        <f t="shared" si="64"/>
        <v>0</v>
      </c>
      <c r="DF127" s="46">
        <f t="shared" si="39"/>
        <v>0</v>
      </c>
    </row>
    <row r="128" spans="1:110" ht="15" customHeight="1">
      <c r="A128" s="124">
        <v>118</v>
      </c>
      <c r="B128" s="5" t="str">
        <f>$B$126&amp;"2."</f>
        <v>L.2.2.</v>
      </c>
      <c r="C128" s="170"/>
      <c r="D128" s="24"/>
      <c r="E128" s="5"/>
      <c r="F128" s="35">
        <f>H128+NPV(SD,I128:INDEX(I128:DC128,PAL))</f>
        <v>0</v>
      </c>
      <c r="G128" s="35">
        <f>SUMIF($H$5:$DC$5,"&lt;="&amp;PAL,$H128:$DC128)</f>
        <v>0</v>
      </c>
      <c r="H128" s="38">
        <v>0</v>
      </c>
      <c r="I128" s="38">
        <v>0</v>
      </c>
      <c r="J128" s="38">
        <v>0</v>
      </c>
      <c r="K128" s="38">
        <v>0</v>
      </c>
      <c r="L128" s="38">
        <v>0</v>
      </c>
      <c r="M128" s="38">
        <v>0</v>
      </c>
      <c r="N128" s="38">
        <v>0</v>
      </c>
      <c r="O128" s="38">
        <v>0</v>
      </c>
      <c r="P128" s="38">
        <v>0</v>
      </c>
      <c r="Q128" s="38">
        <v>0</v>
      </c>
      <c r="R128" s="38">
        <v>0</v>
      </c>
      <c r="S128" s="38">
        <v>0</v>
      </c>
      <c r="T128" s="38">
        <v>0</v>
      </c>
      <c r="U128" s="38">
        <v>0</v>
      </c>
      <c r="V128" s="38">
        <v>0</v>
      </c>
      <c r="W128" s="38">
        <v>0</v>
      </c>
      <c r="X128" s="38">
        <v>0</v>
      </c>
      <c r="Y128" s="38">
        <v>0</v>
      </c>
      <c r="Z128" s="38">
        <v>0</v>
      </c>
      <c r="AA128" s="38">
        <v>0</v>
      </c>
      <c r="AB128" s="38">
        <v>0</v>
      </c>
      <c r="AC128" s="38">
        <v>0</v>
      </c>
      <c r="AD128" s="38">
        <v>0</v>
      </c>
      <c r="AE128" s="38">
        <v>0</v>
      </c>
      <c r="AF128" s="38">
        <v>0</v>
      </c>
      <c r="AG128" s="38">
        <v>0</v>
      </c>
      <c r="AH128" s="38">
        <v>0</v>
      </c>
      <c r="AI128" s="38">
        <v>0</v>
      </c>
      <c r="AJ128" s="38">
        <v>0</v>
      </c>
      <c r="AK128" s="38">
        <v>0</v>
      </c>
      <c r="AL128" s="38">
        <v>0</v>
      </c>
      <c r="AM128" s="38">
        <v>0</v>
      </c>
      <c r="AN128" s="38">
        <v>0</v>
      </c>
      <c r="AO128" s="38">
        <v>0</v>
      </c>
      <c r="AP128" s="38">
        <v>0</v>
      </c>
      <c r="AQ128" s="38">
        <v>0</v>
      </c>
      <c r="AR128" s="38">
        <v>0</v>
      </c>
      <c r="AS128" s="38">
        <v>0</v>
      </c>
      <c r="AT128" s="38">
        <v>0</v>
      </c>
      <c r="AU128" s="38">
        <v>0</v>
      </c>
      <c r="AV128" s="38">
        <v>0</v>
      </c>
      <c r="AW128" s="38">
        <v>0</v>
      </c>
      <c r="AX128" s="38">
        <v>0</v>
      </c>
      <c r="AY128" s="38">
        <v>0</v>
      </c>
      <c r="AZ128" s="38">
        <v>0</v>
      </c>
      <c r="BA128" s="38">
        <v>0</v>
      </c>
      <c r="BB128" s="38">
        <v>0</v>
      </c>
      <c r="BC128" s="38">
        <v>0</v>
      </c>
      <c r="BD128" s="38">
        <v>0</v>
      </c>
      <c r="BE128" s="38">
        <v>0</v>
      </c>
      <c r="BF128" s="38">
        <v>0</v>
      </c>
      <c r="BG128" s="38">
        <v>0</v>
      </c>
      <c r="BH128" s="38">
        <v>0</v>
      </c>
      <c r="BI128" s="38">
        <v>0</v>
      </c>
      <c r="BJ128" s="38">
        <v>0</v>
      </c>
      <c r="BK128" s="38">
        <v>0</v>
      </c>
      <c r="BL128" s="38">
        <v>0</v>
      </c>
      <c r="BM128" s="38">
        <v>0</v>
      </c>
      <c r="BN128" s="38">
        <v>0</v>
      </c>
      <c r="BO128" s="38">
        <v>0</v>
      </c>
      <c r="BP128" s="38">
        <v>0</v>
      </c>
      <c r="BQ128" s="38">
        <v>0</v>
      </c>
      <c r="BR128" s="38">
        <v>0</v>
      </c>
      <c r="BS128" s="38">
        <v>0</v>
      </c>
      <c r="BT128" s="38">
        <v>0</v>
      </c>
      <c r="BU128" s="38">
        <v>0</v>
      </c>
      <c r="BV128" s="38">
        <v>0</v>
      </c>
      <c r="BW128" s="38">
        <v>0</v>
      </c>
      <c r="BX128" s="38">
        <v>0</v>
      </c>
      <c r="BY128" s="38">
        <v>0</v>
      </c>
      <c r="BZ128" s="38">
        <v>0</v>
      </c>
      <c r="CA128" s="38">
        <v>0</v>
      </c>
      <c r="CB128" s="38">
        <v>0</v>
      </c>
      <c r="CC128" s="38">
        <v>0</v>
      </c>
      <c r="CD128" s="38">
        <v>0</v>
      </c>
      <c r="CE128" s="38">
        <v>0</v>
      </c>
      <c r="CF128" s="38">
        <v>0</v>
      </c>
      <c r="CG128" s="38">
        <v>0</v>
      </c>
      <c r="CH128" s="38">
        <v>0</v>
      </c>
      <c r="CI128" s="38">
        <v>0</v>
      </c>
      <c r="CJ128" s="38">
        <v>0</v>
      </c>
      <c r="CK128" s="38">
        <v>0</v>
      </c>
      <c r="CL128" s="38">
        <v>0</v>
      </c>
      <c r="CM128" s="38">
        <v>0</v>
      </c>
      <c r="CN128" s="38">
        <v>0</v>
      </c>
      <c r="CO128" s="38">
        <v>0</v>
      </c>
      <c r="CP128" s="38">
        <v>0</v>
      </c>
      <c r="CQ128" s="38">
        <v>0</v>
      </c>
      <c r="CR128" s="38">
        <v>0</v>
      </c>
      <c r="CS128" s="38">
        <v>0</v>
      </c>
      <c r="CT128" s="38">
        <v>0</v>
      </c>
      <c r="CU128" s="38">
        <v>0</v>
      </c>
      <c r="CV128" s="38">
        <v>0</v>
      </c>
      <c r="CW128" s="38">
        <v>0</v>
      </c>
      <c r="CX128" s="38">
        <v>0</v>
      </c>
      <c r="CY128" s="38">
        <v>0</v>
      </c>
      <c r="CZ128" s="38">
        <v>0</v>
      </c>
      <c r="DA128" s="38">
        <v>0</v>
      </c>
      <c r="DB128" s="38">
        <v>0</v>
      </c>
      <c r="DC128" s="38">
        <v>0</v>
      </c>
      <c r="DE128" s="46">
        <f t="shared" si="64"/>
        <v>0</v>
      </c>
      <c r="DF128" s="46">
        <f t="shared" si="39"/>
        <v>0</v>
      </c>
    </row>
    <row r="129" spans="1:110" ht="15" customHeight="1">
      <c r="A129" s="124">
        <v>119</v>
      </c>
      <c r="B129" s="5" t="str">
        <f>$B$126&amp;"3."</f>
        <v>L.2.3.</v>
      </c>
      <c r="C129" s="170"/>
      <c r="D129" s="24"/>
      <c r="E129" s="5"/>
      <c r="F129" s="35">
        <f>H129+NPV(SD,I129:INDEX(I129:DC129,PAL))</f>
        <v>0</v>
      </c>
      <c r="G129" s="35">
        <f>SUMIF($H$5:$DC$5,"&lt;="&amp;PAL,$H129:$DC129)</f>
        <v>0</v>
      </c>
      <c r="H129" s="38">
        <v>0</v>
      </c>
      <c r="I129" s="38">
        <v>0</v>
      </c>
      <c r="J129" s="38">
        <v>0</v>
      </c>
      <c r="K129" s="38">
        <v>0</v>
      </c>
      <c r="L129" s="38">
        <v>0</v>
      </c>
      <c r="M129" s="38">
        <v>0</v>
      </c>
      <c r="N129" s="38">
        <v>0</v>
      </c>
      <c r="O129" s="38">
        <v>0</v>
      </c>
      <c r="P129" s="38">
        <v>0</v>
      </c>
      <c r="Q129" s="38">
        <v>0</v>
      </c>
      <c r="R129" s="38">
        <v>0</v>
      </c>
      <c r="S129" s="38">
        <v>0</v>
      </c>
      <c r="T129" s="38">
        <v>0</v>
      </c>
      <c r="U129" s="38">
        <v>0</v>
      </c>
      <c r="V129" s="38">
        <v>0</v>
      </c>
      <c r="W129" s="38">
        <v>0</v>
      </c>
      <c r="X129" s="38">
        <v>0</v>
      </c>
      <c r="Y129" s="38">
        <v>0</v>
      </c>
      <c r="Z129" s="38">
        <v>0</v>
      </c>
      <c r="AA129" s="38">
        <v>0</v>
      </c>
      <c r="AB129" s="38">
        <v>0</v>
      </c>
      <c r="AC129" s="38">
        <v>0</v>
      </c>
      <c r="AD129" s="38">
        <v>0</v>
      </c>
      <c r="AE129" s="38">
        <v>0</v>
      </c>
      <c r="AF129" s="38">
        <v>0</v>
      </c>
      <c r="AG129" s="38">
        <v>0</v>
      </c>
      <c r="AH129" s="38">
        <v>0</v>
      </c>
      <c r="AI129" s="38">
        <v>0</v>
      </c>
      <c r="AJ129" s="38">
        <v>0</v>
      </c>
      <c r="AK129" s="38">
        <v>0</v>
      </c>
      <c r="AL129" s="38">
        <v>0</v>
      </c>
      <c r="AM129" s="38">
        <v>0</v>
      </c>
      <c r="AN129" s="38">
        <v>0</v>
      </c>
      <c r="AO129" s="38">
        <v>0</v>
      </c>
      <c r="AP129" s="38">
        <v>0</v>
      </c>
      <c r="AQ129" s="38">
        <v>0</v>
      </c>
      <c r="AR129" s="38">
        <v>0</v>
      </c>
      <c r="AS129" s="38">
        <v>0</v>
      </c>
      <c r="AT129" s="38">
        <v>0</v>
      </c>
      <c r="AU129" s="38">
        <v>0</v>
      </c>
      <c r="AV129" s="38">
        <v>0</v>
      </c>
      <c r="AW129" s="38">
        <v>0</v>
      </c>
      <c r="AX129" s="38">
        <v>0</v>
      </c>
      <c r="AY129" s="38">
        <v>0</v>
      </c>
      <c r="AZ129" s="38">
        <v>0</v>
      </c>
      <c r="BA129" s="38">
        <v>0</v>
      </c>
      <c r="BB129" s="38">
        <v>0</v>
      </c>
      <c r="BC129" s="38">
        <v>0</v>
      </c>
      <c r="BD129" s="38">
        <v>0</v>
      </c>
      <c r="BE129" s="38">
        <v>0</v>
      </c>
      <c r="BF129" s="38">
        <v>0</v>
      </c>
      <c r="BG129" s="38">
        <v>0</v>
      </c>
      <c r="BH129" s="38">
        <v>0</v>
      </c>
      <c r="BI129" s="38">
        <v>0</v>
      </c>
      <c r="BJ129" s="38">
        <v>0</v>
      </c>
      <c r="BK129" s="38">
        <v>0</v>
      </c>
      <c r="BL129" s="38">
        <v>0</v>
      </c>
      <c r="BM129" s="38">
        <v>0</v>
      </c>
      <c r="BN129" s="38">
        <v>0</v>
      </c>
      <c r="BO129" s="38">
        <v>0</v>
      </c>
      <c r="BP129" s="38">
        <v>0</v>
      </c>
      <c r="BQ129" s="38">
        <v>0</v>
      </c>
      <c r="BR129" s="38">
        <v>0</v>
      </c>
      <c r="BS129" s="38">
        <v>0</v>
      </c>
      <c r="BT129" s="38">
        <v>0</v>
      </c>
      <c r="BU129" s="38">
        <v>0</v>
      </c>
      <c r="BV129" s="38">
        <v>0</v>
      </c>
      <c r="BW129" s="38">
        <v>0</v>
      </c>
      <c r="BX129" s="38">
        <v>0</v>
      </c>
      <c r="BY129" s="38">
        <v>0</v>
      </c>
      <c r="BZ129" s="38">
        <v>0</v>
      </c>
      <c r="CA129" s="38">
        <v>0</v>
      </c>
      <c r="CB129" s="38">
        <v>0</v>
      </c>
      <c r="CC129" s="38">
        <v>0</v>
      </c>
      <c r="CD129" s="38">
        <v>0</v>
      </c>
      <c r="CE129" s="38">
        <v>0</v>
      </c>
      <c r="CF129" s="38">
        <v>0</v>
      </c>
      <c r="CG129" s="38">
        <v>0</v>
      </c>
      <c r="CH129" s="38">
        <v>0</v>
      </c>
      <c r="CI129" s="38">
        <v>0</v>
      </c>
      <c r="CJ129" s="38">
        <v>0</v>
      </c>
      <c r="CK129" s="38">
        <v>0</v>
      </c>
      <c r="CL129" s="38">
        <v>0</v>
      </c>
      <c r="CM129" s="38">
        <v>0</v>
      </c>
      <c r="CN129" s="38">
        <v>0</v>
      </c>
      <c r="CO129" s="38">
        <v>0</v>
      </c>
      <c r="CP129" s="38">
        <v>0</v>
      </c>
      <c r="CQ129" s="38">
        <v>0</v>
      </c>
      <c r="CR129" s="38">
        <v>0</v>
      </c>
      <c r="CS129" s="38">
        <v>0</v>
      </c>
      <c r="CT129" s="38">
        <v>0</v>
      </c>
      <c r="CU129" s="38">
        <v>0</v>
      </c>
      <c r="CV129" s="38">
        <v>0</v>
      </c>
      <c r="CW129" s="38">
        <v>0</v>
      </c>
      <c r="CX129" s="38">
        <v>0</v>
      </c>
      <c r="CY129" s="38">
        <v>0</v>
      </c>
      <c r="CZ129" s="38">
        <v>0</v>
      </c>
      <c r="DA129" s="38">
        <v>0</v>
      </c>
      <c r="DB129" s="38">
        <v>0</v>
      </c>
      <c r="DC129" s="38">
        <v>0</v>
      </c>
      <c r="DE129" s="46">
        <f t="shared" si="64"/>
        <v>0</v>
      </c>
      <c r="DF129" s="46">
        <f t="shared" si="39"/>
        <v>0</v>
      </c>
    </row>
    <row r="130" spans="1:110" ht="20.25" customHeight="1">
      <c r="D130" s="2"/>
      <c r="F130" s="4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4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GharDnSPzmVmgOkJoIp9rQDZiX0fH4ev3OlGM4s3TEvh7QIyOr4RFJOTLckTJoFiRlxQ0BOg5HicsiuGTTxthA==" saltValue="IaYkJ78aNao85LAa7giLaw=="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H111:DC111">
    <cfRule type="containsBlanks" dxfId="33" priority="16">
      <formula>LEN(TRIM(H111))=0</formula>
    </cfRule>
  </conditionalFormatting>
  <conditionalFormatting sqref="F7">
    <cfRule type="containsBlanks" dxfId="32" priority="14">
      <formula>LEN(TRIM(F7))=0</formula>
    </cfRule>
  </conditionalFormatting>
  <conditionalFormatting sqref="F8">
    <cfRule type="containsBlanks" dxfId="31" priority="13">
      <formula>LEN(TRIM(F8))=0</formula>
    </cfRule>
  </conditionalFormatting>
  <conditionalFormatting sqref="L109:DC110 H37:DC45 AB34:DC36 H112:DC114 I22:DC22 L106:DB108 R46:DC53 S54:DC54 H95:DC100 H7:DC21 H23:DC33 H55:DC89">
    <cfRule type="containsBlanks" dxfId="30" priority="22">
      <formula>LEN(TRIM(H7))=0</formula>
    </cfRule>
  </conditionalFormatting>
  <conditionalFormatting sqref="I116:J116 V116:DC116 L116:T116 H117:DC129">
    <cfRule type="containsBlanks" dxfId="29" priority="21">
      <formula>LEN(TRIM(H116))=0</formula>
    </cfRule>
  </conditionalFormatting>
  <conditionalFormatting sqref="H90:DC99">
    <cfRule type="containsBlanks" dxfId="28" priority="20">
      <formula>LEN(TRIM(H90))=0</formula>
    </cfRule>
  </conditionalFormatting>
  <conditionalFormatting sqref="H101:DC111">
    <cfRule type="containsBlanks" dxfId="27" priority="19">
      <formula>LEN(TRIM(H101))=0</formula>
    </cfRule>
  </conditionalFormatting>
  <conditionalFormatting sqref="H34:DC41">
    <cfRule type="containsBlanks" dxfId="26" priority="18">
      <formula>LEN(TRIM(H34))=0</formula>
    </cfRule>
  </conditionalFormatting>
  <conditionalFormatting sqref="K79">
    <cfRule type="containsBlanks" dxfId="25" priority="17">
      <formula>LEN(TRIM(K79))=0</formula>
    </cfRule>
  </conditionalFormatting>
  <conditionalFormatting sqref="H22:DC22">
    <cfRule type="containsBlanks" dxfId="24" priority="12">
      <formula>LEN(TRIM(H22))=0</formula>
    </cfRule>
  </conditionalFormatting>
  <conditionalFormatting sqref="D106:D110">
    <cfRule type="expression" dxfId="23" priority="11">
      <formula>AND($F106&lt;&gt;0,$E106="")</formula>
    </cfRule>
  </conditionalFormatting>
  <conditionalFormatting sqref="E106:E110">
    <cfRule type="expression" dxfId="22" priority="10">
      <formula>AND($F106&lt;&gt;0,$E106="")</formula>
    </cfRule>
  </conditionalFormatting>
  <conditionalFormatting sqref="H115:DC115">
    <cfRule type="containsBlanks" dxfId="21" priority="9">
      <formula>LEN(TRIM(H115))=0</formula>
    </cfRule>
  </conditionalFormatting>
  <conditionalFormatting sqref="I115:DC115">
    <cfRule type="containsBlanks" dxfId="20" priority="8">
      <formula>LEN(TRIM(I115))=0</formula>
    </cfRule>
  </conditionalFormatting>
  <conditionalFormatting sqref="H54:R54 H46:DC53">
    <cfRule type="containsBlanks" dxfId="19" priority="7">
      <formula>LEN(TRIM(H46))=0</formula>
    </cfRule>
  </conditionalFormatting>
  <conditionalFormatting sqref="K116">
    <cfRule type="containsBlanks" dxfId="18" priority="6">
      <formula>LEN(TRIM(K116))=0</formula>
    </cfRule>
  </conditionalFormatting>
  <conditionalFormatting sqref="H116:DC116">
    <cfRule type="containsBlanks" dxfId="17" priority="5">
      <formula>LEN(TRIM(H116))=0</formula>
    </cfRule>
  </conditionalFormatting>
  <conditionalFormatting sqref="U116">
    <cfRule type="containsBlanks" dxfId="16" priority="4">
      <formula>LEN(TRIM(U116))=0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qref="C127:C129" xr:uid="{00000000-0002-0000-0700-000003000000}">
      <formula1>Zalos</formula1>
    </dataValidation>
    <dataValidation type="list" allowBlank="1" showInput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30480</xdr:colOff>
                    <xdr:row>10</xdr:row>
                    <xdr:rowOff>0</xdr:rowOff>
                  </from>
                  <to>
                    <xdr:col>3</xdr:col>
                    <xdr:colOff>381000</xdr:colOff>
                    <xdr:row>10</xdr:row>
                    <xdr:rowOff>228600</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7620</xdr:colOff>
                    <xdr:row>6</xdr:row>
                    <xdr:rowOff>7620</xdr:rowOff>
                  </from>
                  <to>
                    <xdr:col>3</xdr:col>
                    <xdr:colOff>373380</xdr:colOff>
                    <xdr:row>6</xdr:row>
                    <xdr:rowOff>236220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7620</xdr:colOff>
                    <xdr:row>88</xdr:row>
                    <xdr:rowOff>0</xdr:rowOff>
                  </from>
                  <to>
                    <xdr:col>3</xdr:col>
                    <xdr:colOff>373380</xdr:colOff>
                    <xdr:row>89</xdr:row>
                    <xdr:rowOff>7620</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7620</xdr:colOff>
                    <xdr:row>99</xdr:row>
                    <xdr:rowOff>38100</xdr:rowOff>
                  </from>
                  <to>
                    <xdr:col>3</xdr:col>
                    <xdr:colOff>373380</xdr:colOff>
                    <xdr:row>99</xdr:row>
                    <xdr:rowOff>266700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7620</xdr:colOff>
                    <xdr:row>116</xdr:row>
                    <xdr:rowOff>7620</xdr:rowOff>
                  </from>
                  <to>
                    <xdr:col>3</xdr:col>
                    <xdr:colOff>373380</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137160</xdr:colOff>
                    <xdr:row>4</xdr:row>
                    <xdr:rowOff>7620</xdr:rowOff>
                  </from>
                  <to>
                    <xdr:col>4</xdr:col>
                    <xdr:colOff>464820</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45720</xdr:colOff>
                    <xdr:row>1</xdr:row>
                    <xdr:rowOff>175260</xdr:rowOff>
                  </from>
                  <to>
                    <xdr:col>6</xdr:col>
                    <xdr:colOff>906780</xdr:colOff>
                    <xdr:row>2</xdr:row>
                    <xdr:rowOff>228600</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106680</xdr:colOff>
                    <xdr:row>10</xdr:row>
                    <xdr:rowOff>38100</xdr:rowOff>
                  </from>
                  <to>
                    <xdr:col>0</xdr:col>
                    <xdr:colOff>274320</xdr:colOff>
                    <xdr:row>10</xdr:row>
                    <xdr:rowOff>198120</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106680</xdr:colOff>
                    <xdr:row>21</xdr:row>
                    <xdr:rowOff>30480</xdr:rowOff>
                  </from>
                  <to>
                    <xdr:col>0</xdr:col>
                    <xdr:colOff>266700</xdr:colOff>
                    <xdr:row>21</xdr:row>
                    <xdr:rowOff>190500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99060</xdr:colOff>
                    <xdr:row>44</xdr:row>
                    <xdr:rowOff>38100</xdr:rowOff>
                  </from>
                  <to>
                    <xdr:col>0</xdr:col>
                    <xdr:colOff>251460</xdr:colOff>
                    <xdr:row>44</xdr:row>
                    <xdr:rowOff>220980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99060</xdr:colOff>
                    <xdr:row>55</xdr:row>
                    <xdr:rowOff>38100</xdr:rowOff>
                  </from>
                  <to>
                    <xdr:col>0</xdr:col>
                    <xdr:colOff>251460</xdr:colOff>
                    <xdr:row>55</xdr:row>
                    <xdr:rowOff>220980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99060</xdr:colOff>
                    <xdr:row>66</xdr:row>
                    <xdr:rowOff>30480</xdr:rowOff>
                  </from>
                  <to>
                    <xdr:col>0</xdr:col>
                    <xdr:colOff>251460</xdr:colOff>
                    <xdr:row>66</xdr:row>
                    <xdr:rowOff>190500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99060</xdr:colOff>
                    <xdr:row>77</xdr:row>
                    <xdr:rowOff>38100</xdr:rowOff>
                  </from>
                  <to>
                    <xdr:col>0</xdr:col>
                    <xdr:colOff>251460</xdr:colOff>
                    <xdr:row>77</xdr:row>
                    <xdr:rowOff>198120</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99060</xdr:colOff>
                    <xdr:row>88</xdr:row>
                    <xdr:rowOff>30480</xdr:rowOff>
                  </from>
                  <to>
                    <xdr:col>0</xdr:col>
                    <xdr:colOff>251460</xdr:colOff>
                    <xdr:row>88</xdr:row>
                    <xdr:rowOff>198120</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83820</xdr:colOff>
                    <xdr:row>99</xdr:row>
                    <xdr:rowOff>45720</xdr:rowOff>
                  </from>
                  <to>
                    <xdr:col>0</xdr:col>
                    <xdr:colOff>236220</xdr:colOff>
                    <xdr:row>99</xdr:row>
                    <xdr:rowOff>220980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7620</xdr:colOff>
                    <xdr:row>110</xdr:row>
                    <xdr:rowOff>7620</xdr:rowOff>
                  </from>
                  <to>
                    <xdr:col>3</xdr:col>
                    <xdr:colOff>373380</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7620</xdr:colOff>
                    <xdr:row>9</xdr:row>
                    <xdr:rowOff>30480</xdr:rowOff>
                  </from>
                  <to>
                    <xdr:col>1</xdr:col>
                    <xdr:colOff>0</xdr:colOff>
                    <xdr:row>9</xdr:row>
                    <xdr:rowOff>190500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106680</xdr:colOff>
                    <xdr:row>32</xdr:row>
                    <xdr:rowOff>38100</xdr:rowOff>
                  </from>
                  <to>
                    <xdr:col>0</xdr:col>
                    <xdr:colOff>274320</xdr:colOff>
                    <xdr:row>32</xdr:row>
                    <xdr:rowOff>198120</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45720</xdr:rowOff>
                  </from>
                  <to>
                    <xdr:col>1</xdr:col>
                    <xdr:colOff>0</xdr:colOff>
                    <xdr:row>43</xdr:row>
                    <xdr:rowOff>198120</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7620</xdr:colOff>
                    <xdr:row>8</xdr:row>
                    <xdr:rowOff>7620</xdr:rowOff>
                  </from>
                  <to>
                    <xdr:col>3</xdr:col>
                    <xdr:colOff>373380</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30480</xdr:colOff>
                    <xdr:row>21</xdr:row>
                    <xdr:rowOff>0</xdr:rowOff>
                  </from>
                  <to>
                    <xdr:col>4</xdr:col>
                    <xdr:colOff>0</xdr:colOff>
                    <xdr:row>21</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7" tint="0.39997558519241921"/>
    <pageSetUpPr fitToPage="1"/>
  </sheetPr>
  <dimension ref="A1:BA627"/>
  <sheetViews>
    <sheetView tabSelected="1" topLeftCell="A389" zoomScale="80" zoomScaleNormal="80" workbookViewId="0">
      <selection activeCell="D398" sqref="D398"/>
    </sheetView>
  </sheetViews>
  <sheetFormatPr defaultColWidth="9.109375" defaultRowHeight="14.4"/>
  <cols>
    <col min="1" max="1" width="6.5546875" style="32" customWidth="1"/>
    <col min="2" max="2" width="39.33203125" style="32" customWidth="1"/>
    <col min="3" max="3" width="37.33203125" style="32" customWidth="1"/>
    <col min="4" max="4" width="65.33203125" style="32" customWidth="1"/>
    <col min="5" max="5" width="43.44140625" style="32" customWidth="1"/>
    <col min="6" max="6" width="24.109375" style="32" customWidth="1"/>
    <col min="7" max="7" width="14.5546875" style="32" customWidth="1"/>
    <col min="8" max="8" width="14.44140625" style="32" customWidth="1"/>
    <col min="9" max="10" width="13.5546875" style="32" customWidth="1"/>
    <col min="11" max="11" width="13.33203125" style="32" customWidth="1"/>
    <col min="12" max="12" width="14" style="32" customWidth="1"/>
    <col min="13" max="13" width="17.5546875" style="32" customWidth="1"/>
    <col min="14" max="14" width="13.44140625" style="32" bestFit="1" customWidth="1"/>
    <col min="15" max="26" width="12.33203125" style="32" bestFit="1" customWidth="1"/>
    <col min="27" max="27" width="9.109375" style="32"/>
    <col min="28" max="28" width="10.5546875" style="32" customWidth="1"/>
    <col min="29" max="29" width="9.109375" style="32"/>
    <col min="30" max="30" width="10.88671875" style="32" customWidth="1"/>
    <col min="31" max="31" width="16" style="32" customWidth="1"/>
    <col min="32" max="32" width="11.33203125" style="32" customWidth="1"/>
    <col min="33" max="33" width="10" style="32" customWidth="1"/>
    <col min="34" max="34" width="9.6640625" style="32" customWidth="1"/>
    <col min="35" max="35" width="31.5546875" style="32" customWidth="1"/>
    <col min="36" max="36" width="14.33203125" style="32" bestFit="1" customWidth="1"/>
    <col min="37" max="37" width="21.109375" style="32" customWidth="1"/>
    <col min="38" max="16384" width="9.109375" style="32"/>
  </cols>
  <sheetData>
    <row r="1" spans="2:14" ht="9" customHeight="1"/>
    <row r="2" spans="2:14" ht="14.25" customHeight="1">
      <c r="B2" s="18" t="s">
        <v>159</v>
      </c>
    </row>
    <row r="3" spans="2:14" ht="14.25" customHeight="1">
      <c r="B3" s="18"/>
    </row>
    <row r="4" spans="2:14" ht="33.75" customHeight="1">
      <c r="B4" s="754" t="s">
        <v>11</v>
      </c>
      <c r="C4" s="754"/>
      <c r="D4" s="754"/>
      <c r="E4" s="754"/>
      <c r="F4" s="754"/>
      <c r="G4" s="754"/>
      <c r="H4" s="754"/>
      <c r="I4" s="754"/>
      <c r="J4" s="754"/>
      <c r="K4" s="754"/>
      <c r="L4" s="754"/>
      <c r="M4" s="754"/>
      <c r="N4" s="754"/>
    </row>
    <row r="6" spans="2:14">
      <c r="B6" s="32" t="s">
        <v>638</v>
      </c>
      <c r="H6" s="475">
        <v>500</v>
      </c>
      <c r="I6" s="32" t="s">
        <v>768</v>
      </c>
    </row>
    <row r="8" spans="2:14">
      <c r="F8" s="475">
        <v>2023</v>
      </c>
      <c r="G8" s="475">
        <v>2024</v>
      </c>
      <c r="H8" s="475">
        <v>2025</v>
      </c>
    </row>
    <row r="9" spans="2:14" ht="18">
      <c r="B9" s="517" t="s">
        <v>765</v>
      </c>
      <c r="F9" s="475">
        <v>50000</v>
      </c>
      <c r="G9" s="475">
        <v>520000</v>
      </c>
      <c r="H9" s="475">
        <v>30000</v>
      </c>
    </row>
    <row r="11" spans="2:14">
      <c r="F11" s="475">
        <v>2025</v>
      </c>
      <c r="G11" s="475">
        <v>2026</v>
      </c>
      <c r="H11" s="475">
        <v>2027</v>
      </c>
    </row>
    <row r="12" spans="2:14" ht="18">
      <c r="B12" s="517" t="s">
        <v>766</v>
      </c>
      <c r="F12" s="475">
        <v>5000</v>
      </c>
      <c r="G12" s="475">
        <v>5000</v>
      </c>
      <c r="H12" s="475">
        <v>25000</v>
      </c>
    </row>
    <row r="13" spans="2:14" ht="18">
      <c r="B13" s="517"/>
    </row>
    <row r="14" spans="2:14" ht="18">
      <c r="B14" s="517" t="s">
        <v>767</v>
      </c>
      <c r="E14" s="475">
        <v>20000</v>
      </c>
      <c r="F14" s="32" t="s">
        <v>768</v>
      </c>
    </row>
    <row r="16" spans="2:14" ht="18">
      <c r="B16" s="517" t="s">
        <v>816</v>
      </c>
    </row>
    <row r="18" spans="1:36" ht="18">
      <c r="B18" s="517" t="s">
        <v>793</v>
      </c>
      <c r="F18" s="32" t="s">
        <v>414</v>
      </c>
      <c r="G18" s="32" t="s">
        <v>414</v>
      </c>
    </row>
    <row r="19" spans="1:36" ht="16.2" thickBot="1">
      <c r="AD19" s="403" t="s">
        <v>814</v>
      </c>
      <c r="AE19" s="485">
        <v>186</v>
      </c>
    </row>
    <row r="20" spans="1:36" ht="141" customHeight="1">
      <c r="A20" s="600" t="s">
        <v>804</v>
      </c>
      <c r="B20" s="601" t="s">
        <v>593</v>
      </c>
      <c r="C20" s="602" t="s">
        <v>594</v>
      </c>
      <c r="D20" s="602" t="s">
        <v>595</v>
      </c>
      <c r="E20" s="563" t="s">
        <v>596</v>
      </c>
      <c r="F20" s="557" t="s">
        <v>597</v>
      </c>
      <c r="G20" s="557" t="s">
        <v>598</v>
      </c>
      <c r="H20" s="557" t="s">
        <v>599</v>
      </c>
      <c r="I20" s="557" t="s">
        <v>600</v>
      </c>
      <c r="J20" s="557" t="s">
        <v>601</v>
      </c>
      <c r="K20" s="557" t="s">
        <v>602</v>
      </c>
      <c r="L20" s="558" t="s">
        <v>637</v>
      </c>
      <c r="M20" s="558" t="s">
        <v>604</v>
      </c>
      <c r="N20" s="559" t="s">
        <v>800</v>
      </c>
      <c r="O20" s="558" t="s">
        <v>605</v>
      </c>
      <c r="P20" s="560" t="s">
        <v>606</v>
      </c>
      <c r="Q20" s="560" t="s">
        <v>607</v>
      </c>
      <c r="R20" s="560" t="s">
        <v>795</v>
      </c>
      <c r="S20" s="560" t="s">
        <v>608</v>
      </c>
      <c r="T20" s="560" t="s">
        <v>609</v>
      </c>
      <c r="U20" s="560" t="s">
        <v>796</v>
      </c>
      <c r="V20" s="558" t="s">
        <v>611</v>
      </c>
      <c r="W20" s="558" t="s">
        <v>612</v>
      </c>
      <c r="X20" s="558" t="s">
        <v>613</v>
      </c>
      <c r="Y20" s="558" t="s">
        <v>614</v>
      </c>
      <c r="Z20" s="558" t="s">
        <v>615</v>
      </c>
      <c r="AA20" s="558" t="s">
        <v>616</v>
      </c>
      <c r="AB20" s="561" t="s">
        <v>634</v>
      </c>
      <c r="AC20" s="562" t="s">
        <v>617</v>
      </c>
      <c r="AD20" s="563" t="s">
        <v>618</v>
      </c>
      <c r="AE20" s="564" t="s">
        <v>619</v>
      </c>
      <c r="AF20" s="555">
        <v>2022</v>
      </c>
      <c r="AG20" s="532">
        <v>2023</v>
      </c>
      <c r="AH20" s="532">
        <v>2024</v>
      </c>
      <c r="AI20" s="532">
        <v>2025</v>
      </c>
      <c r="AJ20" s="532">
        <v>2026</v>
      </c>
    </row>
    <row r="21" spans="1:36" ht="15.6" hidden="1">
      <c r="A21" s="761">
        <v>2022</v>
      </c>
      <c r="B21" s="596"/>
      <c r="C21" s="546"/>
      <c r="D21" s="546"/>
      <c r="E21" s="533"/>
      <c r="F21" s="534"/>
      <c r="G21" s="535"/>
      <c r="H21" s="536"/>
      <c r="I21" s="537"/>
      <c r="J21" s="538"/>
      <c r="K21" s="537"/>
      <c r="L21" s="528"/>
      <c r="M21" s="528"/>
      <c r="N21" s="529"/>
      <c r="O21" s="535"/>
      <c r="P21" s="539"/>
      <c r="Q21" s="540"/>
      <c r="R21" s="533"/>
      <c r="S21" s="541"/>
      <c r="T21" s="541"/>
      <c r="U21" s="541"/>
      <c r="V21" s="542"/>
      <c r="W21" s="542"/>
      <c r="X21" s="535"/>
      <c r="Y21" s="543"/>
      <c r="Z21" s="543"/>
      <c r="AA21" s="543"/>
      <c r="AB21" s="544"/>
      <c r="AC21" s="535"/>
      <c r="AD21" s="545"/>
      <c r="AE21" s="565"/>
      <c r="AF21" s="556"/>
      <c r="AG21" s="529"/>
      <c r="AH21" s="532"/>
      <c r="AI21" s="532"/>
      <c r="AJ21" s="532"/>
    </row>
    <row r="22" spans="1:36" ht="15.6" hidden="1">
      <c r="A22" s="758"/>
      <c r="B22" s="596"/>
      <c r="C22" s="546"/>
      <c r="D22" s="546"/>
      <c r="E22" s="533"/>
      <c r="F22" s="534"/>
      <c r="G22" s="535"/>
      <c r="H22" s="536"/>
      <c r="I22" s="537"/>
      <c r="J22" s="538"/>
      <c r="K22" s="537"/>
      <c r="L22" s="528"/>
      <c r="M22" s="528"/>
      <c r="N22" s="529"/>
      <c r="O22" s="535"/>
      <c r="P22" s="539"/>
      <c r="Q22" s="540"/>
      <c r="R22" s="533"/>
      <c r="S22" s="541"/>
      <c r="T22" s="541"/>
      <c r="U22" s="541"/>
      <c r="V22" s="542"/>
      <c r="W22" s="542"/>
      <c r="X22" s="535"/>
      <c r="Y22" s="543"/>
      <c r="Z22" s="543"/>
      <c r="AA22" s="543"/>
      <c r="AB22" s="544"/>
      <c r="AC22" s="535"/>
      <c r="AD22" s="545"/>
      <c r="AE22" s="565"/>
      <c r="AF22" s="556"/>
      <c r="AG22" s="529"/>
      <c r="AH22" s="532"/>
      <c r="AI22" s="532"/>
      <c r="AJ22" s="532"/>
    </row>
    <row r="23" spans="1:36" ht="15.6" hidden="1">
      <c r="A23" s="759"/>
      <c r="B23" s="597"/>
      <c r="C23" s="554"/>
      <c r="D23" s="554"/>
      <c r="E23" s="547"/>
      <c r="F23" s="548"/>
      <c r="G23" s="549"/>
      <c r="H23" s="550"/>
      <c r="I23" s="551"/>
      <c r="J23" s="552"/>
      <c r="K23" s="551"/>
      <c r="L23" s="553"/>
      <c r="M23" s="553"/>
      <c r="N23" s="529"/>
      <c r="O23" s="549"/>
      <c r="P23" s="549"/>
      <c r="Q23" s="549"/>
      <c r="R23" s="549"/>
      <c r="S23" s="549"/>
      <c r="T23" s="549"/>
      <c r="U23" s="549"/>
      <c r="V23" s="549"/>
      <c r="W23" s="549"/>
      <c r="X23" s="549"/>
      <c r="Y23" s="549"/>
      <c r="Z23" s="549"/>
      <c r="AA23" s="549"/>
      <c r="AB23" s="544"/>
      <c r="AC23" s="549"/>
      <c r="AD23" s="549"/>
      <c r="AE23" s="566"/>
      <c r="AF23" s="556"/>
      <c r="AG23" s="529"/>
      <c r="AH23" s="532"/>
      <c r="AI23" s="532"/>
      <c r="AJ23" s="532"/>
    </row>
    <row r="24" spans="1:36" ht="15.6">
      <c r="A24" s="761">
        <v>2023</v>
      </c>
      <c r="B24" s="596" t="s">
        <v>802</v>
      </c>
      <c r="C24" s="546">
        <v>1.52</v>
      </c>
      <c r="D24" s="546">
        <v>2.96</v>
      </c>
      <c r="E24" s="533" t="s">
        <v>620</v>
      </c>
      <c r="F24" s="534">
        <v>9.6</v>
      </c>
      <c r="G24" s="535">
        <f>AE$19*F24</f>
        <v>1785.6</v>
      </c>
      <c r="H24" s="536">
        <v>2.8</v>
      </c>
      <c r="I24" s="537">
        <f>AE$19*H24</f>
        <v>520.79999999999995</v>
      </c>
      <c r="J24" s="538">
        <v>18</v>
      </c>
      <c r="K24" s="537">
        <f t="shared" ref="K24:K28" si="0">G24*J24/100</f>
        <v>321.40800000000002</v>
      </c>
      <c r="L24" s="528">
        <f t="shared" ref="L24:L25" si="1">G24+I24+K24</f>
        <v>2627.8079999999995</v>
      </c>
      <c r="M24" s="528">
        <f t="shared" ref="M24:M25" si="2">L24*1.45%</f>
        <v>38.103215999999989</v>
      </c>
      <c r="N24" s="529">
        <f t="shared" ref="N24:N28" si="3">+L24*11.84/100</f>
        <v>311.13246719999995</v>
      </c>
      <c r="O24" s="535">
        <f>(L24+M24+N24)*12</f>
        <v>35724.524198399995</v>
      </c>
      <c r="P24" s="539">
        <v>8.81</v>
      </c>
      <c r="Q24" s="540">
        <v>1</v>
      </c>
      <c r="R24" s="533">
        <v>2</v>
      </c>
      <c r="S24" s="541">
        <f>P24*AE$19*C24</f>
        <v>2490.7632000000003</v>
      </c>
      <c r="T24" s="541">
        <f>S24/2*Q24</f>
        <v>1245.3816000000002</v>
      </c>
      <c r="U24" s="541">
        <f>S24*0.3*R24</f>
        <v>1494.4579200000001</v>
      </c>
      <c r="V24" s="542">
        <f>S24+T24+U24</f>
        <v>5230.6027200000008</v>
      </c>
      <c r="W24" s="542">
        <f>V24*12</f>
        <v>62767.232640000009</v>
      </c>
      <c r="X24" s="535">
        <f>16000*1.25*D24</f>
        <v>59200</v>
      </c>
      <c r="Y24" s="543">
        <f>(7000*2+3500*R24)*C24</f>
        <v>31920</v>
      </c>
      <c r="Z24" s="543">
        <v>30600</v>
      </c>
      <c r="AA24" s="543">
        <v>4800</v>
      </c>
      <c r="AB24" s="544">
        <f>Z24+Y24+X24+W24+O24+AA24</f>
        <v>225011.7568384</v>
      </c>
      <c r="AC24" s="535">
        <f>(740+(350*3))*C24</f>
        <v>2720.8</v>
      </c>
      <c r="AD24" s="545">
        <v>10000</v>
      </c>
      <c r="AE24" s="565">
        <v>3000</v>
      </c>
      <c r="AF24" s="555"/>
      <c r="AG24" s="529">
        <f>+AB24/12*5+AC24+AD24+AE24</f>
        <v>109475.69868266667</v>
      </c>
      <c r="AH24" s="529">
        <f>+AB24/12*7</f>
        <v>131256.85815573332</v>
      </c>
      <c r="AI24" s="532"/>
      <c r="AJ24" s="532"/>
    </row>
    <row r="25" spans="1:36" ht="15.6">
      <c r="A25" s="758"/>
      <c r="B25" s="596" t="s">
        <v>803</v>
      </c>
      <c r="C25" s="546">
        <v>1.47</v>
      </c>
      <c r="D25" s="546">
        <v>2.94</v>
      </c>
      <c r="E25" s="533" t="s">
        <v>620</v>
      </c>
      <c r="F25" s="534">
        <v>9.6</v>
      </c>
      <c r="G25" s="535">
        <f t="shared" ref="G25:G28" si="4">AE$19*F25</f>
        <v>1785.6</v>
      </c>
      <c r="H25" s="536">
        <v>2.8</v>
      </c>
      <c r="I25" s="537">
        <f t="shared" ref="I25:I28" si="5">AE$19*H25</f>
        <v>520.79999999999995</v>
      </c>
      <c r="J25" s="538">
        <v>18</v>
      </c>
      <c r="K25" s="537">
        <f t="shared" si="0"/>
        <v>321.40800000000002</v>
      </c>
      <c r="L25" s="528">
        <f t="shared" si="1"/>
        <v>2627.8079999999995</v>
      </c>
      <c r="M25" s="528">
        <f t="shared" si="2"/>
        <v>38.103215999999989</v>
      </c>
      <c r="N25" s="529">
        <f t="shared" si="3"/>
        <v>311.13246719999995</v>
      </c>
      <c r="O25" s="535">
        <f>(L25+M25+N25)*12</f>
        <v>35724.524198399995</v>
      </c>
      <c r="P25" s="539">
        <v>8.81</v>
      </c>
      <c r="Q25" s="540">
        <v>1</v>
      </c>
      <c r="R25" s="533">
        <v>2</v>
      </c>
      <c r="S25" s="541">
        <f t="shared" ref="S25:S28" si="6">P25*AE$19*C25</f>
        <v>2408.8301999999999</v>
      </c>
      <c r="T25" s="541">
        <f>S25/2*Q25</f>
        <v>1204.4150999999999</v>
      </c>
      <c r="U25" s="541">
        <f>S25*0.3*R25</f>
        <v>1445.2981199999999</v>
      </c>
      <c r="V25" s="542">
        <f>S25+T25+U25</f>
        <v>5058.54342</v>
      </c>
      <c r="W25" s="542">
        <f>V25*12</f>
        <v>60702.52104</v>
      </c>
      <c r="X25" s="535">
        <f>16000*1.25*D25</f>
        <v>58800</v>
      </c>
      <c r="Y25" s="543">
        <f>(7000*2+3500*R25)*C25</f>
        <v>30870</v>
      </c>
      <c r="Z25" s="543">
        <v>30000</v>
      </c>
      <c r="AA25" s="543">
        <v>5600</v>
      </c>
      <c r="AB25" s="544">
        <f>Z25+Y25+X25+W25+O25+AA25</f>
        <v>221697.04523839999</v>
      </c>
      <c r="AC25" s="535">
        <f>(740+(350*3))*C25</f>
        <v>2631.2999999999997</v>
      </c>
      <c r="AD25" s="545">
        <f>5200+4800</f>
        <v>10000</v>
      </c>
      <c r="AE25" s="565">
        <v>3000</v>
      </c>
      <c r="AF25" s="555"/>
      <c r="AG25" s="529">
        <f>+AB25/12*5+AC25+AD25+AE25</f>
        <v>108005.06884933334</v>
      </c>
      <c r="AH25" s="529">
        <f>+AB25/12*7</f>
        <v>129323.27638906667</v>
      </c>
      <c r="AI25" s="532"/>
      <c r="AJ25" s="532"/>
    </row>
    <row r="26" spans="1:36" ht="15.6">
      <c r="A26" s="759"/>
      <c r="B26" s="554"/>
      <c r="C26" s="554"/>
      <c r="D26" s="554"/>
      <c r="E26" s="554"/>
      <c r="F26" s="552"/>
      <c r="G26" s="535"/>
      <c r="H26" s="550"/>
      <c r="I26" s="537"/>
      <c r="J26" s="552"/>
      <c r="K26" s="551"/>
      <c r="L26" s="553"/>
      <c r="M26" s="553"/>
      <c r="N26" s="529"/>
      <c r="O26" s="549">
        <f>SUM(O24:O25)</f>
        <v>71449.04839679999</v>
      </c>
      <c r="P26" s="549"/>
      <c r="Q26" s="549"/>
      <c r="R26" s="549"/>
      <c r="S26" s="541"/>
      <c r="T26" s="549"/>
      <c r="U26" s="549"/>
      <c r="V26" s="549">
        <f>SUM(V24:V25)</f>
        <v>10289.146140000001</v>
      </c>
      <c r="W26" s="549">
        <f t="shared" ref="W26:AA26" si="7">SUM(W24:W25)</f>
        <v>123469.75368000001</v>
      </c>
      <c r="X26" s="549">
        <f t="shared" si="7"/>
        <v>118000</v>
      </c>
      <c r="Y26" s="549">
        <f t="shared" si="7"/>
        <v>62790</v>
      </c>
      <c r="Z26" s="549">
        <f t="shared" si="7"/>
        <v>60600</v>
      </c>
      <c r="AA26" s="549">
        <f t="shared" si="7"/>
        <v>10400</v>
      </c>
      <c r="AB26" s="544">
        <f>+AB24+AB25</f>
        <v>446708.80207680003</v>
      </c>
      <c r="AC26" s="549">
        <f>SUM(AC24:AC25)</f>
        <v>5352.1</v>
      </c>
      <c r="AD26" s="549">
        <f>SUM(AD24:AD25)</f>
        <v>20000</v>
      </c>
      <c r="AE26" s="566">
        <f>SUM(AE24:AE25)</f>
        <v>6000</v>
      </c>
      <c r="AF26" s="555"/>
      <c r="AG26" s="529">
        <f>SUM(AG24:AG25)</f>
        <v>217480.76753200003</v>
      </c>
      <c r="AH26" s="529">
        <f>SUM(AH24:AH25)</f>
        <v>260580.13454479998</v>
      </c>
      <c r="AI26" s="532"/>
      <c r="AJ26" s="532"/>
    </row>
    <row r="27" spans="1:36" ht="15.6">
      <c r="A27" s="761">
        <v>2024</v>
      </c>
      <c r="B27" s="538" t="s">
        <v>621</v>
      </c>
      <c r="C27" s="546">
        <v>1.79</v>
      </c>
      <c r="D27" s="598">
        <v>3.24</v>
      </c>
      <c r="E27" s="533" t="s">
        <v>620</v>
      </c>
      <c r="F27" s="534">
        <v>9.6</v>
      </c>
      <c r="G27" s="535">
        <f t="shared" si="4"/>
        <v>1785.6</v>
      </c>
      <c r="H27" s="536">
        <v>2.8</v>
      </c>
      <c r="I27" s="537">
        <f t="shared" si="5"/>
        <v>520.79999999999995</v>
      </c>
      <c r="J27" s="538">
        <v>18</v>
      </c>
      <c r="K27" s="537">
        <f t="shared" si="0"/>
        <v>321.40800000000002</v>
      </c>
      <c r="L27" s="528">
        <f t="shared" ref="L27:L28" si="8">G27+I27+K27</f>
        <v>2627.8079999999995</v>
      </c>
      <c r="M27" s="528">
        <f t="shared" ref="M27:M28" si="9">L27*1.45%</f>
        <v>38.103215999999989</v>
      </c>
      <c r="N27" s="529">
        <f t="shared" si="3"/>
        <v>311.13246719999995</v>
      </c>
      <c r="O27" s="535">
        <f>(L27+M27+N27)*12</f>
        <v>35724.524198399995</v>
      </c>
      <c r="P27" s="539">
        <v>8.81</v>
      </c>
      <c r="Q27" s="540">
        <v>1</v>
      </c>
      <c r="R27" s="533">
        <v>2</v>
      </c>
      <c r="S27" s="541">
        <f t="shared" si="6"/>
        <v>2933.2014000000004</v>
      </c>
      <c r="T27" s="541">
        <f>S27/2*Q27</f>
        <v>1466.6007000000002</v>
      </c>
      <c r="U27" s="541">
        <f>S27*0.3*R27</f>
        <v>1759.9208400000002</v>
      </c>
      <c r="V27" s="542">
        <f>S27+T27+U27</f>
        <v>6159.7229400000015</v>
      </c>
      <c r="W27" s="542">
        <f>V27*12</f>
        <v>73916.675280000025</v>
      </c>
      <c r="X27" s="535">
        <f>16000*1.25*D27</f>
        <v>64800.000000000007</v>
      </c>
      <c r="Y27" s="542">
        <f>(4635*2+2320*R27)*C27</f>
        <v>24898.9</v>
      </c>
      <c r="Z27" s="542">
        <v>57200</v>
      </c>
      <c r="AA27" s="542">
        <v>3200</v>
      </c>
      <c r="AB27" s="544">
        <f>Z27+Y27+X27+W27+O27+AA27</f>
        <v>259740.09947840002</v>
      </c>
      <c r="AC27" s="535">
        <f>(740+(350*3))*C27</f>
        <v>3204.1</v>
      </c>
      <c r="AD27" s="546">
        <f>4000+1800</f>
        <v>5800</v>
      </c>
      <c r="AE27" s="565">
        <v>3000</v>
      </c>
      <c r="AF27" s="555"/>
      <c r="AG27" s="532"/>
      <c r="AH27" s="529">
        <f>+AB27/12*5+AC27+AD27+AE27</f>
        <v>120229.14144933336</v>
      </c>
      <c r="AI27" s="529">
        <f>+AB27/12*7</f>
        <v>151515.05802906668</v>
      </c>
      <c r="AJ27" s="532"/>
    </row>
    <row r="28" spans="1:36" ht="15.6">
      <c r="A28" s="758"/>
      <c r="B28" s="599" t="s">
        <v>622</v>
      </c>
      <c r="C28" s="546">
        <v>1.51</v>
      </c>
      <c r="D28" s="598">
        <v>1.36</v>
      </c>
      <c r="E28" s="533" t="s">
        <v>620</v>
      </c>
      <c r="F28" s="534">
        <v>9.6</v>
      </c>
      <c r="G28" s="535">
        <f t="shared" si="4"/>
        <v>1785.6</v>
      </c>
      <c r="H28" s="536">
        <v>2.8</v>
      </c>
      <c r="I28" s="537">
        <f t="shared" si="5"/>
        <v>520.79999999999995</v>
      </c>
      <c r="J28" s="538">
        <v>18</v>
      </c>
      <c r="K28" s="537">
        <f t="shared" si="0"/>
        <v>321.40800000000002</v>
      </c>
      <c r="L28" s="528">
        <f t="shared" si="8"/>
        <v>2627.8079999999995</v>
      </c>
      <c r="M28" s="528">
        <f t="shared" si="9"/>
        <v>38.103215999999989</v>
      </c>
      <c r="N28" s="529">
        <f t="shared" si="3"/>
        <v>311.13246719999995</v>
      </c>
      <c r="O28" s="535">
        <f>(L28+M28+N28)*12</f>
        <v>35724.524198399995</v>
      </c>
      <c r="P28" s="539">
        <v>8.81</v>
      </c>
      <c r="Q28" s="533">
        <v>1</v>
      </c>
      <c r="R28" s="533">
        <v>2</v>
      </c>
      <c r="S28" s="541">
        <f t="shared" si="6"/>
        <v>2474.3766000000001</v>
      </c>
      <c r="T28" s="541">
        <f>S28/2*Q28</f>
        <v>1237.1883</v>
      </c>
      <c r="U28" s="541">
        <f>S28*0.3*R28</f>
        <v>1484.6259600000001</v>
      </c>
      <c r="V28" s="542">
        <f>S28+T28+U28</f>
        <v>5196.1908600000006</v>
      </c>
      <c r="W28" s="542">
        <f>V28*12</f>
        <v>62354.290320000007</v>
      </c>
      <c r="X28" s="535">
        <f>16000*1.25*D28</f>
        <v>27200.000000000004</v>
      </c>
      <c r="Y28" s="542">
        <f>(4635*2+2320*R28)*C28</f>
        <v>21004.1</v>
      </c>
      <c r="Z28" s="542">
        <v>22300</v>
      </c>
      <c r="AA28" s="542">
        <v>6400</v>
      </c>
      <c r="AB28" s="544">
        <f>Z28+Y28+X28+W28+O28+AA28</f>
        <v>174982.91451840001</v>
      </c>
      <c r="AC28" s="535">
        <f>(740+(350*3))*C28</f>
        <v>2702.9</v>
      </c>
      <c r="AD28" s="546">
        <f>5200+8000</f>
        <v>13200</v>
      </c>
      <c r="AE28" s="565">
        <v>3000</v>
      </c>
      <c r="AF28" s="555"/>
      <c r="AG28" s="532"/>
      <c r="AH28" s="529">
        <f>+AB28/12*5+AC28+AD28+AE28</f>
        <v>91812.447715999995</v>
      </c>
      <c r="AI28" s="529">
        <f>+AB28/12*7</f>
        <v>102073.36680240001</v>
      </c>
      <c r="AJ28" s="532"/>
    </row>
    <row r="29" spans="1:36" ht="16.2" thickBot="1">
      <c r="A29" s="762"/>
      <c r="B29" s="567"/>
      <c r="C29" s="567"/>
      <c r="D29" s="567"/>
      <c r="E29" s="567"/>
      <c r="F29" s="567"/>
      <c r="G29" s="567"/>
      <c r="H29" s="567"/>
      <c r="I29" s="567"/>
      <c r="J29" s="567"/>
      <c r="K29" s="567"/>
      <c r="L29" s="567"/>
      <c r="M29" s="567"/>
      <c r="N29" s="568"/>
      <c r="O29" s="569">
        <f>SUM(O27:O28)</f>
        <v>71449.04839679999</v>
      </c>
      <c r="P29" s="569"/>
      <c r="Q29" s="569"/>
      <c r="R29" s="569"/>
      <c r="S29" s="569"/>
      <c r="T29" s="569"/>
      <c r="U29" s="569"/>
      <c r="V29" s="569">
        <f>SUM(V27:V28)</f>
        <v>11355.913800000002</v>
      </c>
      <c r="W29" s="569">
        <f t="shared" ref="W29:AA29" si="10">SUM(W27:W28)</f>
        <v>136270.96560000003</v>
      </c>
      <c r="X29" s="569">
        <f t="shared" si="10"/>
        <v>92000.000000000015</v>
      </c>
      <c r="Y29" s="569">
        <f t="shared" si="10"/>
        <v>45903</v>
      </c>
      <c r="Z29" s="569">
        <f t="shared" si="10"/>
        <v>79500</v>
      </c>
      <c r="AA29" s="569">
        <f t="shared" si="10"/>
        <v>9600</v>
      </c>
      <c r="AB29" s="570">
        <f>+AB27+AB28</f>
        <v>434723.01399680006</v>
      </c>
      <c r="AC29" s="569">
        <f>SUM(AC27:AC28)</f>
        <v>5907</v>
      </c>
      <c r="AD29" s="569">
        <f>SUM(AD27:AD28)</f>
        <v>19000</v>
      </c>
      <c r="AE29" s="571">
        <f>SUM(AE27:AE28)</f>
        <v>6000</v>
      </c>
      <c r="AF29" s="555"/>
      <c r="AG29" s="532"/>
      <c r="AH29" s="529">
        <f>SUM(AH27:AH28)</f>
        <v>212041.58916533337</v>
      </c>
      <c r="AI29" s="529">
        <f>SUM(AI27:AI28)</f>
        <v>253588.42483146669</v>
      </c>
      <c r="AJ29" s="532"/>
    </row>
    <row r="30" spans="1:36">
      <c r="AB30" s="32" t="s">
        <v>635</v>
      </c>
      <c r="AF30" s="530">
        <f>+AF23</f>
        <v>0</v>
      </c>
      <c r="AG30" s="530">
        <f>+AG23+AG26</f>
        <v>217480.76753200003</v>
      </c>
      <c r="AH30" s="530">
        <f>+AH26+AH29</f>
        <v>472621.72371013334</v>
      </c>
      <c r="AI30" s="530">
        <f>+AI29</f>
        <v>253588.42483146669</v>
      </c>
      <c r="AJ30" s="531"/>
    </row>
    <row r="31" spans="1:36">
      <c r="AB31" s="32" t="s">
        <v>636</v>
      </c>
      <c r="AG31" s="387">
        <f>+AB23/12*5*1.0276</f>
        <v>0</v>
      </c>
      <c r="AH31" s="387">
        <f>+AB23*1.0276+AB26/12*5</f>
        <v>186128.66753199999</v>
      </c>
      <c r="AI31" s="387">
        <f>+AB23*1.0276+AB26+AB29/12*5</f>
        <v>627843.39124213334</v>
      </c>
      <c r="AJ31" s="472">
        <f>+AB23*1.0276+AB26+AB29</f>
        <v>881431.81607360009</v>
      </c>
    </row>
    <row r="32" spans="1:36" ht="18">
      <c r="B32" s="517" t="s">
        <v>815</v>
      </c>
    </row>
    <row r="33" spans="1:37" ht="19.5" customHeight="1" thickBot="1">
      <c r="AD33" s="403" t="s">
        <v>814</v>
      </c>
      <c r="AE33" s="485">
        <v>186</v>
      </c>
    </row>
    <row r="34" spans="1:37" ht="103.2">
      <c r="A34" s="600" t="s">
        <v>804</v>
      </c>
      <c r="B34" s="610" t="s">
        <v>593</v>
      </c>
      <c r="C34" s="611" t="s">
        <v>594</v>
      </c>
      <c r="D34" s="611" t="s">
        <v>595</v>
      </c>
      <c r="E34" s="612" t="s">
        <v>596</v>
      </c>
      <c r="F34" s="613" t="s">
        <v>597</v>
      </c>
      <c r="G34" s="613" t="s">
        <v>598</v>
      </c>
      <c r="H34" s="613" t="s">
        <v>599</v>
      </c>
      <c r="I34" s="613" t="s">
        <v>600</v>
      </c>
      <c r="J34" s="613" t="s">
        <v>601</v>
      </c>
      <c r="K34" s="613" t="s">
        <v>602</v>
      </c>
      <c r="L34" s="614" t="s">
        <v>603</v>
      </c>
      <c r="M34" s="614" t="s">
        <v>604</v>
      </c>
      <c r="N34" s="559" t="s">
        <v>800</v>
      </c>
      <c r="O34" s="614" t="s">
        <v>605</v>
      </c>
      <c r="P34" s="615" t="s">
        <v>606</v>
      </c>
      <c r="Q34" s="615" t="s">
        <v>607</v>
      </c>
      <c r="R34" s="615" t="s">
        <v>795</v>
      </c>
      <c r="S34" s="615" t="s">
        <v>608</v>
      </c>
      <c r="T34" s="615" t="s">
        <v>609</v>
      </c>
      <c r="U34" s="560" t="s">
        <v>796</v>
      </c>
      <c r="V34" s="614" t="s">
        <v>611</v>
      </c>
      <c r="W34" s="614" t="s">
        <v>612</v>
      </c>
      <c r="X34" s="614" t="s">
        <v>613</v>
      </c>
      <c r="Y34" s="614" t="s">
        <v>614</v>
      </c>
      <c r="Z34" s="614" t="s">
        <v>615</v>
      </c>
      <c r="AA34" s="614" t="s">
        <v>616</v>
      </c>
      <c r="AB34" s="616" t="s">
        <v>634</v>
      </c>
      <c r="AC34" s="617" t="s">
        <v>617</v>
      </c>
      <c r="AD34" s="612" t="s">
        <v>618</v>
      </c>
      <c r="AE34" s="618" t="s">
        <v>619</v>
      </c>
      <c r="AF34" s="605">
        <v>2022</v>
      </c>
      <c r="AG34" s="391">
        <v>2023</v>
      </c>
      <c r="AH34" s="391">
        <v>2024</v>
      </c>
      <c r="AI34" s="391">
        <v>2025</v>
      </c>
      <c r="AJ34" s="626">
        <v>2026</v>
      </c>
    </row>
    <row r="35" spans="1:37" ht="15.6" hidden="1">
      <c r="A35" s="621">
        <v>2022</v>
      </c>
      <c r="B35" s="607"/>
      <c r="C35" s="587"/>
      <c r="D35" s="587"/>
      <c r="E35" s="580"/>
      <c r="F35" s="572"/>
      <c r="G35" s="573"/>
      <c r="H35" s="574"/>
      <c r="I35" s="575"/>
      <c r="J35" s="576"/>
      <c r="K35" s="575"/>
      <c r="L35" s="577"/>
      <c r="M35" s="577"/>
      <c r="N35" s="529"/>
      <c r="O35" s="573"/>
      <c r="P35" s="578"/>
      <c r="Q35" s="579"/>
      <c r="R35" s="580"/>
      <c r="S35" s="581"/>
      <c r="T35" s="581"/>
      <c r="U35" s="581"/>
      <c r="V35" s="582"/>
      <c r="W35" s="582"/>
      <c r="X35" s="573"/>
      <c r="Y35" s="583"/>
      <c r="Z35" s="583"/>
      <c r="AA35" s="583"/>
      <c r="AB35" s="584"/>
      <c r="AC35" s="573"/>
      <c r="AD35" s="585"/>
      <c r="AE35" s="586"/>
      <c r="AF35" s="556"/>
      <c r="AG35" s="389"/>
      <c r="AH35" s="390"/>
      <c r="AI35" s="390"/>
      <c r="AJ35" s="626"/>
      <c r="AK35" s="472"/>
    </row>
    <row r="36" spans="1:37" ht="15.6">
      <c r="A36" s="757">
        <v>2024</v>
      </c>
      <c r="B36" s="608" t="s">
        <v>819</v>
      </c>
      <c r="C36" s="587">
        <v>1.74</v>
      </c>
      <c r="D36" s="609">
        <v>1.6</v>
      </c>
      <c r="E36" s="580" t="s">
        <v>620</v>
      </c>
      <c r="F36" s="572">
        <v>9.6</v>
      </c>
      <c r="G36" s="573">
        <f>+F36*186</f>
        <v>1785.6</v>
      </c>
      <c r="H36" s="574">
        <v>2.8</v>
      </c>
      <c r="I36" s="575">
        <f>+H36*186</f>
        <v>520.79999999999995</v>
      </c>
      <c r="J36" s="576">
        <v>18</v>
      </c>
      <c r="K36" s="575">
        <f t="shared" ref="K36:K38" si="11">G36*J36/100</f>
        <v>321.40800000000002</v>
      </c>
      <c r="L36" s="577">
        <f t="shared" ref="L36:L38" si="12">+G36+I36+K36</f>
        <v>2627.8079999999995</v>
      </c>
      <c r="M36" s="577">
        <f t="shared" ref="M36:M38" si="13">+L36*1.45%</f>
        <v>38.103215999999989</v>
      </c>
      <c r="N36" s="529">
        <f t="shared" ref="N36:N39" si="14">+L36*11.84/100</f>
        <v>311.13246719999995</v>
      </c>
      <c r="O36" s="573">
        <f t="shared" ref="O36:O39" si="15">+(L36+M36+N36)*12</f>
        <v>35724.524198399995</v>
      </c>
      <c r="P36" s="578">
        <v>8.81</v>
      </c>
      <c r="Q36" s="579">
        <v>1</v>
      </c>
      <c r="R36" s="580">
        <v>2</v>
      </c>
      <c r="S36" s="581">
        <f>186*P36*C36</f>
        <v>2851.2683999999999</v>
      </c>
      <c r="T36" s="581">
        <f>+S36/2*Q36</f>
        <v>1425.6342</v>
      </c>
      <c r="U36" s="581">
        <f>+S36*0.3*R36</f>
        <v>1710.7610399999999</v>
      </c>
      <c r="V36" s="582">
        <f>T36+S36+U36</f>
        <v>5987.6636399999988</v>
      </c>
      <c r="W36" s="582">
        <f>+V36*12</f>
        <v>71851.963679999986</v>
      </c>
      <c r="X36" s="573">
        <f>16000*1.25*D36</f>
        <v>32000</v>
      </c>
      <c r="Y36" s="582">
        <f>(4635*2+2320*R36)*C36</f>
        <v>24203.4</v>
      </c>
      <c r="Z36" s="582">
        <v>39500</v>
      </c>
      <c r="AA36" s="582">
        <v>1600</v>
      </c>
      <c r="AB36" s="584">
        <f>+O36+Z36+W36+X36+Y36+AA36</f>
        <v>204879.88787839998</v>
      </c>
      <c r="AC36" s="573">
        <f t="shared" ref="AC36:AC39" si="16">+(740+3*350)*C36</f>
        <v>3114.6</v>
      </c>
      <c r="AD36" s="587">
        <v>3100</v>
      </c>
      <c r="AE36" s="586">
        <v>3000</v>
      </c>
      <c r="AF36" s="556"/>
      <c r="AH36" s="389">
        <f>+(AB36/12*5)+AC36+AD36+AE36</f>
        <v>94581.219949333332</v>
      </c>
      <c r="AI36" s="389">
        <f>+AB36/12*7</f>
        <v>119513.26792906666</v>
      </c>
      <c r="AJ36" s="626"/>
      <c r="AK36" s="472"/>
    </row>
    <row r="37" spans="1:37" ht="15.6">
      <c r="A37" s="758"/>
      <c r="B37" s="607" t="s">
        <v>820</v>
      </c>
      <c r="C37" s="587">
        <v>1.51</v>
      </c>
      <c r="D37" s="587">
        <v>2.0499999999999998</v>
      </c>
      <c r="E37" s="580" t="s">
        <v>620</v>
      </c>
      <c r="F37" s="572">
        <v>9.6</v>
      </c>
      <c r="G37" s="573">
        <f>+F37*186</f>
        <v>1785.6</v>
      </c>
      <c r="H37" s="574">
        <v>2.8</v>
      </c>
      <c r="I37" s="575">
        <f>+H37*186</f>
        <v>520.79999999999995</v>
      </c>
      <c r="J37" s="576">
        <v>18</v>
      </c>
      <c r="K37" s="575">
        <f t="shared" si="11"/>
        <v>321.40800000000002</v>
      </c>
      <c r="L37" s="577">
        <f t="shared" si="12"/>
        <v>2627.8079999999995</v>
      </c>
      <c r="M37" s="577">
        <f t="shared" si="13"/>
        <v>38.103215999999989</v>
      </c>
      <c r="N37" s="529">
        <f t="shared" si="14"/>
        <v>311.13246719999995</v>
      </c>
      <c r="O37" s="573">
        <f t="shared" si="15"/>
        <v>35724.524198399995</v>
      </c>
      <c r="P37" s="578">
        <v>8.81</v>
      </c>
      <c r="Q37" s="579">
        <v>1</v>
      </c>
      <c r="R37" s="580">
        <v>2</v>
      </c>
      <c r="S37" s="581">
        <f>186*P37*C37</f>
        <v>2474.3766000000001</v>
      </c>
      <c r="T37" s="581">
        <f>+S37/2*Q37</f>
        <v>1237.1883</v>
      </c>
      <c r="U37" s="581">
        <f>+S37*0.3*R37</f>
        <v>1484.6259600000001</v>
      </c>
      <c r="V37" s="582">
        <f>T37+S37+U37</f>
        <v>5196.1908600000006</v>
      </c>
      <c r="W37" s="582">
        <f>+V37*12</f>
        <v>62354.290320000007</v>
      </c>
      <c r="X37" s="573">
        <f>16000*1.25*D37</f>
        <v>41000</v>
      </c>
      <c r="Y37" s="583">
        <f>(4635*2+2320*R37)*C37</f>
        <v>21004.1</v>
      </c>
      <c r="Z37" s="583">
        <v>11000</v>
      </c>
      <c r="AA37" s="583">
        <v>1700</v>
      </c>
      <c r="AB37" s="584">
        <f>+O37+Z37+W37+X37+Y37+AA37</f>
        <v>172782.91451840001</v>
      </c>
      <c r="AC37" s="573">
        <f t="shared" si="16"/>
        <v>2702.9</v>
      </c>
      <c r="AD37" s="585">
        <v>3500</v>
      </c>
      <c r="AE37" s="586">
        <v>3000</v>
      </c>
      <c r="AF37" s="556"/>
      <c r="AH37" s="389">
        <f>+(AB37/12*5)+AC37+AD37+AE37</f>
        <v>81195.781049333338</v>
      </c>
      <c r="AI37" s="389">
        <f>+AB37/12*7</f>
        <v>100790.03346906666</v>
      </c>
      <c r="AJ37" s="626"/>
      <c r="AK37" s="472"/>
    </row>
    <row r="38" spans="1:37" ht="15.6">
      <c r="A38" s="758"/>
      <c r="B38" s="607" t="s">
        <v>763</v>
      </c>
      <c r="C38" s="587">
        <v>1.29</v>
      </c>
      <c r="D38" s="587">
        <v>2.0499999999999998</v>
      </c>
      <c r="E38" s="580" t="s">
        <v>620</v>
      </c>
      <c r="F38" s="572">
        <v>9.6</v>
      </c>
      <c r="G38" s="573">
        <f>+F38*186</f>
        <v>1785.6</v>
      </c>
      <c r="H38" s="574">
        <v>2.8</v>
      </c>
      <c r="I38" s="575">
        <f>+H38*186</f>
        <v>520.79999999999995</v>
      </c>
      <c r="J38" s="576">
        <v>18</v>
      </c>
      <c r="K38" s="575">
        <f t="shared" si="11"/>
        <v>321.40800000000002</v>
      </c>
      <c r="L38" s="577">
        <f t="shared" si="12"/>
        <v>2627.8079999999995</v>
      </c>
      <c r="M38" s="577">
        <f t="shared" si="13"/>
        <v>38.103215999999989</v>
      </c>
      <c r="N38" s="529">
        <f t="shared" si="14"/>
        <v>311.13246719999995</v>
      </c>
      <c r="O38" s="573">
        <f t="shared" si="15"/>
        <v>35724.524198399995</v>
      </c>
      <c r="P38" s="578">
        <v>8.81</v>
      </c>
      <c r="Q38" s="579">
        <v>1</v>
      </c>
      <c r="R38" s="580">
        <v>2</v>
      </c>
      <c r="S38" s="581">
        <f>186*P38*C38</f>
        <v>2113.8714</v>
      </c>
      <c r="T38" s="581">
        <f>+S38/2*Q38</f>
        <v>1056.9357</v>
      </c>
      <c r="U38" s="581">
        <f>+S38*0.3*R38</f>
        <v>1268.32284</v>
      </c>
      <c r="V38" s="582">
        <f>T38+S38+U38</f>
        <v>4439.1299399999998</v>
      </c>
      <c r="W38" s="582">
        <f>+V38*12</f>
        <v>53269.559280000001</v>
      </c>
      <c r="X38" s="573">
        <f>16000*1.25*D38</f>
        <v>41000</v>
      </c>
      <c r="Y38" s="582">
        <f>(4635*2+2320*R38)*C38</f>
        <v>17943.900000000001</v>
      </c>
      <c r="Z38" s="583">
        <v>30000</v>
      </c>
      <c r="AA38" s="583">
        <v>1600</v>
      </c>
      <c r="AB38" s="584">
        <f>+O38+Z38+W38+X38+Y38+AA38</f>
        <v>179537.98347840001</v>
      </c>
      <c r="AC38" s="573">
        <f t="shared" si="16"/>
        <v>2309.1</v>
      </c>
      <c r="AD38" s="585">
        <v>2700</v>
      </c>
      <c r="AE38" s="586">
        <v>3000</v>
      </c>
      <c r="AF38" s="556"/>
      <c r="AG38" s="389"/>
      <c r="AH38" s="389">
        <f>+(AB38/12*5)+AC38+AD38+AE38</f>
        <v>82816.593116000004</v>
      </c>
      <c r="AI38" s="389">
        <f>+AB38/12*7</f>
        <v>104730.49036240001</v>
      </c>
      <c r="AJ38" s="626"/>
      <c r="AK38" s="472"/>
    </row>
    <row r="39" spans="1:37" ht="15.6">
      <c r="A39" s="759"/>
      <c r="B39" s="607" t="s">
        <v>764</v>
      </c>
      <c r="C39" s="587">
        <v>1.36</v>
      </c>
      <c r="D39" s="587">
        <v>2.0099999999999998</v>
      </c>
      <c r="E39" s="580" t="s">
        <v>620</v>
      </c>
      <c r="F39" s="572">
        <v>9.6</v>
      </c>
      <c r="G39" s="573">
        <f>+F39*186</f>
        <v>1785.6</v>
      </c>
      <c r="H39" s="574">
        <v>2.8</v>
      </c>
      <c r="I39" s="575">
        <f>+H39*186</f>
        <v>520.79999999999995</v>
      </c>
      <c r="J39" s="576">
        <v>18</v>
      </c>
      <c r="K39" s="575">
        <f>G39*J39/100</f>
        <v>321.40800000000002</v>
      </c>
      <c r="L39" s="577">
        <f>+G39+I39+K39</f>
        <v>2627.8079999999995</v>
      </c>
      <c r="M39" s="577">
        <f>+L39*1.45%</f>
        <v>38.103215999999989</v>
      </c>
      <c r="N39" s="529">
        <f t="shared" si="14"/>
        <v>311.13246719999995</v>
      </c>
      <c r="O39" s="573">
        <f t="shared" si="15"/>
        <v>35724.524198399995</v>
      </c>
      <c r="P39" s="578">
        <v>8.81</v>
      </c>
      <c r="Q39" s="579">
        <v>1</v>
      </c>
      <c r="R39" s="580">
        <v>2</v>
      </c>
      <c r="S39" s="581">
        <f>186*P39*C39</f>
        <v>2228.5776000000001</v>
      </c>
      <c r="T39" s="581">
        <f>+S39/2*Q39</f>
        <v>1114.2888</v>
      </c>
      <c r="U39" s="581">
        <f>+S39*0.3*R39</f>
        <v>1337.1465599999999</v>
      </c>
      <c r="V39" s="582">
        <f>T39+S39+U39</f>
        <v>4680.01296</v>
      </c>
      <c r="W39" s="582">
        <f>+V39*12</f>
        <v>56160.15552</v>
      </c>
      <c r="X39" s="573">
        <f>16000*1.25*D39</f>
        <v>40199.999999999993</v>
      </c>
      <c r="Y39" s="583">
        <f>(4635*2+2320*R39)*C39</f>
        <v>18917.600000000002</v>
      </c>
      <c r="Z39" s="583">
        <v>22200</v>
      </c>
      <c r="AA39" s="583">
        <v>1200</v>
      </c>
      <c r="AB39" s="584">
        <f>+O39+Z39+W39+X39+Y39+AA39</f>
        <v>174402.27971840001</v>
      </c>
      <c r="AC39" s="573">
        <f t="shared" si="16"/>
        <v>2434.4</v>
      </c>
      <c r="AD39" s="585">
        <v>2700</v>
      </c>
      <c r="AE39" s="586">
        <v>3000</v>
      </c>
      <c r="AF39" s="556"/>
      <c r="AG39" s="388"/>
      <c r="AH39" s="389">
        <f>+(AB39/12*5)+AC39+AD39+AE39</f>
        <v>80802.016549333333</v>
      </c>
      <c r="AI39" s="389">
        <f>+AB39/12*7</f>
        <v>101734.66316906667</v>
      </c>
      <c r="AK39" s="472"/>
    </row>
    <row r="40" spans="1:37" ht="16.2" thickBot="1">
      <c r="A40" s="603"/>
      <c r="B40" s="619"/>
      <c r="C40" s="604"/>
      <c r="D40" s="604"/>
      <c r="E40" s="620"/>
      <c r="F40" s="588"/>
      <c r="G40" s="589"/>
      <c r="H40" s="590"/>
      <c r="I40" s="591"/>
      <c r="J40" s="592"/>
      <c r="K40" s="591"/>
      <c r="L40" s="593"/>
      <c r="M40" s="593"/>
      <c r="N40" s="568"/>
      <c r="O40" s="589"/>
      <c r="P40" s="589"/>
      <c r="Q40" s="589"/>
      <c r="R40" s="589"/>
      <c r="S40" s="589"/>
      <c r="T40" s="589"/>
      <c r="U40" s="589"/>
      <c r="V40" s="589"/>
      <c r="W40" s="589"/>
      <c r="X40" s="589"/>
      <c r="Y40" s="589"/>
      <c r="Z40" s="589"/>
      <c r="AA40" s="589"/>
      <c r="AB40" s="594">
        <f>SUM(AB35:AB39)</f>
        <v>731603.06559360004</v>
      </c>
      <c r="AC40" s="589"/>
      <c r="AD40" s="589"/>
      <c r="AE40" s="595"/>
      <c r="AF40" s="606"/>
      <c r="AG40" s="392"/>
      <c r="AH40" s="392"/>
      <c r="AI40" s="392"/>
      <c r="AJ40" s="626"/>
    </row>
    <row r="41" spans="1:37">
      <c r="N41" s="387"/>
      <c r="AB41" s="32" t="s">
        <v>635</v>
      </c>
      <c r="AF41" s="389">
        <f>+AF35</f>
        <v>0</v>
      </c>
      <c r="AG41" s="389">
        <f>SUM(AG35:AG37)</f>
        <v>0</v>
      </c>
      <c r="AH41" s="389">
        <f>SUM(AH36:AH39)</f>
        <v>339395.61066400004</v>
      </c>
      <c r="AI41" s="389">
        <f t="shared" ref="AI41:AJ41" si="17">SUM(AI36:AI39)</f>
        <v>426768.4549296</v>
      </c>
      <c r="AJ41" s="627">
        <f t="shared" si="17"/>
        <v>0</v>
      </c>
      <c r="AK41" s="387"/>
    </row>
    <row r="42" spans="1:37">
      <c r="N42" s="387"/>
      <c r="AB42" s="32" t="s">
        <v>636</v>
      </c>
      <c r="AF42" s="388"/>
      <c r="AG42" s="389">
        <f>AB35/12*5</f>
        <v>0</v>
      </c>
      <c r="AH42" s="389"/>
      <c r="AI42" s="390">
        <f>SUM(AB36:AB39)/12*5</f>
        <v>304834.61066400004</v>
      </c>
      <c r="AJ42" s="628">
        <f>SUM(AB35:AB39)</f>
        <v>731603.06559360004</v>
      </c>
      <c r="AK42" s="472"/>
    </row>
    <row r="43" spans="1:37">
      <c r="N43" s="387"/>
      <c r="AF43" s="387"/>
      <c r="AG43" s="387"/>
      <c r="AH43" s="472"/>
      <c r="AI43" s="472"/>
      <c r="AJ43" s="472"/>
    </row>
    <row r="44" spans="1:37" ht="15.6">
      <c r="B44" s="32" t="s">
        <v>787</v>
      </c>
      <c r="AF44" s="387"/>
      <c r="AG44" s="387"/>
      <c r="AH44" s="472"/>
      <c r="AI44" s="472"/>
      <c r="AJ44" s="472"/>
    </row>
    <row r="45" spans="1:37">
      <c r="AF45" s="387"/>
      <c r="AG45" s="387"/>
      <c r="AH45" s="472"/>
      <c r="AI45" s="472"/>
      <c r="AJ45" s="472"/>
    </row>
    <row r="46" spans="1:37" ht="18">
      <c r="B46" s="517" t="s">
        <v>794</v>
      </c>
    </row>
    <row r="48" spans="1:37" s="714" customFormat="1" ht="15.6">
      <c r="A48" s="710"/>
      <c r="B48" s="710"/>
      <c r="C48" s="755" t="s">
        <v>679</v>
      </c>
      <c r="D48" s="756"/>
      <c r="E48" s="756"/>
      <c r="F48" s="756"/>
      <c r="G48" s="756"/>
      <c r="H48" s="756"/>
      <c r="I48" s="756"/>
      <c r="J48" s="756"/>
      <c r="K48" s="756"/>
      <c r="L48" s="756"/>
      <c r="M48" s="756"/>
      <c r="N48" s="756"/>
      <c r="O48" s="756"/>
      <c r="P48" s="756"/>
      <c r="Q48" s="756"/>
      <c r="R48" s="756"/>
      <c r="S48" s="756"/>
      <c r="T48" s="756"/>
      <c r="U48" s="756"/>
      <c r="V48" s="711"/>
      <c r="W48" s="711"/>
      <c r="X48" s="711"/>
      <c r="Y48" s="711"/>
      <c r="Z48" s="711"/>
      <c r="AA48" s="711"/>
      <c r="AB48" s="711"/>
      <c r="AC48" s="711"/>
      <c r="AD48" s="712"/>
      <c r="AE48" s="712" t="s">
        <v>814</v>
      </c>
      <c r="AF48" s="713">
        <v>186</v>
      </c>
    </row>
    <row r="49" spans="1:36" ht="16.2" thickBot="1">
      <c r="A49" s="402"/>
      <c r="B49" s="402"/>
      <c r="C49" s="402"/>
      <c r="D49" s="760"/>
      <c r="E49" s="760"/>
      <c r="F49" s="760"/>
      <c r="G49" s="760"/>
      <c r="H49" s="760"/>
      <c r="I49" s="760"/>
      <c r="J49" s="760"/>
      <c r="K49" s="760"/>
      <c r="L49" s="404"/>
      <c r="M49" s="405"/>
      <c r="N49" s="402"/>
      <c r="O49" s="402"/>
      <c r="P49" s="402"/>
      <c r="Q49" s="402"/>
      <c r="R49" s="402"/>
      <c r="S49" s="402"/>
      <c r="T49" s="402"/>
      <c r="U49" s="402"/>
      <c r="V49" s="402"/>
      <c r="W49" s="402"/>
      <c r="X49" s="402"/>
      <c r="Y49" s="402"/>
      <c r="Z49" s="402"/>
      <c r="AA49" s="402"/>
      <c r="AB49" s="402"/>
      <c r="AC49" s="402"/>
      <c r="AD49" s="402"/>
      <c r="AE49" s="402"/>
      <c r="AF49" s="402"/>
      <c r="AI49" s="32" t="s">
        <v>679</v>
      </c>
    </row>
    <row r="50" spans="1:36" ht="143.25" customHeight="1" thickBot="1">
      <c r="A50" s="407" t="s">
        <v>639</v>
      </c>
      <c r="B50" s="407" t="s">
        <v>640</v>
      </c>
      <c r="C50" s="407" t="s">
        <v>596</v>
      </c>
      <c r="D50" s="407" t="s">
        <v>641</v>
      </c>
      <c r="E50" s="407" t="s">
        <v>642</v>
      </c>
      <c r="F50" s="407" t="s">
        <v>643</v>
      </c>
      <c r="G50" s="407" t="s">
        <v>644</v>
      </c>
      <c r="H50" s="408" t="s">
        <v>645</v>
      </c>
      <c r="I50" s="408" t="s">
        <v>646</v>
      </c>
      <c r="J50" s="409" t="s">
        <v>647</v>
      </c>
      <c r="K50" s="409" t="s">
        <v>648</v>
      </c>
      <c r="L50" s="410" t="s">
        <v>800</v>
      </c>
      <c r="M50" s="411" t="s">
        <v>649</v>
      </c>
      <c r="N50" s="407" t="s">
        <v>607</v>
      </c>
      <c r="O50" s="407" t="s">
        <v>797</v>
      </c>
      <c r="P50" s="407" t="s">
        <v>799</v>
      </c>
      <c r="Q50" s="410" t="s">
        <v>650</v>
      </c>
      <c r="R50" s="412" t="s">
        <v>608</v>
      </c>
      <c r="S50" s="412" t="s">
        <v>609</v>
      </c>
      <c r="T50" s="412" t="s">
        <v>796</v>
      </c>
      <c r="U50" s="412" t="s">
        <v>798</v>
      </c>
      <c r="V50" s="413" t="s">
        <v>652</v>
      </c>
      <c r="W50" s="414" t="s">
        <v>653</v>
      </c>
      <c r="X50" s="414" t="s">
        <v>654</v>
      </c>
      <c r="Y50" s="414" t="s">
        <v>655</v>
      </c>
      <c r="Z50" s="410" t="s">
        <v>614</v>
      </c>
      <c r="AA50" s="415" t="s">
        <v>656</v>
      </c>
      <c r="AB50" s="415" t="s">
        <v>657</v>
      </c>
      <c r="AC50" s="415" t="s">
        <v>658</v>
      </c>
      <c r="AD50" s="410" t="s">
        <v>659</v>
      </c>
      <c r="AE50" s="410" t="s">
        <v>617</v>
      </c>
      <c r="AF50" s="409" t="s">
        <v>589</v>
      </c>
      <c r="AJ50" s="518" t="s">
        <v>801</v>
      </c>
    </row>
    <row r="51" spans="1:36" ht="15" thickBot="1">
      <c r="A51" s="396">
        <v>2.0099999999999998</v>
      </c>
      <c r="B51" s="396">
        <v>2.82</v>
      </c>
      <c r="C51" s="418" t="s">
        <v>660</v>
      </c>
      <c r="D51" s="419">
        <v>13.7</v>
      </c>
      <c r="E51" s="420">
        <f>D51*$AF$48</f>
        <v>2548.1999999999998</v>
      </c>
      <c r="F51" s="419">
        <v>4</v>
      </c>
      <c r="G51" s="420">
        <f>+F51*$AF$48</f>
        <v>744</v>
      </c>
      <c r="H51" s="422">
        <v>27</v>
      </c>
      <c r="I51" s="423">
        <f>E51*H51/100</f>
        <v>688.0139999999999</v>
      </c>
      <c r="J51" s="424">
        <f>E51+G51+I51</f>
        <v>3980.2139999999999</v>
      </c>
      <c r="K51" s="425">
        <f>J51*0.0145</f>
        <v>57.713103000000004</v>
      </c>
      <c r="L51" s="425">
        <f>J51*0.1184</f>
        <v>471.25733760000003</v>
      </c>
      <c r="M51" s="426">
        <v>11.78</v>
      </c>
      <c r="N51" s="427">
        <v>1</v>
      </c>
      <c r="O51" s="427">
        <v>1</v>
      </c>
      <c r="P51" s="418"/>
      <c r="Q51" s="424">
        <f>R51+S51+T51+U51</f>
        <v>7927.3274399999991</v>
      </c>
      <c r="R51" s="428">
        <f>M51*$AF$48*A51</f>
        <v>4404.0707999999995</v>
      </c>
      <c r="S51" s="420">
        <f t="shared" ref="S51:S57" si="18">R51/2*N51</f>
        <v>2202.0353999999998</v>
      </c>
      <c r="T51" s="420">
        <f t="shared" ref="T51:T57" si="19">R51*0.3*O51</f>
        <v>1321.2212399999999</v>
      </c>
      <c r="U51" s="420">
        <f t="shared" ref="U51:U57" si="20">R51*0.2*P51</f>
        <v>0</v>
      </c>
      <c r="V51" s="424">
        <f t="shared" ref="V51:V57" si="21">(W51+W51*Y51)*B51</f>
        <v>141000</v>
      </c>
      <c r="W51" s="429">
        <v>50000</v>
      </c>
      <c r="X51" s="765"/>
      <c r="Y51" s="766"/>
      <c r="Z51" s="424">
        <f t="shared" ref="Z51:Z54" si="22">SUM(AA51:AC51)*12</f>
        <v>23907.3</v>
      </c>
      <c r="AA51" s="420">
        <v>776.36249999999995</v>
      </c>
      <c r="AB51" s="420">
        <v>1164.9624999999999</v>
      </c>
      <c r="AC51" s="431">
        <v>50.95</v>
      </c>
      <c r="AD51" s="424">
        <v>20000</v>
      </c>
      <c r="AE51" s="424">
        <f>(740+350*(N51+O51))*A51</f>
        <v>2894.3999999999996</v>
      </c>
      <c r="AF51" s="393">
        <f t="shared" ref="AF51:AF57" si="23">(J51+K51+L51+Q51)*12+V51+Z51+AD51+AE51</f>
        <v>337039.84256720002</v>
      </c>
      <c r="AI51" s="398" t="s">
        <v>672</v>
      </c>
      <c r="AJ51" s="397">
        <f>AJ52+AJ53+AJ54</f>
        <v>1634</v>
      </c>
    </row>
    <row r="52" spans="1:36" ht="27.6" thickBot="1">
      <c r="A52" s="396">
        <v>2.0099999999999998</v>
      </c>
      <c r="B52" s="396">
        <v>2.82</v>
      </c>
      <c r="C52" s="418" t="s">
        <v>661</v>
      </c>
      <c r="D52" s="419">
        <v>10.8</v>
      </c>
      <c r="E52" s="420">
        <f t="shared" ref="E52:E54" si="24">D52*$AF$48</f>
        <v>2008.8000000000002</v>
      </c>
      <c r="F52" s="419">
        <v>3.7</v>
      </c>
      <c r="G52" s="420">
        <f t="shared" ref="G52:G53" si="25">+F52*$AF$48</f>
        <v>688.2</v>
      </c>
      <c r="H52" s="422">
        <v>23</v>
      </c>
      <c r="I52" s="423">
        <f t="shared" ref="I52:I54" si="26">E52*H52/100</f>
        <v>462.024</v>
      </c>
      <c r="J52" s="424">
        <f t="shared" ref="J52:J57" si="27">E52+G52+I52</f>
        <v>3159.0239999999999</v>
      </c>
      <c r="K52" s="425">
        <f t="shared" ref="K52:K54" si="28">J52*0.0145</f>
        <v>45.805847999999997</v>
      </c>
      <c r="L52" s="425">
        <f t="shared" ref="L52:L54" si="29">J52*0.1184</f>
        <v>374.02844160000001</v>
      </c>
      <c r="M52" s="426">
        <v>9.75</v>
      </c>
      <c r="N52" s="427">
        <v>1</v>
      </c>
      <c r="O52" s="427">
        <v>1</v>
      </c>
      <c r="P52" s="418"/>
      <c r="Q52" s="424">
        <f t="shared" ref="Q52:Q54" si="30">R52+S52+T52+U52</f>
        <v>6561.2429999999995</v>
      </c>
      <c r="R52" s="428">
        <f t="shared" ref="R52:R57" si="31">M52*$AF$48*A52</f>
        <v>3645.1349999999998</v>
      </c>
      <c r="S52" s="420">
        <f t="shared" si="18"/>
        <v>1822.5674999999999</v>
      </c>
      <c r="T52" s="420">
        <f t="shared" si="19"/>
        <v>1093.5404999999998</v>
      </c>
      <c r="U52" s="420">
        <f t="shared" si="20"/>
        <v>0</v>
      </c>
      <c r="V52" s="424">
        <f t="shared" si="21"/>
        <v>74448</v>
      </c>
      <c r="W52" s="429">
        <v>22000</v>
      </c>
      <c r="X52" s="428">
        <f t="shared" ref="X52:X57" si="32">SUM(N52:P52)</f>
        <v>2</v>
      </c>
      <c r="Y52" s="430">
        <f t="shared" ref="Y52:Y54" si="33">IF(X52=0,0,IF(X52=1,0.15,IF(X52=2,0.2,IF(X52=3,0.25,IF(X52=4,0.3,IF(X52=5,0.35,0))))))</f>
        <v>0.2</v>
      </c>
      <c r="Z52" s="424">
        <f t="shared" si="22"/>
        <v>23907.3</v>
      </c>
      <c r="AA52" s="420">
        <v>776.36249999999995</v>
      </c>
      <c r="AB52" s="420">
        <v>1164.9624999999999</v>
      </c>
      <c r="AC52" s="431">
        <v>50.95</v>
      </c>
      <c r="AD52" s="424">
        <v>20000</v>
      </c>
      <c r="AE52" s="424">
        <f t="shared" ref="AE52:AE54" si="34">(740+350*(N52+O52))*A52</f>
        <v>2894.3999999999996</v>
      </c>
      <c r="AF52" s="393">
        <f t="shared" si="23"/>
        <v>242930.91547519996</v>
      </c>
      <c r="AI52" s="399" t="s">
        <v>669</v>
      </c>
      <c r="AJ52" s="622">
        <v>266.5</v>
      </c>
    </row>
    <row r="53" spans="1:36" ht="15" thickBot="1">
      <c r="A53" s="396">
        <v>2.0099999999999998</v>
      </c>
      <c r="B53" s="396">
        <v>2.82</v>
      </c>
      <c r="C53" s="418" t="s">
        <v>662</v>
      </c>
      <c r="D53" s="419">
        <v>9.6</v>
      </c>
      <c r="E53" s="420">
        <f t="shared" si="24"/>
        <v>1785.6</v>
      </c>
      <c r="F53" s="419">
        <v>2.8</v>
      </c>
      <c r="G53" s="420">
        <f t="shared" si="25"/>
        <v>520.79999999999995</v>
      </c>
      <c r="H53" s="422">
        <v>15</v>
      </c>
      <c r="I53" s="423">
        <f t="shared" si="26"/>
        <v>267.83999999999997</v>
      </c>
      <c r="J53" s="424">
        <f t="shared" si="27"/>
        <v>2574.2399999999998</v>
      </c>
      <c r="K53" s="425">
        <f t="shared" si="28"/>
        <v>37.326479999999997</v>
      </c>
      <c r="L53" s="425">
        <f t="shared" si="29"/>
        <v>304.79001599999998</v>
      </c>
      <c r="M53" s="426">
        <v>8.81</v>
      </c>
      <c r="N53" s="427">
        <v>1</v>
      </c>
      <c r="O53" s="427">
        <v>1</v>
      </c>
      <c r="P53" s="418"/>
      <c r="Q53" s="424">
        <f t="shared" si="30"/>
        <v>5928.6718799999999</v>
      </c>
      <c r="R53" s="428">
        <f t="shared" si="31"/>
        <v>3293.7066</v>
      </c>
      <c r="S53" s="420">
        <f t="shared" si="18"/>
        <v>1646.8533</v>
      </c>
      <c r="T53" s="420">
        <f t="shared" si="19"/>
        <v>988.1119799999999</v>
      </c>
      <c r="U53" s="420">
        <f t="shared" si="20"/>
        <v>0</v>
      </c>
      <c r="V53" s="424">
        <f t="shared" si="21"/>
        <v>54144</v>
      </c>
      <c r="W53" s="429">
        <v>16000</v>
      </c>
      <c r="X53" s="428">
        <f t="shared" si="32"/>
        <v>2</v>
      </c>
      <c r="Y53" s="430">
        <f t="shared" si="33"/>
        <v>0.2</v>
      </c>
      <c r="Z53" s="424">
        <f t="shared" si="22"/>
        <v>23907.3</v>
      </c>
      <c r="AA53" s="420">
        <v>776.36249999999995</v>
      </c>
      <c r="AB53" s="420">
        <v>1164.9624999999999</v>
      </c>
      <c r="AC53" s="431">
        <v>50.95</v>
      </c>
      <c r="AD53" s="424">
        <v>20000</v>
      </c>
      <c r="AE53" s="424">
        <f t="shared" si="34"/>
        <v>2894.3999999999996</v>
      </c>
      <c r="AF53" s="393">
        <f t="shared" si="23"/>
        <v>207086.04051199998</v>
      </c>
      <c r="AI53" s="399" t="s">
        <v>670</v>
      </c>
      <c r="AJ53" s="622">
        <v>722.6</v>
      </c>
    </row>
    <row r="54" spans="1:36" ht="15" thickBot="1">
      <c r="A54" s="396">
        <v>2.0099999999999998</v>
      </c>
      <c r="B54" s="396">
        <v>2.82</v>
      </c>
      <c r="C54" s="418" t="s">
        <v>817</v>
      </c>
      <c r="D54" s="419">
        <v>10.8</v>
      </c>
      <c r="E54" s="420">
        <f t="shared" si="24"/>
        <v>2008.8000000000002</v>
      </c>
      <c r="F54" s="420"/>
      <c r="G54" s="420"/>
      <c r="H54" s="422">
        <v>10</v>
      </c>
      <c r="I54" s="423">
        <f t="shared" si="26"/>
        <v>200.88</v>
      </c>
      <c r="J54" s="424">
        <f t="shared" si="27"/>
        <v>2209.6800000000003</v>
      </c>
      <c r="K54" s="425">
        <f t="shared" si="28"/>
        <v>32.040360000000007</v>
      </c>
      <c r="L54" s="425">
        <f t="shared" si="29"/>
        <v>261.62611200000003</v>
      </c>
      <c r="M54" s="426">
        <v>7.95</v>
      </c>
      <c r="N54" s="427">
        <v>1</v>
      </c>
      <c r="O54" s="427">
        <v>1</v>
      </c>
      <c r="P54" s="418"/>
      <c r="Q54" s="424">
        <f t="shared" si="30"/>
        <v>5349.9366</v>
      </c>
      <c r="R54" s="428">
        <f t="shared" si="31"/>
        <v>2972.1869999999999</v>
      </c>
      <c r="S54" s="420">
        <f t="shared" si="18"/>
        <v>1486.0934999999999</v>
      </c>
      <c r="T54" s="420">
        <f t="shared" si="19"/>
        <v>891.65609999999992</v>
      </c>
      <c r="U54" s="420">
        <f t="shared" si="20"/>
        <v>0</v>
      </c>
      <c r="V54" s="424">
        <f t="shared" si="21"/>
        <v>54144</v>
      </c>
      <c r="W54" s="429">
        <v>16000</v>
      </c>
      <c r="X54" s="428">
        <f t="shared" si="32"/>
        <v>2</v>
      </c>
      <c r="Y54" s="430">
        <f t="shared" si="33"/>
        <v>0.2</v>
      </c>
      <c r="Z54" s="424">
        <f t="shared" si="22"/>
        <v>23907.3</v>
      </c>
      <c r="AA54" s="420">
        <v>776.36249999999995</v>
      </c>
      <c r="AB54" s="420">
        <v>1164.9624999999999</v>
      </c>
      <c r="AC54" s="431">
        <v>50.95</v>
      </c>
      <c r="AD54" s="424">
        <v>20000</v>
      </c>
      <c r="AE54" s="424">
        <f t="shared" si="34"/>
        <v>2894.3999999999996</v>
      </c>
      <c r="AF54" s="393">
        <f t="shared" si="23"/>
        <v>195185.09686399999</v>
      </c>
      <c r="AI54" s="399" t="s">
        <v>671</v>
      </c>
      <c r="AJ54" s="622">
        <v>644.9</v>
      </c>
    </row>
    <row r="55" spans="1:36">
      <c r="A55" s="396">
        <v>2.0099999999999998</v>
      </c>
      <c r="B55" s="396">
        <v>2.82</v>
      </c>
      <c r="C55" s="418" t="s">
        <v>663</v>
      </c>
      <c r="D55" s="419">
        <v>7.59</v>
      </c>
      <c r="E55" s="420">
        <f>D55*$AF$48*A55</f>
        <v>2837.5973999999997</v>
      </c>
      <c r="F55" s="420"/>
      <c r="G55" s="420"/>
      <c r="H55" s="422"/>
      <c r="I55" s="423"/>
      <c r="J55" s="424">
        <f t="shared" si="27"/>
        <v>2837.5973999999997</v>
      </c>
      <c r="K55" s="425">
        <f>J55*0.0217</f>
        <v>61.575863579999996</v>
      </c>
      <c r="L55" s="425"/>
      <c r="M55" s="426"/>
      <c r="N55" s="427"/>
      <c r="O55" s="427"/>
      <c r="P55" s="418"/>
      <c r="Q55" s="424">
        <f>R55+S55+T55+U55</f>
        <v>0</v>
      </c>
      <c r="R55" s="428">
        <f t="shared" si="31"/>
        <v>0</v>
      </c>
      <c r="S55" s="420">
        <f t="shared" si="18"/>
        <v>0</v>
      </c>
      <c r="T55" s="420">
        <f t="shared" si="19"/>
        <v>0</v>
      </c>
      <c r="U55" s="420">
        <f t="shared" si="20"/>
        <v>0</v>
      </c>
      <c r="V55" s="424">
        <f t="shared" si="21"/>
        <v>20439.36</v>
      </c>
      <c r="W55" s="429">
        <f t="shared" ref="W55:W57" si="35">604*12</f>
        <v>7248</v>
      </c>
      <c r="X55" s="428">
        <f t="shared" si="32"/>
        <v>0</v>
      </c>
      <c r="Y55" s="430">
        <f>IF(X55=0,0,IF(X55=1,0.15,IF(X55=2,0.2,IF(X55=3,0.25,IF(X55=4,0.3,IF(X55=5,0.35,0))))))</f>
        <v>0</v>
      </c>
      <c r="Z55" s="424">
        <f>SUM(AA55:AC55)*12</f>
        <v>9316.3499999999985</v>
      </c>
      <c r="AA55" s="420">
        <v>776.36249999999995</v>
      </c>
      <c r="AB55" s="420"/>
      <c r="AC55" s="431"/>
      <c r="AD55" s="424"/>
      <c r="AE55" s="424"/>
      <c r="AF55" s="393">
        <f t="shared" si="23"/>
        <v>64545.789162959991</v>
      </c>
      <c r="AI55" s="447" t="s">
        <v>673</v>
      </c>
      <c r="AJ55" s="623">
        <v>270</v>
      </c>
    </row>
    <row r="56" spans="1:36">
      <c r="A56" s="396">
        <v>2.0099999999999998</v>
      </c>
      <c r="B56" s="396">
        <v>2.82</v>
      </c>
      <c r="C56" s="416" t="s">
        <v>664</v>
      </c>
      <c r="D56" s="419">
        <v>7.59</v>
      </c>
      <c r="E56" s="420">
        <f t="shared" ref="E56:E57" si="36">D56*$AF$48*A56</f>
        <v>2837.5973999999997</v>
      </c>
      <c r="F56" s="420"/>
      <c r="G56" s="420"/>
      <c r="H56" s="422"/>
      <c r="I56" s="423"/>
      <c r="J56" s="424">
        <f t="shared" si="27"/>
        <v>2837.5973999999997</v>
      </c>
      <c r="K56" s="425">
        <f>J56*0.0217</f>
        <v>61.575863579999996</v>
      </c>
      <c r="L56" s="425"/>
      <c r="M56" s="426"/>
      <c r="N56" s="427"/>
      <c r="O56" s="427"/>
      <c r="P56" s="418"/>
      <c r="Q56" s="424">
        <f>R56+S56+T56+U56</f>
        <v>0</v>
      </c>
      <c r="R56" s="428">
        <f t="shared" si="31"/>
        <v>0</v>
      </c>
      <c r="S56" s="420">
        <f t="shared" si="18"/>
        <v>0</v>
      </c>
      <c r="T56" s="420">
        <f t="shared" si="19"/>
        <v>0</v>
      </c>
      <c r="U56" s="420">
        <f t="shared" si="20"/>
        <v>0</v>
      </c>
      <c r="V56" s="424">
        <f t="shared" si="21"/>
        <v>20439.36</v>
      </c>
      <c r="W56" s="429">
        <f t="shared" si="35"/>
        <v>7248</v>
      </c>
      <c r="X56" s="428">
        <f t="shared" si="32"/>
        <v>0</v>
      </c>
      <c r="Y56" s="430">
        <f>IF(X56=0,0,IF(X56=1,0.15,IF(X56=2,0.2,IF(X56=3,0.25,IF(X56=4,0.3,IF(X56=5,0.35,0))))))</f>
        <v>0</v>
      </c>
      <c r="Z56" s="424">
        <f t="shared" ref="Z56:Z57" si="37">SUM(AA56:AC56)*12</f>
        <v>9316.3499999999985</v>
      </c>
      <c r="AA56" s="420">
        <v>776.36249999999995</v>
      </c>
      <c r="AB56" s="420"/>
      <c r="AC56" s="431"/>
      <c r="AD56" s="424"/>
      <c r="AE56" s="424"/>
      <c r="AF56" s="393">
        <f t="shared" si="23"/>
        <v>64545.789162959991</v>
      </c>
      <c r="AI56" s="466" t="s">
        <v>32</v>
      </c>
      <c r="AJ56" s="467">
        <f>AJ55+AJ51</f>
        <v>1904</v>
      </c>
    </row>
    <row r="57" spans="1:36">
      <c r="A57" s="396">
        <v>2.0099999999999998</v>
      </c>
      <c r="B57" s="396">
        <v>2.82</v>
      </c>
      <c r="C57" s="418" t="s">
        <v>665</v>
      </c>
      <c r="D57" s="419">
        <v>7.59</v>
      </c>
      <c r="E57" s="420">
        <f t="shared" si="36"/>
        <v>2837.5973999999997</v>
      </c>
      <c r="F57" s="420"/>
      <c r="G57" s="420"/>
      <c r="H57" s="422"/>
      <c r="I57" s="423"/>
      <c r="J57" s="424">
        <f t="shared" si="27"/>
        <v>2837.5973999999997</v>
      </c>
      <c r="K57" s="425">
        <f>J57*0.0217</f>
        <v>61.575863579999996</v>
      </c>
      <c r="L57" s="425"/>
      <c r="M57" s="426"/>
      <c r="N57" s="427"/>
      <c r="O57" s="427"/>
      <c r="P57" s="418"/>
      <c r="Q57" s="424">
        <f>R57+S57+T57+U57</f>
        <v>0</v>
      </c>
      <c r="R57" s="428">
        <f t="shared" si="31"/>
        <v>0</v>
      </c>
      <c r="S57" s="420">
        <f t="shared" si="18"/>
        <v>0</v>
      </c>
      <c r="T57" s="420">
        <f t="shared" si="19"/>
        <v>0</v>
      </c>
      <c r="U57" s="420">
        <f t="shared" si="20"/>
        <v>0</v>
      </c>
      <c r="V57" s="424">
        <f t="shared" si="21"/>
        <v>20439.36</v>
      </c>
      <c r="W57" s="429">
        <f t="shared" si="35"/>
        <v>7248</v>
      </c>
      <c r="X57" s="428">
        <f t="shared" si="32"/>
        <v>0</v>
      </c>
      <c r="Y57" s="430">
        <f>IF(X57=0,0,IF(X57=1,0.15,IF(X57=2,0.2,IF(X57=3,0.25,IF(X57=4,0.3,IF(X57=5,0.35,0))))))</f>
        <v>0</v>
      </c>
      <c r="Z57" s="424">
        <f t="shared" si="37"/>
        <v>9316.3499999999985</v>
      </c>
      <c r="AA57" s="420">
        <v>776.36249999999995</v>
      </c>
      <c r="AB57" s="420"/>
      <c r="AC57" s="431"/>
      <c r="AD57" s="424"/>
      <c r="AE57" s="424"/>
      <c r="AF57" s="393">
        <f t="shared" si="23"/>
        <v>64545.789162959991</v>
      </c>
      <c r="AI57" s="452"/>
      <c r="AJ57" s="450"/>
    </row>
    <row r="58" spans="1:36">
      <c r="A58" s="433"/>
      <c r="B58" s="433"/>
      <c r="C58" s="433" t="s">
        <v>666</v>
      </c>
      <c r="D58" s="434"/>
      <c r="E58" s="434"/>
      <c r="F58" s="434"/>
      <c r="G58" s="434"/>
      <c r="H58" s="435"/>
      <c r="I58" s="435"/>
      <c r="J58" s="424">
        <f>SUM(J51:J57)</f>
        <v>20435.950199999996</v>
      </c>
      <c r="K58" s="424">
        <f t="shared" ref="K58:L58" si="38">SUM(K51:K57)</f>
        <v>357.61338173999997</v>
      </c>
      <c r="L58" s="424">
        <f t="shared" si="38"/>
        <v>1411.7019071999998</v>
      </c>
      <c r="M58" s="436"/>
      <c r="N58" s="424"/>
      <c r="O58" s="424"/>
      <c r="P58" s="424"/>
      <c r="Q58" s="424">
        <f>SUM(Q51:Q57)</f>
        <v>25767.178919999998</v>
      </c>
      <c r="R58" s="424"/>
      <c r="S58" s="424"/>
      <c r="T58" s="424"/>
      <c r="U58" s="424"/>
      <c r="V58" s="424">
        <f>V60/12</f>
        <v>20337.839999999997</v>
      </c>
      <c r="W58" s="424"/>
      <c r="X58" s="424"/>
      <c r="Y58" s="424"/>
      <c r="Z58" s="424">
        <f>Z60/12</f>
        <v>10298.1875</v>
      </c>
      <c r="AA58" s="424"/>
      <c r="AB58" s="424"/>
      <c r="AC58" s="424"/>
      <c r="AD58" s="424">
        <f>AD60/12</f>
        <v>6666.666666666667</v>
      </c>
      <c r="AE58" s="424"/>
      <c r="AF58" s="394">
        <f>AF60/12</f>
        <v>97989.938575606662</v>
      </c>
      <c r="AI58" s="449" t="s">
        <v>676</v>
      </c>
      <c r="AJ58" s="449">
        <v>10</v>
      </c>
    </row>
    <row r="59" spans="1:36">
      <c r="A59" s="433"/>
      <c r="B59" s="433"/>
      <c r="C59" s="433" t="s">
        <v>667</v>
      </c>
      <c r="D59" s="434"/>
      <c r="E59" s="434"/>
      <c r="F59" s="434"/>
      <c r="G59" s="434"/>
      <c r="H59" s="435"/>
      <c r="I59" s="435"/>
      <c r="J59" s="424">
        <f>J58*3</f>
        <v>61307.850599999991</v>
      </c>
      <c r="K59" s="424">
        <f t="shared" ref="K59:L59" si="39">K58*3</f>
        <v>1072.8401452199998</v>
      </c>
      <c r="L59" s="424">
        <f t="shared" si="39"/>
        <v>4235.105721599999</v>
      </c>
      <c r="M59" s="436"/>
      <c r="N59" s="424"/>
      <c r="O59" s="424"/>
      <c r="P59" s="424"/>
      <c r="Q59" s="424">
        <f>Q58*3</f>
        <v>77301.536759999988</v>
      </c>
      <c r="R59" s="424"/>
      <c r="S59" s="424"/>
      <c r="T59" s="424"/>
      <c r="U59" s="424"/>
      <c r="V59" s="437">
        <f>V60/4</f>
        <v>61013.51999999999</v>
      </c>
      <c r="W59" s="424"/>
      <c r="X59" s="424"/>
      <c r="Y59" s="424"/>
      <c r="Z59" s="424">
        <f>Z60/4</f>
        <v>30894.5625</v>
      </c>
      <c r="AA59" s="424"/>
      <c r="AB59" s="424"/>
      <c r="AC59" s="424"/>
      <c r="AD59" s="424">
        <f>AD60/4</f>
        <v>20000</v>
      </c>
      <c r="AE59" s="424"/>
      <c r="AF59" s="394">
        <f>AF60/4</f>
        <v>293969.81572681997</v>
      </c>
      <c r="AI59" s="449"/>
      <c r="AJ59" s="451"/>
    </row>
    <row r="60" spans="1:36" ht="17.399999999999999">
      <c r="A60" s="444"/>
      <c r="B60" s="444"/>
      <c r="C60" s="439" t="s">
        <v>668</v>
      </c>
      <c r="D60" s="440"/>
      <c r="E60" s="440"/>
      <c r="F60" s="440"/>
      <c r="G60" s="440"/>
      <c r="H60" s="440"/>
      <c r="I60" s="440"/>
      <c r="J60" s="441">
        <f>J58*12</f>
        <v>245231.40239999996</v>
      </c>
      <c r="K60" s="441">
        <f t="shared" ref="K60:L60" si="40">K58*12</f>
        <v>4291.3605808799994</v>
      </c>
      <c r="L60" s="441">
        <f t="shared" si="40"/>
        <v>16940.422886399996</v>
      </c>
      <c r="M60" s="442"/>
      <c r="N60" s="441"/>
      <c r="O60" s="441"/>
      <c r="P60" s="441"/>
      <c r="Q60" s="441">
        <f>Q58*12</f>
        <v>309206.14703999995</v>
      </c>
      <c r="R60" s="439"/>
      <c r="S60" s="439"/>
      <c r="T60" s="439"/>
      <c r="U60" s="439"/>
      <c r="V60" s="443">
        <f>SUM(V52:V57)</f>
        <v>244054.07999999996</v>
      </c>
      <c r="W60" s="441"/>
      <c r="X60" s="441"/>
      <c r="Y60" s="441"/>
      <c r="Z60" s="441">
        <f>SUM(Z51:Z57)</f>
        <v>123578.25</v>
      </c>
      <c r="AA60" s="441"/>
      <c r="AB60" s="441"/>
      <c r="AC60" s="441"/>
      <c r="AD60" s="441">
        <f>SUM(AD51:AD57)</f>
        <v>80000</v>
      </c>
      <c r="AE60" s="441">
        <f>SUM(AE51:AE57)</f>
        <v>11577.599999999999</v>
      </c>
      <c r="AF60" s="395">
        <f>SUM(AF51:AF57)</f>
        <v>1175879.2629072799</v>
      </c>
      <c r="AI60" s="449"/>
      <c r="AJ60" s="451"/>
    </row>
    <row r="61" spans="1:36">
      <c r="AI61" s="449"/>
      <c r="AJ61" s="451"/>
    </row>
    <row r="62" spans="1:36">
      <c r="AI62" s="449"/>
      <c r="AJ62" s="451"/>
    </row>
    <row r="63" spans="1:36">
      <c r="AI63" s="461"/>
      <c r="AJ63" s="451"/>
    </row>
    <row r="64" spans="1:36">
      <c r="AI64" s="461"/>
      <c r="AJ64" s="451"/>
    </row>
    <row r="65" spans="1:36" s="714" customFormat="1" ht="15.6">
      <c r="A65" s="710"/>
      <c r="B65" s="710"/>
      <c r="C65" s="755" t="s">
        <v>680</v>
      </c>
      <c r="D65" s="756"/>
      <c r="E65" s="756"/>
      <c r="F65" s="756"/>
      <c r="G65" s="756"/>
      <c r="H65" s="756"/>
      <c r="I65" s="756"/>
      <c r="J65" s="756"/>
      <c r="K65" s="756"/>
      <c r="L65" s="756"/>
      <c r="M65" s="756"/>
      <c r="N65" s="756"/>
      <c r="O65" s="756"/>
      <c r="P65" s="756"/>
      <c r="Q65" s="756"/>
      <c r="R65" s="756"/>
      <c r="S65" s="756"/>
      <c r="T65" s="756"/>
      <c r="U65" s="756"/>
      <c r="V65" s="756"/>
      <c r="W65" s="711"/>
      <c r="X65" s="711"/>
      <c r="Y65" s="711"/>
      <c r="Z65" s="711"/>
      <c r="AA65" s="711"/>
      <c r="AB65" s="711"/>
      <c r="AC65" s="711"/>
      <c r="AD65" s="711"/>
      <c r="AE65" s="712"/>
      <c r="AF65" s="712" t="s">
        <v>814</v>
      </c>
      <c r="AG65" s="713">
        <v>186</v>
      </c>
      <c r="AI65" s="718"/>
      <c r="AJ65" s="719"/>
    </row>
    <row r="66" spans="1:36" ht="16.2" thickBot="1">
      <c r="A66" s="402"/>
      <c r="B66" s="402"/>
      <c r="C66" s="402"/>
      <c r="D66" s="402"/>
      <c r="E66" s="760"/>
      <c r="F66" s="760"/>
      <c r="G66" s="760"/>
      <c r="H66" s="760"/>
      <c r="I66" s="760"/>
      <c r="J66" s="760"/>
      <c r="K66" s="760"/>
      <c r="L66" s="760"/>
      <c r="M66" s="404"/>
      <c r="N66" s="405"/>
      <c r="O66" s="402"/>
      <c r="P66" s="402"/>
      <c r="Q66" s="402"/>
      <c r="R66" s="402"/>
      <c r="S66" s="402"/>
      <c r="T66" s="402"/>
      <c r="U66" s="402"/>
      <c r="V66" s="402"/>
      <c r="W66" s="402"/>
      <c r="X66" s="402"/>
      <c r="Y66" s="402"/>
      <c r="Z66" s="402"/>
      <c r="AA66" s="402"/>
      <c r="AB66" s="402"/>
      <c r="AC66" s="402"/>
      <c r="AD66" s="402"/>
      <c r="AE66" s="402"/>
      <c r="AF66" s="402"/>
      <c r="AG66" s="402"/>
      <c r="AI66" s="32" t="s">
        <v>680</v>
      </c>
      <c r="AJ66" s="451"/>
    </row>
    <row r="67" spans="1:36" ht="137.25" customHeight="1" thickBot="1">
      <c r="A67" s="407" t="s">
        <v>639</v>
      </c>
      <c r="B67" s="407" t="s">
        <v>640</v>
      </c>
      <c r="C67" s="407" t="s">
        <v>596</v>
      </c>
      <c r="D67" s="407" t="s">
        <v>641</v>
      </c>
      <c r="E67" s="407" t="s">
        <v>642</v>
      </c>
      <c r="F67" s="407" t="s">
        <v>643</v>
      </c>
      <c r="G67" s="407" t="s">
        <v>644</v>
      </c>
      <c r="H67" s="408" t="s">
        <v>645</v>
      </c>
      <c r="I67" s="408" t="s">
        <v>646</v>
      </c>
      <c r="J67" s="409" t="s">
        <v>647</v>
      </c>
      <c r="K67" s="409" t="s">
        <v>648</v>
      </c>
      <c r="L67" s="410" t="s">
        <v>800</v>
      </c>
      <c r="M67" s="411" t="s">
        <v>649</v>
      </c>
      <c r="N67" s="407" t="s">
        <v>607</v>
      </c>
      <c r="O67" s="407" t="s">
        <v>795</v>
      </c>
      <c r="P67" s="412" t="s">
        <v>799</v>
      </c>
      <c r="Q67" s="410" t="s">
        <v>650</v>
      </c>
      <c r="R67" s="412" t="s">
        <v>608</v>
      </c>
      <c r="S67" s="412" t="s">
        <v>609</v>
      </c>
      <c r="T67" s="412" t="s">
        <v>610</v>
      </c>
      <c r="U67" s="412" t="s">
        <v>798</v>
      </c>
      <c r="V67" s="413" t="s">
        <v>652</v>
      </c>
      <c r="W67" s="414" t="s">
        <v>653</v>
      </c>
      <c r="X67" s="414" t="s">
        <v>654</v>
      </c>
      <c r="Y67" s="414" t="s">
        <v>655</v>
      </c>
      <c r="Z67" s="410" t="s">
        <v>614</v>
      </c>
      <c r="AA67" s="415" t="s">
        <v>656</v>
      </c>
      <c r="AB67" s="415" t="s">
        <v>657</v>
      </c>
      <c r="AC67" s="415" t="s">
        <v>658</v>
      </c>
      <c r="AD67" s="410" t="s">
        <v>659</v>
      </c>
      <c r="AE67" s="410" t="s">
        <v>617</v>
      </c>
      <c r="AF67" s="409" t="s">
        <v>589</v>
      </c>
      <c r="AI67" s="461"/>
      <c r="AJ67" s="468" t="s">
        <v>678</v>
      </c>
    </row>
    <row r="68" spans="1:36" ht="15" thickBot="1">
      <c r="A68" s="418">
        <v>1.18</v>
      </c>
      <c r="B68" s="418">
        <v>1.56</v>
      </c>
      <c r="C68" s="418" t="s">
        <v>660</v>
      </c>
      <c r="D68" s="419">
        <v>13.7</v>
      </c>
      <c r="E68" s="420">
        <f>D68*$AG$65</f>
        <v>2548.1999999999998</v>
      </c>
      <c r="F68" s="431">
        <v>4</v>
      </c>
      <c r="G68" s="420">
        <f>F68*$AG$65</f>
        <v>744</v>
      </c>
      <c r="H68" s="422">
        <v>27</v>
      </c>
      <c r="I68" s="423">
        <f>E68*H68/100</f>
        <v>688.0139999999999</v>
      </c>
      <c r="J68" s="424">
        <f>E68+G68+I68</f>
        <v>3980.2139999999999</v>
      </c>
      <c r="K68" s="425">
        <f>J68*0.0145</f>
        <v>57.713103000000004</v>
      </c>
      <c r="L68" s="425">
        <f>J68*0.1184</f>
        <v>471.25733760000003</v>
      </c>
      <c r="M68" s="426">
        <v>11.78</v>
      </c>
      <c r="N68" s="427">
        <v>1</v>
      </c>
      <c r="O68" s="427">
        <v>1</v>
      </c>
      <c r="P68" s="418"/>
      <c r="Q68" s="424">
        <f t="shared" ref="Q68:Q73" si="41">R68+S68+T68+U68</f>
        <v>4653.8539199999996</v>
      </c>
      <c r="R68" s="428">
        <f>M68*$AG$65*A68</f>
        <v>2585.4743999999996</v>
      </c>
      <c r="S68" s="420">
        <f t="shared" ref="S68:S74" si="42">R68/2*N68</f>
        <v>1292.7371999999998</v>
      </c>
      <c r="T68" s="420">
        <f t="shared" ref="T68:T74" si="43">R68*0.3*O68</f>
        <v>775.64231999999981</v>
      </c>
      <c r="U68" s="420">
        <f t="shared" ref="U68:U74" si="44">R68*0.2*P68</f>
        <v>0</v>
      </c>
      <c r="V68" s="424">
        <f t="shared" ref="V68:V74" si="45">(W68+W68*Y68)*B68</f>
        <v>78000</v>
      </c>
      <c r="W68" s="429">
        <v>50000</v>
      </c>
      <c r="X68" s="763"/>
      <c r="Y68" s="764"/>
      <c r="Z68" s="424">
        <f t="shared" ref="Z68:Z74" si="46">SUM(AA68:AC68)*12</f>
        <v>14287.600000000002</v>
      </c>
      <c r="AA68" s="420">
        <v>455.77499999999998</v>
      </c>
      <c r="AB68" s="420">
        <v>683.9083333333333</v>
      </c>
      <c r="AC68" s="431">
        <v>50.95</v>
      </c>
      <c r="AD68" s="424">
        <v>20000</v>
      </c>
      <c r="AE68" s="424">
        <f>(740+350*(N68+O68))*A68</f>
        <v>1699.1999999999998</v>
      </c>
      <c r="AF68" s="393">
        <f>(J68+K68+L68+Q68)*12+V68+Z68+AD68+AE68</f>
        <v>223943.26032720003</v>
      </c>
      <c r="AI68" s="398" t="s">
        <v>672</v>
      </c>
      <c r="AJ68" s="397">
        <f>AJ69+AJ70+AJ71</f>
        <v>1052.0999999999999</v>
      </c>
    </row>
    <row r="69" spans="1:36" ht="27.6" thickBot="1">
      <c r="A69" s="418">
        <v>1.18</v>
      </c>
      <c r="B69" s="418">
        <v>1.56</v>
      </c>
      <c r="C69" s="418" t="s">
        <v>661</v>
      </c>
      <c r="D69" s="419">
        <v>10.8</v>
      </c>
      <c r="E69" s="420">
        <f>D69*$AG$65</f>
        <v>2008.8000000000002</v>
      </c>
      <c r="F69" s="431">
        <v>3.7</v>
      </c>
      <c r="G69" s="420">
        <f>F69*$AG$65</f>
        <v>688.2</v>
      </c>
      <c r="H69" s="422">
        <v>23</v>
      </c>
      <c r="I69" s="423">
        <f t="shared" ref="I69:I71" si="47">E69*H69/100</f>
        <v>462.024</v>
      </c>
      <c r="J69" s="424">
        <f t="shared" ref="J69:J74" si="48">E69+G69+I69</f>
        <v>3159.0239999999999</v>
      </c>
      <c r="K69" s="425">
        <f t="shared" ref="K69:K71" si="49">J69*0.0145</f>
        <v>45.805847999999997</v>
      </c>
      <c r="L69" s="425">
        <f t="shared" ref="L69:L71" si="50">J69*0.1184</f>
        <v>374.02844160000001</v>
      </c>
      <c r="M69" s="426">
        <v>9.75</v>
      </c>
      <c r="N69" s="427">
        <v>1</v>
      </c>
      <c r="O69" s="427">
        <v>1</v>
      </c>
      <c r="P69" s="418"/>
      <c r="Q69" s="424">
        <f t="shared" si="41"/>
        <v>3851.8739999999993</v>
      </c>
      <c r="R69" s="428">
        <f>M69*$AG$65*A69</f>
        <v>2139.9299999999998</v>
      </c>
      <c r="S69" s="420">
        <f t="shared" si="42"/>
        <v>1069.9649999999999</v>
      </c>
      <c r="T69" s="420">
        <f t="shared" si="43"/>
        <v>641.97899999999993</v>
      </c>
      <c r="U69" s="420">
        <f t="shared" si="44"/>
        <v>0</v>
      </c>
      <c r="V69" s="424">
        <f t="shared" si="45"/>
        <v>41184</v>
      </c>
      <c r="W69" s="429">
        <v>22000</v>
      </c>
      <c r="X69" s="428">
        <f t="shared" ref="X69:X74" si="51">SUM(N69:P69)</f>
        <v>2</v>
      </c>
      <c r="Y69" s="430">
        <f t="shared" ref="Y69:Y71" si="52">IF(X69=0,0,IF(X69=1,0.15,IF(X69=2,0.2,IF(X69=3,0.25,IF(X69=4,0.3,IF(X69=5,0.35,0))))))</f>
        <v>0.2</v>
      </c>
      <c r="Z69" s="424">
        <f t="shared" si="46"/>
        <v>14287.600000000002</v>
      </c>
      <c r="AA69" s="420">
        <v>455.77499999999998</v>
      </c>
      <c r="AB69" s="420">
        <v>683.9083333333333</v>
      </c>
      <c r="AC69" s="431">
        <v>50.95</v>
      </c>
      <c r="AD69" s="424">
        <v>20000</v>
      </c>
      <c r="AE69" s="424">
        <f>(740+350*X69)*A69</f>
        <v>1699.1999999999998</v>
      </c>
      <c r="AF69" s="393">
        <f t="shared" ref="AF69:AF74" si="53">(J69+K69+L69+Q69)*12+V69+Z69+AD69+AE69</f>
        <v>166339.58747520001</v>
      </c>
      <c r="AI69" s="399" t="s">
        <v>669</v>
      </c>
      <c r="AJ69" s="400">
        <v>214.7</v>
      </c>
    </row>
    <row r="70" spans="1:36" ht="15" thickBot="1">
      <c r="A70" s="418">
        <v>1.18</v>
      </c>
      <c r="B70" s="418">
        <v>1.56</v>
      </c>
      <c r="C70" s="418" t="s">
        <v>662</v>
      </c>
      <c r="D70" s="419">
        <v>9.6</v>
      </c>
      <c r="E70" s="420">
        <f>D70*$AG$65</f>
        <v>1785.6</v>
      </c>
      <c r="F70" s="431">
        <v>2.8</v>
      </c>
      <c r="G70" s="420">
        <f>F70*$AG$65</f>
        <v>520.79999999999995</v>
      </c>
      <c r="H70" s="422">
        <v>15</v>
      </c>
      <c r="I70" s="423">
        <f t="shared" si="47"/>
        <v>267.83999999999997</v>
      </c>
      <c r="J70" s="424">
        <f t="shared" si="48"/>
        <v>2574.2399999999998</v>
      </c>
      <c r="K70" s="425">
        <f t="shared" si="49"/>
        <v>37.326479999999997</v>
      </c>
      <c r="L70" s="425">
        <f t="shared" si="50"/>
        <v>304.79001599999998</v>
      </c>
      <c r="M70" s="426">
        <v>8.81</v>
      </c>
      <c r="N70" s="427">
        <v>1</v>
      </c>
      <c r="O70" s="427">
        <v>1</v>
      </c>
      <c r="P70" s="418"/>
      <c r="Q70" s="424">
        <f t="shared" si="41"/>
        <v>3480.5138399999996</v>
      </c>
      <c r="R70" s="428">
        <f>M70*$AG$65*A70</f>
        <v>1933.6188</v>
      </c>
      <c r="S70" s="420">
        <f t="shared" si="42"/>
        <v>966.80939999999998</v>
      </c>
      <c r="T70" s="420">
        <f t="shared" si="43"/>
        <v>580.08564000000001</v>
      </c>
      <c r="U70" s="420">
        <f t="shared" si="44"/>
        <v>0</v>
      </c>
      <c r="V70" s="424">
        <f t="shared" si="45"/>
        <v>29952</v>
      </c>
      <c r="W70" s="429">
        <v>16000</v>
      </c>
      <c r="X70" s="428">
        <f t="shared" si="51"/>
        <v>2</v>
      </c>
      <c r="Y70" s="430">
        <f t="shared" si="52"/>
        <v>0.2</v>
      </c>
      <c r="Z70" s="424">
        <f t="shared" si="46"/>
        <v>14287.600000000002</v>
      </c>
      <c r="AA70" s="420">
        <v>455.77499999999998</v>
      </c>
      <c r="AB70" s="420">
        <v>683.9083333333333</v>
      </c>
      <c r="AC70" s="431">
        <v>50.95</v>
      </c>
      <c r="AD70" s="424">
        <v>20000</v>
      </c>
      <c r="AE70" s="424">
        <f>(740+350*X70)*A70</f>
        <v>1699.1999999999998</v>
      </c>
      <c r="AF70" s="393">
        <f t="shared" si="53"/>
        <v>142701.24403200002</v>
      </c>
      <c r="AI70" s="399" t="s">
        <v>670</v>
      </c>
      <c r="AJ70" s="400">
        <v>454.4</v>
      </c>
    </row>
    <row r="71" spans="1:36" ht="15" thickBot="1">
      <c r="A71" s="418">
        <v>1.18</v>
      </c>
      <c r="B71" s="418">
        <v>1.56</v>
      </c>
      <c r="C71" s="418" t="s">
        <v>817</v>
      </c>
      <c r="D71" s="419">
        <v>10.8</v>
      </c>
      <c r="E71" s="420">
        <f>D71*$AG$65</f>
        <v>2008.8000000000002</v>
      </c>
      <c r="F71" s="420"/>
      <c r="G71" s="420"/>
      <c r="H71" s="422">
        <v>10</v>
      </c>
      <c r="I71" s="423">
        <f t="shared" si="47"/>
        <v>200.88</v>
      </c>
      <c r="J71" s="424">
        <f t="shared" si="48"/>
        <v>2209.6800000000003</v>
      </c>
      <c r="K71" s="425">
        <f t="shared" si="49"/>
        <v>32.040360000000007</v>
      </c>
      <c r="L71" s="425">
        <f t="shared" si="50"/>
        <v>261.62611200000003</v>
      </c>
      <c r="M71" s="426">
        <v>7.95</v>
      </c>
      <c r="N71" s="427">
        <v>1</v>
      </c>
      <c r="O71" s="427">
        <v>1</v>
      </c>
      <c r="P71" s="418"/>
      <c r="Q71" s="424">
        <f t="shared" si="41"/>
        <v>3140.7588000000001</v>
      </c>
      <c r="R71" s="428">
        <f>M71*$AG$65*A71</f>
        <v>1744.866</v>
      </c>
      <c r="S71" s="420">
        <f t="shared" si="42"/>
        <v>872.43299999999999</v>
      </c>
      <c r="T71" s="420">
        <f t="shared" si="43"/>
        <v>523.45979999999997</v>
      </c>
      <c r="U71" s="420">
        <f t="shared" si="44"/>
        <v>0</v>
      </c>
      <c r="V71" s="424">
        <f t="shared" si="45"/>
        <v>29952</v>
      </c>
      <c r="W71" s="429">
        <v>16000</v>
      </c>
      <c r="X71" s="428">
        <f t="shared" si="51"/>
        <v>2</v>
      </c>
      <c r="Y71" s="430">
        <f t="shared" si="52"/>
        <v>0.2</v>
      </c>
      <c r="Z71" s="424">
        <f t="shared" si="46"/>
        <v>14287.600000000002</v>
      </c>
      <c r="AA71" s="420">
        <v>455.77499999999998</v>
      </c>
      <c r="AB71" s="420">
        <v>683.9083333333333</v>
      </c>
      <c r="AC71" s="431">
        <v>50.95</v>
      </c>
      <c r="AD71" s="424">
        <v>20000</v>
      </c>
      <c r="AE71" s="424">
        <f>(740+350*X71)*A71</f>
        <v>1699.1999999999998</v>
      </c>
      <c r="AF71" s="393">
        <f t="shared" si="53"/>
        <v>133668.06326400003</v>
      </c>
      <c r="AI71" s="399" t="s">
        <v>671</v>
      </c>
      <c r="AJ71" s="400">
        <v>383</v>
      </c>
    </row>
    <row r="72" spans="1:36">
      <c r="A72" s="418">
        <v>1.03</v>
      </c>
      <c r="B72" s="418">
        <v>1.56</v>
      </c>
      <c r="C72" s="418" t="s">
        <v>663</v>
      </c>
      <c r="D72" s="419">
        <v>7.59</v>
      </c>
      <c r="E72" s="420">
        <f>D72*$AG$65*A72</f>
        <v>1454.0922</v>
      </c>
      <c r="F72" s="420"/>
      <c r="G72" s="420"/>
      <c r="H72" s="422"/>
      <c r="I72" s="423"/>
      <c r="J72" s="424">
        <f t="shared" si="48"/>
        <v>1454.0922</v>
      </c>
      <c r="K72" s="425">
        <f>J72*0.0217</f>
        <v>31.553800740000003</v>
      </c>
      <c r="L72" s="425"/>
      <c r="M72" s="426"/>
      <c r="N72" s="427"/>
      <c r="O72" s="427"/>
      <c r="P72" s="418"/>
      <c r="Q72" s="424">
        <f t="shared" si="41"/>
        <v>0</v>
      </c>
      <c r="R72" s="428"/>
      <c r="S72" s="420"/>
      <c r="T72" s="420"/>
      <c r="U72" s="420"/>
      <c r="V72" s="424">
        <f t="shared" si="45"/>
        <v>4530.24</v>
      </c>
      <c r="W72" s="429">
        <f t="shared" ref="W72:W74" si="54">242*12</f>
        <v>2904</v>
      </c>
      <c r="X72" s="428"/>
      <c r="Y72" s="430"/>
      <c r="Z72" s="424">
        <f t="shared" si="46"/>
        <v>5469.2999999999993</v>
      </c>
      <c r="AA72" s="420">
        <v>455.77499999999998</v>
      </c>
      <c r="AB72" s="420"/>
      <c r="AC72" s="431"/>
      <c r="AD72" s="424"/>
      <c r="AE72" s="424"/>
      <c r="AF72" s="393">
        <f t="shared" si="53"/>
        <v>27827.292008879998</v>
      </c>
      <c r="AI72" s="447" t="s">
        <v>673</v>
      </c>
      <c r="AJ72" s="448">
        <v>270</v>
      </c>
    </row>
    <row r="73" spans="1:36">
      <c r="A73" s="418">
        <v>1.03</v>
      </c>
      <c r="B73" s="418">
        <v>1.56</v>
      </c>
      <c r="C73" s="416" t="s">
        <v>664</v>
      </c>
      <c r="D73" s="419">
        <v>7.59</v>
      </c>
      <c r="E73" s="420">
        <f>D73*$AG$65*A73</f>
        <v>1454.0922</v>
      </c>
      <c r="F73" s="420"/>
      <c r="G73" s="420"/>
      <c r="H73" s="422"/>
      <c r="I73" s="423"/>
      <c r="J73" s="424">
        <f t="shared" si="48"/>
        <v>1454.0922</v>
      </c>
      <c r="K73" s="425">
        <f>J73*0.0217</f>
        <v>31.553800740000003</v>
      </c>
      <c r="L73" s="425"/>
      <c r="M73" s="426"/>
      <c r="N73" s="427"/>
      <c r="O73" s="427"/>
      <c r="P73" s="418"/>
      <c r="Q73" s="424">
        <f t="shared" si="41"/>
        <v>0</v>
      </c>
      <c r="R73" s="428">
        <f>M73*$AG$2*A73</f>
        <v>0</v>
      </c>
      <c r="S73" s="420">
        <f t="shared" si="42"/>
        <v>0</v>
      </c>
      <c r="T73" s="420">
        <f t="shared" si="43"/>
        <v>0</v>
      </c>
      <c r="U73" s="420">
        <f t="shared" si="44"/>
        <v>0</v>
      </c>
      <c r="V73" s="424">
        <f t="shared" si="45"/>
        <v>4530.24</v>
      </c>
      <c r="W73" s="429">
        <f t="shared" si="54"/>
        <v>2904</v>
      </c>
      <c r="X73" s="428">
        <f t="shared" si="51"/>
        <v>0</v>
      </c>
      <c r="Y73" s="430">
        <f>IF(X73=0,0,IF(X73=1,0.15,IF(X73=2,0.2,IF(X73=3,0.25,IF(X73=4,0.3,IF(X73=5,0.35,0))))))</f>
        <v>0</v>
      </c>
      <c r="Z73" s="424">
        <f t="shared" si="46"/>
        <v>5469.2999999999993</v>
      </c>
      <c r="AA73" s="420">
        <v>455.77499999999998</v>
      </c>
      <c r="AB73" s="420"/>
      <c r="AC73" s="431"/>
      <c r="AD73" s="424"/>
      <c r="AE73" s="424"/>
      <c r="AF73" s="393">
        <f t="shared" si="53"/>
        <v>27827.292008879998</v>
      </c>
      <c r="AI73" s="466" t="s">
        <v>32</v>
      </c>
      <c r="AJ73" s="467">
        <f>AJ72+AJ68</f>
        <v>1322.1</v>
      </c>
    </row>
    <row r="74" spans="1:36">
      <c r="A74" s="418">
        <v>1.03</v>
      </c>
      <c r="B74" s="418">
        <v>1.56</v>
      </c>
      <c r="C74" s="418" t="s">
        <v>665</v>
      </c>
      <c r="D74" s="419">
        <v>7.59</v>
      </c>
      <c r="E74" s="420">
        <f>D74*$AG$65*A74</f>
        <v>1454.0922</v>
      </c>
      <c r="F74" s="420"/>
      <c r="G74" s="420"/>
      <c r="H74" s="422"/>
      <c r="I74" s="423"/>
      <c r="J74" s="424">
        <f t="shared" si="48"/>
        <v>1454.0922</v>
      </c>
      <c r="K74" s="425">
        <f>J74*0.0217</f>
        <v>31.553800740000003</v>
      </c>
      <c r="L74" s="425"/>
      <c r="M74" s="426"/>
      <c r="N74" s="427"/>
      <c r="O74" s="427"/>
      <c r="P74" s="418"/>
      <c r="Q74" s="424">
        <f>R74+S74+T74+U74</f>
        <v>0</v>
      </c>
      <c r="R74" s="428">
        <f>M74*$AG$2*A74</f>
        <v>0</v>
      </c>
      <c r="S74" s="420">
        <f t="shared" si="42"/>
        <v>0</v>
      </c>
      <c r="T74" s="420">
        <f t="shared" si="43"/>
        <v>0</v>
      </c>
      <c r="U74" s="420">
        <f t="shared" si="44"/>
        <v>0</v>
      </c>
      <c r="V74" s="424">
        <f t="shared" si="45"/>
        <v>4530.24</v>
      </c>
      <c r="W74" s="429">
        <f t="shared" si="54"/>
        <v>2904</v>
      </c>
      <c r="X74" s="428">
        <f t="shared" si="51"/>
        <v>0</v>
      </c>
      <c r="Y74" s="430">
        <f>IF(X74=0,0,IF(X74=1,0.15,IF(X74=2,0.2,IF(X74=3,0.25,IF(X74=4,0.3,IF(X74=5,0.35,0))))))</f>
        <v>0</v>
      </c>
      <c r="Z74" s="424">
        <f t="shared" si="46"/>
        <v>5469.2999999999993</v>
      </c>
      <c r="AA74" s="420">
        <v>455.77499999999998</v>
      </c>
      <c r="AB74" s="420"/>
      <c r="AC74" s="431"/>
      <c r="AD74" s="424"/>
      <c r="AE74" s="424"/>
      <c r="AF74" s="393">
        <f t="shared" si="53"/>
        <v>27827.292008879998</v>
      </c>
      <c r="AI74" s="453"/>
      <c r="AJ74" s="451"/>
    </row>
    <row r="75" spans="1:36">
      <c r="A75" s="433"/>
      <c r="B75" s="433"/>
      <c r="C75" s="433" t="s">
        <v>666</v>
      </c>
      <c r="D75" s="434"/>
      <c r="E75" s="434"/>
      <c r="F75" s="434"/>
      <c r="G75" s="434"/>
      <c r="H75" s="435"/>
      <c r="I75" s="435"/>
      <c r="J75" s="424">
        <f>SUM(J68:J74)</f>
        <v>16285.434599999997</v>
      </c>
      <c r="K75" s="424">
        <f>SUM(K68:K74)</f>
        <v>267.54719322</v>
      </c>
      <c r="L75" s="424">
        <f>SUM(L68:L74)</f>
        <v>1411.7019071999998</v>
      </c>
      <c r="M75" s="436"/>
      <c r="N75" s="424"/>
      <c r="O75" s="424"/>
      <c r="P75" s="424"/>
      <c r="Q75" s="424">
        <f>SUM(Q68:Q74)</f>
        <v>15127.000559999999</v>
      </c>
      <c r="R75" s="424"/>
      <c r="S75" s="424"/>
      <c r="T75" s="424"/>
      <c r="U75" s="424"/>
      <c r="V75" s="424">
        <f>V77/12</f>
        <v>9556.5600000000013</v>
      </c>
      <c r="W75" s="424"/>
      <c r="X75" s="424"/>
      <c r="Y75" s="424"/>
      <c r="Z75" s="424">
        <f>Z77/12</f>
        <v>6129.8583333333345</v>
      </c>
      <c r="AA75" s="424"/>
      <c r="AB75" s="424"/>
      <c r="AC75" s="424"/>
      <c r="AD75" s="424">
        <f>AD77/12</f>
        <v>6666.666666666667</v>
      </c>
      <c r="AE75" s="424"/>
      <c r="AF75" s="393">
        <f>AF77/12</f>
        <v>62511.169260419992</v>
      </c>
      <c r="AI75" s="449" t="s">
        <v>677</v>
      </c>
      <c r="AJ75" s="449">
        <v>10</v>
      </c>
    </row>
    <row r="76" spans="1:36">
      <c r="A76" s="433"/>
      <c r="B76" s="433"/>
      <c r="C76" s="433" t="s">
        <v>667</v>
      </c>
      <c r="D76" s="434"/>
      <c r="E76" s="434"/>
      <c r="F76" s="434"/>
      <c r="G76" s="434"/>
      <c r="H76" s="435"/>
      <c r="I76" s="435"/>
      <c r="J76" s="424">
        <f>J75*3</f>
        <v>48856.303799999994</v>
      </c>
      <c r="K76" s="424">
        <f t="shared" ref="K76:L76" si="55">K75*3</f>
        <v>802.64157965999993</v>
      </c>
      <c r="L76" s="424">
        <f t="shared" si="55"/>
        <v>4235.105721599999</v>
      </c>
      <c r="M76" s="436"/>
      <c r="N76" s="424"/>
      <c r="O76" s="424"/>
      <c r="P76" s="424"/>
      <c r="Q76" s="424">
        <f>Q75*3</f>
        <v>45381.001679999994</v>
      </c>
      <c r="R76" s="424"/>
      <c r="S76" s="424"/>
      <c r="T76" s="424"/>
      <c r="U76" s="424"/>
      <c r="V76" s="437">
        <f>V77/4</f>
        <v>28669.680000000004</v>
      </c>
      <c r="W76" s="424"/>
      <c r="X76" s="424"/>
      <c r="Y76" s="424"/>
      <c r="Z76" s="424">
        <f>Z77/4</f>
        <v>18389.575000000004</v>
      </c>
      <c r="AA76" s="424"/>
      <c r="AB76" s="424"/>
      <c r="AC76" s="424"/>
      <c r="AD76" s="424">
        <f>AD77/4</f>
        <v>20000</v>
      </c>
      <c r="AE76" s="424"/>
      <c r="AF76" s="393">
        <f>AF77/4</f>
        <v>187533.50778125998</v>
      </c>
    </row>
    <row r="77" spans="1:36" ht="17.399999999999999">
      <c r="A77" s="444"/>
      <c r="B77" s="444"/>
      <c r="C77" s="439" t="s">
        <v>668</v>
      </c>
      <c r="D77" s="440"/>
      <c r="E77" s="440"/>
      <c r="F77" s="440"/>
      <c r="G77" s="440"/>
      <c r="H77" s="440"/>
      <c r="I77" s="440"/>
      <c r="J77" s="441">
        <f>J75*12</f>
        <v>195425.21519999998</v>
      </c>
      <c r="K77" s="441">
        <f t="shared" ref="K77:L77" si="56">K75*12</f>
        <v>3210.5663186399997</v>
      </c>
      <c r="L77" s="441">
        <f t="shared" si="56"/>
        <v>16940.422886399996</v>
      </c>
      <c r="M77" s="442"/>
      <c r="N77" s="441"/>
      <c r="O77" s="441"/>
      <c r="P77" s="441"/>
      <c r="Q77" s="441">
        <f>Q75*12</f>
        <v>181524.00671999998</v>
      </c>
      <c r="R77" s="439"/>
      <c r="S77" s="439"/>
      <c r="T77" s="439"/>
      <c r="U77" s="439"/>
      <c r="V77" s="443">
        <f>SUM(V69:V74)</f>
        <v>114678.72000000002</v>
      </c>
      <c r="W77" s="441"/>
      <c r="X77" s="441"/>
      <c r="Y77" s="441"/>
      <c r="Z77" s="441">
        <f>SUM(Z68:Z74)</f>
        <v>73558.300000000017</v>
      </c>
      <c r="AA77" s="441"/>
      <c r="AB77" s="441"/>
      <c r="AC77" s="441"/>
      <c r="AD77" s="441">
        <f>SUM(AD68:AD74)</f>
        <v>80000</v>
      </c>
      <c r="AE77" s="441">
        <f>SUM(AE68:AE74)</f>
        <v>6796.7999999999993</v>
      </c>
      <c r="AF77" s="395">
        <f>SUM(AF68:AF74)</f>
        <v>750134.03112503991</v>
      </c>
    </row>
    <row r="79" spans="1:36">
      <c r="AD79" s="472"/>
      <c r="AI79" s="454"/>
      <c r="AJ79" s="451"/>
    </row>
    <row r="80" spans="1:36">
      <c r="AI80" s="449"/>
      <c r="AJ80" s="455"/>
    </row>
    <row r="81" spans="1:36">
      <c r="AI81" s="462"/>
      <c r="AJ81" s="457"/>
    </row>
    <row r="82" spans="1:36" s="714" customFormat="1" ht="15.6">
      <c r="A82" s="710"/>
      <c r="B82" s="710"/>
      <c r="C82" s="755" t="s">
        <v>681</v>
      </c>
      <c r="D82" s="756"/>
      <c r="E82" s="756"/>
      <c r="F82" s="756"/>
      <c r="G82" s="756"/>
      <c r="H82" s="756"/>
      <c r="I82" s="756"/>
      <c r="J82" s="756"/>
      <c r="K82" s="756"/>
      <c r="L82" s="756"/>
      <c r="M82" s="756"/>
      <c r="N82" s="756"/>
      <c r="O82" s="756"/>
      <c r="P82" s="756"/>
      <c r="Q82" s="756"/>
      <c r="R82" s="756"/>
      <c r="S82" s="756"/>
      <c r="T82" s="756"/>
      <c r="U82" s="756"/>
      <c r="V82" s="756"/>
      <c r="W82" s="711"/>
      <c r="X82" s="711"/>
      <c r="Y82" s="711"/>
      <c r="Z82" s="711"/>
      <c r="AA82" s="711"/>
      <c r="AB82" s="711"/>
      <c r="AC82" s="711"/>
      <c r="AD82" s="711"/>
      <c r="AE82" s="712"/>
      <c r="AF82" s="712" t="s">
        <v>814</v>
      </c>
      <c r="AG82" s="713">
        <v>186</v>
      </c>
      <c r="AI82" s="717"/>
      <c r="AJ82" s="716"/>
    </row>
    <row r="83" spans="1:36" ht="16.2" thickBot="1">
      <c r="A83" s="402"/>
      <c r="B83" s="402"/>
      <c r="C83" s="402"/>
      <c r="D83" s="402"/>
      <c r="E83" s="760"/>
      <c r="F83" s="760"/>
      <c r="G83" s="760"/>
      <c r="H83" s="760"/>
      <c r="I83" s="760"/>
      <c r="J83" s="760"/>
      <c r="K83" s="760"/>
      <c r="L83" s="760"/>
      <c r="M83" s="404"/>
      <c r="N83" s="405"/>
      <c r="O83" s="402"/>
      <c r="P83" s="402"/>
      <c r="Q83" s="402"/>
      <c r="R83" s="402"/>
      <c r="S83" s="402"/>
      <c r="T83" s="402"/>
      <c r="U83" s="402"/>
      <c r="V83" s="402"/>
      <c r="W83" s="402"/>
      <c r="X83" s="402"/>
      <c r="Y83" s="402"/>
      <c r="Z83" s="402"/>
      <c r="AA83" s="402"/>
      <c r="AB83" s="402"/>
      <c r="AC83" s="402"/>
      <c r="AD83" s="402"/>
      <c r="AE83" s="402"/>
      <c r="AF83" s="402"/>
      <c r="AG83" s="402"/>
      <c r="AI83" s="32" t="s">
        <v>681</v>
      </c>
      <c r="AJ83" s="455"/>
    </row>
    <row r="84" spans="1:36" ht="144.6" thickBot="1">
      <c r="A84" s="407" t="s">
        <v>639</v>
      </c>
      <c r="B84" s="407" t="s">
        <v>640</v>
      </c>
      <c r="C84" s="407" t="s">
        <v>596</v>
      </c>
      <c r="D84" s="407" t="s">
        <v>641</v>
      </c>
      <c r="E84" s="407" t="s">
        <v>642</v>
      </c>
      <c r="F84" s="407" t="s">
        <v>643</v>
      </c>
      <c r="G84" s="407" t="s">
        <v>644</v>
      </c>
      <c r="H84" s="408" t="s">
        <v>645</v>
      </c>
      <c r="I84" s="408" t="s">
        <v>646</v>
      </c>
      <c r="J84" s="409" t="s">
        <v>647</v>
      </c>
      <c r="K84" s="409" t="s">
        <v>648</v>
      </c>
      <c r="L84" s="410" t="s">
        <v>800</v>
      </c>
      <c r="M84" s="411" t="s">
        <v>649</v>
      </c>
      <c r="N84" s="407" t="s">
        <v>607</v>
      </c>
      <c r="O84" s="407" t="s">
        <v>795</v>
      </c>
      <c r="P84" s="407" t="s">
        <v>799</v>
      </c>
      <c r="Q84" s="410" t="s">
        <v>650</v>
      </c>
      <c r="R84" s="412" t="s">
        <v>608</v>
      </c>
      <c r="S84" s="412" t="s">
        <v>609</v>
      </c>
      <c r="T84" s="412" t="s">
        <v>796</v>
      </c>
      <c r="U84" s="412" t="s">
        <v>798</v>
      </c>
      <c r="V84" s="413" t="s">
        <v>652</v>
      </c>
      <c r="W84" s="414" t="s">
        <v>653</v>
      </c>
      <c r="X84" s="414" t="s">
        <v>654</v>
      </c>
      <c r="Y84" s="414" t="s">
        <v>655</v>
      </c>
      <c r="Z84" s="410" t="s">
        <v>614</v>
      </c>
      <c r="AA84" s="415" t="s">
        <v>656</v>
      </c>
      <c r="AB84" s="415" t="s">
        <v>657</v>
      </c>
      <c r="AC84" s="415" t="s">
        <v>658</v>
      </c>
      <c r="AD84" s="410" t="s">
        <v>659</v>
      </c>
      <c r="AE84" s="410" t="s">
        <v>617</v>
      </c>
      <c r="AF84" s="409" t="s">
        <v>589</v>
      </c>
      <c r="AI84" s="456"/>
      <c r="AJ84" s="468" t="s">
        <v>678</v>
      </c>
    </row>
    <row r="85" spans="1:36" ht="15" thickBot="1">
      <c r="A85" s="418">
        <v>1.1000000000000001</v>
      </c>
      <c r="B85" s="418">
        <v>1.1599999999999999</v>
      </c>
      <c r="C85" s="418" t="s">
        <v>660</v>
      </c>
      <c r="D85" s="419">
        <v>13.7</v>
      </c>
      <c r="E85" s="420">
        <f t="shared" ref="E85:E91" si="57">D85*$AG$82</f>
        <v>2548.1999999999998</v>
      </c>
      <c r="F85" s="446">
        <v>4</v>
      </c>
      <c r="G85" s="420">
        <f>F85*$AG$82</f>
        <v>744</v>
      </c>
      <c r="H85" s="422">
        <v>27</v>
      </c>
      <c r="I85" s="423">
        <f>E85*H85/100</f>
        <v>688.0139999999999</v>
      </c>
      <c r="J85" s="424">
        <f>E85+G85+I85</f>
        <v>3980.2139999999999</v>
      </c>
      <c r="K85" s="425">
        <f>J85*0.0145</f>
        <v>57.713103000000004</v>
      </c>
      <c r="L85" s="425">
        <f>J85*0.1184</f>
        <v>471.25733760000003</v>
      </c>
      <c r="M85" s="426">
        <v>11.78</v>
      </c>
      <c r="N85" s="427">
        <v>1</v>
      </c>
      <c r="O85" s="427">
        <v>1</v>
      </c>
      <c r="P85" s="418"/>
      <c r="Q85" s="424">
        <f t="shared" ref="Q85:Q90" si="58">R85+S85+T85+U85</f>
        <v>4338.3384000000005</v>
      </c>
      <c r="R85" s="428">
        <f>M85*$AG$82*A85</f>
        <v>2410.1880000000001</v>
      </c>
      <c r="S85" s="420">
        <f t="shared" ref="S85:S91" si="59">R85/2*N85</f>
        <v>1205.0940000000001</v>
      </c>
      <c r="T85" s="420">
        <f t="shared" ref="T85:T91" si="60">R85*0.3*O85</f>
        <v>723.05640000000005</v>
      </c>
      <c r="U85" s="420">
        <f t="shared" ref="U85:U91" si="61">R85*0.2*P85</f>
        <v>0</v>
      </c>
      <c r="V85" s="424">
        <f t="shared" ref="V85:V91" si="62">(W85+W85*Y85)*B85</f>
        <v>57999.999999999993</v>
      </c>
      <c r="W85" s="429">
        <v>50000</v>
      </c>
      <c r="X85" s="763"/>
      <c r="Y85" s="764"/>
      <c r="Z85" s="424">
        <f t="shared" ref="Z85:Z91" si="63">SUM(AA85:AC85)*12</f>
        <v>13360.400000000001</v>
      </c>
      <c r="AA85" s="420">
        <v>424.87500000000006</v>
      </c>
      <c r="AB85" s="420">
        <v>637.54166666666674</v>
      </c>
      <c r="AC85" s="431">
        <v>50.95</v>
      </c>
      <c r="AD85" s="424">
        <v>20000</v>
      </c>
      <c r="AE85" s="424">
        <f>(740+350*(N85+O85))*A85</f>
        <v>1584.0000000000002</v>
      </c>
      <c r="AF85" s="393">
        <f>(J85+K85+L85+Q85)*12+V85+Z85+AD85+AE85</f>
        <v>199114.67408719999</v>
      </c>
      <c r="AI85" s="398" t="s">
        <v>672</v>
      </c>
      <c r="AJ85" s="397">
        <f>AJ86+AJ87+AJ88</f>
        <v>1047.9000000000001</v>
      </c>
    </row>
    <row r="86" spans="1:36" ht="27.6" thickBot="1">
      <c r="A86" s="418">
        <v>1.1000000000000001</v>
      </c>
      <c r="B86" s="418">
        <v>1.1599999999999999</v>
      </c>
      <c r="C86" s="418" t="s">
        <v>661</v>
      </c>
      <c r="D86" s="419">
        <v>10.8</v>
      </c>
      <c r="E86" s="420">
        <f t="shared" si="57"/>
        <v>2008.8000000000002</v>
      </c>
      <c r="F86" s="446">
        <v>3.7</v>
      </c>
      <c r="G86" s="420">
        <f>F86*$AG$82</f>
        <v>688.2</v>
      </c>
      <c r="H86" s="422">
        <v>23</v>
      </c>
      <c r="I86" s="423">
        <f t="shared" ref="I86:I88" si="64">E86*H86/100</f>
        <v>462.024</v>
      </c>
      <c r="J86" s="424">
        <f t="shared" ref="J86:J91" si="65">E86+G86+I86</f>
        <v>3159.0239999999999</v>
      </c>
      <c r="K86" s="425">
        <f t="shared" ref="K86:K88" si="66">J86*0.0145</f>
        <v>45.805847999999997</v>
      </c>
      <c r="L86" s="425">
        <f t="shared" ref="L86:L88" si="67">J86*0.1184</f>
        <v>374.02844160000001</v>
      </c>
      <c r="M86" s="426">
        <v>9.75</v>
      </c>
      <c r="N86" s="427">
        <v>1</v>
      </c>
      <c r="O86" s="427">
        <v>1</v>
      </c>
      <c r="P86" s="418"/>
      <c r="Q86" s="424">
        <f t="shared" si="58"/>
        <v>3590.73</v>
      </c>
      <c r="R86" s="428">
        <f>M86*$AG$82*A86</f>
        <v>1994.8500000000001</v>
      </c>
      <c r="S86" s="420">
        <f t="shared" si="59"/>
        <v>997.42500000000007</v>
      </c>
      <c r="T86" s="420">
        <f t="shared" si="60"/>
        <v>598.45500000000004</v>
      </c>
      <c r="U86" s="420">
        <f t="shared" si="61"/>
        <v>0</v>
      </c>
      <c r="V86" s="424">
        <f t="shared" si="62"/>
        <v>30623.999999999996</v>
      </c>
      <c r="W86" s="429">
        <v>22000</v>
      </c>
      <c r="X86" s="428">
        <f t="shared" ref="X86:X91" si="68">SUM(N86:P86)</f>
        <v>2</v>
      </c>
      <c r="Y86" s="430">
        <f t="shared" ref="Y86:Y88" si="69">IF(X86=0,0,IF(X86=1,0.15,IF(X86=2,0.2,IF(X86=3,0.25,IF(X86=4,0.3,IF(X86=5,0.35,0))))))</f>
        <v>0.2</v>
      </c>
      <c r="Z86" s="424">
        <f t="shared" si="63"/>
        <v>13360.400000000001</v>
      </c>
      <c r="AA86" s="420">
        <v>424.87500000000006</v>
      </c>
      <c r="AB86" s="420">
        <v>637.54166666666674</v>
      </c>
      <c r="AC86" s="431">
        <v>50.95</v>
      </c>
      <c r="AD86" s="424">
        <v>20000</v>
      </c>
      <c r="AE86" s="424">
        <f>(740+350*X86)*A86</f>
        <v>1584.0000000000002</v>
      </c>
      <c r="AF86" s="393">
        <f t="shared" ref="AF86:AF91" si="70">(J86+K86+L86+Q86)*12+V86+Z86+AD86+AE86</f>
        <v>151603.45947520001</v>
      </c>
      <c r="AI86" s="399" t="s">
        <v>669</v>
      </c>
      <c r="AJ86" s="400">
        <v>213.2</v>
      </c>
    </row>
    <row r="87" spans="1:36" ht="15" thickBot="1">
      <c r="A87" s="418">
        <v>1.1000000000000001</v>
      </c>
      <c r="B87" s="418">
        <v>1.1599999999999999</v>
      </c>
      <c r="C87" s="418" t="s">
        <v>662</v>
      </c>
      <c r="D87" s="419">
        <v>9.6</v>
      </c>
      <c r="E87" s="420">
        <f t="shared" si="57"/>
        <v>1785.6</v>
      </c>
      <c r="F87" s="446">
        <v>2.8</v>
      </c>
      <c r="G87" s="420">
        <f>F87*$AG$82</f>
        <v>520.79999999999995</v>
      </c>
      <c r="H87" s="422">
        <v>15</v>
      </c>
      <c r="I87" s="423">
        <f t="shared" si="64"/>
        <v>267.83999999999997</v>
      </c>
      <c r="J87" s="424">
        <f t="shared" si="65"/>
        <v>2574.2399999999998</v>
      </c>
      <c r="K87" s="425">
        <f t="shared" si="66"/>
        <v>37.326479999999997</v>
      </c>
      <c r="L87" s="425">
        <f t="shared" si="67"/>
        <v>304.79001599999998</v>
      </c>
      <c r="M87" s="426">
        <v>8.81</v>
      </c>
      <c r="N87" s="427">
        <v>1</v>
      </c>
      <c r="O87" s="427">
        <v>1</v>
      </c>
      <c r="P87" s="418"/>
      <c r="Q87" s="424">
        <f t="shared" si="58"/>
        <v>3244.546800000001</v>
      </c>
      <c r="R87" s="428">
        <f>M87*$AG$82*A87</f>
        <v>1802.5260000000003</v>
      </c>
      <c r="S87" s="420">
        <f t="shared" si="59"/>
        <v>901.26300000000015</v>
      </c>
      <c r="T87" s="420">
        <f t="shared" si="60"/>
        <v>540.75780000000009</v>
      </c>
      <c r="U87" s="420">
        <f t="shared" si="61"/>
        <v>0</v>
      </c>
      <c r="V87" s="424">
        <f t="shared" si="62"/>
        <v>22272</v>
      </c>
      <c r="W87" s="429">
        <v>16000</v>
      </c>
      <c r="X87" s="428">
        <f t="shared" si="68"/>
        <v>2</v>
      </c>
      <c r="Y87" s="430">
        <f t="shared" si="69"/>
        <v>0.2</v>
      </c>
      <c r="Z87" s="424">
        <f t="shared" si="63"/>
        <v>13360.400000000001</v>
      </c>
      <c r="AA87" s="420">
        <v>424.87500000000006</v>
      </c>
      <c r="AB87" s="420">
        <v>637.54166666666674</v>
      </c>
      <c r="AC87" s="431">
        <v>50.95</v>
      </c>
      <c r="AD87" s="424">
        <v>20000</v>
      </c>
      <c r="AE87" s="424">
        <f>(740+350*X87)*A87</f>
        <v>1584.0000000000002</v>
      </c>
      <c r="AF87" s="393">
        <f t="shared" si="70"/>
        <v>131147.23955200001</v>
      </c>
      <c r="AI87" s="399" t="s">
        <v>670</v>
      </c>
      <c r="AJ87" s="400">
        <v>425.1</v>
      </c>
    </row>
    <row r="88" spans="1:36" ht="15" thickBot="1">
      <c r="A88" s="418">
        <v>1.1000000000000001</v>
      </c>
      <c r="B88" s="418">
        <v>1.1599999999999999</v>
      </c>
      <c r="C88" s="418" t="s">
        <v>817</v>
      </c>
      <c r="D88" s="419">
        <v>10.8</v>
      </c>
      <c r="E88" s="420">
        <f t="shared" si="57"/>
        <v>2008.8000000000002</v>
      </c>
      <c r="F88" s="420"/>
      <c r="G88" s="420"/>
      <c r="H88" s="422">
        <v>10</v>
      </c>
      <c r="I88" s="423">
        <f t="shared" si="64"/>
        <v>200.88</v>
      </c>
      <c r="J88" s="424">
        <f t="shared" si="65"/>
        <v>2209.6800000000003</v>
      </c>
      <c r="K88" s="425">
        <f t="shared" si="66"/>
        <v>32.040360000000007</v>
      </c>
      <c r="L88" s="425">
        <f t="shared" si="67"/>
        <v>261.62611200000003</v>
      </c>
      <c r="M88" s="426">
        <v>7.95</v>
      </c>
      <c r="N88" s="427">
        <v>1</v>
      </c>
      <c r="O88" s="427">
        <v>1</v>
      </c>
      <c r="P88" s="418"/>
      <c r="Q88" s="424">
        <f t="shared" si="58"/>
        <v>2927.8260000000005</v>
      </c>
      <c r="R88" s="428">
        <f>M88*$AG$82*A88</f>
        <v>1626.5700000000002</v>
      </c>
      <c r="S88" s="420">
        <f t="shared" si="59"/>
        <v>813.28500000000008</v>
      </c>
      <c r="T88" s="420">
        <f t="shared" si="60"/>
        <v>487.971</v>
      </c>
      <c r="U88" s="420">
        <f t="shared" si="61"/>
        <v>0</v>
      </c>
      <c r="V88" s="424">
        <f t="shared" si="62"/>
        <v>22272</v>
      </c>
      <c r="W88" s="429">
        <v>16000</v>
      </c>
      <c r="X88" s="428">
        <f t="shared" si="68"/>
        <v>2</v>
      </c>
      <c r="Y88" s="430">
        <f t="shared" si="69"/>
        <v>0.2</v>
      </c>
      <c r="Z88" s="424">
        <f t="shared" si="63"/>
        <v>13360.400000000001</v>
      </c>
      <c r="AA88" s="420">
        <v>424.87500000000006</v>
      </c>
      <c r="AB88" s="420">
        <v>637.54166666666674</v>
      </c>
      <c r="AC88" s="431">
        <v>50.95</v>
      </c>
      <c r="AD88" s="424">
        <v>20000</v>
      </c>
      <c r="AE88" s="424">
        <f>(740+350*X88)*A88</f>
        <v>1584.0000000000002</v>
      </c>
      <c r="AF88" s="393">
        <f t="shared" si="70"/>
        <v>122390.469664</v>
      </c>
      <c r="AI88" s="399" t="s">
        <v>671</v>
      </c>
      <c r="AJ88" s="400">
        <v>409.6</v>
      </c>
    </row>
    <row r="89" spans="1:36">
      <c r="A89" s="418">
        <v>0.9</v>
      </c>
      <c r="B89" s="418">
        <v>1.1599999999999999</v>
      </c>
      <c r="C89" s="418" t="s">
        <v>663</v>
      </c>
      <c r="D89" s="419">
        <v>7.59</v>
      </c>
      <c r="E89" s="420">
        <f t="shared" si="57"/>
        <v>1411.74</v>
      </c>
      <c r="F89" s="420"/>
      <c r="G89" s="420"/>
      <c r="H89" s="422"/>
      <c r="I89" s="423"/>
      <c r="J89" s="424">
        <f t="shared" si="65"/>
        <v>1411.74</v>
      </c>
      <c r="K89" s="425">
        <f>J89*0.0217</f>
        <v>30.634758000000001</v>
      </c>
      <c r="L89" s="425"/>
      <c r="M89" s="426"/>
      <c r="N89" s="427"/>
      <c r="O89" s="427"/>
      <c r="P89" s="418"/>
      <c r="Q89" s="424">
        <f t="shared" si="58"/>
        <v>0</v>
      </c>
      <c r="R89" s="428"/>
      <c r="S89" s="420"/>
      <c r="T89" s="420"/>
      <c r="U89" s="420"/>
      <c r="V89" s="424">
        <f t="shared" si="62"/>
        <v>6959.9999999999991</v>
      </c>
      <c r="W89" s="429">
        <f t="shared" ref="W89:W91" si="71">500*12</f>
        <v>6000</v>
      </c>
      <c r="X89" s="428"/>
      <c r="Y89" s="430"/>
      <c r="Z89" s="424">
        <f t="shared" si="63"/>
        <v>5098.5000000000009</v>
      </c>
      <c r="AA89" s="420">
        <v>424.87500000000006</v>
      </c>
      <c r="AB89" s="420"/>
      <c r="AC89" s="431"/>
      <c r="AD89" s="424"/>
      <c r="AE89" s="424"/>
      <c r="AF89" s="393">
        <f t="shared" si="70"/>
        <v>29366.997095999999</v>
      </c>
      <c r="AI89" s="447" t="s">
        <v>673</v>
      </c>
      <c r="AJ89" s="448">
        <v>260</v>
      </c>
    </row>
    <row r="90" spans="1:36">
      <c r="A90" s="418">
        <v>0.9</v>
      </c>
      <c r="B90" s="418">
        <v>1.1599999999999999</v>
      </c>
      <c r="C90" s="416" t="s">
        <v>664</v>
      </c>
      <c r="D90" s="419">
        <v>7.59</v>
      </c>
      <c r="E90" s="420">
        <f t="shared" si="57"/>
        <v>1411.74</v>
      </c>
      <c r="F90" s="420"/>
      <c r="G90" s="420"/>
      <c r="H90" s="422"/>
      <c r="I90" s="423"/>
      <c r="J90" s="424">
        <f t="shared" si="65"/>
        <v>1411.74</v>
      </c>
      <c r="K90" s="425">
        <f>J90*0.0217</f>
        <v>30.634758000000001</v>
      </c>
      <c r="L90" s="425"/>
      <c r="M90" s="426"/>
      <c r="N90" s="427"/>
      <c r="O90" s="427"/>
      <c r="P90" s="418"/>
      <c r="Q90" s="424">
        <f t="shared" si="58"/>
        <v>0</v>
      </c>
      <c r="R90" s="428">
        <f>M90*$AG$2*A90</f>
        <v>0</v>
      </c>
      <c r="S90" s="420">
        <f t="shared" si="59"/>
        <v>0</v>
      </c>
      <c r="T90" s="420">
        <f t="shared" si="60"/>
        <v>0</v>
      </c>
      <c r="U90" s="420">
        <f t="shared" si="61"/>
        <v>0</v>
      </c>
      <c r="V90" s="424">
        <f t="shared" si="62"/>
        <v>6959.9999999999991</v>
      </c>
      <c r="W90" s="429">
        <f t="shared" si="71"/>
        <v>6000</v>
      </c>
      <c r="X90" s="428">
        <f t="shared" si="68"/>
        <v>0</v>
      </c>
      <c r="Y90" s="430">
        <f>IF(X90=0,0,IF(X90=1,0.15,IF(X90=2,0.2,IF(X90=3,0.25,IF(X90=4,0.3,IF(X90=5,0.35,0))))))</f>
        <v>0</v>
      </c>
      <c r="Z90" s="424">
        <f t="shared" si="63"/>
        <v>5098.5000000000009</v>
      </c>
      <c r="AA90" s="420">
        <v>424.87500000000006</v>
      </c>
      <c r="AB90" s="420"/>
      <c r="AC90" s="431"/>
      <c r="AD90" s="424"/>
      <c r="AE90" s="424"/>
      <c r="AF90" s="393">
        <f t="shared" si="70"/>
        <v>29366.997095999999</v>
      </c>
      <c r="AI90" s="466" t="s">
        <v>32</v>
      </c>
      <c r="AJ90" s="467">
        <f>AJ89+AJ85</f>
        <v>1307.9000000000001</v>
      </c>
    </row>
    <row r="91" spans="1:36">
      <c r="A91" s="418">
        <v>0.9</v>
      </c>
      <c r="B91" s="418">
        <v>1.1599999999999999</v>
      </c>
      <c r="C91" s="418" t="s">
        <v>665</v>
      </c>
      <c r="D91" s="419">
        <v>7.59</v>
      </c>
      <c r="E91" s="420">
        <f t="shared" si="57"/>
        <v>1411.74</v>
      </c>
      <c r="F91" s="420"/>
      <c r="G91" s="420"/>
      <c r="H91" s="422"/>
      <c r="I91" s="423"/>
      <c r="J91" s="424">
        <f t="shared" si="65"/>
        <v>1411.74</v>
      </c>
      <c r="K91" s="425">
        <f>J91*0.0217</f>
        <v>30.634758000000001</v>
      </c>
      <c r="L91" s="425"/>
      <c r="M91" s="426"/>
      <c r="N91" s="427"/>
      <c r="O91" s="427"/>
      <c r="P91" s="418"/>
      <c r="Q91" s="424">
        <f>R91+S91+T91+U91</f>
        <v>0</v>
      </c>
      <c r="R91" s="428">
        <f>M91*$AG$82*A91</f>
        <v>0</v>
      </c>
      <c r="S91" s="420">
        <f t="shared" si="59"/>
        <v>0</v>
      </c>
      <c r="T91" s="420">
        <f t="shared" si="60"/>
        <v>0</v>
      </c>
      <c r="U91" s="420">
        <f t="shared" si="61"/>
        <v>0</v>
      </c>
      <c r="V91" s="424">
        <f t="shared" si="62"/>
        <v>6959.9999999999991</v>
      </c>
      <c r="W91" s="429">
        <f t="shared" si="71"/>
        <v>6000</v>
      </c>
      <c r="X91" s="428">
        <f t="shared" si="68"/>
        <v>0</v>
      </c>
      <c r="Y91" s="430">
        <f>IF(X91=0,0,IF(X91=1,0.15,IF(X91=2,0.2,IF(X91=3,0.25,IF(X91=4,0.3,IF(X91=5,0.35,0))))))</f>
        <v>0</v>
      </c>
      <c r="Z91" s="424">
        <f t="shared" si="63"/>
        <v>5098.5000000000009</v>
      </c>
      <c r="AA91" s="420">
        <v>424.87500000000006</v>
      </c>
      <c r="AB91" s="420"/>
      <c r="AC91" s="431"/>
      <c r="AD91" s="424"/>
      <c r="AE91" s="424"/>
      <c r="AF91" s="393">
        <f t="shared" si="70"/>
        <v>29366.997095999999</v>
      </c>
      <c r="AI91" s="463"/>
      <c r="AJ91" s="464"/>
    </row>
    <row r="92" spans="1:36">
      <c r="A92" s="433"/>
      <c r="B92" s="433"/>
      <c r="C92" s="433" t="s">
        <v>666</v>
      </c>
      <c r="D92" s="434"/>
      <c r="E92" s="434"/>
      <c r="F92" s="434"/>
      <c r="G92" s="434"/>
      <c r="H92" s="435"/>
      <c r="I92" s="435"/>
      <c r="J92" s="424">
        <f>SUM(J85:J91)</f>
        <v>16158.377999999999</v>
      </c>
      <c r="K92" s="424">
        <f t="shared" ref="K92:L92" si="72">SUM(K85:K91)</f>
        <v>264.79006499999997</v>
      </c>
      <c r="L92" s="424">
        <f t="shared" si="72"/>
        <v>1411.7019071999998</v>
      </c>
      <c r="M92" s="436"/>
      <c r="N92" s="424"/>
      <c r="O92" s="424"/>
      <c r="P92" s="424"/>
      <c r="Q92" s="424">
        <f>SUM(Q85:Q91)</f>
        <v>14101.441200000001</v>
      </c>
      <c r="R92" s="424"/>
      <c r="S92" s="424"/>
      <c r="T92" s="424"/>
      <c r="U92" s="424"/>
      <c r="V92" s="424">
        <f>V94/12</f>
        <v>12837.333333333334</v>
      </c>
      <c r="W92" s="424"/>
      <c r="X92" s="424"/>
      <c r="Y92" s="424"/>
      <c r="Z92" s="424">
        <f>Z94/12</f>
        <v>5728.0916666666672</v>
      </c>
      <c r="AA92" s="424"/>
      <c r="AB92" s="424"/>
      <c r="AC92" s="424"/>
      <c r="AD92" s="424">
        <f>AD94/12</f>
        <v>6666.666666666667</v>
      </c>
      <c r="AE92" s="424"/>
      <c r="AF92" s="394">
        <f>AF94/12</f>
        <v>57696.402838866663</v>
      </c>
      <c r="AI92" s="449" t="s">
        <v>677</v>
      </c>
      <c r="AJ92" s="449">
        <v>90</v>
      </c>
    </row>
    <row r="93" spans="1:36">
      <c r="A93" s="433"/>
      <c r="B93" s="433"/>
      <c r="C93" s="433" t="s">
        <v>667</v>
      </c>
      <c r="D93" s="434"/>
      <c r="E93" s="434"/>
      <c r="F93" s="434"/>
      <c r="G93" s="434"/>
      <c r="H93" s="435"/>
      <c r="I93" s="435"/>
      <c r="J93" s="424">
        <f>J92*3</f>
        <v>48475.133999999998</v>
      </c>
      <c r="K93" s="424">
        <f t="shared" ref="K93:L93" si="73">K92*3</f>
        <v>794.37019499999997</v>
      </c>
      <c r="L93" s="424">
        <f t="shared" si="73"/>
        <v>4235.105721599999</v>
      </c>
      <c r="M93" s="436"/>
      <c r="N93" s="424"/>
      <c r="O93" s="424"/>
      <c r="P93" s="424"/>
      <c r="Q93" s="424">
        <f>Q92*3</f>
        <v>42304.323600000003</v>
      </c>
      <c r="R93" s="424"/>
      <c r="S93" s="424"/>
      <c r="T93" s="424"/>
      <c r="U93" s="424"/>
      <c r="V93" s="437">
        <f>V94/4</f>
        <v>38512</v>
      </c>
      <c r="W93" s="424"/>
      <c r="X93" s="424"/>
      <c r="Y93" s="424"/>
      <c r="Z93" s="424">
        <f>Z94/4</f>
        <v>17184.275000000001</v>
      </c>
      <c r="AA93" s="424"/>
      <c r="AB93" s="424"/>
      <c r="AC93" s="424"/>
      <c r="AD93" s="424">
        <f>AD94/4</f>
        <v>20000</v>
      </c>
      <c r="AE93" s="424"/>
      <c r="AF93" s="394">
        <f>AF94/4</f>
        <v>173089.20851659999</v>
      </c>
      <c r="AI93" s="449"/>
      <c r="AJ93" s="451"/>
    </row>
    <row r="94" spans="1:36" ht="17.399999999999999">
      <c r="A94" s="444"/>
      <c r="B94" s="444"/>
      <c r="C94" s="439" t="s">
        <v>668</v>
      </c>
      <c r="D94" s="440"/>
      <c r="E94" s="440"/>
      <c r="F94" s="440"/>
      <c r="G94" s="440"/>
      <c r="H94" s="440"/>
      <c r="I94" s="440"/>
      <c r="J94" s="441">
        <f>J92*12</f>
        <v>193900.53599999999</v>
      </c>
      <c r="K94" s="441">
        <f t="shared" ref="K94:L94" si="74">K92*12</f>
        <v>3177.4807799999999</v>
      </c>
      <c r="L94" s="441">
        <f t="shared" si="74"/>
        <v>16940.422886399996</v>
      </c>
      <c r="M94" s="442"/>
      <c r="N94" s="441"/>
      <c r="O94" s="441"/>
      <c r="P94" s="441"/>
      <c r="Q94" s="441">
        <f>Q92*12</f>
        <v>169217.29440000001</v>
      </c>
      <c r="R94" s="439"/>
      <c r="S94" s="439"/>
      <c r="T94" s="439"/>
      <c r="U94" s="439"/>
      <c r="V94" s="443">
        <f>SUM(V85:V91)</f>
        <v>154048</v>
      </c>
      <c r="W94" s="441"/>
      <c r="X94" s="441"/>
      <c r="Y94" s="441"/>
      <c r="Z94" s="441">
        <f>SUM(Z85:Z91)</f>
        <v>68737.100000000006</v>
      </c>
      <c r="AA94" s="441"/>
      <c r="AB94" s="441"/>
      <c r="AC94" s="441"/>
      <c r="AD94" s="441">
        <f>SUM(AD85:AD91)</f>
        <v>80000</v>
      </c>
      <c r="AE94" s="441">
        <f>SUM(AE85:AE91)</f>
        <v>6336.0000000000009</v>
      </c>
      <c r="AF94" s="395">
        <f>SUM(D94:AE94)</f>
        <v>692356.83406639996</v>
      </c>
      <c r="AI94" s="449"/>
      <c r="AJ94" s="455"/>
    </row>
    <row r="95" spans="1:36">
      <c r="AI95" s="449"/>
      <c r="AJ95" s="455"/>
    </row>
    <row r="96" spans="1:36">
      <c r="AA96" s="472"/>
      <c r="AI96" s="449"/>
      <c r="AJ96" s="455"/>
    </row>
    <row r="97" spans="1:36">
      <c r="AI97" s="449"/>
      <c r="AJ97" s="455"/>
    </row>
    <row r="98" spans="1:36">
      <c r="AI98" s="449"/>
      <c r="AJ98" s="455"/>
    </row>
    <row r="99" spans="1:36" s="714" customFormat="1" ht="15.6">
      <c r="A99" s="711"/>
      <c r="B99" s="711"/>
      <c r="C99" s="755" t="s">
        <v>682</v>
      </c>
      <c r="D99" s="756"/>
      <c r="E99" s="756"/>
      <c r="F99" s="756"/>
      <c r="G99" s="756"/>
      <c r="H99" s="756"/>
      <c r="I99" s="756"/>
      <c r="J99" s="756"/>
      <c r="K99" s="756"/>
      <c r="L99" s="756"/>
      <c r="M99" s="756"/>
      <c r="N99" s="756"/>
      <c r="O99" s="756"/>
      <c r="P99" s="756"/>
      <c r="Q99" s="756"/>
      <c r="R99" s="756"/>
      <c r="S99" s="756"/>
      <c r="T99" s="756"/>
      <c r="U99" s="756"/>
      <c r="V99" s="756"/>
      <c r="W99" s="711"/>
      <c r="X99" s="711"/>
      <c r="Y99" s="711"/>
      <c r="Z99" s="711"/>
      <c r="AA99" s="711"/>
      <c r="AB99" s="711"/>
      <c r="AC99" s="710"/>
      <c r="AD99" s="711"/>
      <c r="AE99" s="711"/>
      <c r="AF99" s="712" t="s">
        <v>814</v>
      </c>
      <c r="AG99" s="713">
        <v>186</v>
      </c>
      <c r="AI99" s="715"/>
      <c r="AJ99" s="716"/>
    </row>
    <row r="100" spans="1:36" ht="16.2" thickBot="1">
      <c r="A100" s="401"/>
      <c r="B100" s="401"/>
      <c r="C100" s="402"/>
      <c r="D100" s="402"/>
      <c r="E100" s="760"/>
      <c r="F100" s="760"/>
      <c r="G100" s="760"/>
      <c r="H100" s="760"/>
      <c r="I100" s="760"/>
      <c r="J100" s="760"/>
      <c r="K100" s="760"/>
      <c r="L100" s="760"/>
      <c r="M100" s="404"/>
      <c r="N100" s="405"/>
      <c r="O100" s="402"/>
      <c r="P100" s="402"/>
      <c r="Q100" s="402"/>
      <c r="R100" s="402"/>
      <c r="S100" s="402"/>
      <c r="T100" s="402"/>
      <c r="U100" s="402"/>
      <c r="V100" s="402"/>
      <c r="W100" s="402"/>
      <c r="X100" s="402"/>
      <c r="Y100" s="402"/>
      <c r="Z100" s="402"/>
      <c r="AA100" s="402"/>
      <c r="AB100" s="402"/>
      <c r="AC100" s="402"/>
      <c r="AD100" s="402"/>
      <c r="AE100" s="402"/>
      <c r="AF100" s="402"/>
      <c r="AG100" s="402"/>
      <c r="AI100" s="32" t="s">
        <v>682</v>
      </c>
      <c r="AJ100" s="455"/>
    </row>
    <row r="101" spans="1:36" ht="144.6" thickBot="1">
      <c r="A101" s="406" t="s">
        <v>639</v>
      </c>
      <c r="B101" s="406" t="s">
        <v>640</v>
      </c>
      <c r="C101" s="407" t="s">
        <v>596</v>
      </c>
      <c r="D101" s="407" t="s">
        <v>641</v>
      </c>
      <c r="E101" s="407" t="s">
        <v>642</v>
      </c>
      <c r="F101" s="407" t="s">
        <v>643</v>
      </c>
      <c r="G101" s="407" t="s">
        <v>644</v>
      </c>
      <c r="H101" s="408" t="s">
        <v>645</v>
      </c>
      <c r="I101" s="408" t="s">
        <v>646</v>
      </c>
      <c r="J101" s="409" t="s">
        <v>647</v>
      </c>
      <c r="K101" s="409" t="s">
        <v>648</v>
      </c>
      <c r="L101" s="410" t="s">
        <v>800</v>
      </c>
      <c r="M101" s="411" t="s">
        <v>649</v>
      </c>
      <c r="N101" s="407" t="s">
        <v>607</v>
      </c>
      <c r="O101" s="407" t="s">
        <v>795</v>
      </c>
      <c r="P101" s="407" t="s">
        <v>799</v>
      </c>
      <c r="Q101" s="410" t="s">
        <v>650</v>
      </c>
      <c r="R101" s="412" t="s">
        <v>608</v>
      </c>
      <c r="S101" s="412" t="s">
        <v>609</v>
      </c>
      <c r="T101" s="412" t="s">
        <v>796</v>
      </c>
      <c r="U101" s="412" t="s">
        <v>798</v>
      </c>
      <c r="V101" s="413" t="s">
        <v>652</v>
      </c>
      <c r="W101" s="414" t="s">
        <v>653</v>
      </c>
      <c r="X101" s="414" t="s">
        <v>654</v>
      </c>
      <c r="Y101" s="414" t="s">
        <v>655</v>
      </c>
      <c r="Z101" s="410" t="s">
        <v>614</v>
      </c>
      <c r="AA101" s="415" t="s">
        <v>656</v>
      </c>
      <c r="AB101" s="415" t="s">
        <v>657</v>
      </c>
      <c r="AC101" s="415" t="s">
        <v>658</v>
      </c>
      <c r="AD101" s="410" t="s">
        <v>659</v>
      </c>
      <c r="AE101" s="410" t="s">
        <v>617</v>
      </c>
      <c r="AF101" s="409" t="s">
        <v>589</v>
      </c>
      <c r="AI101" s="465"/>
      <c r="AJ101" s="468" t="s">
        <v>678</v>
      </c>
    </row>
    <row r="102" spans="1:36" ht="15" thickBot="1">
      <c r="A102" s="417">
        <v>1.29</v>
      </c>
      <c r="B102" s="417">
        <v>2.0499999999999998</v>
      </c>
      <c r="C102" s="418" t="s">
        <v>660</v>
      </c>
      <c r="D102" s="419">
        <v>13.7</v>
      </c>
      <c r="E102" s="420">
        <f>D102*$AG$99</f>
        <v>2548.1999999999998</v>
      </c>
      <c r="F102" s="421">
        <v>4.3</v>
      </c>
      <c r="G102" s="420">
        <f>F102*$AG$99</f>
        <v>799.8</v>
      </c>
      <c r="H102" s="422">
        <v>17</v>
      </c>
      <c r="I102" s="423">
        <f>E102*H102/100</f>
        <v>433.19399999999996</v>
      </c>
      <c r="J102" s="424">
        <f>E102+G102+I102</f>
        <v>3781.194</v>
      </c>
      <c r="K102" s="425">
        <f>J102*0.0145</f>
        <v>54.827313000000004</v>
      </c>
      <c r="L102" s="425">
        <f>J102*0.1184</f>
        <v>447.69336960000004</v>
      </c>
      <c r="M102" s="426">
        <v>11.78</v>
      </c>
      <c r="N102" s="427">
        <v>1</v>
      </c>
      <c r="O102" s="427">
        <v>1</v>
      </c>
      <c r="P102" s="418"/>
      <c r="Q102" s="424">
        <f>R102+S102+T102+U102</f>
        <v>5087.6877599999989</v>
      </c>
      <c r="R102" s="428">
        <f>M102*$AG$99*A102</f>
        <v>2826.4931999999999</v>
      </c>
      <c r="S102" s="420">
        <f t="shared" ref="S102:S105" si="75">R102/2*N102</f>
        <v>1413.2465999999999</v>
      </c>
      <c r="T102" s="420">
        <f t="shared" ref="T102:T105" si="76">R102*0.3*O102</f>
        <v>847.94795999999997</v>
      </c>
      <c r="U102" s="420">
        <f t="shared" ref="U102:U107" si="77">R102*0.2*P102</f>
        <v>0</v>
      </c>
      <c r="V102" s="445">
        <f t="shared" ref="V102:V107" si="78">(W102+W102*Y102)*B102</f>
        <v>102499.99999999999</v>
      </c>
      <c r="W102" s="429">
        <v>50000</v>
      </c>
      <c r="X102" s="763"/>
      <c r="Y102" s="764"/>
      <c r="Z102" s="424">
        <f>SUM(AA102:AC102)*12</f>
        <v>15562.5</v>
      </c>
      <c r="AA102" s="420">
        <f>4635/12*A102</f>
        <v>498.26249999999999</v>
      </c>
      <c r="AB102" s="420">
        <f>(4635+2320)/12*A102</f>
        <v>747.66250000000002</v>
      </c>
      <c r="AC102" s="431">
        <v>50.95</v>
      </c>
      <c r="AD102" s="424">
        <v>9600</v>
      </c>
      <c r="AE102" s="424">
        <f>(740+350*(N102+O102))*A102</f>
        <v>1857.6000000000001</v>
      </c>
      <c r="AF102" s="393">
        <f>(J102+K102+L102+Q102)*12+V102+Z102+AD102+AE102</f>
        <v>241976.92931119999</v>
      </c>
      <c r="AI102" s="398" t="s">
        <v>672</v>
      </c>
      <c r="AJ102" s="397">
        <f>AJ103+AJ104+AJ105</f>
        <v>1080.2</v>
      </c>
    </row>
    <row r="103" spans="1:36" ht="27.6" thickBot="1">
      <c r="A103" s="417">
        <v>1.29</v>
      </c>
      <c r="B103" s="417">
        <v>2.0499999999999998</v>
      </c>
      <c r="C103" s="418" t="s">
        <v>661</v>
      </c>
      <c r="D103" s="419">
        <v>10.8</v>
      </c>
      <c r="E103" s="420">
        <f>D103*$AG$99</f>
        <v>2008.8000000000002</v>
      </c>
      <c r="F103" s="421">
        <v>3.7</v>
      </c>
      <c r="G103" s="420">
        <f t="shared" ref="G103:G104" si="79">F103*$AG$99</f>
        <v>688.2</v>
      </c>
      <c r="H103" s="422">
        <v>14</v>
      </c>
      <c r="I103" s="423">
        <f t="shared" ref="I103:I105" si="80">E103*H103/100</f>
        <v>281.23200000000003</v>
      </c>
      <c r="J103" s="424">
        <f t="shared" ref="J103:J107" si="81">E103+G103+I103</f>
        <v>2978.232</v>
      </c>
      <c r="K103" s="425">
        <f t="shared" ref="K103:K105" si="82">J103*0.0145</f>
        <v>43.184364000000002</v>
      </c>
      <c r="L103" s="425">
        <f t="shared" ref="L103:L105" si="83">J103*0.1184</f>
        <v>352.62266879999999</v>
      </c>
      <c r="M103" s="426">
        <v>9.75</v>
      </c>
      <c r="N103" s="427">
        <v>1</v>
      </c>
      <c r="O103" s="427">
        <v>1</v>
      </c>
      <c r="P103" s="418"/>
      <c r="Q103" s="424">
        <f t="shared" ref="Q103:Q105" si="84">R103+S103+T103+U103</f>
        <v>4210.9470000000001</v>
      </c>
      <c r="R103" s="428">
        <f>M103*$AG$99*A103</f>
        <v>2339.415</v>
      </c>
      <c r="S103" s="420">
        <f t="shared" si="75"/>
        <v>1169.7075</v>
      </c>
      <c r="T103" s="420">
        <f t="shared" si="76"/>
        <v>701.82449999999994</v>
      </c>
      <c r="U103" s="420">
        <f t="shared" si="77"/>
        <v>0</v>
      </c>
      <c r="V103" s="424">
        <f t="shared" si="78"/>
        <v>54119.999999999993</v>
      </c>
      <c r="W103" s="429">
        <v>22000</v>
      </c>
      <c r="X103" s="428">
        <f t="shared" ref="X103:X105" si="85">SUM(N103:P103)</f>
        <v>2</v>
      </c>
      <c r="Y103" s="430">
        <f t="shared" ref="Y103:Y107" si="86">IF(X103=0,0,IF(X103=1,0.15,IF(X103=2,0.2,IF(X103=3,0.25,IF(X103=4,0.3,IF(X103=5,0.35,0))))))</f>
        <v>0.2</v>
      </c>
      <c r="Z103" s="424">
        <f t="shared" ref="Z103:Z107" si="87">SUM(AA103:AC103)*12</f>
        <v>15562.5</v>
      </c>
      <c r="AA103" s="420">
        <f t="shared" ref="AA103:AA107" si="88">4635/12*A103</f>
        <v>498.26249999999999</v>
      </c>
      <c r="AB103" s="420">
        <f t="shared" ref="AB103:AB105" si="89">(4635+2320)/12*A103</f>
        <v>747.66250000000002</v>
      </c>
      <c r="AC103" s="431">
        <v>50.95</v>
      </c>
      <c r="AD103" s="424">
        <v>9600</v>
      </c>
      <c r="AE103" s="424">
        <f>(740+350*X103)*A103</f>
        <v>1857.6000000000001</v>
      </c>
      <c r="AF103" s="393">
        <f t="shared" ref="AF103:AF107" si="90">(J103+K103+L103+Q103)*12+V103+Z103+AD103+AE103</f>
        <v>172159.9323936</v>
      </c>
      <c r="AI103" s="399" t="s">
        <v>669</v>
      </c>
      <c r="AJ103" s="400">
        <f>199.6</f>
        <v>199.6</v>
      </c>
    </row>
    <row r="104" spans="1:36" ht="15" thickBot="1">
      <c r="A104" s="417">
        <v>1.29</v>
      </c>
      <c r="B104" s="417">
        <v>2.0499999999999998</v>
      </c>
      <c r="C104" s="418" t="s">
        <v>662</v>
      </c>
      <c r="D104" s="419">
        <v>9.6</v>
      </c>
      <c r="E104" s="420">
        <f>D104*$AG$99</f>
        <v>1785.6</v>
      </c>
      <c r="F104" s="421">
        <v>2.8</v>
      </c>
      <c r="G104" s="420">
        <f t="shared" si="79"/>
        <v>520.79999999999995</v>
      </c>
      <c r="H104" s="422">
        <v>10</v>
      </c>
      <c r="I104" s="423">
        <f t="shared" si="80"/>
        <v>178.56</v>
      </c>
      <c r="J104" s="424">
        <f t="shared" si="81"/>
        <v>2484.9599999999996</v>
      </c>
      <c r="K104" s="425">
        <f t="shared" si="82"/>
        <v>36.031919999999992</v>
      </c>
      <c r="L104" s="425">
        <f t="shared" si="83"/>
        <v>294.21926399999995</v>
      </c>
      <c r="M104" s="426">
        <v>8.81</v>
      </c>
      <c r="N104" s="427">
        <v>1</v>
      </c>
      <c r="O104" s="427">
        <v>1</v>
      </c>
      <c r="P104" s="418"/>
      <c r="Q104" s="424">
        <f t="shared" si="84"/>
        <v>3804.9685199999999</v>
      </c>
      <c r="R104" s="428">
        <f>M104*$AG$99*A104</f>
        <v>2113.8714</v>
      </c>
      <c r="S104" s="420">
        <f t="shared" si="75"/>
        <v>1056.9357</v>
      </c>
      <c r="T104" s="420">
        <f t="shared" si="76"/>
        <v>634.16142000000002</v>
      </c>
      <c r="U104" s="420">
        <f t="shared" si="77"/>
        <v>0</v>
      </c>
      <c r="V104" s="424">
        <f t="shared" si="78"/>
        <v>39360</v>
      </c>
      <c r="W104" s="429">
        <v>16000</v>
      </c>
      <c r="X104" s="428">
        <f t="shared" si="85"/>
        <v>2</v>
      </c>
      <c r="Y104" s="430">
        <f t="shared" si="86"/>
        <v>0.2</v>
      </c>
      <c r="Z104" s="424">
        <f>SUM(AA104:AC104)*12</f>
        <v>15562.5</v>
      </c>
      <c r="AA104" s="420">
        <f t="shared" si="88"/>
        <v>498.26249999999999</v>
      </c>
      <c r="AB104" s="420">
        <f t="shared" si="89"/>
        <v>747.66250000000002</v>
      </c>
      <c r="AC104" s="431">
        <v>50.95</v>
      </c>
      <c r="AD104" s="424">
        <v>9600</v>
      </c>
      <c r="AE104" s="424">
        <f>(740+350*X104)*A104</f>
        <v>1857.6000000000001</v>
      </c>
      <c r="AF104" s="393">
        <f t="shared" si="90"/>
        <v>145822.256448</v>
      </c>
      <c r="AI104" s="399" t="s">
        <v>670</v>
      </c>
      <c r="AJ104" s="400">
        <v>462.40000000000003</v>
      </c>
    </row>
    <row r="105" spans="1:36" ht="15" thickBot="1">
      <c r="A105" s="417">
        <v>1.29</v>
      </c>
      <c r="B105" s="417">
        <v>2.0499999999999998</v>
      </c>
      <c r="C105" s="418" t="s">
        <v>817</v>
      </c>
      <c r="D105" s="419">
        <v>10.8</v>
      </c>
      <c r="E105" s="420">
        <f>D105*$AG$99</f>
        <v>2008.8000000000002</v>
      </c>
      <c r="F105" s="422"/>
      <c r="G105" s="420"/>
      <c r="H105" s="422">
        <v>10</v>
      </c>
      <c r="I105" s="423">
        <f t="shared" si="80"/>
        <v>200.88</v>
      </c>
      <c r="J105" s="424">
        <f t="shared" si="81"/>
        <v>2209.6800000000003</v>
      </c>
      <c r="K105" s="425">
        <f t="shared" si="82"/>
        <v>32.040360000000007</v>
      </c>
      <c r="L105" s="425">
        <f t="shared" si="83"/>
        <v>261.62611200000003</v>
      </c>
      <c r="M105" s="426">
        <v>7.95</v>
      </c>
      <c r="N105" s="427">
        <v>1</v>
      </c>
      <c r="O105" s="427">
        <v>1</v>
      </c>
      <c r="P105" s="418"/>
      <c r="Q105" s="424">
        <f t="shared" si="84"/>
        <v>3433.5414000000001</v>
      </c>
      <c r="R105" s="428">
        <f>M105*$AG$99*A105</f>
        <v>1907.5230000000001</v>
      </c>
      <c r="S105" s="420">
        <f t="shared" si="75"/>
        <v>953.76150000000007</v>
      </c>
      <c r="T105" s="420">
        <f t="shared" si="76"/>
        <v>572.25689999999997</v>
      </c>
      <c r="U105" s="420">
        <f t="shared" si="77"/>
        <v>0</v>
      </c>
      <c r="V105" s="424">
        <f t="shared" si="78"/>
        <v>39360</v>
      </c>
      <c r="W105" s="429">
        <v>16000</v>
      </c>
      <c r="X105" s="428">
        <f t="shared" si="85"/>
        <v>2</v>
      </c>
      <c r="Y105" s="430">
        <f t="shared" si="86"/>
        <v>0.2</v>
      </c>
      <c r="Z105" s="424">
        <f t="shared" si="87"/>
        <v>15562.5</v>
      </c>
      <c r="AA105" s="420">
        <f t="shared" si="88"/>
        <v>498.26249999999999</v>
      </c>
      <c r="AB105" s="420">
        <f t="shared" si="89"/>
        <v>747.66250000000002</v>
      </c>
      <c r="AC105" s="431">
        <v>50.95</v>
      </c>
      <c r="AD105" s="424">
        <v>9600</v>
      </c>
      <c r="AE105" s="424">
        <f>(740+350*X105)*A105</f>
        <v>1857.6000000000001</v>
      </c>
      <c r="AF105" s="393">
        <f t="shared" si="90"/>
        <v>137622.75446400003</v>
      </c>
      <c r="AI105" s="399" t="s">
        <v>671</v>
      </c>
      <c r="AJ105" s="400">
        <v>418.2</v>
      </c>
    </row>
    <row r="106" spans="1:36">
      <c r="A106" s="417">
        <v>1.29</v>
      </c>
      <c r="B106" s="417">
        <v>2.0499999999999998</v>
      </c>
      <c r="C106" s="416" t="s">
        <v>664</v>
      </c>
      <c r="D106" s="419">
        <v>7.59</v>
      </c>
      <c r="E106" s="420">
        <f>D106*$AG$99*A106</f>
        <v>1821.1446000000001</v>
      </c>
      <c r="F106" s="422"/>
      <c r="G106" s="420"/>
      <c r="H106" s="422"/>
      <c r="I106" s="423"/>
      <c r="J106" s="424">
        <f t="shared" si="81"/>
        <v>1821.1446000000001</v>
      </c>
      <c r="K106" s="425">
        <f>J106*0.0217</f>
        <v>39.518837820000002</v>
      </c>
      <c r="L106" s="425"/>
      <c r="M106" s="426"/>
      <c r="N106" s="427"/>
      <c r="O106" s="427"/>
      <c r="P106" s="418"/>
      <c r="Q106" s="424">
        <f>R106+S106+T106+U106</f>
        <v>0</v>
      </c>
      <c r="R106" s="428"/>
      <c r="S106" s="420"/>
      <c r="T106" s="420"/>
      <c r="U106" s="420">
        <f t="shared" si="77"/>
        <v>0</v>
      </c>
      <c r="V106" s="424">
        <f t="shared" si="78"/>
        <v>20500</v>
      </c>
      <c r="W106" s="429">
        <v>10000</v>
      </c>
      <c r="X106" s="428"/>
      <c r="Y106" s="430">
        <f t="shared" si="86"/>
        <v>0</v>
      </c>
      <c r="Z106" s="424">
        <f t="shared" si="87"/>
        <v>5979.15</v>
      </c>
      <c r="AA106" s="420">
        <f t="shared" si="88"/>
        <v>498.26249999999999</v>
      </c>
      <c r="AB106" s="420"/>
      <c r="AC106" s="431"/>
      <c r="AD106" s="424"/>
      <c r="AE106" s="424"/>
      <c r="AF106" s="393">
        <f t="shared" si="90"/>
        <v>48807.111253840005</v>
      </c>
      <c r="AI106" s="447" t="s">
        <v>673</v>
      </c>
      <c r="AJ106" s="448">
        <v>270</v>
      </c>
    </row>
    <row r="107" spans="1:36">
      <c r="A107" s="417">
        <v>1.29</v>
      </c>
      <c r="B107" s="417">
        <v>2.0499999999999998</v>
      </c>
      <c r="C107" s="418" t="s">
        <v>665</v>
      </c>
      <c r="D107" s="419">
        <v>7.59</v>
      </c>
      <c r="E107" s="420">
        <f>D107*$AG$99*A107</f>
        <v>1821.1446000000001</v>
      </c>
      <c r="F107" s="422"/>
      <c r="G107" s="420"/>
      <c r="H107" s="422"/>
      <c r="I107" s="423"/>
      <c r="J107" s="424">
        <f t="shared" si="81"/>
        <v>1821.1446000000001</v>
      </c>
      <c r="K107" s="425">
        <f>J107*0.0217</f>
        <v>39.518837820000002</v>
      </c>
      <c r="L107" s="425"/>
      <c r="M107" s="426"/>
      <c r="N107" s="427"/>
      <c r="O107" s="427"/>
      <c r="P107" s="418"/>
      <c r="Q107" s="424">
        <f>R107+S107+T107+U107</f>
        <v>0</v>
      </c>
      <c r="R107" s="428"/>
      <c r="S107" s="420"/>
      <c r="T107" s="420"/>
      <c r="U107" s="420">
        <f t="shared" si="77"/>
        <v>0</v>
      </c>
      <c r="V107" s="424">
        <f t="shared" si="78"/>
        <v>20500</v>
      </c>
      <c r="W107" s="429">
        <v>10000</v>
      </c>
      <c r="X107" s="428"/>
      <c r="Y107" s="430">
        <f t="shared" si="86"/>
        <v>0</v>
      </c>
      <c r="Z107" s="424">
        <f t="shared" si="87"/>
        <v>5979.15</v>
      </c>
      <c r="AA107" s="420">
        <f t="shared" si="88"/>
        <v>498.26249999999999</v>
      </c>
      <c r="AB107" s="420"/>
      <c r="AC107" s="431"/>
      <c r="AD107" s="424"/>
      <c r="AE107" s="424"/>
      <c r="AF107" s="393">
        <f t="shared" si="90"/>
        <v>48807.111253840005</v>
      </c>
      <c r="AI107" s="466" t="s">
        <v>32</v>
      </c>
      <c r="AJ107" s="467">
        <f>AJ106+AJ102</f>
        <v>1350.2</v>
      </c>
    </row>
    <row r="108" spans="1:36">
      <c r="A108" s="432"/>
      <c r="B108" s="432"/>
      <c r="C108" s="433" t="s">
        <v>666</v>
      </c>
      <c r="D108" s="434"/>
      <c r="E108" s="434"/>
      <c r="F108" s="434"/>
      <c r="G108" s="434"/>
      <c r="H108" s="435"/>
      <c r="I108" s="435"/>
      <c r="J108" s="424">
        <f>SUM(J102:J107)</f>
        <v>15096.355199999998</v>
      </c>
      <c r="K108" s="424">
        <f>SUM(K102:K107)</f>
        <v>245.12163263999997</v>
      </c>
      <c r="L108" s="424">
        <f>SUM(L102:L107)</f>
        <v>1356.1614144</v>
      </c>
      <c r="M108" s="436"/>
      <c r="N108" s="424"/>
      <c r="O108" s="424"/>
      <c r="P108" s="424"/>
      <c r="Q108" s="424">
        <f>SUM(Q102:Q107)</f>
        <v>16537.144679999998</v>
      </c>
      <c r="R108" s="424"/>
      <c r="S108" s="424"/>
      <c r="T108" s="424"/>
      <c r="U108" s="424"/>
      <c r="V108" s="424">
        <f>V110/12</f>
        <v>14486.666666666666</v>
      </c>
      <c r="W108" s="424"/>
      <c r="X108" s="424"/>
      <c r="Y108" s="424"/>
      <c r="Z108" s="424">
        <f>Z110/12</f>
        <v>6184.0249999999987</v>
      </c>
      <c r="AA108" s="424"/>
      <c r="AB108" s="424"/>
      <c r="AC108" s="424"/>
      <c r="AD108" s="424">
        <f>AD110/12</f>
        <v>3200</v>
      </c>
      <c r="AE108" s="424"/>
      <c r="AF108" s="394">
        <f>AF110/12</f>
        <v>66266.341260373345</v>
      </c>
      <c r="AI108" s="449"/>
      <c r="AJ108" s="455"/>
    </row>
    <row r="109" spans="1:36">
      <c r="A109" s="432"/>
      <c r="B109" s="432"/>
      <c r="C109" s="433" t="s">
        <v>667</v>
      </c>
      <c r="D109" s="434"/>
      <c r="E109" s="434"/>
      <c r="F109" s="434"/>
      <c r="G109" s="434"/>
      <c r="H109" s="435"/>
      <c r="I109" s="435"/>
      <c r="J109" s="424">
        <f>J108*3</f>
        <v>45289.065599999994</v>
      </c>
      <c r="K109" s="424">
        <f t="shared" ref="K109:L109" si="91">K108*3</f>
        <v>735.36489791999998</v>
      </c>
      <c r="L109" s="424">
        <f t="shared" si="91"/>
        <v>4068.4842432</v>
      </c>
      <c r="M109" s="436"/>
      <c r="N109" s="424"/>
      <c r="O109" s="424"/>
      <c r="P109" s="424"/>
      <c r="Q109" s="424">
        <f>Q108*3</f>
        <v>49611.434039999993</v>
      </c>
      <c r="R109" s="424"/>
      <c r="S109" s="424"/>
      <c r="T109" s="424"/>
      <c r="U109" s="424"/>
      <c r="V109" s="437">
        <f>V110/4</f>
        <v>43460</v>
      </c>
      <c r="W109" s="424"/>
      <c r="X109" s="424"/>
      <c r="Y109" s="424"/>
      <c r="Z109" s="424">
        <f>Z110/4</f>
        <v>18552.074999999997</v>
      </c>
      <c r="AA109" s="424"/>
      <c r="AB109" s="424"/>
      <c r="AC109" s="424"/>
      <c r="AD109" s="424">
        <f>AD110/4</f>
        <v>9600</v>
      </c>
      <c r="AE109" s="424"/>
      <c r="AF109" s="394">
        <f>AF110/4</f>
        <v>198799.02378112002</v>
      </c>
      <c r="AI109" s="449" t="s">
        <v>677</v>
      </c>
      <c r="AJ109" s="449">
        <v>30</v>
      </c>
    </row>
    <row r="110" spans="1:36" ht="17.399999999999999">
      <c r="A110" s="438"/>
      <c r="B110" s="438"/>
      <c r="C110" s="439" t="s">
        <v>668</v>
      </c>
      <c r="D110" s="440"/>
      <c r="E110" s="440"/>
      <c r="F110" s="440"/>
      <c r="G110" s="440"/>
      <c r="H110" s="440"/>
      <c r="I110" s="440"/>
      <c r="J110" s="441">
        <f>J108*12</f>
        <v>181156.26239999998</v>
      </c>
      <c r="K110" s="441">
        <f t="shared" ref="K110:L110" si="92">K108*12</f>
        <v>2941.4595916799999</v>
      </c>
      <c r="L110" s="441">
        <f t="shared" si="92"/>
        <v>16273.9369728</v>
      </c>
      <c r="M110" s="442"/>
      <c r="N110" s="441"/>
      <c r="O110" s="441"/>
      <c r="P110" s="441"/>
      <c r="Q110" s="441">
        <f>Q108*12</f>
        <v>198445.73615999997</v>
      </c>
      <c r="R110" s="439"/>
      <c r="S110" s="439"/>
      <c r="T110" s="439"/>
      <c r="U110" s="439"/>
      <c r="V110" s="443">
        <f>SUM(V103:V107)</f>
        <v>173840</v>
      </c>
      <c r="W110" s="441"/>
      <c r="X110" s="441"/>
      <c r="Y110" s="441"/>
      <c r="Z110" s="441">
        <f>SUM(Z102:Z107)</f>
        <v>74208.299999999988</v>
      </c>
      <c r="AA110" s="441"/>
      <c r="AB110" s="441"/>
      <c r="AC110" s="441"/>
      <c r="AD110" s="441">
        <f>SUM(AD102:AD107)</f>
        <v>38400</v>
      </c>
      <c r="AE110" s="441">
        <f>SUM(AE101:AE107)</f>
        <v>7430.4000000000005</v>
      </c>
      <c r="AF110" s="395">
        <f>SUM(AF102:AF107)</f>
        <v>795196.09512448008</v>
      </c>
      <c r="AI110" s="449"/>
      <c r="AJ110" s="458"/>
    </row>
    <row r="111" spans="1:36">
      <c r="AI111" s="449"/>
      <c r="AJ111" s="458"/>
    </row>
    <row r="112" spans="1:36">
      <c r="AA112" s="472"/>
      <c r="AI112" s="449"/>
      <c r="AJ112" s="458"/>
    </row>
    <row r="113" spans="1:53">
      <c r="AI113" s="459"/>
      <c r="AJ113" s="460"/>
    </row>
    <row r="115" spans="1:53" s="714" customFormat="1" ht="15.6">
      <c r="A115" s="710"/>
      <c r="B115" s="710"/>
      <c r="C115" s="755" t="s">
        <v>684</v>
      </c>
      <c r="D115" s="756"/>
      <c r="E115" s="756"/>
      <c r="F115" s="756"/>
      <c r="G115" s="756"/>
      <c r="H115" s="756"/>
      <c r="I115" s="756"/>
      <c r="J115" s="756"/>
      <c r="K115" s="756"/>
      <c r="L115" s="756"/>
      <c r="M115" s="756"/>
      <c r="N115" s="756"/>
      <c r="O115" s="756"/>
      <c r="P115" s="756"/>
      <c r="Q115" s="756"/>
      <c r="R115" s="756"/>
      <c r="S115" s="756"/>
      <c r="T115" s="756"/>
      <c r="U115" s="756"/>
      <c r="V115" s="756"/>
      <c r="W115" s="711"/>
      <c r="X115" s="711"/>
      <c r="Y115" s="711"/>
      <c r="Z115" s="711"/>
      <c r="AA115" s="711"/>
      <c r="AB115" s="711"/>
      <c r="AC115" s="711"/>
      <c r="AD115" s="711"/>
      <c r="AE115" s="711"/>
      <c r="AF115" s="712"/>
      <c r="AG115" s="712" t="s">
        <v>814</v>
      </c>
      <c r="AH115" s="713">
        <v>186</v>
      </c>
    </row>
    <row r="116" spans="1:53" ht="16.2" thickBot="1">
      <c r="A116" s="402"/>
      <c r="B116" s="402"/>
      <c r="C116" s="402"/>
      <c r="D116" s="402"/>
      <c r="E116" s="760"/>
      <c r="F116" s="760"/>
      <c r="G116" s="760"/>
      <c r="H116" s="760"/>
      <c r="I116" s="760"/>
      <c r="J116" s="760"/>
      <c r="K116" s="760"/>
      <c r="L116" s="760"/>
      <c r="M116" s="404"/>
      <c r="N116" s="405"/>
      <c r="O116" s="402"/>
      <c r="P116" s="402"/>
      <c r="Q116" s="402"/>
      <c r="R116" s="402"/>
      <c r="S116" s="402"/>
      <c r="T116" s="402"/>
      <c r="U116" s="402"/>
      <c r="V116" s="402"/>
      <c r="W116" s="402"/>
      <c r="X116" s="402"/>
      <c r="Y116" s="402"/>
      <c r="Z116" s="402"/>
      <c r="AA116" s="402"/>
      <c r="AB116" s="402"/>
      <c r="AC116" s="402"/>
      <c r="AD116" s="402"/>
      <c r="AE116" s="402"/>
      <c r="AF116" s="402"/>
      <c r="AG116" s="402"/>
      <c r="AH116" s="402"/>
      <c r="AI116" s="32" t="s">
        <v>684</v>
      </c>
      <c r="AJ116" s="402"/>
      <c r="AK116" s="402"/>
      <c r="AL116" s="402"/>
      <c r="AM116" s="402"/>
      <c r="AN116" s="402"/>
      <c r="AO116" s="402"/>
      <c r="AP116" s="402"/>
      <c r="AQ116" s="402"/>
      <c r="AR116" s="402"/>
      <c r="AS116" s="402"/>
      <c r="AT116" s="402"/>
      <c r="AU116" s="402"/>
      <c r="AV116" s="402"/>
      <c r="AW116" s="402"/>
      <c r="AX116" s="402"/>
      <c r="AY116" s="402"/>
      <c r="AZ116" s="402"/>
      <c r="BA116" s="402"/>
    </row>
    <row r="117" spans="1:53" ht="144.6" thickBot="1">
      <c r="A117" s="407" t="s">
        <v>639</v>
      </c>
      <c r="B117" s="407" t="s">
        <v>640</v>
      </c>
      <c r="C117" s="407" t="s">
        <v>596</v>
      </c>
      <c r="D117" s="407" t="s">
        <v>641</v>
      </c>
      <c r="E117" s="407" t="s">
        <v>642</v>
      </c>
      <c r="F117" s="407" t="s">
        <v>643</v>
      </c>
      <c r="G117" s="407" t="s">
        <v>644</v>
      </c>
      <c r="H117" s="408" t="s">
        <v>645</v>
      </c>
      <c r="I117" s="408" t="s">
        <v>646</v>
      </c>
      <c r="J117" s="409" t="s">
        <v>647</v>
      </c>
      <c r="K117" s="409" t="s">
        <v>648</v>
      </c>
      <c r="L117" s="410" t="s">
        <v>800</v>
      </c>
      <c r="M117" s="411" t="s">
        <v>649</v>
      </c>
      <c r="N117" s="407" t="s">
        <v>607</v>
      </c>
      <c r="O117" s="407" t="s">
        <v>795</v>
      </c>
      <c r="P117" s="407" t="s">
        <v>799</v>
      </c>
      <c r="Q117" s="410" t="s">
        <v>650</v>
      </c>
      <c r="R117" s="412" t="s">
        <v>608</v>
      </c>
      <c r="S117" s="412" t="s">
        <v>609</v>
      </c>
      <c r="T117" s="412" t="s">
        <v>796</v>
      </c>
      <c r="U117" s="412" t="s">
        <v>798</v>
      </c>
      <c r="V117" s="413" t="s">
        <v>652</v>
      </c>
      <c r="W117" s="414" t="s">
        <v>653</v>
      </c>
      <c r="X117" s="414" t="s">
        <v>654</v>
      </c>
      <c r="Y117" s="414" t="s">
        <v>655</v>
      </c>
      <c r="Z117" s="410" t="s">
        <v>614</v>
      </c>
      <c r="AA117" s="415" t="s">
        <v>656</v>
      </c>
      <c r="AB117" s="415" t="s">
        <v>657</v>
      </c>
      <c r="AC117" s="415" t="s">
        <v>658</v>
      </c>
      <c r="AD117" s="410" t="s">
        <v>659</v>
      </c>
      <c r="AE117" s="410" t="s">
        <v>617</v>
      </c>
      <c r="AF117" s="409" t="s">
        <v>589</v>
      </c>
      <c r="AG117" s="519"/>
      <c r="AJ117" s="468" t="s">
        <v>678</v>
      </c>
    </row>
    <row r="118" spans="1:53" ht="15" thickBot="1">
      <c r="A118" s="418">
        <v>1.42</v>
      </c>
      <c r="B118" s="418">
        <v>2.0099999999999998</v>
      </c>
      <c r="C118" s="418" t="s">
        <v>818</v>
      </c>
      <c r="D118" s="419">
        <v>12.5</v>
      </c>
      <c r="E118" s="420">
        <f>D118*$AH$115</f>
        <v>2325</v>
      </c>
      <c r="F118" s="421">
        <v>3.7</v>
      </c>
      <c r="G118" s="420">
        <f>F118*$AH$115</f>
        <v>688.2</v>
      </c>
      <c r="H118" s="422">
        <v>17</v>
      </c>
      <c r="I118" s="423">
        <f>E118*H118/100</f>
        <v>395.25</v>
      </c>
      <c r="J118" s="424">
        <f>E118+G118+I118</f>
        <v>3408.45</v>
      </c>
      <c r="K118" s="425">
        <f>J118*0.0145</f>
        <v>49.422525</v>
      </c>
      <c r="L118" s="425">
        <f>J118*0.1184</f>
        <v>403.56047999999998</v>
      </c>
      <c r="M118" s="426">
        <v>10.31</v>
      </c>
      <c r="N118" s="427">
        <v>1</v>
      </c>
      <c r="O118" s="427">
        <v>1</v>
      </c>
      <c r="P118" s="418"/>
      <c r="Q118" s="424">
        <f t="shared" ref="Q118:Q120" si="93">R118+S118+T118+U118</f>
        <v>4901.5389600000008</v>
      </c>
      <c r="R118" s="428">
        <f>M118*$AH$115*A118</f>
        <v>2723.0772000000002</v>
      </c>
      <c r="S118" s="420">
        <f t="shared" ref="S118:S120" si="94">R118/2*N118</f>
        <v>1361.5386000000001</v>
      </c>
      <c r="T118" s="420">
        <f t="shared" ref="T118:T124" si="95">R118*0.3*O118</f>
        <v>816.92316000000005</v>
      </c>
      <c r="U118" s="420">
        <f t="shared" ref="U118:U124" si="96">R118*0.2*P118</f>
        <v>0</v>
      </c>
      <c r="V118" s="445">
        <f t="shared" ref="V118:V124" si="97">(W118+W118*Y118)*B118</f>
        <v>53063.999999999993</v>
      </c>
      <c r="W118" s="429">
        <v>22000</v>
      </c>
      <c r="X118" s="428">
        <f t="shared" ref="X118:X120" si="98">SUM(N118:P118)</f>
        <v>2</v>
      </c>
      <c r="Y118" s="430">
        <f t="shared" ref="Y118:Y120" si="99">IF(X118=0,0,IF(X118=1,0.15,IF(X118=2,0.2,IF(X118=3,0.25,IF(X118=4,0.3,IF(X118=5,0.35,0))))))</f>
        <v>0.2</v>
      </c>
      <c r="Z118" s="424">
        <f t="shared" ref="Z118:Z124" si="100">SUM(AA118:AC118)*12</f>
        <v>17069.2</v>
      </c>
      <c r="AA118" s="420">
        <f>4635/12*A118</f>
        <v>548.47500000000002</v>
      </c>
      <c r="AB118" s="420">
        <f>(4635+2320)/12*A118</f>
        <v>823.00833333333333</v>
      </c>
      <c r="AC118" s="431">
        <v>50.95</v>
      </c>
      <c r="AD118" s="424">
        <v>8425</v>
      </c>
      <c r="AE118" s="424">
        <f>(740+350*X118)*A118</f>
        <v>2044.8</v>
      </c>
      <c r="AF118" s="393">
        <f t="shared" ref="AF118:AF124" si="101">(J118+K118+L118+Q118)*12+V118+Z118+AD118+AE118</f>
        <v>185758.66357999999</v>
      </c>
      <c r="AG118" s="520"/>
      <c r="AI118" s="398" t="s">
        <v>672</v>
      </c>
      <c r="AJ118" s="397">
        <f>AJ119+AJ120+AJ121</f>
        <v>946.5</v>
      </c>
    </row>
    <row r="119" spans="1:53" ht="27.6" thickBot="1">
      <c r="A119" s="418">
        <v>1.42</v>
      </c>
      <c r="B119" s="418">
        <v>2.0099999999999998</v>
      </c>
      <c r="C119" s="418" t="s">
        <v>662</v>
      </c>
      <c r="D119" s="419">
        <v>9.6</v>
      </c>
      <c r="E119" s="420">
        <f>D119*$AH$115</f>
        <v>1785.6</v>
      </c>
      <c r="F119" s="421">
        <v>2.8</v>
      </c>
      <c r="G119" s="420">
        <f>F119*$AH$115</f>
        <v>520.79999999999995</v>
      </c>
      <c r="H119" s="422">
        <v>14</v>
      </c>
      <c r="I119" s="423">
        <f t="shared" ref="I119:I120" si="102">E119*H119/100</f>
        <v>249.98399999999998</v>
      </c>
      <c r="J119" s="424">
        <f t="shared" ref="J119:J124" si="103">E119+G119+I119</f>
        <v>2556.3839999999996</v>
      </c>
      <c r="K119" s="425">
        <f t="shared" ref="K119:K120" si="104">J119*0.0145</f>
        <v>37.067567999999994</v>
      </c>
      <c r="L119" s="425">
        <f t="shared" ref="L119:L120" si="105">J119*0.1184</f>
        <v>302.67586559999995</v>
      </c>
      <c r="M119" s="426">
        <v>8.81</v>
      </c>
      <c r="N119" s="427">
        <v>1</v>
      </c>
      <c r="O119" s="427">
        <v>1</v>
      </c>
      <c r="P119" s="418"/>
      <c r="Q119" s="424">
        <f t="shared" si="93"/>
        <v>4188.4149600000001</v>
      </c>
      <c r="R119" s="428">
        <f>M119*$AH$115*A119</f>
        <v>2326.8971999999999</v>
      </c>
      <c r="S119" s="420">
        <f t="shared" si="94"/>
        <v>1163.4485999999999</v>
      </c>
      <c r="T119" s="420">
        <f t="shared" si="95"/>
        <v>698.0691599999999</v>
      </c>
      <c r="U119" s="420">
        <f t="shared" si="96"/>
        <v>0</v>
      </c>
      <c r="V119" s="424">
        <f t="shared" si="97"/>
        <v>38591.999999999993</v>
      </c>
      <c r="W119" s="429">
        <v>16000</v>
      </c>
      <c r="X119" s="428">
        <f t="shared" si="98"/>
        <v>2</v>
      </c>
      <c r="Y119" s="430">
        <f t="shared" si="99"/>
        <v>0.2</v>
      </c>
      <c r="Z119" s="424">
        <f t="shared" si="100"/>
        <v>17069.2</v>
      </c>
      <c r="AA119" s="420">
        <f t="shared" ref="AA119:AA124" si="106">4635/12*A119</f>
        <v>548.47500000000002</v>
      </c>
      <c r="AB119" s="420">
        <f t="shared" ref="AB119:AB120" si="107">(4635+2320)/12*A119</f>
        <v>823.00833333333333</v>
      </c>
      <c r="AC119" s="431">
        <v>50.95</v>
      </c>
      <c r="AD119" s="424">
        <v>8425</v>
      </c>
      <c r="AE119" s="424">
        <f>(740+350*X119)*A119</f>
        <v>2044.8</v>
      </c>
      <c r="AF119" s="393">
        <f t="shared" si="101"/>
        <v>151145.50872319998</v>
      </c>
      <c r="AG119" s="520"/>
      <c r="AI119" s="399" t="s">
        <v>669</v>
      </c>
      <c r="AJ119" s="400">
        <v>227.9</v>
      </c>
    </row>
    <row r="120" spans="1:53" ht="15" thickBot="1">
      <c r="A120" s="418">
        <v>1.42</v>
      </c>
      <c r="B120" s="418">
        <v>2.0099999999999998</v>
      </c>
      <c r="C120" s="418" t="s">
        <v>817</v>
      </c>
      <c r="D120" s="419">
        <v>10.8</v>
      </c>
      <c r="E120" s="420">
        <f>D120*$AH$115</f>
        <v>2008.8000000000002</v>
      </c>
      <c r="F120" s="421"/>
      <c r="G120" s="420"/>
      <c r="H120" s="422">
        <v>10</v>
      </c>
      <c r="I120" s="423">
        <f t="shared" si="102"/>
        <v>200.88</v>
      </c>
      <c r="J120" s="424">
        <f t="shared" si="103"/>
        <v>2209.6800000000003</v>
      </c>
      <c r="K120" s="425">
        <f t="shared" si="104"/>
        <v>32.040360000000007</v>
      </c>
      <c r="L120" s="425">
        <f t="shared" si="105"/>
        <v>261.62611200000003</v>
      </c>
      <c r="M120" s="426">
        <v>7.95</v>
      </c>
      <c r="N120" s="427">
        <v>1</v>
      </c>
      <c r="O120" s="427">
        <v>1</v>
      </c>
      <c r="P120" s="418"/>
      <c r="Q120" s="424">
        <f t="shared" si="93"/>
        <v>3779.5571999999997</v>
      </c>
      <c r="R120" s="428">
        <f>M120*$AH$115*A120</f>
        <v>2099.7539999999999</v>
      </c>
      <c r="S120" s="420">
        <f t="shared" si="94"/>
        <v>1049.877</v>
      </c>
      <c r="T120" s="420">
        <f t="shared" si="95"/>
        <v>629.92619999999999</v>
      </c>
      <c r="U120" s="420">
        <f t="shared" si="96"/>
        <v>0</v>
      </c>
      <c r="V120" s="424">
        <f t="shared" si="97"/>
        <v>38591.999999999993</v>
      </c>
      <c r="W120" s="429">
        <v>16000</v>
      </c>
      <c r="X120" s="428">
        <f t="shared" si="98"/>
        <v>2</v>
      </c>
      <c r="Y120" s="430">
        <f t="shared" si="99"/>
        <v>0.2</v>
      </c>
      <c r="Z120" s="424">
        <f t="shared" si="100"/>
        <v>17069.2</v>
      </c>
      <c r="AA120" s="420">
        <f t="shared" si="106"/>
        <v>548.47500000000002</v>
      </c>
      <c r="AB120" s="420">
        <f t="shared" si="107"/>
        <v>823.00833333333333</v>
      </c>
      <c r="AC120" s="431">
        <v>50.95</v>
      </c>
      <c r="AD120" s="424">
        <v>8425</v>
      </c>
      <c r="AE120" s="424">
        <f>(740+350*X120)*A120</f>
        <v>2044.8</v>
      </c>
      <c r="AF120" s="393">
        <f t="shared" si="101"/>
        <v>141525.844064</v>
      </c>
      <c r="AG120" s="520"/>
      <c r="AI120" s="399" t="s">
        <v>670</v>
      </c>
      <c r="AJ120" s="400">
        <v>322.10000000000002</v>
      </c>
    </row>
    <row r="121" spans="1:53" ht="15" thickBot="1">
      <c r="A121" s="418">
        <v>1.42</v>
      </c>
      <c r="B121" s="418">
        <v>2.0099999999999998</v>
      </c>
      <c r="C121" s="418" t="s">
        <v>674</v>
      </c>
      <c r="D121" s="419">
        <v>9.8699999999999992</v>
      </c>
      <c r="E121" s="420">
        <f>D121*$AH$115*A121</f>
        <v>2606.8643999999999</v>
      </c>
      <c r="F121" s="421"/>
      <c r="G121" s="420"/>
      <c r="H121" s="422"/>
      <c r="I121" s="423"/>
      <c r="J121" s="424">
        <f t="shared" si="103"/>
        <v>2606.8643999999999</v>
      </c>
      <c r="K121" s="425">
        <f>J121*0.0217</f>
        <v>56.568957480000002</v>
      </c>
      <c r="L121" s="425"/>
      <c r="M121" s="426"/>
      <c r="N121" s="427"/>
      <c r="O121" s="427"/>
      <c r="P121" s="418"/>
      <c r="Q121" s="424">
        <f>R121+S121+T121+U121</f>
        <v>0</v>
      </c>
      <c r="R121" s="428">
        <f>M121*$AH$115*A121</f>
        <v>0</v>
      </c>
      <c r="S121" s="420">
        <f>R121/2*N121</f>
        <v>0</v>
      </c>
      <c r="T121" s="420">
        <f t="shared" si="95"/>
        <v>0</v>
      </c>
      <c r="U121" s="420">
        <f t="shared" si="96"/>
        <v>0</v>
      </c>
      <c r="V121" s="424">
        <f t="shared" si="97"/>
        <v>20099.999999999996</v>
      </c>
      <c r="W121" s="429">
        <v>10000</v>
      </c>
      <c r="X121" s="428">
        <f>SUM(N121:P121)</f>
        <v>0</v>
      </c>
      <c r="Y121" s="430">
        <f>IF(X121=0,0,IF(X121=1,0.15,IF(X121=2,0.2,IF(X121=3,0.25,IF(X121=4,0.3,IF(X121=5,0.35,0))))))</f>
        <v>0</v>
      </c>
      <c r="Z121" s="424">
        <f t="shared" si="100"/>
        <v>6581.7000000000007</v>
      </c>
      <c r="AA121" s="420">
        <f t="shared" si="106"/>
        <v>548.47500000000002</v>
      </c>
      <c r="AB121" s="420"/>
      <c r="AC121" s="431"/>
      <c r="AD121" s="424"/>
      <c r="AE121" s="424"/>
      <c r="AF121" s="393">
        <f t="shared" si="101"/>
        <v>58642.900289759986</v>
      </c>
      <c r="AG121" s="520"/>
      <c r="AI121" s="399" t="s">
        <v>671</v>
      </c>
      <c r="AJ121" s="400">
        <v>396.5</v>
      </c>
    </row>
    <row r="122" spans="1:53">
      <c r="A122" s="418">
        <v>1.42</v>
      </c>
      <c r="B122" s="418">
        <v>2.0099999999999998</v>
      </c>
      <c r="C122" s="418" t="s">
        <v>675</v>
      </c>
      <c r="D122" s="419">
        <v>9.8699999999999992</v>
      </c>
      <c r="E122" s="420">
        <f>D122*$AH$115*A122</f>
        <v>2606.8643999999999</v>
      </c>
      <c r="F122" s="421"/>
      <c r="G122" s="420"/>
      <c r="H122" s="422"/>
      <c r="I122" s="423"/>
      <c r="J122" s="424">
        <f t="shared" si="103"/>
        <v>2606.8643999999999</v>
      </c>
      <c r="K122" s="425">
        <f>J122*0.0217</f>
        <v>56.568957480000002</v>
      </c>
      <c r="L122" s="425"/>
      <c r="M122" s="426"/>
      <c r="N122" s="427"/>
      <c r="O122" s="427"/>
      <c r="P122" s="418"/>
      <c r="Q122" s="424">
        <f>R122+S122+T122+U122</f>
        <v>0</v>
      </c>
      <c r="R122" s="428">
        <f>M122*$AH$2*A122</f>
        <v>0</v>
      </c>
      <c r="S122" s="420">
        <f>R122/2*N122</f>
        <v>0</v>
      </c>
      <c r="T122" s="420">
        <f t="shared" si="95"/>
        <v>0</v>
      </c>
      <c r="U122" s="420">
        <f t="shared" si="96"/>
        <v>0</v>
      </c>
      <c r="V122" s="424">
        <f t="shared" si="97"/>
        <v>20099.999999999996</v>
      </c>
      <c r="W122" s="429">
        <v>10000</v>
      </c>
      <c r="X122" s="428">
        <f>SUM(N122:P122)</f>
        <v>0</v>
      </c>
      <c r="Y122" s="430">
        <f>IF(X122=0,0,IF(X122=1,0.15,IF(X122=2,0.2,IF(X122=3,0.25,IF(X122=4,0.3,IF(X122=5,0.35,0))))))</f>
        <v>0</v>
      </c>
      <c r="Z122" s="424">
        <f t="shared" si="100"/>
        <v>6581.7000000000007</v>
      </c>
      <c r="AA122" s="420">
        <f t="shared" si="106"/>
        <v>548.47500000000002</v>
      </c>
      <c r="AB122" s="420"/>
      <c r="AC122" s="431"/>
      <c r="AD122" s="424"/>
      <c r="AE122" s="424"/>
      <c r="AF122" s="393">
        <f t="shared" si="101"/>
        <v>58642.900289759986</v>
      </c>
      <c r="AG122" s="520"/>
      <c r="AI122" s="447" t="s">
        <v>673</v>
      </c>
      <c r="AJ122" s="448">
        <v>270</v>
      </c>
    </row>
    <row r="123" spans="1:53">
      <c r="A123" s="418">
        <v>1.42</v>
      </c>
      <c r="B123" s="418">
        <v>2.0099999999999998</v>
      </c>
      <c r="C123" s="416" t="s">
        <v>664</v>
      </c>
      <c r="D123" s="419">
        <v>7.59</v>
      </c>
      <c r="E123" s="420">
        <f>D123*$AH$115*A123</f>
        <v>2004.6707999999999</v>
      </c>
      <c r="F123" s="421"/>
      <c r="G123" s="420"/>
      <c r="H123" s="422"/>
      <c r="I123" s="423"/>
      <c r="J123" s="424">
        <f t="shared" si="103"/>
        <v>2004.6707999999999</v>
      </c>
      <c r="K123" s="425">
        <f>J123*0.0217</f>
        <v>43.501356359999996</v>
      </c>
      <c r="L123" s="425"/>
      <c r="M123" s="426"/>
      <c r="N123" s="427"/>
      <c r="O123" s="427"/>
      <c r="P123" s="418"/>
      <c r="Q123" s="424">
        <f>R123+S123+T123+U123</f>
        <v>0</v>
      </c>
      <c r="R123" s="428">
        <f>M123*$AH$2*A123</f>
        <v>0</v>
      </c>
      <c r="S123" s="420">
        <f t="shared" ref="S123:S124" si="108">R123/2*N123</f>
        <v>0</v>
      </c>
      <c r="T123" s="420">
        <f t="shared" si="95"/>
        <v>0</v>
      </c>
      <c r="U123" s="420">
        <f t="shared" si="96"/>
        <v>0</v>
      </c>
      <c r="V123" s="424">
        <f t="shared" si="97"/>
        <v>20099.999999999996</v>
      </c>
      <c r="W123" s="429">
        <v>10000</v>
      </c>
      <c r="X123" s="428">
        <f t="shared" ref="X123:X124" si="109">SUM(N123:P123)</f>
        <v>0</v>
      </c>
      <c r="Y123" s="430">
        <f>IF(X123=0,0,IF(X123=1,0.15,IF(X123=2,0.2,IF(X123=3,0.25,IF(X123=4,0.3,IF(X123=5,0.35,0))))))</f>
        <v>0</v>
      </c>
      <c r="Z123" s="424">
        <f t="shared" si="100"/>
        <v>6581.7000000000007</v>
      </c>
      <c r="AA123" s="420">
        <f t="shared" si="106"/>
        <v>548.47500000000002</v>
      </c>
      <c r="AB123" s="420"/>
      <c r="AC123" s="431"/>
      <c r="AD123" s="424"/>
      <c r="AE123" s="424"/>
      <c r="AF123" s="393">
        <f t="shared" si="101"/>
        <v>51259.765876319987</v>
      </c>
      <c r="AG123" s="520"/>
      <c r="AI123" s="466" t="s">
        <v>32</v>
      </c>
      <c r="AJ123" s="467">
        <f>AJ122+AJ118</f>
        <v>1216.5</v>
      </c>
    </row>
    <row r="124" spans="1:53">
      <c r="A124" s="418">
        <v>1.42</v>
      </c>
      <c r="B124" s="418">
        <v>2.0099999999999998</v>
      </c>
      <c r="C124" s="418" t="s">
        <v>665</v>
      </c>
      <c r="D124" s="419">
        <v>8.73</v>
      </c>
      <c r="E124" s="420">
        <f>D124*$AH$115*A124</f>
        <v>2305.7675999999997</v>
      </c>
      <c r="F124" s="421"/>
      <c r="G124" s="420"/>
      <c r="H124" s="422"/>
      <c r="I124" s="423"/>
      <c r="J124" s="424">
        <f t="shared" si="103"/>
        <v>2305.7675999999997</v>
      </c>
      <c r="K124" s="425">
        <f>J124*0.0217</f>
        <v>50.035156919999991</v>
      </c>
      <c r="L124" s="425"/>
      <c r="M124" s="426"/>
      <c r="N124" s="427"/>
      <c r="O124" s="427"/>
      <c r="P124" s="418"/>
      <c r="Q124" s="424">
        <f>R124+S124+T124+U124</f>
        <v>0</v>
      </c>
      <c r="R124" s="428">
        <f>M124*$AH$2*A124</f>
        <v>0</v>
      </c>
      <c r="S124" s="420">
        <f t="shared" si="108"/>
        <v>0</v>
      </c>
      <c r="T124" s="420">
        <f t="shared" si="95"/>
        <v>0</v>
      </c>
      <c r="U124" s="420">
        <f t="shared" si="96"/>
        <v>0</v>
      </c>
      <c r="V124" s="424">
        <f t="shared" si="97"/>
        <v>20099.999999999996</v>
      </c>
      <c r="W124" s="429">
        <v>10000</v>
      </c>
      <c r="X124" s="428">
        <f t="shared" si="109"/>
        <v>0</v>
      </c>
      <c r="Y124" s="430">
        <f>IF(X124=0,0,IF(X124=1,0.15,IF(X124=2,0.2,IF(X124=3,0.25,IF(X124=4,0.3,IF(X124=5,0.35,0))))))</f>
        <v>0</v>
      </c>
      <c r="Z124" s="424">
        <f t="shared" si="100"/>
        <v>6581.7000000000007</v>
      </c>
      <c r="AA124" s="420">
        <f t="shared" si="106"/>
        <v>548.47500000000002</v>
      </c>
      <c r="AB124" s="420"/>
      <c r="AC124" s="431"/>
      <c r="AD124" s="424"/>
      <c r="AE124" s="424"/>
      <c r="AF124" s="393">
        <f t="shared" si="101"/>
        <v>54951.333083039994</v>
      </c>
      <c r="AG124" s="520"/>
    </row>
    <row r="125" spans="1:53">
      <c r="A125" s="433"/>
      <c r="B125" s="433"/>
      <c r="C125" s="433" t="s">
        <v>666</v>
      </c>
      <c r="D125" s="434"/>
      <c r="E125" s="434"/>
      <c r="F125" s="434"/>
      <c r="G125" s="434"/>
      <c r="H125" s="435"/>
      <c r="I125" s="435"/>
      <c r="J125" s="424">
        <f>SUM(J118:J124)</f>
        <v>17698.681199999999</v>
      </c>
      <c r="K125" s="424">
        <f>SUM(K118:K124)</f>
        <v>325.20488123999996</v>
      </c>
      <c r="L125" s="424">
        <f>SUM(L118:L124)</f>
        <v>967.86245759999997</v>
      </c>
      <c r="M125" s="436"/>
      <c r="N125" s="424"/>
      <c r="O125" s="424"/>
      <c r="P125" s="424"/>
      <c r="Q125" s="424">
        <f>SUM(Q118:Q124)</f>
        <v>12869.511119999999</v>
      </c>
      <c r="R125" s="424"/>
      <c r="S125" s="424"/>
      <c r="T125" s="424"/>
      <c r="U125" s="424"/>
      <c r="V125" s="424">
        <f>V127/12</f>
        <v>17553.999999999996</v>
      </c>
      <c r="W125" s="424"/>
      <c r="X125" s="424"/>
      <c r="Y125" s="424"/>
      <c r="Z125" s="424">
        <f>Z127/12</f>
        <v>6461.2</v>
      </c>
      <c r="AA125" s="424"/>
      <c r="AB125" s="424"/>
      <c r="AC125" s="424"/>
      <c r="AD125" s="424">
        <f>AD127/12</f>
        <v>2106.25</v>
      </c>
      <c r="AE125" s="424"/>
      <c r="AF125" s="394">
        <f>AF127/12</f>
        <v>58493.909658839992</v>
      </c>
      <c r="AG125" s="521"/>
      <c r="AI125" s="449" t="s">
        <v>677</v>
      </c>
      <c r="AJ125" s="449">
        <v>87</v>
      </c>
    </row>
    <row r="126" spans="1:53">
      <c r="A126" s="433"/>
      <c r="B126" s="433"/>
      <c r="C126" s="433" t="s">
        <v>667</v>
      </c>
      <c r="D126" s="434"/>
      <c r="E126" s="434"/>
      <c r="F126" s="434"/>
      <c r="G126" s="434"/>
      <c r="H126" s="435"/>
      <c r="I126" s="435"/>
      <c r="J126" s="424">
        <f>J125*3</f>
        <v>53096.043599999997</v>
      </c>
      <c r="K126" s="424">
        <f t="shared" ref="K126:L126" si="110">K125*3</f>
        <v>975.61464371999989</v>
      </c>
      <c r="L126" s="424">
        <f t="shared" si="110"/>
        <v>2903.5873727999997</v>
      </c>
      <c r="M126" s="436"/>
      <c r="N126" s="424"/>
      <c r="O126" s="424"/>
      <c r="P126" s="424"/>
      <c r="Q126" s="424">
        <f>Q125*3</f>
        <v>38608.533360000001</v>
      </c>
      <c r="R126" s="424"/>
      <c r="S126" s="424"/>
      <c r="T126" s="424"/>
      <c r="U126" s="424"/>
      <c r="V126" s="437">
        <f>V127/4</f>
        <v>52661.999999999993</v>
      </c>
      <c r="W126" s="424"/>
      <c r="X126" s="424"/>
      <c r="Y126" s="424"/>
      <c r="Z126" s="424">
        <f>Z127/4</f>
        <v>19383.599999999999</v>
      </c>
      <c r="AA126" s="424"/>
      <c r="AB126" s="424"/>
      <c r="AC126" s="424"/>
      <c r="AD126" s="424">
        <f>AD127/4</f>
        <v>6318.75</v>
      </c>
      <c r="AE126" s="424"/>
      <c r="AF126" s="394">
        <f>AF127/4</f>
        <v>175481.72897651998</v>
      </c>
      <c r="AG126" s="521"/>
    </row>
    <row r="127" spans="1:53" ht="17.399999999999999">
      <c r="A127" s="444"/>
      <c r="B127" s="444"/>
      <c r="C127" s="439" t="s">
        <v>668</v>
      </c>
      <c r="D127" s="440"/>
      <c r="E127" s="440"/>
      <c r="F127" s="440"/>
      <c r="G127" s="440"/>
      <c r="H127" s="440"/>
      <c r="I127" s="440"/>
      <c r="J127" s="441">
        <f>J125*12</f>
        <v>212384.17439999999</v>
      </c>
      <c r="K127" s="441">
        <f t="shared" ref="K127:L127" si="111">K125*12</f>
        <v>3902.4585748799996</v>
      </c>
      <c r="L127" s="441">
        <f t="shared" si="111"/>
        <v>11614.349491199999</v>
      </c>
      <c r="M127" s="442"/>
      <c r="N127" s="441"/>
      <c r="O127" s="441"/>
      <c r="P127" s="441"/>
      <c r="Q127" s="441">
        <f>Q125*12</f>
        <v>154434.13344000001</v>
      </c>
      <c r="R127" s="439"/>
      <c r="S127" s="439"/>
      <c r="T127" s="439"/>
      <c r="U127" s="439"/>
      <c r="V127" s="443">
        <f>SUM(V118:V124)</f>
        <v>210647.99999999997</v>
      </c>
      <c r="W127" s="441"/>
      <c r="X127" s="441"/>
      <c r="Y127" s="441"/>
      <c r="Z127" s="441">
        <f>SUM(Z118:Z124)</f>
        <v>77534.399999999994</v>
      </c>
      <c r="AA127" s="441"/>
      <c r="AB127" s="441"/>
      <c r="AC127" s="441"/>
      <c r="AD127" s="441">
        <f>SUM(AD118:AD124)</f>
        <v>25275</v>
      </c>
      <c r="AE127" s="441">
        <f>SUM(AE118:AE124)</f>
        <v>6134.4</v>
      </c>
      <c r="AF127" s="395">
        <f>SUM(AF118:AF124)</f>
        <v>701926.91590607993</v>
      </c>
      <c r="AG127" s="522"/>
    </row>
    <row r="129" spans="1:36">
      <c r="AC129" s="472"/>
    </row>
    <row r="131" spans="1:36" s="714" customFormat="1" ht="15.6">
      <c r="A131" s="710"/>
      <c r="B131" s="710"/>
      <c r="C131" s="755" t="s">
        <v>683</v>
      </c>
      <c r="D131" s="756"/>
      <c r="E131" s="756"/>
      <c r="F131" s="756"/>
      <c r="G131" s="756"/>
      <c r="H131" s="756"/>
      <c r="I131" s="756"/>
      <c r="J131" s="756"/>
      <c r="K131" s="756"/>
      <c r="L131" s="756"/>
      <c r="M131" s="756"/>
      <c r="N131" s="756"/>
      <c r="O131" s="756"/>
      <c r="P131" s="756"/>
      <c r="Q131" s="756"/>
      <c r="R131" s="756"/>
      <c r="S131" s="756"/>
      <c r="T131" s="756"/>
      <c r="U131" s="756"/>
      <c r="V131" s="756"/>
      <c r="W131" s="711"/>
      <c r="X131" s="711"/>
      <c r="Y131" s="711"/>
      <c r="Z131" s="711"/>
      <c r="AA131" s="711"/>
      <c r="AB131" s="711"/>
      <c r="AC131" s="711"/>
      <c r="AD131" s="711"/>
      <c r="AE131" s="712"/>
      <c r="AF131" s="712" t="s">
        <v>814</v>
      </c>
      <c r="AG131" s="713">
        <v>186</v>
      </c>
    </row>
    <row r="132" spans="1:36" ht="16.2" thickBot="1">
      <c r="A132" s="402"/>
      <c r="B132" s="402"/>
      <c r="C132" s="402"/>
      <c r="D132" s="402"/>
      <c r="E132" s="760"/>
      <c r="F132" s="760"/>
      <c r="G132" s="760"/>
      <c r="H132" s="760"/>
      <c r="I132" s="760"/>
      <c r="J132" s="760"/>
      <c r="K132" s="760"/>
      <c r="L132" s="760"/>
      <c r="M132" s="404"/>
      <c r="N132" s="405"/>
      <c r="O132" s="402"/>
      <c r="P132" s="402"/>
      <c r="Q132" s="402"/>
      <c r="R132" s="402"/>
      <c r="S132" s="402"/>
      <c r="T132" s="402"/>
      <c r="U132" s="402"/>
      <c r="V132" s="402"/>
      <c r="W132" s="402"/>
      <c r="X132" s="402"/>
      <c r="Y132" s="402"/>
      <c r="Z132" s="402"/>
      <c r="AA132" s="402"/>
      <c r="AB132" s="402"/>
      <c r="AC132" s="402"/>
      <c r="AD132" s="402"/>
      <c r="AE132" s="402"/>
      <c r="AF132" s="402"/>
      <c r="AG132" s="402"/>
      <c r="AI132" s="32" t="s">
        <v>683</v>
      </c>
    </row>
    <row r="133" spans="1:36" ht="117" thickBot="1">
      <c r="A133" s="407" t="s">
        <v>639</v>
      </c>
      <c r="B133" s="407" t="s">
        <v>640</v>
      </c>
      <c r="C133" s="407" t="s">
        <v>596</v>
      </c>
      <c r="D133" s="407" t="s">
        <v>641</v>
      </c>
      <c r="E133" s="407" t="s">
        <v>642</v>
      </c>
      <c r="F133" s="407" t="s">
        <v>643</v>
      </c>
      <c r="G133" s="407" t="s">
        <v>644</v>
      </c>
      <c r="H133" s="408" t="s">
        <v>645</v>
      </c>
      <c r="I133" s="408" t="s">
        <v>646</v>
      </c>
      <c r="J133" s="409" t="s">
        <v>647</v>
      </c>
      <c r="K133" s="409" t="s">
        <v>648</v>
      </c>
      <c r="L133" s="410" t="s">
        <v>800</v>
      </c>
      <c r="M133" s="411" t="s">
        <v>649</v>
      </c>
      <c r="N133" s="407" t="s">
        <v>607</v>
      </c>
      <c r="O133" s="407" t="s">
        <v>795</v>
      </c>
      <c r="P133" s="412" t="s">
        <v>799</v>
      </c>
      <c r="Q133" s="410" t="s">
        <v>650</v>
      </c>
      <c r="R133" s="412" t="s">
        <v>608</v>
      </c>
      <c r="S133" s="412" t="s">
        <v>609</v>
      </c>
      <c r="T133" s="412" t="s">
        <v>796</v>
      </c>
      <c r="U133" s="412" t="s">
        <v>798</v>
      </c>
      <c r="V133" s="413" t="s">
        <v>652</v>
      </c>
      <c r="W133" s="414" t="s">
        <v>653</v>
      </c>
      <c r="X133" s="414" t="s">
        <v>654</v>
      </c>
      <c r="Y133" s="414" t="s">
        <v>655</v>
      </c>
      <c r="Z133" s="410" t="s">
        <v>614</v>
      </c>
      <c r="AA133" s="415" t="s">
        <v>656</v>
      </c>
      <c r="AB133" s="415" t="s">
        <v>657</v>
      </c>
      <c r="AC133" s="415" t="s">
        <v>658</v>
      </c>
      <c r="AD133" s="410" t="s">
        <v>659</v>
      </c>
      <c r="AE133" s="410" t="s">
        <v>617</v>
      </c>
      <c r="AF133" s="409" t="s">
        <v>589</v>
      </c>
      <c r="AJ133" s="468" t="s">
        <v>678</v>
      </c>
    </row>
    <row r="134" spans="1:36" ht="15" thickBot="1">
      <c r="A134" s="418">
        <v>1.25</v>
      </c>
      <c r="B134" s="418">
        <v>1.2</v>
      </c>
      <c r="C134" s="418" t="s">
        <v>660</v>
      </c>
      <c r="D134" s="419">
        <v>13.7</v>
      </c>
      <c r="E134" s="420">
        <f>D134*$AG$131</f>
        <v>2548.1999999999998</v>
      </c>
      <c r="F134" s="446">
        <v>4</v>
      </c>
      <c r="G134" s="420">
        <f>F134*$AG$131</f>
        <v>744</v>
      </c>
      <c r="H134" s="422">
        <v>22</v>
      </c>
      <c r="I134" s="423">
        <f>E134*H134/100</f>
        <v>560.60399999999993</v>
      </c>
      <c r="J134" s="424">
        <f>E134+G134+I134</f>
        <v>3852.8039999999996</v>
      </c>
      <c r="K134" s="425">
        <f>J134*0.0145</f>
        <v>55.865657999999996</v>
      </c>
      <c r="L134" s="425">
        <f>J134*0.1184</f>
        <v>456.17199359999995</v>
      </c>
      <c r="M134" s="524">
        <v>11.78</v>
      </c>
      <c r="N134" s="427">
        <v>1</v>
      </c>
      <c r="O134" s="427">
        <v>1</v>
      </c>
      <c r="P134" s="418"/>
      <c r="Q134" s="424">
        <f t="shared" ref="Q134:Q137" si="112">R134+S134+T134+U134</f>
        <v>4929.9299999999994</v>
      </c>
      <c r="R134" s="428">
        <f t="shared" ref="R134:R140" si="113">M134*$AG$131*A134</f>
        <v>2738.85</v>
      </c>
      <c r="S134" s="420">
        <f t="shared" ref="S134:S137" si="114">R134/2*N134</f>
        <v>1369.425</v>
      </c>
      <c r="T134" s="420">
        <f t="shared" ref="T134:T140" si="115">R134*0.3*O134</f>
        <v>821.65499999999997</v>
      </c>
      <c r="U134" s="420">
        <f t="shared" ref="U134:U140" si="116">R134*0.2*P134</f>
        <v>0</v>
      </c>
      <c r="V134" s="424">
        <f t="shared" ref="V134:V140" si="117">(W134+W134*Y134)*B134</f>
        <v>60000</v>
      </c>
      <c r="W134" s="429">
        <v>50000</v>
      </c>
      <c r="X134" s="767"/>
      <c r="Y134" s="768"/>
      <c r="Z134" s="424">
        <f t="shared" ref="Z134:Z137" si="118">SUM(AA134:AC134)*12</f>
        <v>15098.900000000001</v>
      </c>
      <c r="AA134" s="523">
        <f>4635/12*$A$134</f>
        <v>482.8125</v>
      </c>
      <c r="AB134" s="523">
        <f>(4635+2320)/12*A134</f>
        <v>724.47916666666674</v>
      </c>
      <c r="AC134" s="431">
        <v>50.95</v>
      </c>
      <c r="AD134" s="424">
        <v>20000</v>
      </c>
      <c r="AE134" s="424">
        <f>(740+350*(N134+O134))*A134</f>
        <v>1800</v>
      </c>
      <c r="AF134" s="393">
        <f>(J134+K134+L134+Q134)*12+V134+Z134+AD134+AE134</f>
        <v>208436.15981919999</v>
      </c>
      <c r="AI134" s="398" t="s">
        <v>672</v>
      </c>
      <c r="AJ134" s="397">
        <f>AJ135+AJ136+AJ137</f>
        <v>1090.3</v>
      </c>
    </row>
    <row r="135" spans="1:36" ht="27.6" thickBot="1">
      <c r="A135" s="418">
        <v>1.25</v>
      </c>
      <c r="B135" s="418">
        <v>1.2</v>
      </c>
      <c r="C135" s="418" t="s">
        <v>661</v>
      </c>
      <c r="D135" s="419">
        <v>10.8</v>
      </c>
      <c r="E135" s="420">
        <f>D135*$AG$131</f>
        <v>2008.8000000000002</v>
      </c>
      <c r="F135" s="446">
        <v>3.7</v>
      </c>
      <c r="G135" s="420">
        <f>F135*$AG$131</f>
        <v>688.2</v>
      </c>
      <c r="H135" s="422">
        <v>15</v>
      </c>
      <c r="I135" s="423">
        <f t="shared" ref="I135:I137" si="119">E135*H135/100</f>
        <v>301.32000000000005</v>
      </c>
      <c r="J135" s="424">
        <f t="shared" ref="J135:J140" si="120">E135+G135+I135</f>
        <v>2998.32</v>
      </c>
      <c r="K135" s="425">
        <f t="shared" ref="K135:K137" si="121">J135*0.0145</f>
        <v>43.475640000000006</v>
      </c>
      <c r="L135" s="425">
        <f t="shared" ref="L135:L137" si="122">J135*0.1184</f>
        <v>355.00108800000004</v>
      </c>
      <c r="M135" s="524">
        <v>9.75</v>
      </c>
      <c r="N135" s="427">
        <v>1</v>
      </c>
      <c r="O135" s="427">
        <v>1</v>
      </c>
      <c r="P135" s="418"/>
      <c r="Q135" s="424">
        <f t="shared" si="112"/>
        <v>4080.375</v>
      </c>
      <c r="R135" s="428">
        <f t="shared" si="113"/>
        <v>2266.875</v>
      </c>
      <c r="S135" s="420">
        <f t="shared" si="114"/>
        <v>1133.4375</v>
      </c>
      <c r="T135" s="420">
        <f t="shared" si="115"/>
        <v>680.0625</v>
      </c>
      <c r="U135" s="420">
        <f t="shared" si="116"/>
        <v>0</v>
      </c>
      <c r="V135" s="424">
        <f t="shared" si="117"/>
        <v>31680</v>
      </c>
      <c r="W135" s="429">
        <v>22000</v>
      </c>
      <c r="X135" s="428">
        <f t="shared" ref="X135:X137" si="123">SUM(N135:P135)</f>
        <v>2</v>
      </c>
      <c r="Y135" s="430">
        <f t="shared" ref="Y135:Y137" si="124">IF(X135=0,0,IF(X135=1,0.15,IF(X135=2,0.2,IF(X135=3,0.25,IF(X135=4,0.3,IF(X135=5,0.35,0))))))</f>
        <v>0.2</v>
      </c>
      <c r="Z135" s="424">
        <f t="shared" si="118"/>
        <v>15098.900000000001</v>
      </c>
      <c r="AA135" s="523">
        <f t="shared" ref="AA135:AA140" si="125">4635/12*$A$134</f>
        <v>482.8125</v>
      </c>
      <c r="AB135" s="523">
        <f t="shared" ref="AB135:AB137" si="126">(4635+2320)/12*A135</f>
        <v>724.47916666666674</v>
      </c>
      <c r="AC135" s="431">
        <v>50.95</v>
      </c>
      <c r="AD135" s="424">
        <v>20000</v>
      </c>
      <c r="AE135" s="424">
        <f>(740+350*X135)*A135</f>
        <v>1800</v>
      </c>
      <c r="AF135" s="393">
        <f t="shared" ref="AF135:AF140" si="127">(J135+K135+L135+Q135)*12+V135+Z135+AD135+AE135</f>
        <v>158304.96073600001</v>
      </c>
      <c r="AI135" s="399" t="s">
        <v>669</v>
      </c>
      <c r="AJ135" s="400">
        <v>208.1</v>
      </c>
    </row>
    <row r="136" spans="1:36" ht="15" thickBot="1">
      <c r="A136" s="418">
        <v>1.25</v>
      </c>
      <c r="B136" s="418">
        <v>1.2</v>
      </c>
      <c r="C136" s="418" t="s">
        <v>662</v>
      </c>
      <c r="D136" s="419">
        <v>9.6</v>
      </c>
      <c r="E136" s="420">
        <f>D136*$AG$131</f>
        <v>1785.6</v>
      </c>
      <c r="F136" s="446">
        <v>2.8</v>
      </c>
      <c r="G136" s="420">
        <f>F136*$AG$131</f>
        <v>520.79999999999995</v>
      </c>
      <c r="H136" s="422">
        <v>10</v>
      </c>
      <c r="I136" s="423">
        <f t="shared" si="119"/>
        <v>178.56</v>
      </c>
      <c r="J136" s="424">
        <f t="shared" si="120"/>
        <v>2484.9599999999996</v>
      </c>
      <c r="K136" s="425">
        <f t="shared" si="121"/>
        <v>36.031919999999992</v>
      </c>
      <c r="L136" s="425">
        <f t="shared" si="122"/>
        <v>294.21926399999995</v>
      </c>
      <c r="M136" s="524">
        <v>8.81</v>
      </c>
      <c r="N136" s="427">
        <v>1</v>
      </c>
      <c r="O136" s="427">
        <v>2</v>
      </c>
      <c r="P136" s="418"/>
      <c r="Q136" s="424">
        <f t="shared" si="112"/>
        <v>4301.4825000000001</v>
      </c>
      <c r="R136" s="428">
        <f t="shared" si="113"/>
        <v>2048.3250000000003</v>
      </c>
      <c r="S136" s="420">
        <f t="shared" si="114"/>
        <v>1024.1625000000001</v>
      </c>
      <c r="T136" s="420">
        <f t="shared" si="115"/>
        <v>1228.9950000000001</v>
      </c>
      <c r="U136" s="420">
        <f t="shared" si="116"/>
        <v>0</v>
      </c>
      <c r="V136" s="424">
        <f t="shared" si="117"/>
        <v>24000</v>
      </c>
      <c r="W136" s="429">
        <v>16000</v>
      </c>
      <c r="X136" s="428">
        <f t="shared" si="123"/>
        <v>3</v>
      </c>
      <c r="Y136" s="430">
        <f t="shared" si="124"/>
        <v>0.25</v>
      </c>
      <c r="Z136" s="424">
        <f t="shared" si="118"/>
        <v>15098.900000000001</v>
      </c>
      <c r="AA136" s="523">
        <f t="shared" si="125"/>
        <v>482.8125</v>
      </c>
      <c r="AB136" s="523">
        <f t="shared" si="126"/>
        <v>724.47916666666674</v>
      </c>
      <c r="AC136" s="431">
        <v>50.95</v>
      </c>
      <c r="AD136" s="424">
        <v>35000</v>
      </c>
      <c r="AE136" s="424">
        <f>(740+350*X136)*A136</f>
        <v>2237.5</v>
      </c>
      <c r="AF136" s="393">
        <f t="shared" si="127"/>
        <v>161736.724208</v>
      </c>
      <c r="AI136" s="399" t="s">
        <v>670</v>
      </c>
      <c r="AJ136" s="400">
        <v>442.09999999999997</v>
      </c>
    </row>
    <row r="137" spans="1:36" ht="15" thickBot="1">
      <c r="A137" s="418">
        <v>1.25</v>
      </c>
      <c r="B137" s="418">
        <v>1.2</v>
      </c>
      <c r="C137" s="418" t="s">
        <v>817</v>
      </c>
      <c r="D137" s="419">
        <v>10.8</v>
      </c>
      <c r="E137" s="420">
        <f>D137*$AG$131</f>
        <v>2008.8000000000002</v>
      </c>
      <c r="F137" s="446"/>
      <c r="G137" s="420"/>
      <c r="H137" s="422">
        <v>10</v>
      </c>
      <c r="I137" s="423">
        <f t="shared" si="119"/>
        <v>200.88</v>
      </c>
      <c r="J137" s="424">
        <f t="shared" si="120"/>
        <v>2209.6800000000003</v>
      </c>
      <c r="K137" s="425">
        <f t="shared" si="121"/>
        <v>32.040360000000007</v>
      </c>
      <c r="L137" s="425">
        <f t="shared" si="122"/>
        <v>261.62611200000003</v>
      </c>
      <c r="M137" s="524">
        <v>7.95</v>
      </c>
      <c r="N137" s="427">
        <v>1</v>
      </c>
      <c r="O137" s="427">
        <v>2</v>
      </c>
      <c r="P137" s="418"/>
      <c r="Q137" s="424">
        <f t="shared" si="112"/>
        <v>3881.5874999999996</v>
      </c>
      <c r="R137" s="428">
        <f t="shared" si="113"/>
        <v>1848.375</v>
      </c>
      <c r="S137" s="420">
        <f t="shared" si="114"/>
        <v>924.1875</v>
      </c>
      <c r="T137" s="420">
        <f t="shared" si="115"/>
        <v>1109.0249999999999</v>
      </c>
      <c r="U137" s="420">
        <f t="shared" si="116"/>
        <v>0</v>
      </c>
      <c r="V137" s="424">
        <f t="shared" si="117"/>
        <v>24000</v>
      </c>
      <c r="W137" s="429">
        <v>16000</v>
      </c>
      <c r="X137" s="428">
        <f t="shared" si="123"/>
        <v>3</v>
      </c>
      <c r="Y137" s="430">
        <f t="shared" si="124"/>
        <v>0.25</v>
      </c>
      <c r="Z137" s="424">
        <f t="shared" si="118"/>
        <v>15098.900000000001</v>
      </c>
      <c r="AA137" s="523">
        <f t="shared" si="125"/>
        <v>482.8125</v>
      </c>
      <c r="AB137" s="523">
        <f t="shared" si="126"/>
        <v>724.47916666666674</v>
      </c>
      <c r="AC137" s="431">
        <v>50.95</v>
      </c>
      <c r="AD137" s="424">
        <v>35000</v>
      </c>
      <c r="AE137" s="424">
        <f>(740+350*X137)*A137</f>
        <v>2237.5</v>
      </c>
      <c r="AF137" s="393">
        <f t="shared" si="127"/>
        <v>152955.60766400001</v>
      </c>
      <c r="AI137" s="399" t="s">
        <v>671</v>
      </c>
      <c r="AJ137" s="400">
        <v>440.1</v>
      </c>
    </row>
    <row r="138" spans="1:36">
      <c r="A138" s="418">
        <v>1</v>
      </c>
      <c r="B138" s="418">
        <v>1.2</v>
      </c>
      <c r="C138" s="418" t="s">
        <v>663</v>
      </c>
      <c r="D138" s="419">
        <v>7.59</v>
      </c>
      <c r="E138" s="420">
        <f>D138*$AG$131*A138</f>
        <v>1411.74</v>
      </c>
      <c r="F138" s="446"/>
      <c r="G138" s="420"/>
      <c r="H138" s="422"/>
      <c r="I138" s="423"/>
      <c r="J138" s="424">
        <f t="shared" si="120"/>
        <v>1411.74</v>
      </c>
      <c r="K138" s="425">
        <f>J138*0.0217</f>
        <v>30.634758000000001</v>
      </c>
      <c r="L138" s="425"/>
      <c r="M138" s="426"/>
      <c r="N138" s="427"/>
      <c r="O138" s="427"/>
      <c r="P138" s="418"/>
      <c r="Q138" s="424">
        <f>R138+S138+T138+U138</f>
        <v>0</v>
      </c>
      <c r="R138" s="428">
        <f t="shared" si="113"/>
        <v>0</v>
      </c>
      <c r="S138" s="420">
        <f>R138/2*N138</f>
        <v>0</v>
      </c>
      <c r="T138" s="420">
        <f t="shared" si="115"/>
        <v>0</v>
      </c>
      <c r="U138" s="420">
        <f t="shared" si="116"/>
        <v>0</v>
      </c>
      <c r="V138" s="424">
        <f t="shared" si="117"/>
        <v>12000</v>
      </c>
      <c r="W138" s="429">
        <v>10000</v>
      </c>
      <c r="X138" s="428">
        <f>SUM(N138:P138)</f>
        <v>0</v>
      </c>
      <c r="Y138" s="430">
        <f>IF(X138=0,0,IF(X138=1,0.15,IF(X138=2,0.2,IF(X138=3,0.25,IF(X138=4,0.3,IF(X138=5,0.35,0))))))</f>
        <v>0</v>
      </c>
      <c r="Z138" s="424">
        <f>SUM(AA138:AC138)*12</f>
        <v>5793.75</v>
      </c>
      <c r="AA138" s="523">
        <f t="shared" si="125"/>
        <v>482.8125</v>
      </c>
      <c r="AB138" s="523"/>
      <c r="AC138" s="431"/>
      <c r="AD138" s="424"/>
      <c r="AE138" s="424"/>
      <c r="AF138" s="393">
        <f t="shared" si="127"/>
        <v>35102.247095999999</v>
      </c>
      <c r="AI138" s="447" t="s">
        <v>673</v>
      </c>
      <c r="AJ138" s="448">
        <v>270</v>
      </c>
    </row>
    <row r="139" spans="1:36">
      <c r="A139" s="418">
        <v>1</v>
      </c>
      <c r="B139" s="418">
        <v>1.2</v>
      </c>
      <c r="C139" s="416" t="s">
        <v>664</v>
      </c>
      <c r="D139" s="419">
        <v>7.59</v>
      </c>
      <c r="E139" s="420">
        <f>D139*$AG$131*A139</f>
        <v>1411.74</v>
      </c>
      <c r="F139" s="446"/>
      <c r="G139" s="420"/>
      <c r="H139" s="422"/>
      <c r="I139" s="423"/>
      <c r="J139" s="424">
        <f t="shared" si="120"/>
        <v>1411.74</v>
      </c>
      <c r="K139" s="425">
        <f>J139*0.0217</f>
        <v>30.634758000000001</v>
      </c>
      <c r="L139" s="425"/>
      <c r="M139" s="426"/>
      <c r="N139" s="427"/>
      <c r="O139" s="427"/>
      <c r="P139" s="418"/>
      <c r="Q139" s="424">
        <f>R139+S139+T139+U139</f>
        <v>0</v>
      </c>
      <c r="R139" s="428">
        <f t="shared" si="113"/>
        <v>0</v>
      </c>
      <c r="S139" s="420">
        <f t="shared" ref="S139:S140" si="128">R139/2*N139</f>
        <v>0</v>
      </c>
      <c r="T139" s="420">
        <f t="shared" si="115"/>
        <v>0</v>
      </c>
      <c r="U139" s="420">
        <f t="shared" si="116"/>
        <v>0</v>
      </c>
      <c r="V139" s="424">
        <f t="shared" si="117"/>
        <v>12000</v>
      </c>
      <c r="W139" s="429">
        <v>10000</v>
      </c>
      <c r="X139" s="428">
        <f t="shared" ref="X139:X140" si="129">SUM(N139:P139)</f>
        <v>0</v>
      </c>
      <c r="Y139" s="430">
        <f>IF(X139=0,0,IF(X139=1,0.15,IF(X139=2,0.2,IF(X139=3,0.25,IF(X139=4,0.3,IF(X139=5,0.35,0))))))</f>
        <v>0</v>
      </c>
      <c r="Z139" s="424">
        <f t="shared" ref="Z139:Z140" si="130">SUM(AA139:AC139)*12</f>
        <v>5793.75</v>
      </c>
      <c r="AA139" s="523">
        <f t="shared" si="125"/>
        <v>482.8125</v>
      </c>
      <c r="AB139" s="523"/>
      <c r="AC139" s="431"/>
      <c r="AD139" s="424"/>
      <c r="AE139" s="424"/>
      <c r="AF139" s="393">
        <f t="shared" si="127"/>
        <v>35102.247095999999</v>
      </c>
      <c r="AI139" s="466" t="s">
        <v>32</v>
      </c>
      <c r="AJ139" s="467">
        <f>AJ138+AJ134</f>
        <v>1360.3</v>
      </c>
    </row>
    <row r="140" spans="1:36">
      <c r="A140" s="418">
        <v>1</v>
      </c>
      <c r="B140" s="418">
        <v>1.2</v>
      </c>
      <c r="C140" s="418" t="s">
        <v>665</v>
      </c>
      <c r="D140" s="419">
        <v>7.59</v>
      </c>
      <c r="E140" s="420">
        <f>D140*$AG$131*A140</f>
        <v>1411.74</v>
      </c>
      <c r="F140" s="420"/>
      <c r="G140" s="420"/>
      <c r="H140" s="422"/>
      <c r="I140" s="423"/>
      <c r="J140" s="424">
        <f t="shared" si="120"/>
        <v>1411.74</v>
      </c>
      <c r="K140" s="425">
        <f>J140*0.0217</f>
        <v>30.634758000000001</v>
      </c>
      <c r="L140" s="425"/>
      <c r="M140" s="426"/>
      <c r="N140" s="427"/>
      <c r="O140" s="427"/>
      <c r="P140" s="418"/>
      <c r="Q140" s="424">
        <f>R140+S140+T140+U140</f>
        <v>0</v>
      </c>
      <c r="R140" s="428">
        <f t="shared" si="113"/>
        <v>0</v>
      </c>
      <c r="S140" s="420">
        <f t="shared" si="128"/>
        <v>0</v>
      </c>
      <c r="T140" s="420">
        <f t="shared" si="115"/>
        <v>0</v>
      </c>
      <c r="U140" s="420">
        <f t="shared" si="116"/>
        <v>0</v>
      </c>
      <c r="V140" s="424">
        <f t="shared" si="117"/>
        <v>12000</v>
      </c>
      <c r="W140" s="429">
        <v>10000</v>
      </c>
      <c r="X140" s="428">
        <f t="shared" si="129"/>
        <v>0</v>
      </c>
      <c r="Y140" s="430">
        <f>IF(X140=0,0,IF(X140=1,0.15,IF(X140=2,0.2,IF(X140=3,0.25,IF(X140=4,0.3,IF(X140=5,0.35,0))))))</f>
        <v>0</v>
      </c>
      <c r="Z140" s="424">
        <f t="shared" si="130"/>
        <v>5793.75</v>
      </c>
      <c r="AA140" s="523">
        <f t="shared" si="125"/>
        <v>482.8125</v>
      </c>
      <c r="AB140" s="420"/>
      <c r="AC140" s="431"/>
      <c r="AD140" s="424"/>
      <c r="AE140" s="424"/>
      <c r="AF140" s="393">
        <f t="shared" si="127"/>
        <v>35102.247095999999</v>
      </c>
    </row>
    <row r="141" spans="1:36">
      <c r="A141" s="433"/>
      <c r="B141" s="433"/>
      <c r="C141" s="433" t="s">
        <v>666</v>
      </c>
      <c r="D141" s="434"/>
      <c r="E141" s="434"/>
      <c r="F141" s="434"/>
      <c r="G141" s="434"/>
      <c r="H141" s="435"/>
      <c r="I141" s="435"/>
      <c r="J141" s="424">
        <f>SUM(J134:J140)</f>
        <v>15780.983999999999</v>
      </c>
      <c r="K141" s="424">
        <f t="shared" ref="K141:L141" si="131">SUM(K134:K140)</f>
        <v>259.31785199999996</v>
      </c>
      <c r="L141" s="424">
        <f t="shared" si="131"/>
        <v>1367.0184575999997</v>
      </c>
      <c r="M141" s="436"/>
      <c r="N141" s="424"/>
      <c r="O141" s="424"/>
      <c r="P141" s="424"/>
      <c r="Q141" s="424">
        <f>SUM(Q134:Q140)</f>
        <v>17193.375</v>
      </c>
      <c r="R141" s="424"/>
      <c r="S141" s="424"/>
      <c r="T141" s="424"/>
      <c r="U141" s="424"/>
      <c r="V141" s="424">
        <f>V143/12</f>
        <v>9640</v>
      </c>
      <c r="W141" s="424"/>
      <c r="X141" s="424"/>
      <c r="Y141" s="424"/>
      <c r="Z141" s="424">
        <f>Z143/12</f>
        <v>6481.4041666666672</v>
      </c>
      <c r="AA141" s="424"/>
      <c r="AB141" s="424"/>
      <c r="AC141" s="424"/>
      <c r="AD141" s="424">
        <f>AD143/12</f>
        <v>9166.6666666666661</v>
      </c>
      <c r="AE141" s="424"/>
      <c r="AF141" s="394">
        <f>AF143/12</f>
        <v>65561.68280960001</v>
      </c>
      <c r="AI141" s="449" t="s">
        <v>677</v>
      </c>
      <c r="AJ141" s="449">
        <v>70</v>
      </c>
    </row>
    <row r="142" spans="1:36">
      <c r="A142" s="433"/>
      <c r="B142" s="433"/>
      <c r="C142" s="433" t="s">
        <v>667</v>
      </c>
      <c r="D142" s="434"/>
      <c r="E142" s="434"/>
      <c r="F142" s="434"/>
      <c r="G142" s="434"/>
      <c r="H142" s="435"/>
      <c r="I142" s="435"/>
      <c r="J142" s="424">
        <f>J141*3</f>
        <v>47342.951999999997</v>
      </c>
      <c r="K142" s="424">
        <f t="shared" ref="K142:L142" si="132">K141*3</f>
        <v>777.95355599999994</v>
      </c>
      <c r="L142" s="424">
        <f t="shared" si="132"/>
        <v>4101.0553727999995</v>
      </c>
      <c r="M142" s="436"/>
      <c r="N142" s="424"/>
      <c r="O142" s="424"/>
      <c r="P142" s="424"/>
      <c r="Q142" s="424">
        <f>Q141*3</f>
        <v>51580.125</v>
      </c>
      <c r="R142" s="424"/>
      <c r="S142" s="424"/>
      <c r="T142" s="424"/>
      <c r="U142" s="424"/>
      <c r="V142" s="437">
        <f>V143/4</f>
        <v>28920</v>
      </c>
      <c r="W142" s="424"/>
      <c r="X142" s="424"/>
      <c r="Y142" s="424"/>
      <c r="Z142" s="424">
        <f>Z143/4</f>
        <v>19444.212500000001</v>
      </c>
      <c r="AA142" s="424"/>
      <c r="AB142" s="424"/>
      <c r="AC142" s="424"/>
      <c r="AD142" s="424">
        <f>AD143/4</f>
        <v>27500</v>
      </c>
      <c r="AE142" s="424"/>
      <c r="AF142" s="394">
        <f>AF143/4</f>
        <v>196685.04842880002</v>
      </c>
    </row>
    <row r="143" spans="1:36" ht="17.399999999999999">
      <c r="A143" s="444"/>
      <c r="B143" s="444"/>
      <c r="C143" s="439" t="s">
        <v>668</v>
      </c>
      <c r="D143" s="440"/>
      <c r="E143" s="440"/>
      <c r="F143" s="440"/>
      <c r="G143" s="440"/>
      <c r="H143" s="440"/>
      <c r="I143" s="440"/>
      <c r="J143" s="441">
        <f>J141*12</f>
        <v>189371.80799999999</v>
      </c>
      <c r="K143" s="441">
        <f t="shared" ref="K143:L143" si="133">K141*12</f>
        <v>3111.8142239999997</v>
      </c>
      <c r="L143" s="441">
        <f t="shared" si="133"/>
        <v>16404.221491199998</v>
      </c>
      <c r="M143" s="442"/>
      <c r="N143" s="441"/>
      <c r="O143" s="441"/>
      <c r="P143" s="441"/>
      <c r="Q143" s="441">
        <f>Q141*12</f>
        <v>206320.5</v>
      </c>
      <c r="R143" s="439"/>
      <c r="S143" s="439"/>
      <c r="T143" s="439"/>
      <c r="U143" s="439"/>
      <c r="V143" s="443">
        <f>SUM(V135:V140)</f>
        <v>115680</v>
      </c>
      <c r="W143" s="441"/>
      <c r="X143" s="441"/>
      <c r="Y143" s="441"/>
      <c r="Z143" s="441">
        <f>SUM(Z134:Z140)</f>
        <v>77776.850000000006</v>
      </c>
      <c r="AA143" s="441"/>
      <c r="AB143" s="441"/>
      <c r="AC143" s="441"/>
      <c r="AD143" s="441">
        <f>SUM(AD134:AD140)</f>
        <v>110000</v>
      </c>
      <c r="AE143" s="441">
        <f>SUM(AE134:AE140)</f>
        <v>8075</v>
      </c>
      <c r="AF143" s="395">
        <f>SUM(AF134:AF140)</f>
        <v>786740.19371520006</v>
      </c>
    </row>
    <row r="147" spans="1:36" s="714" customFormat="1" ht="15.6">
      <c r="A147" s="710"/>
      <c r="B147" s="710"/>
      <c r="C147" s="755" t="s">
        <v>711</v>
      </c>
      <c r="D147" s="756"/>
      <c r="E147" s="756"/>
      <c r="F147" s="756"/>
      <c r="G147" s="756"/>
      <c r="H147" s="756"/>
      <c r="I147" s="756"/>
      <c r="J147" s="756"/>
      <c r="K147" s="756"/>
      <c r="L147" s="756"/>
      <c r="M147" s="756"/>
      <c r="N147" s="756"/>
      <c r="O147" s="756"/>
      <c r="P147" s="756"/>
      <c r="Q147" s="756"/>
      <c r="R147" s="756"/>
      <c r="S147" s="756"/>
      <c r="T147" s="756"/>
      <c r="U147" s="756"/>
      <c r="V147" s="756"/>
      <c r="W147" s="711"/>
      <c r="X147" s="711"/>
      <c r="Y147" s="711"/>
      <c r="Z147" s="711"/>
      <c r="AA147" s="711"/>
      <c r="AB147" s="711"/>
      <c r="AC147" s="711"/>
      <c r="AD147" s="711"/>
      <c r="AE147" s="712" t="s">
        <v>814</v>
      </c>
      <c r="AF147" s="712"/>
      <c r="AG147" s="713">
        <v>186</v>
      </c>
    </row>
    <row r="148" spans="1:36" ht="16.2" thickBot="1">
      <c r="A148" s="402"/>
      <c r="B148" s="402"/>
      <c r="C148" s="402"/>
      <c r="D148" s="402"/>
      <c r="E148" s="760"/>
      <c r="F148" s="760"/>
      <c r="G148" s="760"/>
      <c r="H148" s="760"/>
      <c r="I148" s="760"/>
      <c r="J148" s="760"/>
      <c r="K148" s="760"/>
      <c r="L148" s="760"/>
      <c r="M148" s="404"/>
      <c r="N148" s="405"/>
      <c r="O148" s="402"/>
      <c r="P148" s="402"/>
      <c r="Q148" s="402"/>
      <c r="R148" s="402"/>
      <c r="S148" s="402"/>
      <c r="T148" s="402"/>
      <c r="U148" s="402"/>
      <c r="V148" s="402"/>
      <c r="W148" s="402"/>
      <c r="X148" s="402"/>
      <c r="Y148" s="402"/>
      <c r="Z148" s="402"/>
      <c r="AA148" s="402"/>
      <c r="AB148" s="402"/>
      <c r="AC148" s="402"/>
      <c r="AD148" s="402"/>
      <c r="AE148" s="402"/>
      <c r="AF148" s="402"/>
      <c r="AG148" s="402"/>
      <c r="AI148" s="32" t="s">
        <v>711</v>
      </c>
    </row>
    <row r="149" spans="1:36" ht="117" thickBot="1">
      <c r="A149" s="407" t="s">
        <v>639</v>
      </c>
      <c r="B149" s="407" t="s">
        <v>640</v>
      </c>
      <c r="C149" s="407" t="s">
        <v>596</v>
      </c>
      <c r="D149" s="407" t="s">
        <v>641</v>
      </c>
      <c r="E149" s="407" t="s">
        <v>642</v>
      </c>
      <c r="F149" s="407" t="s">
        <v>643</v>
      </c>
      <c r="G149" s="407" t="s">
        <v>644</v>
      </c>
      <c r="H149" s="408" t="s">
        <v>645</v>
      </c>
      <c r="I149" s="408" t="s">
        <v>646</v>
      </c>
      <c r="J149" s="409" t="s">
        <v>647</v>
      </c>
      <c r="K149" s="409" t="s">
        <v>648</v>
      </c>
      <c r="L149" s="410" t="s">
        <v>800</v>
      </c>
      <c r="M149" s="411" t="s">
        <v>649</v>
      </c>
      <c r="N149" s="407" t="s">
        <v>607</v>
      </c>
      <c r="O149" s="407" t="s">
        <v>795</v>
      </c>
      <c r="P149" s="412" t="s">
        <v>799</v>
      </c>
      <c r="Q149" s="410" t="s">
        <v>650</v>
      </c>
      <c r="R149" s="412" t="s">
        <v>608</v>
      </c>
      <c r="S149" s="412" t="s">
        <v>609</v>
      </c>
      <c r="T149" s="412" t="s">
        <v>610</v>
      </c>
      <c r="U149" s="412" t="s">
        <v>651</v>
      </c>
      <c r="V149" s="413" t="s">
        <v>652</v>
      </c>
      <c r="W149" s="414" t="s">
        <v>653</v>
      </c>
      <c r="X149" s="414" t="s">
        <v>654</v>
      </c>
      <c r="Y149" s="414" t="s">
        <v>655</v>
      </c>
      <c r="Z149" s="410" t="s">
        <v>614</v>
      </c>
      <c r="AA149" s="415" t="s">
        <v>656</v>
      </c>
      <c r="AB149" s="415" t="s">
        <v>657</v>
      </c>
      <c r="AC149" s="415" t="s">
        <v>658</v>
      </c>
      <c r="AD149" s="410" t="s">
        <v>659</v>
      </c>
      <c r="AE149" s="410" t="s">
        <v>617</v>
      </c>
      <c r="AF149" s="409" t="s">
        <v>589</v>
      </c>
      <c r="AJ149" s="468" t="s">
        <v>678</v>
      </c>
    </row>
    <row r="150" spans="1:36" ht="15" thickBot="1">
      <c r="A150" s="418">
        <v>1.49</v>
      </c>
      <c r="B150" s="418">
        <v>1.95</v>
      </c>
      <c r="C150" s="418" t="s">
        <v>660</v>
      </c>
      <c r="D150" s="525">
        <v>13.7</v>
      </c>
      <c r="E150" s="420">
        <f>D150*$AG$147</f>
        <v>2548.1999999999998</v>
      </c>
      <c r="F150" s="446">
        <v>4</v>
      </c>
      <c r="G150" s="420">
        <f>F150*$AG$147</f>
        <v>744</v>
      </c>
      <c r="H150" s="422">
        <v>18</v>
      </c>
      <c r="I150" s="423">
        <f>E150*H150/100</f>
        <v>458.67599999999999</v>
      </c>
      <c r="J150" s="424">
        <f>E150+G150+I150</f>
        <v>3750.8759999999997</v>
      </c>
      <c r="K150" s="425">
        <f>J150*0.0145</f>
        <v>54.387701999999997</v>
      </c>
      <c r="L150" s="425">
        <f>J150*0.1184</f>
        <v>444.10371839999999</v>
      </c>
      <c r="M150" s="524">
        <v>11.78</v>
      </c>
      <c r="N150" s="427">
        <v>1</v>
      </c>
      <c r="O150" s="427">
        <v>1</v>
      </c>
      <c r="P150" s="418"/>
      <c r="Q150" s="424">
        <f t="shared" ref="Q150:Q153" si="134">R150+S150+T150+U150</f>
        <v>5876.4765600000001</v>
      </c>
      <c r="R150" s="428">
        <f>M150*$AG$147*A150</f>
        <v>3264.7091999999998</v>
      </c>
      <c r="S150" s="420">
        <f t="shared" ref="S150:S153" si="135">R150/2*N150</f>
        <v>1632.3545999999999</v>
      </c>
      <c r="T150" s="420">
        <f t="shared" ref="T150:T156" si="136">R150*0.3*O150</f>
        <v>979.41275999999993</v>
      </c>
      <c r="U150" s="420">
        <f t="shared" ref="U150:U156" si="137">R150*0.2*P150</f>
        <v>0</v>
      </c>
      <c r="V150" s="424">
        <f t="shared" ref="V150:V156" si="138">(W150+W150*Y150)*B150</f>
        <v>97500</v>
      </c>
      <c r="W150" s="526">
        <v>50000</v>
      </c>
      <c r="X150" s="767"/>
      <c r="Y150" s="768"/>
      <c r="Z150" s="424">
        <f t="shared" ref="Z150:Z153" si="139">SUM(AA150:AC150)*12</f>
        <v>17880.5</v>
      </c>
      <c r="AA150" s="523">
        <f>4635/12*$A$150</f>
        <v>575.51250000000005</v>
      </c>
      <c r="AB150" s="523">
        <f>(4635+2320)/12*A150</f>
        <v>863.57916666666677</v>
      </c>
      <c r="AC150" s="431">
        <v>50.95</v>
      </c>
      <c r="AD150" s="424">
        <v>15000</v>
      </c>
      <c r="AE150" s="424">
        <f>(740+350*(N150+O150))*A150</f>
        <v>2145.6</v>
      </c>
      <c r="AF150" s="393">
        <f>(J150+K150+L150+Q150)*12+V150+Z150+AD150+AE150</f>
        <v>254036.22776480002</v>
      </c>
      <c r="AI150" s="398" t="s">
        <v>672</v>
      </c>
      <c r="AJ150" s="397">
        <f>AJ151+AJ152+AJ153</f>
        <v>1292.0999999999999</v>
      </c>
    </row>
    <row r="151" spans="1:36" ht="27.6" thickBot="1">
      <c r="A151" s="418">
        <v>1.49</v>
      </c>
      <c r="B151" s="418">
        <v>1.95</v>
      </c>
      <c r="C151" s="418" t="s">
        <v>661</v>
      </c>
      <c r="D151" s="525">
        <v>10.8</v>
      </c>
      <c r="E151" s="420">
        <f>D151*$AG$147</f>
        <v>2008.8000000000002</v>
      </c>
      <c r="F151" s="446">
        <v>3.7</v>
      </c>
      <c r="G151" s="420">
        <f>F151*$AG$147</f>
        <v>688.2</v>
      </c>
      <c r="H151" s="422">
        <v>17</v>
      </c>
      <c r="I151" s="423">
        <f t="shared" ref="I151:I153" si="140">E151*H151/100</f>
        <v>341.49600000000004</v>
      </c>
      <c r="J151" s="424">
        <f t="shared" ref="J151:J156" si="141">E151+G151+I151</f>
        <v>3038.4960000000001</v>
      </c>
      <c r="K151" s="425">
        <f t="shared" ref="K151:K153" si="142">J151*0.0145</f>
        <v>44.058192000000005</v>
      </c>
      <c r="L151" s="425">
        <f t="shared" ref="L151:L153" si="143">J151*0.1184</f>
        <v>359.75792640000003</v>
      </c>
      <c r="M151" s="524">
        <v>9.75</v>
      </c>
      <c r="N151" s="427">
        <v>1</v>
      </c>
      <c r="O151" s="427">
        <v>2</v>
      </c>
      <c r="P151" s="418"/>
      <c r="Q151" s="424">
        <f t="shared" si="134"/>
        <v>5674.441499999999</v>
      </c>
      <c r="R151" s="428">
        <f>M151*$AG$147*A151</f>
        <v>2702.1149999999998</v>
      </c>
      <c r="S151" s="420">
        <f t="shared" si="135"/>
        <v>1351.0574999999999</v>
      </c>
      <c r="T151" s="420">
        <f t="shared" si="136"/>
        <v>1621.2689999999998</v>
      </c>
      <c r="U151" s="420">
        <f t="shared" si="137"/>
        <v>0</v>
      </c>
      <c r="V151" s="424">
        <f t="shared" si="138"/>
        <v>53625</v>
      </c>
      <c r="W151" s="526">
        <v>22000</v>
      </c>
      <c r="X151" s="428">
        <f t="shared" ref="X151:X153" si="144">SUM(N151:P151)</f>
        <v>3</v>
      </c>
      <c r="Y151" s="430">
        <f t="shared" ref="Y151:Y153" si="145">IF(X151=0,0,IF(X151=1,0.15,IF(X151=2,0.2,IF(X151=3,0.25,IF(X151=4,0.3,IF(X151=5,0.35,0))))))</f>
        <v>0.25</v>
      </c>
      <c r="Z151" s="424">
        <f t="shared" si="139"/>
        <v>17880.5</v>
      </c>
      <c r="AA151" s="523">
        <f t="shared" ref="AA151:AA156" si="146">4635/12*$A$150</f>
        <v>575.51250000000005</v>
      </c>
      <c r="AB151" s="523">
        <f t="shared" ref="AB151:AB153" si="147">(4635+2320)/12*A151</f>
        <v>863.57916666666677</v>
      </c>
      <c r="AC151" s="431">
        <v>50.95</v>
      </c>
      <c r="AD151" s="424">
        <v>30000</v>
      </c>
      <c r="AE151" s="424">
        <f>(740+350*X151)*A151</f>
        <v>2667.1</v>
      </c>
      <c r="AF151" s="393">
        <f t="shared" ref="AF151:AF156" si="148">(J151+K151+L151+Q151)*12+V151+Z151+AD151+AE151</f>
        <v>213573.64342079998</v>
      </c>
      <c r="AI151" s="399" t="s">
        <v>669</v>
      </c>
      <c r="AJ151" s="400">
        <v>228</v>
      </c>
    </row>
    <row r="152" spans="1:36" ht="15" thickBot="1">
      <c r="A152" s="418">
        <v>1.49</v>
      </c>
      <c r="B152" s="418">
        <v>1.95</v>
      </c>
      <c r="C152" s="418" t="s">
        <v>662</v>
      </c>
      <c r="D152" s="525">
        <v>9.6</v>
      </c>
      <c r="E152" s="420">
        <f>D152*$AG$147</f>
        <v>1785.6</v>
      </c>
      <c r="F152" s="446">
        <v>2.8</v>
      </c>
      <c r="G152" s="420">
        <f>F152*$AG$147</f>
        <v>520.79999999999995</v>
      </c>
      <c r="H152" s="422">
        <v>12</v>
      </c>
      <c r="I152" s="423">
        <f t="shared" si="140"/>
        <v>214.27199999999996</v>
      </c>
      <c r="J152" s="424">
        <f t="shared" si="141"/>
        <v>2520.6719999999996</v>
      </c>
      <c r="K152" s="425">
        <f t="shared" si="142"/>
        <v>36.549743999999997</v>
      </c>
      <c r="L152" s="425">
        <f t="shared" si="143"/>
        <v>298.44756479999995</v>
      </c>
      <c r="M152" s="524">
        <v>8.81</v>
      </c>
      <c r="N152" s="427">
        <v>1</v>
      </c>
      <c r="O152" s="427">
        <v>1</v>
      </c>
      <c r="P152" s="418"/>
      <c r="Q152" s="424">
        <f t="shared" si="134"/>
        <v>4394.8861200000001</v>
      </c>
      <c r="R152" s="428">
        <f>M152*$AG$147*A152</f>
        <v>2441.6034</v>
      </c>
      <c r="S152" s="420">
        <f t="shared" si="135"/>
        <v>1220.8017</v>
      </c>
      <c r="T152" s="420">
        <f t="shared" si="136"/>
        <v>732.48101999999994</v>
      </c>
      <c r="U152" s="420">
        <f t="shared" si="137"/>
        <v>0</v>
      </c>
      <c r="V152" s="424">
        <f t="shared" si="138"/>
        <v>37440</v>
      </c>
      <c r="W152" s="526">
        <v>16000</v>
      </c>
      <c r="X152" s="428">
        <f t="shared" si="144"/>
        <v>2</v>
      </c>
      <c r="Y152" s="430">
        <f t="shared" si="145"/>
        <v>0.2</v>
      </c>
      <c r="Z152" s="424">
        <f t="shared" si="139"/>
        <v>17880.5</v>
      </c>
      <c r="AA152" s="523">
        <f t="shared" si="146"/>
        <v>575.51250000000005</v>
      </c>
      <c r="AB152" s="523">
        <f t="shared" si="147"/>
        <v>863.57916666666677</v>
      </c>
      <c r="AC152" s="431">
        <v>50.95</v>
      </c>
      <c r="AD152" s="424">
        <v>15000</v>
      </c>
      <c r="AE152" s="424">
        <f>(740+350*X152)*A152</f>
        <v>2145.6</v>
      </c>
      <c r="AF152" s="393">
        <f t="shared" si="148"/>
        <v>159472.76514559999</v>
      </c>
      <c r="AI152" s="399" t="s">
        <v>670</v>
      </c>
      <c r="AJ152" s="527">
        <v>529</v>
      </c>
    </row>
    <row r="153" spans="1:36" ht="15" thickBot="1">
      <c r="A153" s="418">
        <v>1.49</v>
      </c>
      <c r="B153" s="418">
        <v>1.95</v>
      </c>
      <c r="C153" s="418" t="s">
        <v>817</v>
      </c>
      <c r="D153" s="525">
        <v>10.8</v>
      </c>
      <c r="E153" s="420">
        <f>D153*$AG$147</f>
        <v>2008.8000000000002</v>
      </c>
      <c r="F153" s="446"/>
      <c r="G153" s="420"/>
      <c r="H153" s="422">
        <v>10</v>
      </c>
      <c r="I153" s="423">
        <f t="shared" si="140"/>
        <v>200.88</v>
      </c>
      <c r="J153" s="424">
        <f t="shared" si="141"/>
        <v>2209.6800000000003</v>
      </c>
      <c r="K153" s="425">
        <f t="shared" si="142"/>
        <v>32.040360000000007</v>
      </c>
      <c r="L153" s="425">
        <f t="shared" si="143"/>
        <v>261.62611200000003</v>
      </c>
      <c r="M153" s="524">
        <v>7.95</v>
      </c>
      <c r="N153" s="427">
        <v>1</v>
      </c>
      <c r="O153" s="427">
        <v>2</v>
      </c>
      <c r="P153" s="418"/>
      <c r="Q153" s="424">
        <f t="shared" si="134"/>
        <v>4626.8522999999996</v>
      </c>
      <c r="R153" s="428">
        <f>M153*$AG$147*A153</f>
        <v>2203.2629999999999</v>
      </c>
      <c r="S153" s="420">
        <f t="shared" si="135"/>
        <v>1101.6315</v>
      </c>
      <c r="T153" s="420">
        <f t="shared" si="136"/>
        <v>1321.9577999999999</v>
      </c>
      <c r="U153" s="420">
        <f t="shared" si="137"/>
        <v>0</v>
      </c>
      <c r="V153" s="424">
        <f t="shared" si="138"/>
        <v>39000</v>
      </c>
      <c r="W153" s="526">
        <v>16000</v>
      </c>
      <c r="X153" s="428">
        <f t="shared" si="144"/>
        <v>3</v>
      </c>
      <c r="Y153" s="430">
        <f t="shared" si="145"/>
        <v>0.25</v>
      </c>
      <c r="Z153" s="424">
        <f t="shared" si="139"/>
        <v>17880.5</v>
      </c>
      <c r="AA153" s="523">
        <f t="shared" si="146"/>
        <v>575.51250000000005</v>
      </c>
      <c r="AB153" s="523">
        <f t="shared" si="147"/>
        <v>863.57916666666677</v>
      </c>
      <c r="AC153" s="431">
        <v>50.95</v>
      </c>
      <c r="AD153" s="424">
        <v>30000</v>
      </c>
      <c r="AE153" s="424">
        <f>(740+350*X153)*A153</f>
        <v>2667.1</v>
      </c>
      <c r="AF153" s="393">
        <f t="shared" si="148"/>
        <v>175109.98526399999</v>
      </c>
      <c r="AI153" s="399" t="s">
        <v>671</v>
      </c>
      <c r="AJ153" s="527">
        <v>535.1</v>
      </c>
    </row>
    <row r="154" spans="1:36">
      <c r="A154" s="418">
        <v>1.39</v>
      </c>
      <c r="B154" s="418">
        <v>1.95</v>
      </c>
      <c r="C154" s="418" t="s">
        <v>663</v>
      </c>
      <c r="D154" s="525">
        <v>7.59</v>
      </c>
      <c r="E154" s="420">
        <f>D154*$AG$147*A154</f>
        <v>1962.3185999999998</v>
      </c>
      <c r="F154" s="420"/>
      <c r="G154" s="420"/>
      <c r="H154" s="422"/>
      <c r="I154" s="423"/>
      <c r="J154" s="424">
        <f t="shared" si="141"/>
        <v>1962.3185999999998</v>
      </c>
      <c r="K154" s="425">
        <f>J154*0.0217</f>
        <v>42.582313620000001</v>
      </c>
      <c r="L154" s="425"/>
      <c r="M154" s="426"/>
      <c r="N154" s="427"/>
      <c r="O154" s="427"/>
      <c r="P154" s="418"/>
      <c r="Q154" s="424">
        <f>R154+S154+T154+U154</f>
        <v>0</v>
      </c>
      <c r="R154" s="428">
        <f>M154*$AG$147*A154</f>
        <v>0</v>
      </c>
      <c r="S154" s="420">
        <f>R154/2*N154</f>
        <v>0</v>
      </c>
      <c r="T154" s="420">
        <f t="shared" si="136"/>
        <v>0</v>
      </c>
      <c r="U154" s="420">
        <f t="shared" si="137"/>
        <v>0</v>
      </c>
      <c r="V154" s="424">
        <f t="shared" si="138"/>
        <v>19500</v>
      </c>
      <c r="W154" s="526">
        <v>10000</v>
      </c>
      <c r="X154" s="428">
        <f>SUM(N154:P154)</f>
        <v>0</v>
      </c>
      <c r="Y154" s="430">
        <f>IF(X154=0,0,IF(X154=1,0.15,IF(X154=2,0.2,IF(X154=3,0.25,IF(X154=4,0.3,IF(X154=5,0.35,0))))))</f>
        <v>0</v>
      </c>
      <c r="Z154" s="424">
        <f>SUM(AA154:AC154)*12</f>
        <v>6906.1500000000005</v>
      </c>
      <c r="AA154" s="523">
        <f t="shared" si="146"/>
        <v>575.51250000000005</v>
      </c>
      <c r="AB154" s="523"/>
      <c r="AC154" s="431"/>
      <c r="AD154" s="424"/>
      <c r="AE154" s="424"/>
      <c r="AF154" s="393">
        <f t="shared" si="148"/>
        <v>50464.960963439997</v>
      </c>
      <c r="AI154" s="447" t="s">
        <v>673</v>
      </c>
      <c r="AJ154" s="448">
        <v>270</v>
      </c>
    </row>
    <row r="155" spans="1:36">
      <c r="A155" s="418">
        <v>1.39</v>
      </c>
      <c r="B155" s="418">
        <v>1.95</v>
      </c>
      <c r="C155" s="416" t="s">
        <v>664</v>
      </c>
      <c r="D155" s="525">
        <v>7.59</v>
      </c>
      <c r="E155" s="420">
        <f>D155*$AG$147*A155</f>
        <v>1962.3185999999998</v>
      </c>
      <c r="F155" s="420"/>
      <c r="G155" s="420"/>
      <c r="H155" s="422"/>
      <c r="I155" s="423"/>
      <c r="J155" s="424">
        <f t="shared" si="141"/>
        <v>1962.3185999999998</v>
      </c>
      <c r="K155" s="425">
        <f>J155*0.0217</f>
        <v>42.582313620000001</v>
      </c>
      <c r="L155" s="425"/>
      <c r="M155" s="426"/>
      <c r="N155" s="427"/>
      <c r="O155" s="427"/>
      <c r="P155" s="418"/>
      <c r="Q155" s="424">
        <f>R155+S155+T155+U155</f>
        <v>0</v>
      </c>
      <c r="R155" s="428">
        <f>M155*$AG$2*A155</f>
        <v>0</v>
      </c>
      <c r="S155" s="420">
        <f t="shared" ref="S155:S156" si="149">R155/2*N155</f>
        <v>0</v>
      </c>
      <c r="T155" s="420">
        <f t="shared" si="136"/>
        <v>0</v>
      </c>
      <c r="U155" s="420">
        <f t="shared" si="137"/>
        <v>0</v>
      </c>
      <c r="V155" s="424">
        <f t="shared" si="138"/>
        <v>19500</v>
      </c>
      <c r="W155" s="526">
        <v>10000</v>
      </c>
      <c r="X155" s="428">
        <f t="shared" ref="X155:X156" si="150">SUM(N155:P155)</f>
        <v>0</v>
      </c>
      <c r="Y155" s="430">
        <f>IF(X155=0,0,IF(X155=1,0.15,IF(X155=2,0.2,IF(X155=3,0.25,IF(X155=4,0.3,IF(X155=5,0.35,0))))))</f>
        <v>0</v>
      </c>
      <c r="Z155" s="424">
        <f t="shared" ref="Z155:Z156" si="151">SUM(AA155:AC155)*12</f>
        <v>6906.1500000000005</v>
      </c>
      <c r="AA155" s="523">
        <f t="shared" si="146"/>
        <v>575.51250000000005</v>
      </c>
      <c r="AB155" s="523"/>
      <c r="AC155" s="431"/>
      <c r="AD155" s="424"/>
      <c r="AE155" s="424"/>
      <c r="AF155" s="393">
        <f t="shared" si="148"/>
        <v>50464.960963439997</v>
      </c>
      <c r="AI155" s="466" t="s">
        <v>32</v>
      </c>
      <c r="AJ155" s="467">
        <f>AJ154+AJ150</f>
        <v>1562.1</v>
      </c>
    </row>
    <row r="156" spans="1:36">
      <c r="A156" s="418">
        <v>1.39</v>
      </c>
      <c r="B156" s="418">
        <v>1.95</v>
      </c>
      <c r="C156" s="418" t="s">
        <v>665</v>
      </c>
      <c r="D156" s="525">
        <v>7.59</v>
      </c>
      <c r="E156" s="420">
        <f>D156*$AG$147*A156</f>
        <v>1962.3185999999998</v>
      </c>
      <c r="F156" s="420"/>
      <c r="G156" s="420"/>
      <c r="H156" s="422"/>
      <c r="I156" s="423"/>
      <c r="J156" s="424">
        <f t="shared" si="141"/>
        <v>1962.3185999999998</v>
      </c>
      <c r="K156" s="425">
        <f>J156*0.0217</f>
        <v>42.582313620000001</v>
      </c>
      <c r="L156" s="425"/>
      <c r="M156" s="426"/>
      <c r="N156" s="427"/>
      <c r="O156" s="427"/>
      <c r="P156" s="418"/>
      <c r="Q156" s="424">
        <f>R156+S156+T156+U156</f>
        <v>0</v>
      </c>
      <c r="R156" s="428">
        <f>M156*$AG$2*A156</f>
        <v>0</v>
      </c>
      <c r="S156" s="420">
        <f t="shared" si="149"/>
        <v>0</v>
      </c>
      <c r="T156" s="420">
        <f t="shared" si="136"/>
        <v>0</v>
      </c>
      <c r="U156" s="420">
        <f t="shared" si="137"/>
        <v>0</v>
      </c>
      <c r="V156" s="424">
        <f t="shared" si="138"/>
        <v>19500</v>
      </c>
      <c r="W156" s="526">
        <v>10000</v>
      </c>
      <c r="X156" s="428">
        <f t="shared" si="150"/>
        <v>0</v>
      </c>
      <c r="Y156" s="430">
        <f>IF(X156=0,0,IF(X156=1,0.15,IF(X156=2,0.2,IF(X156=3,0.25,IF(X156=4,0.3,IF(X156=5,0.35,0))))))</f>
        <v>0</v>
      </c>
      <c r="Z156" s="424">
        <f t="shared" si="151"/>
        <v>6906.1500000000005</v>
      </c>
      <c r="AA156" s="523">
        <f t="shared" si="146"/>
        <v>575.51250000000005</v>
      </c>
      <c r="AB156" s="420"/>
      <c r="AC156" s="431"/>
      <c r="AD156" s="424"/>
      <c r="AE156" s="424"/>
      <c r="AF156" s="393">
        <f t="shared" si="148"/>
        <v>50464.960963439997</v>
      </c>
    </row>
    <row r="157" spans="1:36">
      <c r="A157" s="433"/>
      <c r="B157" s="433"/>
      <c r="C157" s="433" t="s">
        <v>666</v>
      </c>
      <c r="D157" s="434"/>
      <c r="E157" s="434"/>
      <c r="F157" s="434"/>
      <c r="G157" s="434"/>
      <c r="H157" s="435"/>
      <c r="I157" s="435"/>
      <c r="J157" s="424">
        <f>SUM(J150:J156)</f>
        <v>17406.679799999998</v>
      </c>
      <c r="K157" s="424">
        <f t="shared" ref="K157:L157" si="152">SUM(K150:K156)</f>
        <v>294.78293886</v>
      </c>
      <c r="L157" s="424">
        <f t="shared" si="152"/>
        <v>1363.9353216</v>
      </c>
      <c r="M157" s="436"/>
      <c r="N157" s="424"/>
      <c r="O157" s="424"/>
      <c r="P157" s="424"/>
      <c r="Q157" s="424">
        <f>SUM(Q150:Q156)</f>
        <v>20572.656479999998</v>
      </c>
      <c r="R157" s="424"/>
      <c r="S157" s="424"/>
      <c r="T157" s="424"/>
      <c r="U157" s="424"/>
      <c r="V157" s="424">
        <f>V159/12</f>
        <v>15713.75</v>
      </c>
      <c r="W157" s="424"/>
      <c r="X157" s="424"/>
      <c r="Y157" s="424"/>
      <c r="Z157" s="424">
        <f>Z159/12</f>
        <v>7686.7041666666655</v>
      </c>
      <c r="AA157" s="424"/>
      <c r="AB157" s="424"/>
      <c r="AC157" s="424"/>
      <c r="AD157" s="424">
        <f>AD159/12</f>
        <v>7500</v>
      </c>
      <c r="AE157" s="424"/>
      <c r="AF157" s="394">
        <f>AF159/12</f>
        <v>79465.625373793344</v>
      </c>
      <c r="AI157" s="449" t="s">
        <v>677</v>
      </c>
      <c r="AJ157" s="449">
        <v>50</v>
      </c>
    </row>
    <row r="158" spans="1:36">
      <c r="A158" s="433"/>
      <c r="B158" s="433"/>
      <c r="C158" s="433" t="s">
        <v>667</v>
      </c>
      <c r="D158" s="434"/>
      <c r="E158" s="434"/>
      <c r="F158" s="434"/>
      <c r="G158" s="434"/>
      <c r="H158" s="435"/>
      <c r="I158" s="435"/>
      <c r="J158" s="424">
        <f>J157*3</f>
        <v>52220.039399999994</v>
      </c>
      <c r="K158" s="424">
        <f t="shared" ref="K158:L158" si="153">K157*3</f>
        <v>884.34881657999995</v>
      </c>
      <c r="L158" s="424">
        <f t="shared" si="153"/>
        <v>4091.8059647999999</v>
      </c>
      <c r="M158" s="436"/>
      <c r="N158" s="424"/>
      <c r="O158" s="424"/>
      <c r="P158" s="424"/>
      <c r="Q158" s="424">
        <f>Q157*3</f>
        <v>61717.969439999993</v>
      </c>
      <c r="R158" s="424"/>
      <c r="S158" s="424"/>
      <c r="T158" s="424"/>
      <c r="U158" s="424"/>
      <c r="V158" s="437">
        <f>V159/4</f>
        <v>47141.25</v>
      </c>
      <c r="W158" s="424"/>
      <c r="X158" s="424"/>
      <c r="Y158" s="424"/>
      <c r="Z158" s="424">
        <f>Z159/4</f>
        <v>23060.112499999996</v>
      </c>
      <c r="AA158" s="424"/>
      <c r="AB158" s="424"/>
      <c r="AC158" s="424"/>
      <c r="AD158" s="424">
        <f>AD159/4</f>
        <v>22500</v>
      </c>
      <c r="AE158" s="445"/>
      <c r="AF158" s="394">
        <f>AF159/4</f>
        <v>238396.87612138002</v>
      </c>
    </row>
    <row r="159" spans="1:36" ht="17.399999999999999">
      <c r="A159" s="444"/>
      <c r="B159" s="444"/>
      <c r="C159" s="439" t="s">
        <v>668</v>
      </c>
      <c r="D159" s="440"/>
      <c r="E159" s="440"/>
      <c r="F159" s="440"/>
      <c r="G159" s="440"/>
      <c r="H159" s="440"/>
      <c r="I159" s="440"/>
      <c r="J159" s="441">
        <f>J157*12</f>
        <v>208880.15759999998</v>
      </c>
      <c r="K159" s="441">
        <f t="shared" ref="K159:L159" si="154">K157*12</f>
        <v>3537.3952663199998</v>
      </c>
      <c r="L159" s="441">
        <f t="shared" si="154"/>
        <v>16367.223859199999</v>
      </c>
      <c r="M159" s="442"/>
      <c r="N159" s="441"/>
      <c r="O159" s="441"/>
      <c r="P159" s="441"/>
      <c r="Q159" s="441">
        <f>Q157*12</f>
        <v>246871.87775999997</v>
      </c>
      <c r="R159" s="439"/>
      <c r="S159" s="439"/>
      <c r="T159" s="439"/>
      <c r="U159" s="439"/>
      <c r="V159" s="443">
        <f>SUM(V151:V156)</f>
        <v>188565</v>
      </c>
      <c r="W159" s="441"/>
      <c r="X159" s="441"/>
      <c r="Y159" s="441"/>
      <c r="Z159" s="441">
        <f>SUM(Z150:Z156)</f>
        <v>92240.449999999983</v>
      </c>
      <c r="AA159" s="441"/>
      <c r="AB159" s="441"/>
      <c r="AC159" s="441"/>
      <c r="AD159" s="441">
        <f>SUM(AD150:AD156)</f>
        <v>90000</v>
      </c>
      <c r="AE159" s="441">
        <f>SUM(AE150:AE156)</f>
        <v>9625.4</v>
      </c>
      <c r="AF159" s="395">
        <f>SUM(AF150:AF156)</f>
        <v>953587.50448552007</v>
      </c>
    </row>
    <row r="161" spans="2:37">
      <c r="B161" s="32" t="s">
        <v>805</v>
      </c>
      <c r="C161" s="32">
        <v>60000</v>
      </c>
      <c r="D161" s="32" t="s">
        <v>768</v>
      </c>
    </row>
    <row r="162" spans="2:37">
      <c r="Z162" s="472"/>
    </row>
    <row r="163" spans="2:37" ht="15" thickBot="1">
      <c r="AI163" s="32" t="s">
        <v>732</v>
      </c>
    </row>
    <row r="164" spans="2:37" ht="15" thickBot="1">
      <c r="AJ164" s="468" t="s">
        <v>678</v>
      </c>
      <c r="AK164" s="32" t="s">
        <v>812</v>
      </c>
    </row>
    <row r="165" spans="2:37" ht="15" thickBot="1">
      <c r="B165" s="485" t="s">
        <v>685</v>
      </c>
      <c r="AI165" s="398" t="s">
        <v>672</v>
      </c>
      <c r="AJ165" s="397">
        <v>1470</v>
      </c>
      <c r="AK165" s="32">
        <v>1632</v>
      </c>
    </row>
    <row r="166" spans="2:37" ht="27.6" thickBot="1">
      <c r="AI166" s="399" t="s">
        <v>669</v>
      </c>
      <c r="AJ166" s="400">
        <v>172</v>
      </c>
      <c r="AK166" s="32">
        <v>175</v>
      </c>
    </row>
    <row r="167" spans="2:37" ht="15" thickBot="1">
      <c r="B167" s="497" t="s">
        <v>696</v>
      </c>
      <c r="C167" s="497" t="s">
        <v>697</v>
      </c>
      <c r="AI167" s="399" t="s">
        <v>670</v>
      </c>
      <c r="AJ167" s="400">
        <v>757.8</v>
      </c>
      <c r="AK167" s="32">
        <v>916.8</v>
      </c>
    </row>
    <row r="168" spans="2:37" ht="15" thickBot="1">
      <c r="B168" s="469" t="s">
        <v>686</v>
      </c>
      <c r="C168" s="470" t="s">
        <v>687</v>
      </c>
      <c r="AI168" s="399" t="s">
        <v>671</v>
      </c>
      <c r="AJ168" s="400">
        <v>540.20000000000005</v>
      </c>
      <c r="AK168" s="32">
        <v>540.20000000000005</v>
      </c>
    </row>
    <row r="169" spans="2:37">
      <c r="B169" s="469" t="s">
        <v>688</v>
      </c>
      <c r="C169" s="470" t="s">
        <v>689</v>
      </c>
      <c r="AI169" s="447" t="s">
        <v>673</v>
      </c>
      <c r="AJ169" s="448">
        <v>260</v>
      </c>
    </row>
    <row r="170" spans="2:37">
      <c r="B170" s="469" t="s">
        <v>690</v>
      </c>
      <c r="C170" s="470" t="s">
        <v>691</v>
      </c>
      <c r="AI170" s="495"/>
      <c r="AJ170" s="496"/>
    </row>
    <row r="171" spans="2:37">
      <c r="B171" s="469" t="s">
        <v>692</v>
      </c>
      <c r="C171" s="470" t="s">
        <v>693</v>
      </c>
      <c r="AI171" s="466" t="s">
        <v>32</v>
      </c>
      <c r="AJ171" s="467">
        <f>+AJ165+AJ169</f>
        <v>1730</v>
      </c>
    </row>
    <row r="172" spans="2:37">
      <c r="B172" s="469" t="s">
        <v>694</v>
      </c>
      <c r="C172" s="470" t="s">
        <v>695</v>
      </c>
      <c r="AI172" s="466"/>
      <c r="AJ172" s="467"/>
    </row>
    <row r="173" spans="2:37">
      <c r="B173"/>
      <c r="C173" s="494"/>
      <c r="AI173" s="466"/>
      <c r="AJ173" s="467"/>
    </row>
    <row r="174" spans="2:37">
      <c r="E174" s="32" t="s">
        <v>777</v>
      </c>
    </row>
    <row r="175" spans="2:37">
      <c r="E175" s="774" t="s">
        <v>698</v>
      </c>
      <c r="F175" s="776" t="s">
        <v>770</v>
      </c>
      <c r="G175" s="776"/>
      <c r="H175" s="776"/>
      <c r="I175" s="776"/>
      <c r="J175" s="776"/>
      <c r="K175" s="776"/>
      <c r="L175" s="776"/>
      <c r="AI175" s="449" t="s">
        <v>677</v>
      </c>
      <c r="AJ175" s="449">
        <v>22</v>
      </c>
    </row>
    <row r="176" spans="2:37">
      <c r="E176" s="774"/>
      <c r="F176" s="475" t="s">
        <v>703</v>
      </c>
      <c r="G176" s="475" t="s">
        <v>704</v>
      </c>
      <c r="H176" s="475" t="s">
        <v>705</v>
      </c>
      <c r="I176" s="475" t="s">
        <v>706</v>
      </c>
      <c r="J176" s="475" t="s">
        <v>707</v>
      </c>
      <c r="K176" s="475" t="s">
        <v>708</v>
      </c>
      <c r="L176" s="475" t="s">
        <v>710</v>
      </c>
    </row>
    <row r="177" spans="5:13">
      <c r="E177" s="475" t="s">
        <v>699</v>
      </c>
      <c r="F177" s="488">
        <v>10</v>
      </c>
      <c r="G177" s="475">
        <v>5</v>
      </c>
      <c r="H177" s="488">
        <v>6</v>
      </c>
      <c r="I177" s="475">
        <v>6</v>
      </c>
      <c r="J177" s="488">
        <v>7</v>
      </c>
      <c r="K177" s="488">
        <v>9</v>
      </c>
      <c r="L177" s="488">
        <v>8</v>
      </c>
    </row>
    <row r="178" spans="5:13">
      <c r="E178" s="475" t="s">
        <v>700</v>
      </c>
      <c r="F178" s="489">
        <v>9</v>
      </c>
      <c r="G178" s="489">
        <v>6</v>
      </c>
      <c r="H178" s="475">
        <v>5</v>
      </c>
      <c r="I178" s="475">
        <v>4</v>
      </c>
      <c r="J178" s="489">
        <v>10</v>
      </c>
      <c r="K178" s="489">
        <v>8</v>
      </c>
      <c r="L178" s="489">
        <v>7</v>
      </c>
    </row>
    <row r="179" spans="5:13">
      <c r="E179" s="475" t="s">
        <v>701</v>
      </c>
      <c r="F179" s="488">
        <v>9</v>
      </c>
      <c r="G179" s="475">
        <v>4</v>
      </c>
      <c r="H179" s="488">
        <v>8</v>
      </c>
      <c r="I179" s="475">
        <v>5</v>
      </c>
      <c r="J179" s="488">
        <v>10</v>
      </c>
      <c r="K179" s="488">
        <v>8</v>
      </c>
      <c r="L179" s="488">
        <v>6</v>
      </c>
    </row>
    <row r="180" spans="5:13">
      <c r="E180" s="475" t="s">
        <v>709</v>
      </c>
      <c r="F180" s="490">
        <v>9</v>
      </c>
      <c r="G180" s="475">
        <v>4</v>
      </c>
      <c r="H180" s="490">
        <v>6</v>
      </c>
      <c r="I180" s="490">
        <v>7</v>
      </c>
      <c r="J180" s="490">
        <v>10</v>
      </c>
      <c r="K180" s="475">
        <v>4</v>
      </c>
      <c r="L180" s="490">
        <v>9</v>
      </c>
    </row>
    <row r="181" spans="5:13">
      <c r="E181" s="475" t="s">
        <v>702</v>
      </c>
      <c r="F181" s="475">
        <v>9</v>
      </c>
      <c r="G181" s="475">
        <v>5</v>
      </c>
      <c r="H181" s="475">
        <v>8</v>
      </c>
      <c r="I181" s="475">
        <v>4</v>
      </c>
      <c r="J181" s="475">
        <v>10</v>
      </c>
      <c r="K181" s="475">
        <v>7</v>
      </c>
      <c r="L181" s="475">
        <v>6</v>
      </c>
    </row>
    <row r="182" spans="5:13">
      <c r="E182" s="471"/>
    </row>
    <row r="184" spans="5:13">
      <c r="E184" s="32" t="s">
        <v>778</v>
      </c>
    </row>
    <row r="185" spans="5:13" ht="28.8">
      <c r="E185" s="493" t="s">
        <v>769</v>
      </c>
      <c r="F185" s="775" t="s">
        <v>770</v>
      </c>
      <c r="G185" s="775"/>
      <c r="H185" s="775"/>
      <c r="I185" s="775"/>
      <c r="J185" s="775"/>
      <c r="K185" s="491" t="s">
        <v>771</v>
      </c>
      <c r="L185" s="491" t="s">
        <v>772</v>
      </c>
      <c r="M185" s="491" t="s">
        <v>718</v>
      </c>
    </row>
    <row r="186" spans="5:13">
      <c r="E186" s="488" t="s">
        <v>773</v>
      </c>
      <c r="F186" s="475" t="s">
        <v>703</v>
      </c>
      <c r="G186" s="475" t="s">
        <v>705</v>
      </c>
      <c r="H186" s="475" t="s">
        <v>707</v>
      </c>
      <c r="I186" s="475" t="s">
        <v>712</v>
      </c>
      <c r="J186" s="475" t="s">
        <v>710</v>
      </c>
      <c r="K186" s="492">
        <f>+AJ56+AJ90+AJ123+AJ139+AJ155</f>
        <v>7350.7999999999993</v>
      </c>
      <c r="L186" s="492">
        <f>+AJ157+AJ141+AJ125+AJ92+AJ58</f>
        <v>307</v>
      </c>
      <c r="M186" s="492">
        <f>+AJ150+AJ134+AJ118+AJ85+AJ51</f>
        <v>6010.7999999999993</v>
      </c>
    </row>
    <row r="187" spans="5:13">
      <c r="E187" s="489" t="s">
        <v>774</v>
      </c>
      <c r="F187" s="475" t="s">
        <v>703</v>
      </c>
      <c r="G187" s="475" t="s">
        <v>704</v>
      </c>
      <c r="H187" s="475" t="s">
        <v>707</v>
      </c>
      <c r="I187" s="475" t="s">
        <v>712</v>
      </c>
      <c r="J187" s="475" t="s">
        <v>710</v>
      </c>
      <c r="K187" s="492">
        <f>+AJ150+AJ139+AJ123+AJ73+AJ56</f>
        <v>7095</v>
      </c>
      <c r="L187" s="492">
        <f>+AJ157+AJ141+AJ125+AJ75+AJ58</f>
        <v>227</v>
      </c>
      <c r="M187" s="492">
        <f>+AJ150+AJ134+AJ118+AJ68+AJ51</f>
        <v>6015</v>
      </c>
    </row>
    <row r="188" spans="5:13">
      <c r="E188" s="488" t="s">
        <v>775</v>
      </c>
      <c r="F188" s="475" t="s">
        <v>703</v>
      </c>
      <c r="G188" s="475" t="s">
        <v>705</v>
      </c>
      <c r="H188" s="475" t="s">
        <v>707</v>
      </c>
      <c r="I188" s="475" t="s">
        <v>712</v>
      </c>
      <c r="J188" s="475" t="s">
        <v>710</v>
      </c>
      <c r="K188" s="492">
        <f>$K$186</f>
        <v>7350.7999999999993</v>
      </c>
      <c r="L188" s="492">
        <f>$L$186</f>
        <v>307</v>
      </c>
      <c r="M188" s="492">
        <f>$M$186</f>
        <v>6010.7999999999993</v>
      </c>
    </row>
    <row r="189" spans="5:13">
      <c r="E189" s="490" t="s">
        <v>776</v>
      </c>
      <c r="F189" s="475" t="s">
        <v>703</v>
      </c>
      <c r="G189" s="475" t="s">
        <v>705</v>
      </c>
      <c r="H189" s="475" t="s">
        <v>707</v>
      </c>
      <c r="I189" s="475" t="s">
        <v>706</v>
      </c>
      <c r="J189" s="475" t="s">
        <v>710</v>
      </c>
      <c r="K189" s="492">
        <f>+AJ155+AJ123+AJ107+AJ90+AJ56</f>
        <v>7340.7000000000007</v>
      </c>
      <c r="L189" s="492">
        <f>+AJ157+AJ125+AJ92+AJ58+AJ109</f>
        <v>267</v>
      </c>
      <c r="M189" s="492">
        <f>+AJ150+AJ118+AJ102+AJ85+AJ51</f>
        <v>6000.7000000000007</v>
      </c>
    </row>
    <row r="192" spans="5:13">
      <c r="E192" s="32" t="s">
        <v>779</v>
      </c>
    </row>
    <row r="193" spans="2:23">
      <c r="E193" s="498" t="s">
        <v>698</v>
      </c>
      <c r="F193" s="771" t="s">
        <v>769</v>
      </c>
      <c r="G193" s="772"/>
      <c r="H193" s="773"/>
    </row>
    <row r="194" spans="2:23">
      <c r="E194" s="499"/>
      <c r="F194" s="488" t="s">
        <v>715</v>
      </c>
      <c r="G194" s="489" t="s">
        <v>716</v>
      </c>
      <c r="H194" s="490" t="s">
        <v>717</v>
      </c>
    </row>
    <row r="195" spans="2:23">
      <c r="E195" s="475" t="s">
        <v>699</v>
      </c>
      <c r="F195" s="475">
        <f>(+F177+H177+J177+K177+L177)/5</f>
        <v>8</v>
      </c>
      <c r="G195" s="475">
        <f>+(F177+G177+J177+K177+L177)/5</f>
        <v>7.8</v>
      </c>
      <c r="H195" s="475">
        <f>+(F177+H177+I177+J177+L177)/5</f>
        <v>7.4</v>
      </c>
    </row>
    <row r="196" spans="2:23">
      <c r="E196" s="475" t="s">
        <v>700</v>
      </c>
      <c r="F196" s="475">
        <f>+(F178+H178+J178+K178+L178)/5</f>
        <v>7.8</v>
      </c>
      <c r="G196" s="475">
        <f>+(F178+G178+J178+K178+L178)/5</f>
        <v>8</v>
      </c>
      <c r="H196" s="475">
        <f>+(F178+H178+I178+J178+L178)/5</f>
        <v>7</v>
      </c>
    </row>
    <row r="197" spans="2:23">
      <c r="E197" s="475" t="s">
        <v>701</v>
      </c>
      <c r="F197" s="475">
        <f>+(F179+H179+J179+K179+L179)/5</f>
        <v>8.1999999999999993</v>
      </c>
      <c r="G197" s="475">
        <f>+(F179+G179+J179+K179+L179)/5</f>
        <v>7.4</v>
      </c>
      <c r="H197" s="475">
        <f>+(F179+H179+I179+J179+L179)/5</f>
        <v>7.6</v>
      </c>
    </row>
    <row r="198" spans="2:23">
      <c r="E198" s="475" t="s">
        <v>709</v>
      </c>
      <c r="F198" s="475">
        <f>+(F180+H180+J180+K180+L180)/5</f>
        <v>7.6</v>
      </c>
      <c r="G198" s="475">
        <f>+(F180+G180+J180+K180+L180)/5</f>
        <v>7.2</v>
      </c>
      <c r="H198" s="475">
        <f>+(F180+H180+I180+J180+L180)/5</f>
        <v>8.1999999999999993</v>
      </c>
    </row>
    <row r="199" spans="2:23">
      <c r="E199" s="475" t="s">
        <v>702</v>
      </c>
      <c r="F199" s="475">
        <f>+(F181+H181+J181+K181+L181)/5</f>
        <v>8</v>
      </c>
      <c r="G199" s="475">
        <f>+(F181+G181+J181+K181+L181)/5</f>
        <v>7.4</v>
      </c>
      <c r="H199" s="475">
        <f>+(F181+H181+I181+J181+L181)/5</f>
        <v>7.4</v>
      </c>
    </row>
    <row r="205" spans="2:23" ht="18">
      <c r="B205" s="517" t="s">
        <v>866</v>
      </c>
      <c r="C205" s="643"/>
      <c r="D205" s="769"/>
      <c r="E205" s="769"/>
      <c r="F205" s="769"/>
      <c r="G205" s="769"/>
      <c r="H205" s="769"/>
      <c r="I205" s="769"/>
      <c r="J205" s="769"/>
      <c r="K205" s="769"/>
      <c r="L205" s="769"/>
      <c r="M205" s="644"/>
      <c r="N205" s="644"/>
      <c r="O205" s="644"/>
      <c r="P205" s="645" t="s">
        <v>814</v>
      </c>
      <c r="Q205" s="646">
        <v>186</v>
      </c>
      <c r="R205" s="643"/>
      <c r="S205" s="643"/>
      <c r="T205" s="643"/>
      <c r="U205" s="643"/>
      <c r="V205" s="643"/>
      <c r="W205" s="643"/>
    </row>
    <row r="206" spans="2:23" ht="15.6">
      <c r="B206" s="643"/>
      <c r="C206" s="643"/>
      <c r="D206" s="643"/>
      <c r="E206" s="643"/>
      <c r="F206" s="643"/>
      <c r="G206" s="770"/>
      <c r="H206" s="770"/>
      <c r="I206" s="770"/>
      <c r="J206" s="770"/>
      <c r="K206" s="770"/>
      <c r="L206" s="770"/>
      <c r="M206" s="643"/>
      <c r="N206" s="643"/>
      <c r="O206" s="643"/>
      <c r="P206" s="643"/>
      <c r="Q206" s="643"/>
      <c r="R206" s="643"/>
      <c r="S206" s="643"/>
      <c r="T206" s="643"/>
      <c r="U206" s="643"/>
      <c r="V206" s="643"/>
      <c r="W206" s="643"/>
    </row>
    <row r="207" spans="2:23" ht="102">
      <c r="B207" s="647" t="s">
        <v>841</v>
      </c>
      <c r="C207" s="648" t="s">
        <v>640</v>
      </c>
      <c r="D207" s="648" t="s">
        <v>842</v>
      </c>
      <c r="E207" s="648" t="s">
        <v>843</v>
      </c>
      <c r="F207" s="648" t="s">
        <v>853</v>
      </c>
      <c r="G207" s="648" t="s">
        <v>844</v>
      </c>
      <c r="H207" s="648" t="s">
        <v>642</v>
      </c>
      <c r="I207" s="649" t="s">
        <v>645</v>
      </c>
      <c r="J207" s="649" t="s">
        <v>646</v>
      </c>
      <c r="K207" s="650" t="s">
        <v>647</v>
      </c>
      <c r="L207" s="650" t="s">
        <v>648</v>
      </c>
      <c r="M207" s="651" t="s">
        <v>652</v>
      </c>
      <c r="N207" s="652" t="s">
        <v>653</v>
      </c>
      <c r="O207" s="653" t="s">
        <v>614</v>
      </c>
      <c r="P207" s="654" t="s">
        <v>656</v>
      </c>
      <c r="Q207" s="650" t="s">
        <v>845</v>
      </c>
      <c r="R207" s="654" t="s">
        <v>619</v>
      </c>
      <c r="S207" s="654" t="s">
        <v>846</v>
      </c>
      <c r="T207" s="654" t="s">
        <v>847</v>
      </c>
      <c r="U207" s="654" t="s">
        <v>848</v>
      </c>
      <c r="V207" s="654" t="s">
        <v>849</v>
      </c>
      <c r="W207" s="654" t="s">
        <v>850</v>
      </c>
    </row>
    <row r="208" spans="2:23">
      <c r="B208" s="655">
        <v>1.0900000000000001</v>
      </c>
      <c r="C208" s="655">
        <v>1.32</v>
      </c>
      <c r="D208" s="677" t="s">
        <v>837</v>
      </c>
      <c r="E208" s="677">
        <v>2024</v>
      </c>
      <c r="F208" s="655">
        <v>1</v>
      </c>
      <c r="G208" s="656">
        <v>11.5</v>
      </c>
      <c r="H208" s="657">
        <f>$Q$205*G208*B208</f>
        <v>2331.5100000000002</v>
      </c>
      <c r="I208" s="658"/>
      <c r="J208" s="659">
        <f>H208*I208/100</f>
        <v>0</v>
      </c>
      <c r="K208" s="660">
        <f t="shared" ref="K208:K227" si="155">H208+J208</f>
        <v>2331.5100000000002</v>
      </c>
      <c r="L208" s="678">
        <f t="shared" ref="L208:L228" si="156">K208*0.0217</f>
        <v>50.593767000000007</v>
      </c>
      <c r="M208" s="660">
        <f t="shared" ref="M208:M227" si="157">N208*C208</f>
        <v>13200</v>
      </c>
      <c r="N208" s="661">
        <v>10000</v>
      </c>
      <c r="O208" s="660">
        <f t="shared" ref="O208:O227" si="158">4635*B208</f>
        <v>5052.1500000000005</v>
      </c>
      <c r="P208" s="657">
        <f t="shared" ref="P208:P227" si="159">O208/12</f>
        <v>421.01250000000005</v>
      </c>
      <c r="Q208" s="662">
        <f t="shared" ref="Q208:Q227" si="160">(K208+L208)*12+M208+O208</f>
        <v>46837.395204</v>
      </c>
      <c r="R208" s="655">
        <v>1500</v>
      </c>
      <c r="S208" s="655">
        <v>2300</v>
      </c>
      <c r="T208" s="659">
        <f>+Q208+R208+S208</f>
        <v>50637.395204</v>
      </c>
      <c r="U208" s="659"/>
      <c r="V208" s="659">
        <f>+Q208</f>
        <v>46837.395204</v>
      </c>
      <c r="W208" s="663"/>
    </row>
    <row r="209" spans="2:23">
      <c r="B209" s="655">
        <v>1.68</v>
      </c>
      <c r="C209" s="655">
        <v>1.46</v>
      </c>
      <c r="D209" s="677" t="s">
        <v>827</v>
      </c>
      <c r="E209" s="677">
        <v>2024</v>
      </c>
      <c r="F209" s="655">
        <v>1</v>
      </c>
      <c r="G209" s="656">
        <v>11.5</v>
      </c>
      <c r="H209" s="657">
        <f t="shared" ref="H209:H227" si="161">$Q$205*G209*B209</f>
        <v>3593.52</v>
      </c>
      <c r="I209" s="658"/>
      <c r="J209" s="659"/>
      <c r="K209" s="660">
        <f t="shared" si="155"/>
        <v>3593.52</v>
      </c>
      <c r="L209" s="678">
        <f t="shared" si="156"/>
        <v>77.979383999999996</v>
      </c>
      <c r="M209" s="660">
        <f t="shared" si="157"/>
        <v>14600</v>
      </c>
      <c r="N209" s="661">
        <v>10000</v>
      </c>
      <c r="O209" s="660">
        <f t="shared" si="158"/>
        <v>7786.7999999999993</v>
      </c>
      <c r="P209" s="657">
        <f t="shared" si="159"/>
        <v>648.9</v>
      </c>
      <c r="Q209" s="662">
        <f t="shared" si="160"/>
        <v>66444.792608000003</v>
      </c>
      <c r="R209" s="655">
        <v>500</v>
      </c>
      <c r="S209" s="655">
        <v>2300</v>
      </c>
      <c r="T209" s="659">
        <f>+Q209+R209+S209</f>
        <v>69244.792608000003</v>
      </c>
      <c r="U209" s="659">
        <v>0</v>
      </c>
      <c r="V209" s="659">
        <f>+Q209</f>
        <v>66444.792608000003</v>
      </c>
      <c r="W209" s="663">
        <v>0</v>
      </c>
    </row>
    <row r="210" spans="2:23">
      <c r="B210" s="655">
        <v>1.25</v>
      </c>
      <c r="C210" s="655">
        <v>1.96</v>
      </c>
      <c r="D210" s="677" t="s">
        <v>825</v>
      </c>
      <c r="E210" s="677">
        <v>2024</v>
      </c>
      <c r="F210" s="655">
        <v>1</v>
      </c>
      <c r="G210" s="656">
        <v>11.5</v>
      </c>
      <c r="H210" s="657">
        <f t="shared" si="161"/>
        <v>2673.75</v>
      </c>
      <c r="I210" s="658"/>
      <c r="J210" s="659"/>
      <c r="K210" s="660">
        <f t="shared" si="155"/>
        <v>2673.75</v>
      </c>
      <c r="L210" s="678">
        <f t="shared" si="156"/>
        <v>58.020375000000001</v>
      </c>
      <c r="M210" s="660">
        <f t="shared" si="157"/>
        <v>19600</v>
      </c>
      <c r="N210" s="661">
        <v>10000</v>
      </c>
      <c r="O210" s="660">
        <f t="shared" si="158"/>
        <v>5793.75</v>
      </c>
      <c r="P210" s="657">
        <f t="shared" si="159"/>
        <v>482.8125</v>
      </c>
      <c r="Q210" s="662">
        <f t="shared" si="160"/>
        <v>58174.994500000001</v>
      </c>
      <c r="R210" s="655">
        <v>2300</v>
      </c>
      <c r="S210" s="655">
        <v>2300</v>
      </c>
      <c r="T210" s="659">
        <f>+Q210+R210+S210</f>
        <v>62774.994500000001</v>
      </c>
      <c r="U210" s="659">
        <v>0</v>
      </c>
      <c r="V210" s="659">
        <f>+Q210</f>
        <v>58174.994500000001</v>
      </c>
      <c r="W210" s="663">
        <v>0</v>
      </c>
    </row>
    <row r="211" spans="2:23">
      <c r="B211" s="655">
        <v>1</v>
      </c>
      <c r="C211" s="655">
        <v>1.33</v>
      </c>
      <c r="D211" s="677" t="s">
        <v>822</v>
      </c>
      <c r="E211" s="677">
        <v>2024</v>
      </c>
      <c r="F211" s="655">
        <v>1</v>
      </c>
      <c r="G211" s="656">
        <v>11.5</v>
      </c>
      <c r="H211" s="657">
        <f t="shared" si="161"/>
        <v>2139</v>
      </c>
      <c r="I211" s="658"/>
      <c r="J211" s="659">
        <f>H211*I211/100</f>
        <v>0</v>
      </c>
      <c r="K211" s="660">
        <f t="shared" si="155"/>
        <v>2139</v>
      </c>
      <c r="L211" s="678">
        <f t="shared" si="156"/>
        <v>46.4163</v>
      </c>
      <c r="M211" s="660">
        <f t="shared" si="157"/>
        <v>13300</v>
      </c>
      <c r="N211" s="661">
        <v>10000</v>
      </c>
      <c r="O211" s="660">
        <f t="shared" si="158"/>
        <v>4635</v>
      </c>
      <c r="P211" s="657">
        <f t="shared" si="159"/>
        <v>386.25</v>
      </c>
      <c r="Q211" s="662">
        <f t="shared" si="160"/>
        <v>44159.995599999995</v>
      </c>
      <c r="R211" s="655">
        <v>900</v>
      </c>
      <c r="S211" s="655">
        <v>2300</v>
      </c>
      <c r="T211" s="659">
        <f t="shared" ref="T211:T216" si="162">+Q211+R211+S211</f>
        <v>47359.995599999995</v>
      </c>
      <c r="U211" s="659"/>
      <c r="V211" s="659">
        <f>+Q211</f>
        <v>44159.995599999995</v>
      </c>
      <c r="W211" s="663"/>
    </row>
    <row r="212" spans="2:23">
      <c r="B212" s="655">
        <v>1.69</v>
      </c>
      <c r="C212" s="655">
        <v>3.24</v>
      </c>
      <c r="D212" s="679" t="s">
        <v>854</v>
      </c>
      <c r="E212" s="677">
        <v>2024</v>
      </c>
      <c r="F212" s="655">
        <v>1</v>
      </c>
      <c r="G212" s="656">
        <v>11.5</v>
      </c>
      <c r="H212" s="657">
        <f t="shared" si="161"/>
        <v>3614.91</v>
      </c>
      <c r="I212" s="658"/>
      <c r="J212" s="659"/>
      <c r="K212" s="660">
        <f t="shared" si="155"/>
        <v>3614.91</v>
      </c>
      <c r="L212" s="678">
        <f t="shared" si="156"/>
        <v>78.443546999999995</v>
      </c>
      <c r="M212" s="660">
        <f t="shared" si="157"/>
        <v>32400.000000000004</v>
      </c>
      <c r="N212" s="661">
        <v>10000</v>
      </c>
      <c r="O212" s="660">
        <f t="shared" si="158"/>
        <v>7833.15</v>
      </c>
      <c r="P212" s="657">
        <f t="shared" si="159"/>
        <v>652.76249999999993</v>
      </c>
      <c r="Q212" s="662">
        <f t="shared" si="160"/>
        <v>84553.392563999994</v>
      </c>
      <c r="R212" s="655">
        <v>2000</v>
      </c>
      <c r="S212" s="655">
        <v>2300</v>
      </c>
      <c r="T212" s="659">
        <f t="shared" si="162"/>
        <v>88853.392563999994</v>
      </c>
      <c r="U212" s="659"/>
      <c r="V212" s="659">
        <f t="shared" ref="V212:V217" si="163">+Q212</f>
        <v>84553.392563999994</v>
      </c>
      <c r="W212" s="663"/>
    </row>
    <row r="213" spans="2:23">
      <c r="B213" s="655">
        <v>1.69</v>
      </c>
      <c r="C213" s="655">
        <v>2.04</v>
      </c>
      <c r="D213" s="679" t="s">
        <v>855</v>
      </c>
      <c r="E213" s="677">
        <v>2024</v>
      </c>
      <c r="F213" s="655">
        <v>1</v>
      </c>
      <c r="G213" s="656">
        <v>11.5</v>
      </c>
      <c r="H213" s="657">
        <f t="shared" si="161"/>
        <v>3614.91</v>
      </c>
      <c r="I213" s="658"/>
      <c r="J213" s="659">
        <f>H213*I213/100</f>
        <v>0</v>
      </c>
      <c r="K213" s="660">
        <f t="shared" si="155"/>
        <v>3614.91</v>
      </c>
      <c r="L213" s="678">
        <f t="shared" si="156"/>
        <v>78.443546999999995</v>
      </c>
      <c r="M213" s="660">
        <f t="shared" si="157"/>
        <v>20400</v>
      </c>
      <c r="N213" s="661">
        <v>10000</v>
      </c>
      <c r="O213" s="660">
        <f t="shared" si="158"/>
        <v>7833.15</v>
      </c>
      <c r="P213" s="657">
        <f t="shared" si="159"/>
        <v>652.76249999999993</v>
      </c>
      <c r="Q213" s="662">
        <f t="shared" si="160"/>
        <v>72553.392563999994</v>
      </c>
      <c r="R213" s="655"/>
      <c r="S213" s="655">
        <v>2300</v>
      </c>
      <c r="T213" s="659">
        <f t="shared" si="162"/>
        <v>74853.392563999994</v>
      </c>
      <c r="U213" s="659"/>
      <c r="V213" s="659">
        <f t="shared" si="163"/>
        <v>72553.392563999994</v>
      </c>
      <c r="W213" s="663"/>
    </row>
    <row r="214" spans="2:23">
      <c r="B214" s="655">
        <v>1.85</v>
      </c>
      <c r="C214" s="655">
        <v>4.2300000000000004</v>
      </c>
      <c r="D214" s="679" t="s">
        <v>821</v>
      </c>
      <c r="E214" s="677">
        <v>2024</v>
      </c>
      <c r="F214" s="655">
        <v>1</v>
      </c>
      <c r="G214" s="656">
        <v>11.5</v>
      </c>
      <c r="H214" s="657">
        <f t="shared" si="161"/>
        <v>3957.15</v>
      </c>
      <c r="I214" s="658"/>
      <c r="J214" s="659">
        <f>H214*I214/100</f>
        <v>0</v>
      </c>
      <c r="K214" s="660">
        <f t="shared" si="155"/>
        <v>3957.15</v>
      </c>
      <c r="L214" s="678">
        <f t="shared" si="156"/>
        <v>85.870155000000011</v>
      </c>
      <c r="M214" s="660">
        <f t="shared" si="157"/>
        <v>42300.000000000007</v>
      </c>
      <c r="N214" s="661">
        <v>10000</v>
      </c>
      <c r="O214" s="660">
        <f t="shared" si="158"/>
        <v>8574.75</v>
      </c>
      <c r="P214" s="657">
        <f t="shared" si="159"/>
        <v>714.5625</v>
      </c>
      <c r="Q214" s="662">
        <f t="shared" si="160"/>
        <v>99390.991860000009</v>
      </c>
      <c r="R214" s="655">
        <v>700</v>
      </c>
      <c r="S214" s="655">
        <v>2300</v>
      </c>
      <c r="T214" s="659">
        <f t="shared" si="162"/>
        <v>102390.99186000001</v>
      </c>
      <c r="U214" s="659"/>
      <c r="V214" s="659">
        <f t="shared" si="163"/>
        <v>99390.991860000009</v>
      </c>
      <c r="W214" s="663"/>
    </row>
    <row r="215" spans="2:23">
      <c r="B215" s="655">
        <v>1.01</v>
      </c>
      <c r="C215" s="655">
        <v>0.97</v>
      </c>
      <c r="D215" s="677" t="s">
        <v>826</v>
      </c>
      <c r="E215" s="677">
        <v>2024</v>
      </c>
      <c r="F215" s="655">
        <v>1</v>
      </c>
      <c r="G215" s="656">
        <v>11.5</v>
      </c>
      <c r="H215" s="657">
        <f t="shared" si="161"/>
        <v>2160.39</v>
      </c>
      <c r="I215" s="658"/>
      <c r="J215" s="659">
        <f>H215*I215/100</f>
        <v>0</v>
      </c>
      <c r="K215" s="660">
        <f t="shared" si="155"/>
        <v>2160.39</v>
      </c>
      <c r="L215" s="678">
        <f t="shared" si="156"/>
        <v>46.880462999999999</v>
      </c>
      <c r="M215" s="660">
        <f t="shared" si="157"/>
        <v>9700</v>
      </c>
      <c r="N215" s="661">
        <v>10000</v>
      </c>
      <c r="O215" s="660">
        <f t="shared" si="158"/>
        <v>4681.3500000000004</v>
      </c>
      <c r="P215" s="657">
        <f t="shared" si="159"/>
        <v>390.11250000000001</v>
      </c>
      <c r="Q215" s="662">
        <f t="shared" si="160"/>
        <v>40868.595555999993</v>
      </c>
      <c r="R215" s="655"/>
      <c r="S215" s="655">
        <v>2300</v>
      </c>
      <c r="T215" s="659">
        <f t="shared" si="162"/>
        <v>43168.595555999993</v>
      </c>
      <c r="U215" s="659"/>
      <c r="V215" s="659">
        <f t="shared" si="163"/>
        <v>40868.595555999993</v>
      </c>
      <c r="W215" s="663"/>
    </row>
    <row r="216" spans="2:23">
      <c r="B216" s="655">
        <v>1.59</v>
      </c>
      <c r="C216" s="655">
        <v>4.16</v>
      </c>
      <c r="D216" s="679" t="s">
        <v>823</v>
      </c>
      <c r="E216" s="677">
        <v>2024</v>
      </c>
      <c r="F216" s="655">
        <v>1</v>
      </c>
      <c r="G216" s="656">
        <v>11.5</v>
      </c>
      <c r="H216" s="657">
        <f t="shared" si="161"/>
        <v>3401.01</v>
      </c>
      <c r="I216" s="658"/>
      <c r="J216" s="659"/>
      <c r="K216" s="660">
        <f t="shared" si="155"/>
        <v>3401.01</v>
      </c>
      <c r="L216" s="678">
        <f t="shared" si="156"/>
        <v>73.801917000000003</v>
      </c>
      <c r="M216" s="660">
        <f t="shared" si="157"/>
        <v>41600</v>
      </c>
      <c r="N216" s="661">
        <v>10000</v>
      </c>
      <c r="O216" s="660">
        <f t="shared" si="158"/>
        <v>7369.6500000000005</v>
      </c>
      <c r="P216" s="657">
        <f t="shared" si="159"/>
        <v>614.13750000000005</v>
      </c>
      <c r="Q216" s="662">
        <f t="shared" si="160"/>
        <v>90667.393003999998</v>
      </c>
      <c r="R216" s="655"/>
      <c r="S216" s="655">
        <v>2300</v>
      </c>
      <c r="T216" s="659">
        <f t="shared" si="162"/>
        <v>92967.393003999998</v>
      </c>
      <c r="U216" s="659"/>
      <c r="V216" s="659">
        <f t="shared" si="163"/>
        <v>90667.393003999998</v>
      </c>
      <c r="W216" s="663"/>
    </row>
    <row r="217" spans="2:23">
      <c r="B217" s="655">
        <v>1.7</v>
      </c>
      <c r="C217" s="655">
        <v>3.02</v>
      </c>
      <c r="D217" s="679" t="s">
        <v>824</v>
      </c>
      <c r="E217" s="677">
        <v>2024</v>
      </c>
      <c r="F217" s="655">
        <v>1</v>
      </c>
      <c r="G217" s="656">
        <v>11.5</v>
      </c>
      <c r="H217" s="657">
        <f t="shared" si="161"/>
        <v>3636.2999999999997</v>
      </c>
      <c r="I217" s="658"/>
      <c r="J217" s="659"/>
      <c r="K217" s="660">
        <f t="shared" si="155"/>
        <v>3636.2999999999997</v>
      </c>
      <c r="L217" s="678">
        <f t="shared" si="156"/>
        <v>78.907709999999994</v>
      </c>
      <c r="M217" s="660">
        <f t="shared" si="157"/>
        <v>30200</v>
      </c>
      <c r="N217" s="661">
        <v>10000</v>
      </c>
      <c r="O217" s="660">
        <f t="shared" si="158"/>
        <v>7879.5</v>
      </c>
      <c r="P217" s="657">
        <f t="shared" si="159"/>
        <v>656.625</v>
      </c>
      <c r="Q217" s="662">
        <f t="shared" si="160"/>
        <v>82661.99252</v>
      </c>
      <c r="R217" s="655">
        <v>600</v>
      </c>
      <c r="S217" s="655">
        <v>2300</v>
      </c>
      <c r="T217" s="659">
        <f>+Q217+R217+S217</f>
        <v>85561.99252</v>
      </c>
      <c r="U217" s="659"/>
      <c r="V217" s="659">
        <f t="shared" si="163"/>
        <v>82661.99252</v>
      </c>
      <c r="W217" s="663"/>
    </row>
    <row r="218" spans="2:23">
      <c r="B218" s="655">
        <v>1.1200000000000001</v>
      </c>
      <c r="C218" s="655">
        <v>1.25</v>
      </c>
      <c r="D218" s="676" t="s">
        <v>838</v>
      </c>
      <c r="E218" s="676">
        <v>2025</v>
      </c>
      <c r="F218" s="655">
        <v>1</v>
      </c>
      <c r="G218" s="656">
        <v>11.5</v>
      </c>
      <c r="H218" s="657">
        <f t="shared" si="161"/>
        <v>2395.6800000000003</v>
      </c>
      <c r="I218" s="658"/>
      <c r="J218" s="659"/>
      <c r="K218" s="660">
        <f t="shared" si="155"/>
        <v>2395.6800000000003</v>
      </c>
      <c r="L218" s="678">
        <f t="shared" si="156"/>
        <v>51.986256000000004</v>
      </c>
      <c r="M218" s="660">
        <f t="shared" si="157"/>
        <v>12500</v>
      </c>
      <c r="N218" s="661">
        <v>10000</v>
      </c>
      <c r="O218" s="660">
        <f t="shared" si="158"/>
        <v>5191.2000000000007</v>
      </c>
      <c r="P218" s="657">
        <f t="shared" si="159"/>
        <v>432.60000000000008</v>
      </c>
      <c r="Q218" s="662">
        <f t="shared" si="160"/>
        <v>47063.195072000002</v>
      </c>
      <c r="R218" s="655">
        <v>1300</v>
      </c>
      <c r="S218" s="655">
        <v>2300</v>
      </c>
      <c r="T218" s="659"/>
      <c r="U218" s="659">
        <f>+Q218+R218+S218</f>
        <v>50663.195072000002</v>
      </c>
      <c r="V218" s="659"/>
      <c r="W218" s="663">
        <f>+Q218</f>
        <v>47063.195072000002</v>
      </c>
    </row>
    <row r="219" spans="2:23">
      <c r="B219" s="655">
        <v>1.38</v>
      </c>
      <c r="C219" s="655">
        <v>2</v>
      </c>
      <c r="D219" s="676" t="s">
        <v>831</v>
      </c>
      <c r="E219" s="676">
        <v>2025</v>
      </c>
      <c r="F219" s="655">
        <v>1</v>
      </c>
      <c r="G219" s="656">
        <v>11.5</v>
      </c>
      <c r="H219" s="657">
        <f t="shared" si="161"/>
        <v>2951.8199999999997</v>
      </c>
      <c r="I219" s="658"/>
      <c r="J219" s="659"/>
      <c r="K219" s="660">
        <f t="shared" si="155"/>
        <v>2951.8199999999997</v>
      </c>
      <c r="L219" s="678">
        <f t="shared" si="156"/>
        <v>64.054493999999991</v>
      </c>
      <c r="M219" s="660">
        <f t="shared" si="157"/>
        <v>20000</v>
      </c>
      <c r="N219" s="661">
        <v>10000</v>
      </c>
      <c r="O219" s="660">
        <f t="shared" si="158"/>
        <v>6396.2999999999993</v>
      </c>
      <c r="P219" s="657">
        <f t="shared" si="159"/>
        <v>533.02499999999998</v>
      </c>
      <c r="Q219" s="662">
        <f t="shared" si="160"/>
        <v>62586.793927999999</v>
      </c>
      <c r="R219" s="655">
        <v>600</v>
      </c>
      <c r="S219" s="655">
        <v>2300</v>
      </c>
      <c r="T219" s="659"/>
      <c r="U219" s="659">
        <f t="shared" ref="U219:U227" si="164">+Q219+R219+S219</f>
        <v>65486.793927999999</v>
      </c>
      <c r="V219" s="659"/>
      <c r="W219" s="663">
        <f t="shared" ref="W219:W227" si="165">+Q219</f>
        <v>62586.793927999999</v>
      </c>
    </row>
    <row r="220" spans="2:23">
      <c r="B220" s="655">
        <v>1.29</v>
      </c>
      <c r="C220" s="655">
        <v>0.93</v>
      </c>
      <c r="D220" s="676" t="s">
        <v>832</v>
      </c>
      <c r="E220" s="676">
        <v>2025</v>
      </c>
      <c r="F220" s="655">
        <v>1</v>
      </c>
      <c r="G220" s="656">
        <v>11.5</v>
      </c>
      <c r="H220" s="657">
        <f t="shared" si="161"/>
        <v>2759.31</v>
      </c>
      <c r="I220" s="658"/>
      <c r="J220" s="659"/>
      <c r="K220" s="660">
        <f t="shared" si="155"/>
        <v>2759.31</v>
      </c>
      <c r="L220" s="678">
        <f t="shared" si="156"/>
        <v>59.877026999999998</v>
      </c>
      <c r="M220" s="660">
        <f t="shared" si="157"/>
        <v>9300</v>
      </c>
      <c r="N220" s="661">
        <v>10000</v>
      </c>
      <c r="O220" s="660">
        <f t="shared" si="158"/>
        <v>5979.1500000000005</v>
      </c>
      <c r="P220" s="657">
        <f t="shared" si="159"/>
        <v>498.26250000000005</v>
      </c>
      <c r="Q220" s="662">
        <f t="shared" si="160"/>
        <v>49109.394324000001</v>
      </c>
      <c r="R220" s="655">
        <v>200</v>
      </c>
      <c r="S220" s="655">
        <v>2300</v>
      </c>
      <c r="T220" s="659"/>
      <c r="U220" s="659">
        <f t="shared" si="164"/>
        <v>51609.394324000001</v>
      </c>
      <c r="V220" s="659"/>
      <c r="W220" s="663">
        <f t="shared" si="165"/>
        <v>49109.394324000001</v>
      </c>
    </row>
    <row r="221" spans="2:23">
      <c r="B221" s="655">
        <v>1.36</v>
      </c>
      <c r="C221" s="655">
        <v>1.44</v>
      </c>
      <c r="D221" s="676" t="s">
        <v>828</v>
      </c>
      <c r="E221" s="676">
        <v>2025</v>
      </c>
      <c r="F221" s="655">
        <v>1</v>
      </c>
      <c r="G221" s="656">
        <v>11.5</v>
      </c>
      <c r="H221" s="657">
        <f t="shared" si="161"/>
        <v>2909.0400000000004</v>
      </c>
      <c r="I221" s="658"/>
      <c r="J221" s="659"/>
      <c r="K221" s="660">
        <f t="shared" si="155"/>
        <v>2909.0400000000004</v>
      </c>
      <c r="L221" s="678">
        <f t="shared" si="156"/>
        <v>63.126168000000014</v>
      </c>
      <c r="M221" s="660">
        <f t="shared" si="157"/>
        <v>14400</v>
      </c>
      <c r="N221" s="661">
        <v>10000</v>
      </c>
      <c r="O221" s="660">
        <f t="shared" si="158"/>
        <v>6303.6</v>
      </c>
      <c r="P221" s="657">
        <f t="shared" si="159"/>
        <v>525.30000000000007</v>
      </c>
      <c r="Q221" s="662">
        <f t="shared" si="160"/>
        <v>56369.59401600001</v>
      </c>
      <c r="R221" s="655">
        <v>500</v>
      </c>
      <c r="S221" s="655">
        <v>2300</v>
      </c>
      <c r="T221" s="659"/>
      <c r="U221" s="659">
        <f t="shared" si="164"/>
        <v>59169.59401600001</v>
      </c>
      <c r="V221" s="659"/>
      <c r="W221" s="663">
        <f t="shared" si="165"/>
        <v>56369.59401600001</v>
      </c>
    </row>
    <row r="222" spans="2:23">
      <c r="B222" s="655">
        <v>1.34</v>
      </c>
      <c r="C222" s="655">
        <v>1.67</v>
      </c>
      <c r="D222" s="676" t="s">
        <v>857</v>
      </c>
      <c r="E222" s="676">
        <v>2025</v>
      </c>
      <c r="F222" s="655">
        <v>1</v>
      </c>
      <c r="G222" s="656">
        <v>11.5</v>
      </c>
      <c r="H222" s="657">
        <f t="shared" si="161"/>
        <v>2866.26</v>
      </c>
      <c r="I222" s="658"/>
      <c r="J222" s="659"/>
      <c r="K222" s="660">
        <f t="shared" si="155"/>
        <v>2866.26</v>
      </c>
      <c r="L222" s="678">
        <f t="shared" si="156"/>
        <v>62.197842000000009</v>
      </c>
      <c r="M222" s="660">
        <f t="shared" si="157"/>
        <v>16700</v>
      </c>
      <c r="N222" s="661">
        <v>10000</v>
      </c>
      <c r="O222" s="660">
        <f t="shared" si="158"/>
        <v>6210.9000000000005</v>
      </c>
      <c r="P222" s="657">
        <f t="shared" si="159"/>
        <v>517.57500000000005</v>
      </c>
      <c r="Q222" s="662">
        <f t="shared" si="160"/>
        <v>58052.394104000006</v>
      </c>
      <c r="R222" s="655"/>
      <c r="S222" s="655">
        <v>2300</v>
      </c>
      <c r="T222" s="659"/>
      <c r="U222" s="659">
        <f t="shared" si="164"/>
        <v>60352.394104000006</v>
      </c>
      <c r="V222" s="659"/>
      <c r="W222" s="663">
        <f t="shared" si="165"/>
        <v>58052.394104000006</v>
      </c>
    </row>
    <row r="223" spans="2:23">
      <c r="B223" s="655">
        <v>1.29</v>
      </c>
      <c r="C223" s="655">
        <v>2.0499999999999998</v>
      </c>
      <c r="D223" s="676" t="s">
        <v>856</v>
      </c>
      <c r="E223" s="676">
        <v>2025</v>
      </c>
      <c r="F223" s="655">
        <v>1</v>
      </c>
      <c r="G223" s="656">
        <v>11.5</v>
      </c>
      <c r="H223" s="657">
        <f t="shared" si="161"/>
        <v>2759.31</v>
      </c>
      <c r="I223" s="658"/>
      <c r="J223" s="659"/>
      <c r="K223" s="660">
        <f t="shared" si="155"/>
        <v>2759.31</v>
      </c>
      <c r="L223" s="678">
        <f t="shared" si="156"/>
        <v>59.877026999999998</v>
      </c>
      <c r="M223" s="660">
        <f t="shared" si="157"/>
        <v>20500</v>
      </c>
      <c r="N223" s="661">
        <v>10000</v>
      </c>
      <c r="O223" s="660">
        <f t="shared" si="158"/>
        <v>5979.1500000000005</v>
      </c>
      <c r="P223" s="657">
        <f t="shared" si="159"/>
        <v>498.26250000000005</v>
      </c>
      <c r="Q223" s="662">
        <f t="shared" si="160"/>
        <v>60309.394324000001</v>
      </c>
      <c r="R223" s="655"/>
      <c r="S223" s="655">
        <v>2300</v>
      </c>
      <c r="T223" s="659"/>
      <c r="U223" s="659">
        <f t="shared" si="164"/>
        <v>62609.394324000001</v>
      </c>
      <c r="V223" s="659"/>
      <c r="W223" s="663">
        <f t="shared" si="165"/>
        <v>60309.394324000001</v>
      </c>
    </row>
    <row r="224" spans="2:23">
      <c r="B224" s="655">
        <v>1.69</v>
      </c>
      <c r="C224" s="655">
        <v>2</v>
      </c>
      <c r="D224" s="676" t="s">
        <v>830</v>
      </c>
      <c r="E224" s="676">
        <v>2025</v>
      </c>
      <c r="F224" s="655">
        <v>1</v>
      </c>
      <c r="G224" s="656">
        <v>11.5</v>
      </c>
      <c r="H224" s="657">
        <f t="shared" si="161"/>
        <v>3614.91</v>
      </c>
      <c r="I224" s="658"/>
      <c r="J224" s="659"/>
      <c r="K224" s="660">
        <f t="shared" si="155"/>
        <v>3614.91</v>
      </c>
      <c r="L224" s="678">
        <f t="shared" si="156"/>
        <v>78.443546999999995</v>
      </c>
      <c r="M224" s="660">
        <f t="shared" si="157"/>
        <v>20000</v>
      </c>
      <c r="N224" s="661">
        <v>10000</v>
      </c>
      <c r="O224" s="660">
        <f t="shared" si="158"/>
        <v>7833.15</v>
      </c>
      <c r="P224" s="657">
        <f t="shared" si="159"/>
        <v>652.76249999999993</v>
      </c>
      <c r="Q224" s="662">
        <f t="shared" si="160"/>
        <v>72153.392563999994</v>
      </c>
      <c r="R224" s="655">
        <v>2000</v>
      </c>
      <c r="S224" s="655">
        <v>2300</v>
      </c>
      <c r="T224" s="659"/>
      <c r="U224" s="659">
        <f t="shared" si="164"/>
        <v>76453.392563999994</v>
      </c>
      <c r="V224" s="659"/>
      <c r="W224" s="663">
        <f t="shared" si="165"/>
        <v>72153.392563999994</v>
      </c>
    </row>
    <row r="225" spans="2:23">
      <c r="B225" s="655">
        <v>1.03</v>
      </c>
      <c r="C225" s="655">
        <v>1.56</v>
      </c>
      <c r="D225" s="676" t="s">
        <v>834</v>
      </c>
      <c r="E225" s="676">
        <v>2025</v>
      </c>
      <c r="F225" s="655">
        <v>1</v>
      </c>
      <c r="G225" s="656">
        <v>11.5</v>
      </c>
      <c r="H225" s="657">
        <f t="shared" si="161"/>
        <v>2203.17</v>
      </c>
      <c r="I225" s="658"/>
      <c r="J225" s="659"/>
      <c r="K225" s="660">
        <f t="shared" si="155"/>
        <v>2203.17</v>
      </c>
      <c r="L225" s="678">
        <f t="shared" si="156"/>
        <v>47.808789000000004</v>
      </c>
      <c r="M225" s="660">
        <f t="shared" si="157"/>
        <v>15600</v>
      </c>
      <c r="N225" s="661">
        <v>10000</v>
      </c>
      <c r="O225" s="660">
        <f t="shared" si="158"/>
        <v>4774.05</v>
      </c>
      <c r="P225" s="657">
        <f t="shared" si="159"/>
        <v>397.83750000000003</v>
      </c>
      <c r="Q225" s="662">
        <f t="shared" si="160"/>
        <v>47385.795468000004</v>
      </c>
      <c r="R225" s="655"/>
      <c r="S225" s="655">
        <v>2300</v>
      </c>
      <c r="T225" s="659"/>
      <c r="U225" s="659">
        <f t="shared" si="164"/>
        <v>49685.795468000004</v>
      </c>
      <c r="V225" s="659"/>
      <c r="W225" s="663">
        <f t="shared" si="165"/>
        <v>47385.795468000004</v>
      </c>
    </row>
    <row r="226" spans="2:23">
      <c r="B226" s="655">
        <v>0.91</v>
      </c>
      <c r="C226" s="655">
        <v>1.25</v>
      </c>
      <c r="D226" s="676" t="s">
        <v>833</v>
      </c>
      <c r="E226" s="676">
        <v>2025</v>
      </c>
      <c r="F226" s="655">
        <v>1</v>
      </c>
      <c r="G226" s="656">
        <v>11.5</v>
      </c>
      <c r="H226" s="657">
        <f t="shared" si="161"/>
        <v>1946.49</v>
      </c>
      <c r="I226" s="658"/>
      <c r="J226" s="659"/>
      <c r="K226" s="660">
        <f t="shared" si="155"/>
        <v>1946.49</v>
      </c>
      <c r="L226" s="678">
        <f t="shared" si="156"/>
        <v>42.238833</v>
      </c>
      <c r="M226" s="660">
        <f t="shared" si="157"/>
        <v>12500</v>
      </c>
      <c r="N226" s="661">
        <v>10000</v>
      </c>
      <c r="O226" s="660">
        <f t="shared" si="158"/>
        <v>4217.8500000000004</v>
      </c>
      <c r="P226" s="657">
        <f t="shared" si="159"/>
        <v>351.48750000000001</v>
      </c>
      <c r="Q226" s="662">
        <f t="shared" si="160"/>
        <v>40582.595995999996</v>
      </c>
      <c r="R226" s="655"/>
      <c r="S226" s="655">
        <v>2300</v>
      </c>
      <c r="T226" s="659"/>
      <c r="U226" s="659">
        <f t="shared" si="164"/>
        <v>42882.595995999996</v>
      </c>
      <c r="V226" s="659"/>
      <c r="W226" s="663">
        <f t="shared" si="165"/>
        <v>40582.595995999996</v>
      </c>
    </row>
    <row r="227" spans="2:23">
      <c r="B227" s="655">
        <v>1</v>
      </c>
      <c r="C227" s="655">
        <v>1.64</v>
      </c>
      <c r="D227" s="676" t="s">
        <v>836</v>
      </c>
      <c r="E227" s="676">
        <v>2025</v>
      </c>
      <c r="F227" s="655">
        <v>1</v>
      </c>
      <c r="G227" s="656">
        <v>11.5</v>
      </c>
      <c r="H227" s="657">
        <f t="shared" si="161"/>
        <v>2139</v>
      </c>
      <c r="I227" s="658"/>
      <c r="J227" s="659"/>
      <c r="K227" s="660">
        <f t="shared" si="155"/>
        <v>2139</v>
      </c>
      <c r="L227" s="678">
        <f t="shared" si="156"/>
        <v>46.4163</v>
      </c>
      <c r="M227" s="660">
        <f t="shared" si="157"/>
        <v>16400</v>
      </c>
      <c r="N227" s="661">
        <v>10000</v>
      </c>
      <c r="O227" s="660">
        <f t="shared" si="158"/>
        <v>4635</v>
      </c>
      <c r="P227" s="657">
        <f t="shared" si="159"/>
        <v>386.25</v>
      </c>
      <c r="Q227" s="662">
        <f t="shared" si="160"/>
        <v>47259.995599999995</v>
      </c>
      <c r="R227" s="655"/>
      <c r="S227" s="655">
        <v>2300</v>
      </c>
      <c r="T227" s="659"/>
      <c r="U227" s="659">
        <f t="shared" si="164"/>
        <v>49559.995599999995</v>
      </c>
      <c r="V227" s="659"/>
      <c r="W227" s="663">
        <f t="shared" si="165"/>
        <v>47259.995599999995</v>
      </c>
    </row>
    <row r="228" spans="2:23" ht="15.6">
      <c r="B228" s="664"/>
      <c r="C228" s="664"/>
      <c r="D228" s="665" t="s">
        <v>32</v>
      </c>
      <c r="E228" s="666"/>
      <c r="F228" s="664"/>
      <c r="G228" s="667"/>
      <c r="H228" s="667"/>
      <c r="I228" s="667"/>
      <c r="J228" s="667"/>
      <c r="K228" s="667">
        <f>SUM(K208:K227)*12</f>
        <v>692009.27999999991</v>
      </c>
      <c r="L228" s="667">
        <f t="shared" si="156"/>
        <v>15016.601375999999</v>
      </c>
      <c r="M228" s="668">
        <f>SUM(M208:M227)</f>
        <v>395200</v>
      </c>
      <c r="N228" s="664"/>
      <c r="O228" s="668">
        <f>SUM(O208:O227)</f>
        <v>124959.59999999999</v>
      </c>
      <c r="P228" s="664"/>
      <c r="Q228" s="669">
        <f>SUM(Q208:Q227)</f>
        <v>1227185.4813760002</v>
      </c>
      <c r="R228" s="664"/>
      <c r="S228" s="664"/>
      <c r="T228" s="655"/>
      <c r="U228" s="655"/>
      <c r="V228" s="655"/>
      <c r="W228" s="670"/>
    </row>
    <row r="229" spans="2:23">
      <c r="B229" s="671"/>
      <c r="C229" s="671"/>
      <c r="D229" s="671" t="s">
        <v>851</v>
      </c>
      <c r="E229" s="671"/>
      <c r="F229" s="671"/>
      <c r="G229" s="671"/>
      <c r="H229" s="671"/>
      <c r="I229" s="671"/>
      <c r="J229" s="671"/>
      <c r="K229" s="672"/>
      <c r="L229" s="672"/>
      <c r="M229" s="672"/>
      <c r="N229" s="672"/>
      <c r="O229" s="672"/>
      <c r="P229" s="672"/>
      <c r="Q229" s="672"/>
      <c r="R229" s="672">
        <f t="shared" ref="R229:W229" si="166">SUM(R208:R217)</f>
        <v>8500</v>
      </c>
      <c r="S229" s="672">
        <f t="shared" si="166"/>
        <v>23000</v>
      </c>
      <c r="T229" s="672">
        <f>SUM(T208:T228)</f>
        <v>717812.93597999995</v>
      </c>
      <c r="U229" s="672">
        <f t="shared" si="166"/>
        <v>0</v>
      </c>
      <c r="V229" s="672">
        <f t="shared" si="166"/>
        <v>686312.93597999995</v>
      </c>
      <c r="W229" s="672">
        <f t="shared" si="166"/>
        <v>0</v>
      </c>
    </row>
    <row r="230" spans="2:23">
      <c r="B230" s="673"/>
      <c r="C230" s="673"/>
      <c r="D230" s="674" t="s">
        <v>852</v>
      </c>
      <c r="E230" s="674"/>
      <c r="F230" s="674"/>
      <c r="G230" s="674"/>
      <c r="H230" s="674"/>
      <c r="I230" s="674"/>
      <c r="J230" s="674"/>
      <c r="K230" s="675"/>
      <c r="L230" s="675"/>
      <c r="M230" s="675"/>
      <c r="N230" s="675"/>
      <c r="O230" s="675"/>
      <c r="P230" s="675"/>
      <c r="Q230" s="675"/>
      <c r="R230" s="675">
        <f>SUM(R218:R228)</f>
        <v>4600</v>
      </c>
      <c r="S230" s="675">
        <f>SUM(S218:S228)</f>
        <v>23000</v>
      </c>
      <c r="T230" s="675">
        <f t="shared" ref="T230:W230" si="167">SUM(T218:T228)</f>
        <v>0</v>
      </c>
      <c r="U230" s="675">
        <f t="shared" si="167"/>
        <v>568472.54539600003</v>
      </c>
      <c r="V230" s="675">
        <f t="shared" si="167"/>
        <v>0</v>
      </c>
      <c r="W230" s="675">
        <f t="shared" si="167"/>
        <v>540872.54539600003</v>
      </c>
    </row>
    <row r="231" spans="2:23">
      <c r="B231" s="720"/>
      <c r="C231" s="720"/>
      <c r="D231" s="721"/>
      <c r="E231" s="721"/>
      <c r="F231" s="721"/>
      <c r="G231" s="721"/>
      <c r="H231" s="721"/>
      <c r="I231" s="721"/>
      <c r="J231" s="721"/>
      <c r="K231" s="722"/>
      <c r="L231" s="722"/>
      <c r="M231" s="722"/>
      <c r="N231" s="722"/>
      <c r="O231" s="722"/>
      <c r="P231" s="722"/>
      <c r="Q231" s="722"/>
      <c r="R231" s="722"/>
      <c r="S231" s="722"/>
      <c r="T231" s="722"/>
      <c r="U231" s="722"/>
      <c r="V231" s="722"/>
      <c r="W231" s="722"/>
    </row>
    <row r="232" spans="2:23">
      <c r="B232" s="720"/>
      <c r="C232" s="720"/>
      <c r="D232" s="721"/>
      <c r="E232" s="721"/>
      <c r="F232" s="721"/>
      <c r="G232" s="721"/>
      <c r="H232" s="721"/>
      <c r="I232" s="721"/>
      <c r="J232" s="721"/>
      <c r="K232" s="722"/>
      <c r="L232" s="722"/>
      <c r="M232" s="722"/>
      <c r="N232" s="722"/>
      <c r="O232" s="722"/>
      <c r="P232" s="722"/>
      <c r="Q232" s="722"/>
      <c r="R232" s="722"/>
      <c r="S232" s="722"/>
      <c r="T232" s="722"/>
      <c r="U232" s="722"/>
      <c r="V232" s="722"/>
      <c r="W232" s="722"/>
    </row>
    <row r="234" spans="2:23" ht="25.8">
      <c r="B234" s="700" t="s">
        <v>865</v>
      </c>
    </row>
    <row r="251" spans="2:26">
      <c r="B251" s="32" t="s">
        <v>780</v>
      </c>
    </row>
    <row r="252" spans="2:26" ht="28.8">
      <c r="B252" s="474"/>
      <c r="C252" s="635" t="s">
        <v>839</v>
      </c>
      <c r="D252" s="636" t="s">
        <v>840</v>
      </c>
      <c r="E252" s="478"/>
      <c r="F252" s="27"/>
      <c r="G252" s="27"/>
      <c r="H252" s="27"/>
      <c r="I252" s="27"/>
      <c r="J252" s="27"/>
      <c r="K252" s="27"/>
      <c r="L252" s="27"/>
      <c r="M252" s="27"/>
      <c r="N252" s="27"/>
      <c r="O252" s="27"/>
      <c r="P252" s="27"/>
      <c r="Q252" s="27"/>
      <c r="R252" s="27"/>
      <c r="S252" s="27"/>
      <c r="T252" s="27"/>
      <c r="U252" s="27"/>
      <c r="V252" s="27"/>
      <c r="W252" s="27"/>
      <c r="X252" s="27"/>
      <c r="Y252" s="27"/>
      <c r="Z252" s="27"/>
    </row>
    <row r="253" spans="2:26">
      <c r="B253" s="474" t="s">
        <v>720</v>
      </c>
      <c r="C253" s="474">
        <v>1.9</v>
      </c>
      <c r="D253" s="474">
        <v>0.6</v>
      </c>
      <c r="E253" s="478"/>
      <c r="F253" s="27"/>
      <c r="G253" s="27"/>
      <c r="H253" s="27"/>
      <c r="I253" s="27"/>
      <c r="J253" s="27"/>
      <c r="K253" s="27"/>
      <c r="L253" s="27"/>
      <c r="M253" s="27"/>
      <c r="N253" s="27"/>
      <c r="O253" s="27"/>
      <c r="P253" s="27"/>
      <c r="Q253" s="27"/>
      <c r="R253" s="27"/>
      <c r="S253" s="27"/>
      <c r="T253" s="27"/>
      <c r="U253" s="27"/>
      <c r="V253" s="27"/>
      <c r="W253" s="27"/>
      <c r="X253" s="27"/>
      <c r="Y253" s="27"/>
      <c r="Z253" s="27"/>
    </row>
    <row r="254" spans="2:26">
      <c r="B254" s="474" t="s">
        <v>721</v>
      </c>
      <c r="C254" s="474">
        <v>2.9</v>
      </c>
      <c r="D254" s="474">
        <v>2.8</v>
      </c>
      <c r="E254" s="478"/>
      <c r="F254" s="27"/>
      <c r="G254" s="27"/>
      <c r="H254" s="27"/>
      <c r="I254" s="27"/>
      <c r="J254" s="27"/>
      <c r="K254" s="27"/>
      <c r="L254" s="27"/>
      <c r="M254" s="27"/>
      <c r="N254" s="27"/>
      <c r="O254" s="27"/>
      <c r="P254" s="27"/>
      <c r="Q254" s="27"/>
      <c r="R254" s="27"/>
      <c r="S254" s="27"/>
      <c r="T254" s="27"/>
      <c r="U254" s="27"/>
      <c r="V254" s="27"/>
      <c r="W254" s="27"/>
      <c r="X254" s="27"/>
      <c r="Y254" s="27"/>
      <c r="Z254" s="27"/>
    </row>
    <row r="255" spans="2:26">
      <c r="B255"/>
      <c r="C255"/>
      <c r="D255"/>
      <c r="E255" s="478"/>
      <c r="F255" s="27"/>
      <c r="G255" s="27"/>
      <c r="H255" s="27"/>
      <c r="I255" s="27"/>
      <c r="J255" s="27"/>
      <c r="K255" s="27"/>
      <c r="L255" s="27"/>
      <c r="M255" s="27"/>
      <c r="N255" s="27"/>
      <c r="O255" s="27"/>
      <c r="P255" s="27"/>
      <c r="Q255" s="27"/>
      <c r="R255" s="27"/>
      <c r="S255" s="27"/>
      <c r="T255" s="27"/>
      <c r="U255" s="27"/>
      <c r="V255" s="27"/>
      <c r="W255" s="27"/>
      <c r="X255" s="27"/>
      <c r="Y255" s="27"/>
      <c r="Z255" s="27"/>
    </row>
    <row r="256" spans="2:26">
      <c r="B256"/>
      <c r="C256"/>
      <c r="D256"/>
      <c r="E256" s="478"/>
      <c r="F256" s="27"/>
      <c r="G256" s="27"/>
      <c r="H256" s="27"/>
      <c r="I256" s="27"/>
      <c r="J256" s="27"/>
      <c r="K256" s="27"/>
      <c r="L256" s="27"/>
      <c r="M256" s="27"/>
      <c r="N256" s="27"/>
      <c r="O256" s="27"/>
      <c r="P256" s="27"/>
      <c r="Q256" s="27"/>
      <c r="R256" s="27"/>
      <c r="S256" s="27"/>
      <c r="T256" s="27"/>
      <c r="U256" s="27"/>
      <c r="V256" s="27"/>
      <c r="W256" s="27"/>
      <c r="X256" s="27"/>
      <c r="Y256" s="27"/>
      <c r="Z256" s="27"/>
    </row>
    <row r="257" spans="2:27" ht="21">
      <c r="B257" s="726" t="s">
        <v>735</v>
      </c>
      <c r="C257" s="478" t="s">
        <v>731</v>
      </c>
      <c r="D257"/>
      <c r="E257" s="478"/>
      <c r="F257" s="27"/>
      <c r="G257" s="27"/>
      <c r="H257" s="27"/>
      <c r="I257" s="27"/>
      <c r="J257" s="27"/>
      <c r="K257" s="27"/>
      <c r="L257" s="27"/>
      <c r="M257" s="27"/>
      <c r="N257" s="27"/>
      <c r="O257" s="27"/>
      <c r="P257" s="27"/>
      <c r="Q257" s="27"/>
      <c r="R257" s="27"/>
      <c r="S257" s="27"/>
      <c r="T257" s="27"/>
      <c r="U257" s="27"/>
      <c r="V257" s="27"/>
      <c r="W257" s="27"/>
      <c r="X257" s="27"/>
      <c r="Y257" s="27"/>
      <c r="Z257" s="27"/>
    </row>
    <row r="258" spans="2:27">
      <c r="B258" s="635" t="s">
        <v>839</v>
      </c>
      <c r="C258" s="478">
        <v>1.9</v>
      </c>
      <c r="D258"/>
      <c r="E258" s="478"/>
      <c r="F258" s="27"/>
      <c r="G258" s="27"/>
      <c r="H258" s="27"/>
      <c r="I258" s="27"/>
      <c r="J258" s="27"/>
      <c r="K258" s="27"/>
      <c r="L258" s="27"/>
      <c r="M258" s="27"/>
      <c r="N258" s="27"/>
      <c r="O258" s="27"/>
      <c r="P258" s="27"/>
      <c r="Q258" s="27"/>
      <c r="R258" s="27"/>
      <c r="S258" s="27"/>
      <c r="T258" s="27"/>
      <c r="U258" s="27"/>
      <c r="V258" s="27"/>
      <c r="W258" s="27"/>
      <c r="X258" s="27"/>
      <c r="Y258" s="27"/>
      <c r="Z258" s="27"/>
    </row>
    <row r="259" spans="2:27">
      <c r="B259" s="636" t="s">
        <v>840</v>
      </c>
      <c r="C259">
        <v>0.6</v>
      </c>
      <c r="D259"/>
      <c r="E259" s="479"/>
      <c r="F259" s="27"/>
      <c r="G259" s="27"/>
      <c r="H259" s="27"/>
      <c r="I259" s="27"/>
      <c r="J259" s="27"/>
      <c r="K259" s="27"/>
      <c r="L259" s="27"/>
      <c r="M259" s="27"/>
      <c r="N259" s="27"/>
      <c r="O259" s="27"/>
      <c r="P259" s="27"/>
      <c r="Q259" s="27"/>
      <c r="R259" s="27"/>
      <c r="S259" s="27"/>
      <c r="T259" s="27"/>
      <c r="U259" s="27"/>
      <c r="V259" s="27"/>
      <c r="W259" s="27"/>
      <c r="X259" s="27"/>
      <c r="Y259" s="27"/>
      <c r="Z259" s="27"/>
    </row>
    <row r="260" spans="2:27">
      <c r="B260"/>
      <c r="C260"/>
      <c r="D260"/>
      <c r="E260" s="478"/>
      <c r="F260" s="27"/>
      <c r="G260" s="27"/>
      <c r="H260" s="27"/>
      <c r="I260" s="27"/>
      <c r="J260" s="27"/>
      <c r="K260" s="27"/>
      <c r="L260" s="27"/>
      <c r="M260" s="27"/>
      <c r="N260" s="27"/>
      <c r="O260" s="27"/>
      <c r="P260" s="27"/>
      <c r="Q260" s="27"/>
      <c r="R260" s="27"/>
      <c r="S260" s="27"/>
      <c r="T260" s="27"/>
      <c r="U260" s="27"/>
      <c r="V260" s="27"/>
      <c r="W260" s="27"/>
      <c r="X260" s="27"/>
      <c r="Y260" s="27"/>
      <c r="Z260" s="27"/>
    </row>
    <row r="261" spans="2:27">
      <c r="B261" s="18" t="s">
        <v>781</v>
      </c>
      <c r="C261">
        <v>2019</v>
      </c>
      <c r="D261">
        <v>2020</v>
      </c>
      <c r="E261" s="478">
        <v>2021</v>
      </c>
      <c r="F261" s="115" t="s">
        <v>738</v>
      </c>
      <c r="G261" s="27" t="s">
        <v>739</v>
      </c>
      <c r="H261" s="27" t="s">
        <v>740</v>
      </c>
      <c r="I261" s="27" t="s">
        <v>741</v>
      </c>
      <c r="J261" s="27" t="s">
        <v>742</v>
      </c>
      <c r="K261" s="27" t="s">
        <v>743</v>
      </c>
      <c r="L261" s="27" t="s">
        <v>744</v>
      </c>
      <c r="M261" s="27" t="s">
        <v>745</v>
      </c>
      <c r="N261" s="27" t="s">
        <v>746</v>
      </c>
      <c r="O261" s="27" t="s">
        <v>747</v>
      </c>
      <c r="P261" s="27" t="s">
        <v>748</v>
      </c>
      <c r="Q261" s="27" t="s">
        <v>749</v>
      </c>
      <c r="R261" s="27" t="s">
        <v>750</v>
      </c>
      <c r="S261" s="27" t="s">
        <v>751</v>
      </c>
      <c r="T261" s="27" t="s">
        <v>752</v>
      </c>
      <c r="U261" s="27" t="s">
        <v>753</v>
      </c>
      <c r="V261" s="27" t="s">
        <v>754</v>
      </c>
      <c r="W261" s="27" t="s">
        <v>755</v>
      </c>
      <c r="X261" s="27" t="s">
        <v>756</v>
      </c>
      <c r="Y261" s="27" t="s">
        <v>757</v>
      </c>
      <c r="Z261" s="27" t="s">
        <v>758</v>
      </c>
    </row>
    <row r="262" spans="2:27">
      <c r="B262" s="689" t="s">
        <v>732</v>
      </c>
      <c r="C262" s="690"/>
      <c r="D262" s="690"/>
      <c r="E262" s="691"/>
      <c r="F262" s="684"/>
      <c r="G262" s="684"/>
      <c r="H262" s="684"/>
      <c r="I262" s="684"/>
      <c r="J262" s="684"/>
      <c r="K262" s="684"/>
      <c r="L262" s="684"/>
      <c r="M262" s="684"/>
      <c r="N262" s="684"/>
      <c r="O262" s="684"/>
      <c r="P262" s="684"/>
      <c r="Q262" s="684"/>
      <c r="R262" s="684"/>
      <c r="S262" s="684"/>
      <c r="T262" s="684"/>
      <c r="U262" s="684"/>
      <c r="V262" s="684"/>
      <c r="W262" s="684"/>
      <c r="X262" s="684"/>
      <c r="Y262" s="684"/>
      <c r="Z262" s="684"/>
    </row>
    <row r="263" spans="2:27">
      <c r="B263" s="483" t="s">
        <v>736</v>
      </c>
      <c r="C263" s="500">
        <v>19650000</v>
      </c>
      <c r="D263" s="500">
        <f>27.64 *1000000</f>
        <v>27640000</v>
      </c>
      <c r="E263" s="500">
        <f>362.69*1000000</f>
        <v>362690000</v>
      </c>
      <c r="F263" s="500">
        <f>132.8*1000000</f>
        <v>132800000.00000001</v>
      </c>
      <c r="G263" s="501">
        <f>+E263+E263*$C$259/100</f>
        <v>364866140</v>
      </c>
      <c r="H263" s="501">
        <f t="shared" ref="H263:Z263" si="168">+G263+G263*$C$259/100</f>
        <v>367055336.83999997</v>
      </c>
      <c r="I263" s="501">
        <f t="shared" si="168"/>
        <v>369257668.86104</v>
      </c>
      <c r="J263" s="501">
        <f t="shared" si="168"/>
        <v>371473214.87420624</v>
      </c>
      <c r="K263" s="501">
        <f t="shared" si="168"/>
        <v>373702054.16345149</v>
      </c>
      <c r="L263" s="501">
        <f t="shared" si="168"/>
        <v>375944266.48843223</v>
      </c>
      <c r="M263" s="501">
        <f t="shared" si="168"/>
        <v>378199932.08736283</v>
      </c>
      <c r="N263" s="501">
        <f t="shared" si="168"/>
        <v>380469131.679887</v>
      </c>
      <c r="O263" s="501">
        <f t="shared" si="168"/>
        <v>382751946.46996629</v>
      </c>
      <c r="P263" s="501">
        <f t="shared" si="168"/>
        <v>385048458.14878607</v>
      </c>
      <c r="Q263" s="501">
        <f t="shared" si="168"/>
        <v>387358748.89767879</v>
      </c>
      <c r="R263" s="501">
        <f t="shared" si="168"/>
        <v>389682901.39106488</v>
      </c>
      <c r="S263" s="501">
        <f t="shared" si="168"/>
        <v>392020998.7994113</v>
      </c>
      <c r="T263" s="501">
        <f t="shared" si="168"/>
        <v>394373124.79220778</v>
      </c>
      <c r="U263" s="501">
        <f t="shared" si="168"/>
        <v>396739363.54096103</v>
      </c>
      <c r="V263" s="501">
        <f t="shared" si="168"/>
        <v>399119799.72220677</v>
      </c>
      <c r="W263" s="501">
        <f t="shared" si="168"/>
        <v>401514518.52054</v>
      </c>
      <c r="X263" s="501">
        <f t="shared" si="168"/>
        <v>403923605.63166326</v>
      </c>
      <c r="Y263" s="501">
        <f t="shared" si="168"/>
        <v>406347147.26545322</v>
      </c>
      <c r="Z263" s="501">
        <f t="shared" si="168"/>
        <v>408785230.14904594</v>
      </c>
      <c r="AA263" s="27"/>
    </row>
    <row r="264" spans="2:27">
      <c r="B264" s="473" t="s">
        <v>723</v>
      </c>
      <c r="C264" s="500"/>
      <c r="D264" s="500"/>
      <c r="E264" s="500"/>
      <c r="F264" s="487"/>
      <c r="G264" s="501">
        <f>+G263-E263</f>
        <v>2176140</v>
      </c>
      <c r="H264" s="501">
        <f t="shared" ref="H264:Z264" si="169">+H263-G263</f>
        <v>2189196.8399999738</v>
      </c>
      <c r="I264" s="501">
        <f t="shared" si="169"/>
        <v>2202332.0210400224</v>
      </c>
      <c r="J264" s="501">
        <f t="shared" si="169"/>
        <v>2215546.0131662488</v>
      </c>
      <c r="K264" s="501">
        <f t="shared" si="169"/>
        <v>2228839.2892452478</v>
      </c>
      <c r="L264" s="501">
        <f t="shared" si="169"/>
        <v>2242212.3249807358</v>
      </c>
      <c r="M264" s="501">
        <f t="shared" si="169"/>
        <v>2255665.5989305973</v>
      </c>
      <c r="N264" s="501">
        <f t="shared" si="169"/>
        <v>2269199.5925241709</v>
      </c>
      <c r="O264" s="501">
        <f t="shared" si="169"/>
        <v>2282814.7900792956</v>
      </c>
      <c r="P264" s="501">
        <f t="shared" si="169"/>
        <v>2296511.6788197756</v>
      </c>
      <c r="Q264" s="501">
        <f t="shared" si="169"/>
        <v>2310290.7488927245</v>
      </c>
      <c r="R264" s="501">
        <f t="shared" si="169"/>
        <v>2324152.4933860898</v>
      </c>
      <c r="S264" s="501">
        <f t="shared" si="169"/>
        <v>2338097.4083464146</v>
      </c>
      <c r="T264" s="501">
        <f t="shared" si="169"/>
        <v>2352125.9927964807</v>
      </c>
      <c r="U264" s="501">
        <f t="shared" si="169"/>
        <v>2366238.7487532496</v>
      </c>
      <c r="V264" s="501">
        <f t="shared" si="169"/>
        <v>2380436.1812457442</v>
      </c>
      <c r="W264" s="501">
        <f t="shared" si="169"/>
        <v>2394718.7983332276</v>
      </c>
      <c r="X264" s="501">
        <f t="shared" si="169"/>
        <v>2409087.1111232638</v>
      </c>
      <c r="Y264" s="501">
        <f t="shared" si="169"/>
        <v>2423541.6337899566</v>
      </c>
      <c r="Z264" s="501">
        <f t="shared" si="169"/>
        <v>2438082.8835927248</v>
      </c>
      <c r="AA264" s="27"/>
    </row>
    <row r="265" spans="2:27">
      <c r="B265" s="473" t="s">
        <v>733</v>
      </c>
      <c r="C265" s="500"/>
      <c r="D265" s="500"/>
      <c r="E265" s="500"/>
      <c r="F265" s="487"/>
      <c r="G265" s="501">
        <f>+G264*0.235</f>
        <v>511392.89999999997</v>
      </c>
      <c r="H265" s="501">
        <f t="shared" ref="H265:Z265" si="170">+H264*0.235</f>
        <v>514461.25739999383</v>
      </c>
      <c r="I265" s="501">
        <f t="shared" si="170"/>
        <v>517548.02494440525</v>
      </c>
      <c r="J265" s="501">
        <f t="shared" si="170"/>
        <v>520653.31309406844</v>
      </c>
      <c r="K265" s="501">
        <f t="shared" si="170"/>
        <v>523777.23297263321</v>
      </c>
      <c r="L265" s="501">
        <f t="shared" si="170"/>
        <v>526919.89637047285</v>
      </c>
      <c r="M265" s="501">
        <f t="shared" si="170"/>
        <v>530081.41574869037</v>
      </c>
      <c r="N265" s="501">
        <f t="shared" si="170"/>
        <v>533261.90424318018</v>
      </c>
      <c r="O265" s="501">
        <f t="shared" si="170"/>
        <v>536461.4756686344</v>
      </c>
      <c r="P265" s="501">
        <f t="shared" si="170"/>
        <v>539680.24452264723</v>
      </c>
      <c r="Q265" s="501">
        <f t="shared" si="170"/>
        <v>542918.32598979026</v>
      </c>
      <c r="R265" s="501">
        <f t="shared" si="170"/>
        <v>546175.83594573103</v>
      </c>
      <c r="S265" s="501">
        <f t="shared" si="170"/>
        <v>549452.89096140733</v>
      </c>
      <c r="T265" s="501">
        <f t="shared" si="170"/>
        <v>552749.60830717289</v>
      </c>
      <c r="U265" s="501">
        <f t="shared" si="170"/>
        <v>556066.10595701367</v>
      </c>
      <c r="V265" s="501">
        <f t="shared" si="170"/>
        <v>559402.50259274989</v>
      </c>
      <c r="W265" s="501">
        <f t="shared" si="170"/>
        <v>562758.91760830849</v>
      </c>
      <c r="X265" s="501">
        <f t="shared" si="170"/>
        <v>566135.47111396701</v>
      </c>
      <c r="Y265" s="501">
        <f t="shared" si="170"/>
        <v>569532.28394063981</v>
      </c>
      <c r="Z265" s="501">
        <f t="shared" si="170"/>
        <v>572949.47764429031</v>
      </c>
      <c r="AA265" s="27"/>
    </row>
    <row r="266" spans="2:27">
      <c r="B266" s="483" t="s">
        <v>724</v>
      </c>
      <c r="C266" s="500">
        <f>215786.2*1000</f>
        <v>215786200</v>
      </c>
      <c r="D266" s="500">
        <f>74082*1000</f>
        <v>74082000</v>
      </c>
      <c r="E266" s="500">
        <f>255087.5*1000</f>
        <v>255087500</v>
      </c>
      <c r="F266" s="500">
        <f>217842.8*1000</f>
        <v>217842800</v>
      </c>
      <c r="G266" s="501">
        <f>+E266+E266*$C$259/100</f>
        <v>256618025</v>
      </c>
      <c r="H266" s="501">
        <f t="shared" ref="H266:Z266" si="171">+G266+G266*$C$259/100</f>
        <v>258157733.15000001</v>
      </c>
      <c r="I266" s="501">
        <f t="shared" si="171"/>
        <v>259706679.54890001</v>
      </c>
      <c r="J266" s="501">
        <f t="shared" si="171"/>
        <v>261264919.6261934</v>
      </c>
      <c r="K266" s="501">
        <f t="shared" si="171"/>
        <v>262832509.14395055</v>
      </c>
      <c r="L266" s="501">
        <f t="shared" si="171"/>
        <v>264409504.19881424</v>
      </c>
      <c r="M266" s="501">
        <f t="shared" si="171"/>
        <v>265995961.22400713</v>
      </c>
      <c r="N266" s="501">
        <f t="shared" si="171"/>
        <v>267591936.99135119</v>
      </c>
      <c r="O266" s="501">
        <f t="shared" si="171"/>
        <v>269197488.61329931</v>
      </c>
      <c r="P266" s="501">
        <f t="shared" si="171"/>
        <v>270812673.5449791</v>
      </c>
      <c r="Q266" s="501">
        <f t="shared" si="171"/>
        <v>272437549.58624899</v>
      </c>
      <c r="R266" s="501">
        <f t="shared" si="171"/>
        <v>274072174.88376647</v>
      </c>
      <c r="S266" s="501">
        <f t="shared" si="171"/>
        <v>275716607.93306905</v>
      </c>
      <c r="T266" s="501">
        <f t="shared" si="171"/>
        <v>277370907.58066744</v>
      </c>
      <c r="U266" s="501">
        <f t="shared" si="171"/>
        <v>279035133.02615142</v>
      </c>
      <c r="V266" s="501">
        <f t="shared" si="171"/>
        <v>280709343.82430834</v>
      </c>
      <c r="W266" s="501">
        <f t="shared" si="171"/>
        <v>282393599.88725418</v>
      </c>
      <c r="X266" s="501">
        <f t="shared" si="171"/>
        <v>284087961.48657769</v>
      </c>
      <c r="Y266" s="501">
        <f t="shared" si="171"/>
        <v>285792489.25549716</v>
      </c>
      <c r="Z266" s="501">
        <f t="shared" si="171"/>
        <v>287507244.19103014</v>
      </c>
      <c r="AA266" s="27"/>
    </row>
    <row r="267" spans="2:27">
      <c r="B267" s="473" t="s">
        <v>723</v>
      </c>
      <c r="C267" s="500"/>
      <c r="D267" s="500"/>
      <c r="E267" s="500"/>
      <c r="F267" s="487"/>
      <c r="G267" s="501">
        <f>+G266-E266</f>
        <v>1530525</v>
      </c>
      <c r="H267" s="501">
        <f t="shared" ref="H267:Z267" si="172">+H266-G266</f>
        <v>1539708.150000006</v>
      </c>
      <c r="I267" s="501">
        <f t="shared" si="172"/>
        <v>1548946.3989000022</v>
      </c>
      <c r="J267" s="501">
        <f t="shared" si="172"/>
        <v>1558240.077293396</v>
      </c>
      <c r="K267" s="501">
        <f t="shared" si="172"/>
        <v>1567589.5177571476</v>
      </c>
      <c r="L267" s="501">
        <f t="shared" si="172"/>
        <v>1576995.0548636913</v>
      </c>
      <c r="M267" s="501">
        <f t="shared" si="172"/>
        <v>1586457.0251928866</v>
      </c>
      <c r="N267" s="501">
        <f t="shared" si="172"/>
        <v>1595975.7673440576</v>
      </c>
      <c r="O267" s="501">
        <f t="shared" si="172"/>
        <v>1605551.621948123</v>
      </c>
      <c r="P267" s="501">
        <f t="shared" si="172"/>
        <v>1615184.9316797853</v>
      </c>
      <c r="Q267" s="501">
        <f t="shared" si="172"/>
        <v>1624876.0412698984</v>
      </c>
      <c r="R267" s="501">
        <f t="shared" si="172"/>
        <v>1634625.2975174785</v>
      </c>
      <c r="S267" s="501">
        <f t="shared" si="172"/>
        <v>1644433.049302578</v>
      </c>
      <c r="T267" s="501">
        <f t="shared" si="172"/>
        <v>1654299.6475983858</v>
      </c>
      <c r="U267" s="501">
        <f t="shared" si="172"/>
        <v>1664225.4454839826</v>
      </c>
      <c r="V267" s="501">
        <f t="shared" si="172"/>
        <v>1674210.7981569171</v>
      </c>
      <c r="W267" s="501">
        <f t="shared" si="172"/>
        <v>1684256.0629458427</v>
      </c>
      <c r="X267" s="501">
        <f t="shared" si="172"/>
        <v>1694361.5993235111</v>
      </c>
      <c r="Y267" s="501">
        <f t="shared" si="172"/>
        <v>1704527.7689194679</v>
      </c>
      <c r="Z267" s="501">
        <f t="shared" si="172"/>
        <v>1714754.9355329871</v>
      </c>
      <c r="AA267" s="27"/>
    </row>
    <row r="268" spans="2:27">
      <c r="B268" s="473" t="s">
        <v>733</v>
      </c>
      <c r="C268" s="500"/>
      <c r="D268" s="500"/>
      <c r="E268" s="500"/>
      <c r="F268" s="487"/>
      <c r="G268" s="501">
        <f>+G267*0.235</f>
        <v>359673.375</v>
      </c>
      <c r="H268" s="501">
        <f t="shared" ref="H268:Z268" si="173">+H267*0.235</f>
        <v>361831.41525000136</v>
      </c>
      <c r="I268" s="501">
        <f t="shared" si="173"/>
        <v>364002.40374150052</v>
      </c>
      <c r="J268" s="501">
        <f t="shared" si="173"/>
        <v>366186.41816394805</v>
      </c>
      <c r="K268" s="501">
        <f t="shared" si="173"/>
        <v>368383.53667292965</v>
      </c>
      <c r="L268" s="501">
        <f t="shared" si="173"/>
        <v>370593.83789296745</v>
      </c>
      <c r="M268" s="501">
        <f t="shared" si="173"/>
        <v>372817.40092032833</v>
      </c>
      <c r="N268" s="501">
        <f t="shared" si="173"/>
        <v>375054.30532585352</v>
      </c>
      <c r="O268" s="501">
        <f t="shared" si="173"/>
        <v>377304.63115780888</v>
      </c>
      <c r="P268" s="501">
        <f t="shared" si="173"/>
        <v>379568.45894474949</v>
      </c>
      <c r="Q268" s="501">
        <f t="shared" si="173"/>
        <v>381845.8696984261</v>
      </c>
      <c r="R268" s="501">
        <f t="shared" si="173"/>
        <v>384136.9449166074</v>
      </c>
      <c r="S268" s="501">
        <f t="shared" si="173"/>
        <v>386441.7665861058</v>
      </c>
      <c r="T268" s="501">
        <f t="shared" si="173"/>
        <v>388760.41718562064</v>
      </c>
      <c r="U268" s="501">
        <f t="shared" si="173"/>
        <v>391092.97968873585</v>
      </c>
      <c r="V268" s="501">
        <f t="shared" si="173"/>
        <v>393439.53756687552</v>
      </c>
      <c r="W268" s="501">
        <f t="shared" si="173"/>
        <v>395800.17479227303</v>
      </c>
      <c r="X268" s="501">
        <f t="shared" si="173"/>
        <v>398174.97584102507</v>
      </c>
      <c r="Y268" s="501">
        <f t="shared" si="173"/>
        <v>400564.02569607494</v>
      </c>
      <c r="Z268" s="501">
        <f t="shared" si="173"/>
        <v>402967.40985025198</v>
      </c>
      <c r="AA268" s="27"/>
    </row>
    <row r="269" spans="2:27">
      <c r="B269" s="483" t="s">
        <v>722</v>
      </c>
      <c r="C269" s="500">
        <f>30.71*1000000</f>
        <v>30710000</v>
      </c>
      <c r="D269" s="500">
        <f>42.59*1000000</f>
        <v>42590000</v>
      </c>
      <c r="E269" s="500">
        <f>81.88*1000000</f>
        <v>81880000</v>
      </c>
      <c r="F269" s="500">
        <f>110.42*1000000</f>
        <v>110420000</v>
      </c>
      <c r="G269" s="501">
        <f>+E269+E269*$C$259/100</f>
        <v>82371280</v>
      </c>
      <c r="H269" s="501">
        <f t="shared" ref="H269:Z269" si="174">+G269+G269*$C$259/100</f>
        <v>82865507.680000007</v>
      </c>
      <c r="I269" s="501">
        <f t="shared" si="174"/>
        <v>83362700.72608</v>
      </c>
      <c r="J269" s="501">
        <f t="shared" si="174"/>
        <v>83862876.930436477</v>
      </c>
      <c r="K269" s="501">
        <f t="shared" si="174"/>
        <v>84366054.19201909</v>
      </c>
      <c r="L269" s="501">
        <f t="shared" si="174"/>
        <v>84872250.517171204</v>
      </c>
      <c r="M269" s="501">
        <f t="shared" si="174"/>
        <v>85381484.020274237</v>
      </c>
      <c r="N269" s="501">
        <f t="shared" si="174"/>
        <v>85893772.924395889</v>
      </c>
      <c r="O269" s="501">
        <f t="shared" si="174"/>
        <v>86409135.561942264</v>
      </c>
      <c r="P269" s="501">
        <f t="shared" si="174"/>
        <v>86927590.375313923</v>
      </c>
      <c r="Q269" s="501">
        <f t="shared" si="174"/>
        <v>87449155.917565808</v>
      </c>
      <c r="R269" s="501">
        <f t="shared" si="174"/>
        <v>87973850.853071198</v>
      </c>
      <c r="S269" s="501">
        <f t="shared" si="174"/>
        <v>88501693.958189622</v>
      </c>
      <c r="T269" s="501">
        <f t="shared" si="174"/>
        <v>89032704.121938765</v>
      </c>
      <c r="U269" s="501">
        <f t="shared" si="174"/>
        <v>89566900.346670404</v>
      </c>
      <c r="V269" s="501">
        <f t="shared" si="174"/>
        <v>90104301.748750433</v>
      </c>
      <c r="W269" s="501">
        <f t="shared" si="174"/>
        <v>90644927.559242934</v>
      </c>
      <c r="X269" s="501">
        <f t="shared" si="174"/>
        <v>91188797.124598399</v>
      </c>
      <c r="Y269" s="501">
        <f t="shared" si="174"/>
        <v>91735929.907345995</v>
      </c>
      <c r="Z269" s="501">
        <f t="shared" si="174"/>
        <v>92286345.486790076</v>
      </c>
      <c r="AA269" s="27"/>
    </row>
    <row r="270" spans="2:27">
      <c r="B270" s="473" t="s">
        <v>723</v>
      </c>
      <c r="C270" s="502"/>
      <c r="D270" s="502"/>
      <c r="E270" s="502"/>
      <c r="F270" s="487"/>
      <c r="G270" s="501">
        <f>+G269-E269</f>
        <v>491280</v>
      </c>
      <c r="H270" s="501">
        <f t="shared" ref="H270:Z270" si="175">+H269-G269</f>
        <v>494227.68000000715</v>
      </c>
      <c r="I270" s="501">
        <f t="shared" si="175"/>
        <v>497193.04607999325</v>
      </c>
      <c r="J270" s="501">
        <f t="shared" si="175"/>
        <v>500176.20435647666</v>
      </c>
      <c r="K270" s="501">
        <f t="shared" si="175"/>
        <v>503177.26158261299</v>
      </c>
      <c r="L270" s="501">
        <f t="shared" si="175"/>
        <v>506196.32515211403</v>
      </c>
      <c r="M270" s="501">
        <f t="shared" si="175"/>
        <v>509233.50310303271</v>
      </c>
      <c r="N270" s="501">
        <f t="shared" si="175"/>
        <v>512288.90412165225</v>
      </c>
      <c r="O270" s="501">
        <f t="shared" si="175"/>
        <v>515362.63754637539</v>
      </c>
      <c r="P270" s="501">
        <f t="shared" si="175"/>
        <v>518454.81337165833</v>
      </c>
      <c r="Q270" s="501">
        <f t="shared" si="175"/>
        <v>521565.54225188494</v>
      </c>
      <c r="R270" s="501">
        <f t="shared" si="175"/>
        <v>524694.93550539017</v>
      </c>
      <c r="S270" s="501">
        <f t="shared" si="175"/>
        <v>527843.1051184237</v>
      </c>
      <c r="T270" s="501">
        <f t="shared" si="175"/>
        <v>531010.16374914348</v>
      </c>
      <c r="U270" s="501">
        <f t="shared" si="175"/>
        <v>534196.22473163903</v>
      </c>
      <c r="V270" s="501">
        <f t="shared" si="175"/>
        <v>537401.40208002925</v>
      </c>
      <c r="W270" s="501">
        <f t="shared" si="175"/>
        <v>540625.81049250066</v>
      </c>
      <c r="X270" s="501">
        <f t="shared" si="175"/>
        <v>543869.56535546482</v>
      </c>
      <c r="Y270" s="501">
        <f t="shared" si="175"/>
        <v>547132.7827475965</v>
      </c>
      <c r="Z270" s="501">
        <f t="shared" si="175"/>
        <v>550415.57944408059</v>
      </c>
      <c r="AA270" s="27"/>
    </row>
    <row r="271" spans="2:27">
      <c r="B271" s="473" t="s">
        <v>733</v>
      </c>
      <c r="C271" s="503"/>
      <c r="D271" s="503"/>
      <c r="E271" s="503"/>
      <c r="F271" s="501"/>
      <c r="G271" s="501">
        <f>+G270*0.235</f>
        <v>115450.79999999999</v>
      </c>
      <c r="H271" s="501">
        <f t="shared" ref="H271:Z271" si="176">+H270*0.235</f>
        <v>116143.50480000167</v>
      </c>
      <c r="I271" s="501">
        <f t="shared" si="176"/>
        <v>116840.3658287984</v>
      </c>
      <c r="J271" s="501">
        <f t="shared" si="176"/>
        <v>117541.408023772</v>
      </c>
      <c r="K271" s="501">
        <f t="shared" si="176"/>
        <v>118246.65647191404</v>
      </c>
      <c r="L271" s="501">
        <f t="shared" si="176"/>
        <v>118956.1364107468</v>
      </c>
      <c r="M271" s="501">
        <f t="shared" si="176"/>
        <v>119669.87322921268</v>
      </c>
      <c r="N271" s="501">
        <f t="shared" si="176"/>
        <v>120387.89246858827</v>
      </c>
      <c r="O271" s="501">
        <f t="shared" si="176"/>
        <v>121110.21982339821</v>
      </c>
      <c r="P271" s="501">
        <f t="shared" si="176"/>
        <v>121836.8811423397</v>
      </c>
      <c r="Q271" s="501">
        <f t="shared" si="176"/>
        <v>122567.90242919295</v>
      </c>
      <c r="R271" s="501">
        <f t="shared" si="176"/>
        <v>123303.30984376668</v>
      </c>
      <c r="S271" s="501">
        <f t="shared" si="176"/>
        <v>124043.12970282957</v>
      </c>
      <c r="T271" s="501">
        <f t="shared" si="176"/>
        <v>124787.38848104871</v>
      </c>
      <c r="U271" s="501">
        <f t="shared" si="176"/>
        <v>125536.11281193516</v>
      </c>
      <c r="V271" s="501">
        <f t="shared" si="176"/>
        <v>126289.32948880686</v>
      </c>
      <c r="W271" s="501">
        <f t="shared" si="176"/>
        <v>127047.06546573764</v>
      </c>
      <c r="X271" s="501">
        <f t="shared" si="176"/>
        <v>127809.34785853422</v>
      </c>
      <c r="Y271" s="501">
        <f t="shared" si="176"/>
        <v>128576.20394568516</v>
      </c>
      <c r="Z271" s="501">
        <f t="shared" si="176"/>
        <v>129347.66116935894</v>
      </c>
    </row>
    <row r="272" spans="2:27" s="485" customFormat="1">
      <c r="B272" s="476" t="s">
        <v>734</v>
      </c>
      <c r="C272" s="504"/>
      <c r="D272" s="504"/>
      <c r="E272" s="504"/>
      <c r="F272" s="505"/>
      <c r="G272" s="505">
        <f>+G265+G268+G271</f>
        <v>986517.07499999995</v>
      </c>
      <c r="H272" s="505">
        <f t="shared" ref="H272:Z272" si="177">+H265+H268+H271</f>
        <v>992436.17744999682</v>
      </c>
      <c r="I272" s="505">
        <f t="shared" si="177"/>
        <v>998390.79451470415</v>
      </c>
      <c r="J272" s="505">
        <f t="shared" si="177"/>
        <v>1004381.1392817886</v>
      </c>
      <c r="K272" s="505">
        <f t="shared" si="177"/>
        <v>1010407.4261174769</v>
      </c>
      <c r="L272" s="505">
        <f t="shared" si="177"/>
        <v>1016469.8706741872</v>
      </c>
      <c r="M272" s="505">
        <f t="shared" si="177"/>
        <v>1022568.6898982314</v>
      </c>
      <c r="N272" s="505">
        <f t="shared" si="177"/>
        <v>1028704.102037622</v>
      </c>
      <c r="O272" s="505">
        <f t="shared" si="177"/>
        <v>1034876.3266498414</v>
      </c>
      <c r="P272" s="505">
        <f t="shared" si="177"/>
        <v>1041085.5846097365</v>
      </c>
      <c r="Q272" s="505">
        <f t="shared" si="177"/>
        <v>1047332.0981174093</v>
      </c>
      <c r="R272" s="505">
        <f t="shared" si="177"/>
        <v>1053616.0907061051</v>
      </c>
      <c r="S272" s="505">
        <f t="shared" si="177"/>
        <v>1059937.7872503428</v>
      </c>
      <c r="T272" s="505">
        <f t="shared" si="177"/>
        <v>1066297.4139738423</v>
      </c>
      <c r="U272" s="505">
        <f t="shared" si="177"/>
        <v>1072695.1984576846</v>
      </c>
      <c r="V272" s="505">
        <f t="shared" si="177"/>
        <v>1079131.3696484324</v>
      </c>
      <c r="W272" s="505">
        <f t="shared" si="177"/>
        <v>1085606.1578663192</v>
      </c>
      <c r="X272" s="505">
        <f t="shared" si="177"/>
        <v>1092119.7948135263</v>
      </c>
      <c r="Y272" s="505">
        <f t="shared" si="177"/>
        <v>1098672.5135823998</v>
      </c>
      <c r="Z272" s="505">
        <f t="shared" si="177"/>
        <v>1105264.5486639012</v>
      </c>
    </row>
    <row r="273" spans="2:26">
      <c r="B273" s="58"/>
      <c r="C273" s="480"/>
      <c r="D273" s="480"/>
      <c r="E273" s="480"/>
      <c r="F273" s="27"/>
      <c r="G273" s="27"/>
      <c r="H273" s="27"/>
      <c r="I273" s="27"/>
      <c r="J273" s="27"/>
      <c r="K273" s="27"/>
      <c r="L273" s="27"/>
      <c r="M273" s="27"/>
      <c r="N273" s="27"/>
      <c r="O273" s="27"/>
      <c r="P273" s="27"/>
      <c r="Q273" s="27"/>
      <c r="R273" s="27"/>
      <c r="S273" s="27"/>
      <c r="T273" s="27"/>
      <c r="U273" s="27"/>
      <c r="V273" s="27"/>
      <c r="W273" s="27"/>
      <c r="X273" s="27"/>
      <c r="Y273" s="27"/>
      <c r="Z273" s="27"/>
    </row>
    <row r="274" spans="2:26" ht="28.8">
      <c r="B274" s="692" t="s">
        <v>785</v>
      </c>
      <c r="C274" s="693"/>
      <c r="D274" s="693"/>
      <c r="E274" s="691"/>
      <c r="F274" s="684"/>
      <c r="G274" s="684"/>
      <c r="H274" s="684"/>
      <c r="I274" s="684"/>
      <c r="J274" s="684"/>
      <c r="K274" s="684"/>
      <c r="L274" s="684"/>
      <c r="M274" s="684"/>
      <c r="N274" s="684"/>
      <c r="O274" s="684"/>
      <c r="P274" s="684"/>
      <c r="Q274" s="684"/>
      <c r="R274" s="684"/>
      <c r="S274" s="684"/>
      <c r="T274" s="684"/>
      <c r="U274" s="684"/>
      <c r="V274" s="684"/>
      <c r="W274" s="684"/>
      <c r="X274" s="684"/>
      <c r="Y274" s="684"/>
      <c r="Z274" s="684"/>
    </row>
    <row r="275" spans="2:26">
      <c r="B275" s="483" t="s">
        <v>736</v>
      </c>
      <c r="C275" s="500">
        <v>1310920000</v>
      </c>
      <c r="D275" s="500">
        <f>1395.96*1000000</f>
        <v>1395960000</v>
      </c>
      <c r="E275" s="500">
        <f>5470.68*1000000</f>
        <v>5470680000</v>
      </c>
      <c r="F275" s="487"/>
      <c r="G275" s="500">
        <f>+E275/2+E275/2*$C$259/100</f>
        <v>2751752040</v>
      </c>
      <c r="H275" s="500">
        <f>G275+G275*$C$259/100</f>
        <v>2768262552.2399998</v>
      </c>
      <c r="I275" s="500">
        <f t="shared" ref="I275:Z275" si="178">H275+H275*$C$259/100</f>
        <v>2784872127.5534396</v>
      </c>
      <c r="J275" s="500">
        <f t="shared" si="178"/>
        <v>2801581360.3187604</v>
      </c>
      <c r="K275" s="500">
        <f t="shared" si="178"/>
        <v>2818390848.4806728</v>
      </c>
      <c r="L275" s="500">
        <f t="shared" si="178"/>
        <v>2835301193.571557</v>
      </c>
      <c r="M275" s="500">
        <f t="shared" si="178"/>
        <v>2852313000.7329865</v>
      </c>
      <c r="N275" s="500">
        <f t="shared" si="178"/>
        <v>2869426878.7373843</v>
      </c>
      <c r="O275" s="500">
        <f t="shared" si="178"/>
        <v>2886643440.0098085</v>
      </c>
      <c r="P275" s="500">
        <f t="shared" si="178"/>
        <v>2903963300.6498675</v>
      </c>
      <c r="Q275" s="500">
        <f t="shared" si="178"/>
        <v>2921387080.4537668</v>
      </c>
      <c r="R275" s="500">
        <f t="shared" si="178"/>
        <v>2938915402.9364896</v>
      </c>
      <c r="S275" s="500">
        <f t="shared" si="178"/>
        <v>2956548895.3541083</v>
      </c>
      <c r="T275" s="500">
        <f t="shared" si="178"/>
        <v>2974288188.726233</v>
      </c>
      <c r="U275" s="500">
        <f t="shared" si="178"/>
        <v>2992133917.8585906</v>
      </c>
      <c r="V275" s="500">
        <f t="shared" si="178"/>
        <v>3010086721.3657422</v>
      </c>
      <c r="W275" s="500">
        <f t="shared" si="178"/>
        <v>3028147241.6939368</v>
      </c>
      <c r="X275" s="500">
        <f t="shared" si="178"/>
        <v>3046316125.1441007</v>
      </c>
      <c r="Y275" s="500">
        <f t="shared" si="178"/>
        <v>3064594021.8949652</v>
      </c>
      <c r="Z275" s="500">
        <f t="shared" si="178"/>
        <v>3082981586.0263348</v>
      </c>
    </row>
    <row r="276" spans="2:26">
      <c r="B276" s="473" t="s">
        <v>723</v>
      </c>
      <c r="C276" s="500"/>
      <c r="D276" s="500"/>
      <c r="E276" s="500"/>
      <c r="F276" s="487"/>
      <c r="G276" s="500">
        <f>+G275-E275/2</f>
        <v>16412040</v>
      </c>
      <c r="H276" s="500">
        <f>+H275-G275</f>
        <v>16510512.239999771</v>
      </c>
      <c r="I276" s="500">
        <f t="shared" ref="I276:Z276" si="179">+I275-H275</f>
        <v>16609575.313439846</v>
      </c>
      <c r="J276" s="500">
        <f t="shared" si="179"/>
        <v>16709232.765320778</v>
      </c>
      <c r="K276" s="500">
        <f t="shared" si="179"/>
        <v>16809488.161912441</v>
      </c>
      <c r="L276" s="500">
        <f t="shared" si="179"/>
        <v>16910345.090884209</v>
      </c>
      <c r="M276" s="500">
        <f t="shared" si="179"/>
        <v>17011807.161429405</v>
      </c>
      <c r="N276" s="500">
        <f t="shared" si="179"/>
        <v>17113878.004397869</v>
      </c>
      <c r="O276" s="500">
        <f t="shared" si="179"/>
        <v>17216561.272424221</v>
      </c>
      <c r="P276" s="500">
        <f t="shared" si="179"/>
        <v>17319860.640058994</v>
      </c>
      <c r="Q276" s="500">
        <f t="shared" si="179"/>
        <v>17423779.803899288</v>
      </c>
      <c r="R276" s="500">
        <f t="shared" si="179"/>
        <v>17528322.482722759</v>
      </c>
      <c r="S276" s="500">
        <f t="shared" si="179"/>
        <v>17633492.417618752</v>
      </c>
      <c r="T276" s="500">
        <f t="shared" si="179"/>
        <v>17739293.372124672</v>
      </c>
      <c r="U276" s="500">
        <f t="shared" si="179"/>
        <v>17845729.132357597</v>
      </c>
      <c r="V276" s="500">
        <f t="shared" si="179"/>
        <v>17952803.507151604</v>
      </c>
      <c r="W276" s="500">
        <f t="shared" si="179"/>
        <v>18060520.328194618</v>
      </c>
      <c r="X276" s="500">
        <f t="shared" si="179"/>
        <v>18168883.450163841</v>
      </c>
      <c r="Y276" s="500">
        <f t="shared" si="179"/>
        <v>18277896.750864506</v>
      </c>
      <c r="Z276" s="500">
        <f t="shared" si="179"/>
        <v>18387564.131369591</v>
      </c>
    </row>
    <row r="277" spans="2:26">
      <c r="B277" s="473" t="s">
        <v>733</v>
      </c>
      <c r="C277" s="500"/>
      <c r="D277" s="500"/>
      <c r="E277" s="500"/>
      <c r="F277" s="487"/>
      <c r="G277" s="500">
        <f>+G276*0.235</f>
        <v>3856829.4</v>
      </c>
      <c r="H277" s="500">
        <f t="shared" ref="H277:Z277" si="180">+H276*0.235</f>
        <v>3879970.3763999459</v>
      </c>
      <c r="I277" s="500">
        <f t="shared" si="180"/>
        <v>3903250.1986583634</v>
      </c>
      <c r="J277" s="500">
        <f t="shared" si="180"/>
        <v>3926669.6998503827</v>
      </c>
      <c r="K277" s="500">
        <f t="shared" si="180"/>
        <v>3950229.7180494233</v>
      </c>
      <c r="L277" s="500">
        <f t="shared" si="180"/>
        <v>3973931.0963577889</v>
      </c>
      <c r="M277" s="500">
        <f t="shared" si="180"/>
        <v>3997774.6829359098</v>
      </c>
      <c r="N277" s="500">
        <f t="shared" si="180"/>
        <v>4021761.331033499</v>
      </c>
      <c r="O277" s="500">
        <f t="shared" si="180"/>
        <v>4045891.8990196916</v>
      </c>
      <c r="P277" s="500">
        <f t="shared" si="180"/>
        <v>4070167.2504138635</v>
      </c>
      <c r="Q277" s="500">
        <f t="shared" si="180"/>
        <v>4094588.2539163325</v>
      </c>
      <c r="R277" s="500">
        <f t="shared" si="180"/>
        <v>4119155.7834398481</v>
      </c>
      <c r="S277" s="500">
        <f t="shared" si="180"/>
        <v>4143870.7181404065</v>
      </c>
      <c r="T277" s="500">
        <f t="shared" si="180"/>
        <v>4168733.9424492978</v>
      </c>
      <c r="U277" s="500">
        <f t="shared" si="180"/>
        <v>4193746.3461040352</v>
      </c>
      <c r="V277" s="500">
        <f t="shared" si="180"/>
        <v>4218908.8241806263</v>
      </c>
      <c r="W277" s="500">
        <f t="shared" si="180"/>
        <v>4244222.2771257348</v>
      </c>
      <c r="X277" s="500">
        <f t="shared" si="180"/>
        <v>4269687.6107885027</v>
      </c>
      <c r="Y277" s="500">
        <f t="shared" si="180"/>
        <v>4295305.7364531588</v>
      </c>
      <c r="Z277" s="500">
        <f t="shared" si="180"/>
        <v>4321077.5708718533</v>
      </c>
    </row>
    <row r="278" spans="2:26">
      <c r="B278" s="483" t="s">
        <v>724</v>
      </c>
      <c r="C278" s="500">
        <f>2248596.2*1000</f>
        <v>2248596200</v>
      </c>
      <c r="D278" s="500">
        <f>2330420.2*1000</f>
        <v>2330420200</v>
      </c>
      <c r="E278" s="500">
        <f>2835075.9*1000</f>
        <v>2835075900</v>
      </c>
      <c r="F278" s="487"/>
      <c r="G278" s="500">
        <f>+E278/2+E278/2*C259/100</f>
        <v>1426043177.7</v>
      </c>
      <c r="H278" s="500">
        <f>+G278+G278*$C$259/100</f>
        <v>1434599436.7662001</v>
      </c>
      <c r="I278" s="500">
        <f t="shared" ref="I278:Z278" si="181">+H278+H278*$C$259/100</f>
        <v>1443207033.3867972</v>
      </c>
      <c r="J278" s="500">
        <f t="shared" si="181"/>
        <v>1451866275.5871179</v>
      </c>
      <c r="K278" s="500">
        <f t="shared" si="181"/>
        <v>1460577473.2406406</v>
      </c>
      <c r="L278" s="500">
        <f t="shared" si="181"/>
        <v>1469340938.0800846</v>
      </c>
      <c r="M278" s="500">
        <f t="shared" si="181"/>
        <v>1478156983.708565</v>
      </c>
      <c r="N278" s="500">
        <f t="shared" si="181"/>
        <v>1487025925.6108165</v>
      </c>
      <c r="O278" s="500">
        <f t="shared" si="181"/>
        <v>1495948081.1644814</v>
      </c>
      <c r="P278" s="500">
        <f t="shared" si="181"/>
        <v>1504923769.6514683</v>
      </c>
      <c r="Q278" s="500">
        <f t="shared" si="181"/>
        <v>1513953312.269377</v>
      </c>
      <c r="R278" s="500">
        <f t="shared" si="181"/>
        <v>1523037032.1429932</v>
      </c>
      <c r="S278" s="500">
        <f t="shared" si="181"/>
        <v>1532175254.3358512</v>
      </c>
      <c r="T278" s="500">
        <f t="shared" si="181"/>
        <v>1541368305.8618662</v>
      </c>
      <c r="U278" s="500">
        <f t="shared" si="181"/>
        <v>1550616515.6970375</v>
      </c>
      <c r="V278" s="500">
        <f t="shared" si="181"/>
        <v>1559920214.7912197</v>
      </c>
      <c r="W278" s="500">
        <f t="shared" si="181"/>
        <v>1569279736.079967</v>
      </c>
      <c r="X278" s="500">
        <f t="shared" si="181"/>
        <v>1578695414.4964468</v>
      </c>
      <c r="Y278" s="500">
        <f t="shared" si="181"/>
        <v>1588167586.9834256</v>
      </c>
      <c r="Z278" s="500">
        <f t="shared" si="181"/>
        <v>1597696592.5053263</v>
      </c>
    </row>
    <row r="279" spans="2:26">
      <c r="B279" s="473" t="s">
        <v>723</v>
      </c>
      <c r="C279" s="500"/>
      <c r="D279" s="500"/>
      <c r="E279" s="500"/>
      <c r="F279" s="487"/>
      <c r="G279" s="500">
        <f>+G278-E278/2</f>
        <v>8505227.7000000477</v>
      </c>
      <c r="H279" s="500">
        <f>+H278-G278</f>
        <v>8556259.0662000179</v>
      </c>
      <c r="I279" s="500">
        <f t="shared" ref="I279:Z279" si="182">+I278-H278</f>
        <v>8607596.6205971241</v>
      </c>
      <c r="J279" s="500">
        <f t="shared" si="182"/>
        <v>8659242.2003207207</v>
      </c>
      <c r="K279" s="500">
        <f t="shared" si="182"/>
        <v>8711197.6535227299</v>
      </c>
      <c r="L279" s="500">
        <f t="shared" si="182"/>
        <v>8763464.839443922</v>
      </c>
      <c r="M279" s="500">
        <f t="shared" si="182"/>
        <v>8816045.6284804344</v>
      </c>
      <c r="N279" s="500">
        <f t="shared" si="182"/>
        <v>8868941.902251482</v>
      </c>
      <c r="O279" s="500">
        <f t="shared" si="182"/>
        <v>8922155.5536649227</v>
      </c>
      <c r="P279" s="500">
        <f t="shared" si="182"/>
        <v>8975688.4869868755</v>
      </c>
      <c r="Q279" s="500">
        <f t="shared" si="182"/>
        <v>9029542.6179087162</v>
      </c>
      <c r="R279" s="500">
        <f t="shared" si="182"/>
        <v>9083719.8736162186</v>
      </c>
      <c r="S279" s="500">
        <f t="shared" si="182"/>
        <v>9138222.1928579807</v>
      </c>
      <c r="T279" s="500">
        <f t="shared" si="182"/>
        <v>9193051.5260150433</v>
      </c>
      <c r="U279" s="500">
        <f t="shared" si="182"/>
        <v>9248209.8351712227</v>
      </c>
      <c r="V279" s="500">
        <f t="shared" si="182"/>
        <v>9303699.0941822529</v>
      </c>
      <c r="W279" s="500">
        <f t="shared" si="182"/>
        <v>9359521.2887473106</v>
      </c>
      <c r="X279" s="500">
        <f t="shared" si="182"/>
        <v>9415678.416479826</v>
      </c>
      <c r="Y279" s="500">
        <f t="shared" si="182"/>
        <v>9472172.4869787693</v>
      </c>
      <c r="Z279" s="500">
        <f t="shared" si="182"/>
        <v>9529005.5219006538</v>
      </c>
    </row>
    <row r="280" spans="2:26">
      <c r="B280" s="473" t="s">
        <v>733</v>
      </c>
      <c r="C280" s="500"/>
      <c r="D280" s="500"/>
      <c r="E280" s="500"/>
      <c r="F280" s="487"/>
      <c r="G280" s="500">
        <f>+G279*0.235</f>
        <v>1998728.5095000111</v>
      </c>
      <c r="H280" s="500">
        <f t="shared" ref="H280:Z280" si="183">+H279*0.235</f>
        <v>2010720.8805570041</v>
      </c>
      <c r="I280" s="500">
        <f t="shared" si="183"/>
        <v>2022785.2058403241</v>
      </c>
      <c r="J280" s="500">
        <f t="shared" si="183"/>
        <v>2034921.9170753693</v>
      </c>
      <c r="K280" s="500">
        <f t="shared" si="183"/>
        <v>2047131.4485778415</v>
      </c>
      <c r="L280" s="500">
        <f t="shared" si="183"/>
        <v>2059414.2372693215</v>
      </c>
      <c r="M280" s="500">
        <f t="shared" si="183"/>
        <v>2071770.722692902</v>
      </c>
      <c r="N280" s="500">
        <f t="shared" si="183"/>
        <v>2084201.3470290981</v>
      </c>
      <c r="O280" s="500">
        <f t="shared" si="183"/>
        <v>2096706.5551112567</v>
      </c>
      <c r="P280" s="500">
        <f t="shared" si="183"/>
        <v>2109286.7944419156</v>
      </c>
      <c r="Q280" s="500">
        <f t="shared" si="183"/>
        <v>2121942.5152085484</v>
      </c>
      <c r="R280" s="500">
        <f t="shared" si="183"/>
        <v>2134674.1702998113</v>
      </c>
      <c r="S280" s="500">
        <f t="shared" si="183"/>
        <v>2147482.2153216251</v>
      </c>
      <c r="T280" s="500">
        <f t="shared" si="183"/>
        <v>2160367.1086135348</v>
      </c>
      <c r="U280" s="500">
        <f t="shared" si="183"/>
        <v>2173329.3112652372</v>
      </c>
      <c r="V280" s="500">
        <f t="shared" si="183"/>
        <v>2186369.2871328294</v>
      </c>
      <c r="W280" s="500">
        <f t="shared" si="183"/>
        <v>2199487.502855618</v>
      </c>
      <c r="X280" s="500">
        <f t="shared" si="183"/>
        <v>2212684.4278727588</v>
      </c>
      <c r="Y280" s="500">
        <f t="shared" si="183"/>
        <v>2225960.5344400108</v>
      </c>
      <c r="Z280" s="500">
        <f t="shared" si="183"/>
        <v>2239316.2976466534</v>
      </c>
    </row>
    <row r="281" spans="2:26">
      <c r="B281" s="483" t="s">
        <v>722</v>
      </c>
      <c r="C281" s="500">
        <f>1564.87*1000000</f>
        <v>1564870000</v>
      </c>
      <c r="D281" s="500">
        <f>1575.07*1000000</f>
        <v>1575070000</v>
      </c>
      <c r="E281" s="500">
        <f>1904.4*1000000</f>
        <v>1904400000</v>
      </c>
      <c r="F281" s="487"/>
      <c r="G281" s="500">
        <f>+E281/2+E281/2*$C$259/100</f>
        <v>957913200</v>
      </c>
      <c r="H281" s="500">
        <f>+G281+G281*$C$259/100</f>
        <v>963660679.20000005</v>
      </c>
      <c r="I281" s="500">
        <f t="shared" ref="I281:Z281" si="184">+H281+H281*$C$259/100</f>
        <v>969442643.27520001</v>
      </c>
      <c r="J281" s="500">
        <f t="shared" si="184"/>
        <v>975259299.13485122</v>
      </c>
      <c r="K281" s="500">
        <f t="shared" si="184"/>
        <v>981110854.92966032</v>
      </c>
      <c r="L281" s="500">
        <f t="shared" si="184"/>
        <v>986997520.05923831</v>
      </c>
      <c r="M281" s="500">
        <f t="shared" si="184"/>
        <v>992919505.1795938</v>
      </c>
      <c r="N281" s="500">
        <f t="shared" si="184"/>
        <v>998877022.21067131</v>
      </c>
      <c r="O281" s="500">
        <f t="shared" si="184"/>
        <v>1004870284.3439354</v>
      </c>
      <c r="P281" s="500">
        <f t="shared" si="184"/>
        <v>1010899506.049999</v>
      </c>
      <c r="Q281" s="500">
        <f t="shared" si="184"/>
        <v>1016964903.0862989</v>
      </c>
      <c r="R281" s="500">
        <f t="shared" si="184"/>
        <v>1023066692.5048168</v>
      </c>
      <c r="S281" s="500">
        <f t="shared" si="184"/>
        <v>1029205092.6598457</v>
      </c>
      <c r="T281" s="500">
        <f t="shared" si="184"/>
        <v>1035380323.2158048</v>
      </c>
      <c r="U281" s="500">
        <f t="shared" si="184"/>
        <v>1041592605.1550996</v>
      </c>
      <c r="V281" s="500">
        <f t="shared" si="184"/>
        <v>1047842160.7860302</v>
      </c>
      <c r="W281" s="500">
        <f t="shared" si="184"/>
        <v>1054129213.7507464</v>
      </c>
      <c r="X281" s="500">
        <f t="shared" si="184"/>
        <v>1060453989.0332508</v>
      </c>
      <c r="Y281" s="500">
        <f t="shared" si="184"/>
        <v>1066816712.9674503</v>
      </c>
      <c r="Z281" s="500">
        <f t="shared" si="184"/>
        <v>1073217613.245255</v>
      </c>
    </row>
    <row r="282" spans="2:26">
      <c r="B282" s="473" t="s">
        <v>723</v>
      </c>
      <c r="C282" s="500"/>
      <c r="D282" s="500"/>
      <c r="E282" s="500"/>
      <c r="F282" s="487"/>
      <c r="G282" s="500">
        <f>+G281-E281/2</f>
        <v>5713200</v>
      </c>
      <c r="H282" s="500">
        <f>+H281-G281</f>
        <v>5747479.2000000477</v>
      </c>
      <c r="I282" s="500">
        <f t="shared" ref="I282:Z282" si="185">+I281-H281</f>
        <v>5781964.0751999617</v>
      </c>
      <c r="J282" s="500">
        <f t="shared" si="185"/>
        <v>5816655.8596512079</v>
      </c>
      <c r="K282" s="500">
        <f t="shared" si="185"/>
        <v>5851555.794809103</v>
      </c>
      <c r="L282" s="500">
        <f t="shared" si="185"/>
        <v>5886665.1295779943</v>
      </c>
      <c r="M282" s="500">
        <f t="shared" si="185"/>
        <v>5921985.1203554869</v>
      </c>
      <c r="N282" s="500">
        <f t="shared" si="185"/>
        <v>5957517.0310775042</v>
      </c>
      <c r="O282" s="500">
        <f t="shared" si="185"/>
        <v>5993262.1332640648</v>
      </c>
      <c r="P282" s="500">
        <f t="shared" si="185"/>
        <v>6029221.7060636282</v>
      </c>
      <c r="Q282" s="500">
        <f t="shared" si="185"/>
        <v>6065397.0362999439</v>
      </c>
      <c r="R282" s="500">
        <f t="shared" si="185"/>
        <v>6101789.418517828</v>
      </c>
      <c r="S282" s="500">
        <f t="shared" si="185"/>
        <v>6138400.1550289392</v>
      </c>
      <c r="T282" s="500">
        <f t="shared" si="185"/>
        <v>6175230.5559591055</v>
      </c>
      <c r="U282" s="500">
        <f t="shared" si="185"/>
        <v>6212281.9392948151</v>
      </c>
      <c r="V282" s="500">
        <f t="shared" si="185"/>
        <v>6249555.6309305429</v>
      </c>
      <c r="W282" s="500">
        <f t="shared" si="185"/>
        <v>6287052.9647161961</v>
      </c>
      <c r="X282" s="500">
        <f t="shared" si="185"/>
        <v>6324775.2825044394</v>
      </c>
      <c r="Y282" s="500">
        <f t="shared" si="185"/>
        <v>6362723.9341994524</v>
      </c>
      <c r="Z282" s="500">
        <f t="shared" si="185"/>
        <v>6400900.2778047323</v>
      </c>
    </row>
    <row r="283" spans="2:26">
      <c r="B283" s="473" t="s">
        <v>733</v>
      </c>
      <c r="C283" s="500"/>
      <c r="D283" s="500"/>
      <c r="E283" s="500"/>
      <c r="F283" s="487"/>
      <c r="G283" s="500">
        <f>+G282*0.235</f>
        <v>1342602</v>
      </c>
      <c r="H283" s="500">
        <f t="shared" ref="H283:Z283" si="186">+H282*0.235</f>
        <v>1350657.6120000111</v>
      </c>
      <c r="I283" s="500">
        <f t="shared" si="186"/>
        <v>1358761.5576719909</v>
      </c>
      <c r="J283" s="500">
        <f t="shared" si="186"/>
        <v>1366914.1270180338</v>
      </c>
      <c r="K283" s="500">
        <f t="shared" si="186"/>
        <v>1375115.6117801392</v>
      </c>
      <c r="L283" s="500">
        <f t="shared" si="186"/>
        <v>1383366.3054508285</v>
      </c>
      <c r="M283" s="500">
        <f t="shared" si="186"/>
        <v>1391666.5032835393</v>
      </c>
      <c r="N283" s="500">
        <f t="shared" si="186"/>
        <v>1400016.5023032133</v>
      </c>
      <c r="O283" s="500">
        <f t="shared" si="186"/>
        <v>1408416.6013170551</v>
      </c>
      <c r="P283" s="500">
        <f t="shared" si="186"/>
        <v>1416867.1009249527</v>
      </c>
      <c r="Q283" s="500">
        <f t="shared" si="186"/>
        <v>1425368.3035304868</v>
      </c>
      <c r="R283" s="500">
        <f t="shared" si="186"/>
        <v>1433920.5133516896</v>
      </c>
      <c r="S283" s="500">
        <f t="shared" si="186"/>
        <v>1442524.0364318006</v>
      </c>
      <c r="T283" s="500">
        <f t="shared" si="186"/>
        <v>1451179.1806503898</v>
      </c>
      <c r="U283" s="500">
        <f t="shared" si="186"/>
        <v>1459886.2557342814</v>
      </c>
      <c r="V283" s="500">
        <f t="shared" si="186"/>
        <v>1468645.5732686776</v>
      </c>
      <c r="W283" s="500">
        <f t="shared" si="186"/>
        <v>1477457.446708306</v>
      </c>
      <c r="X283" s="500">
        <f t="shared" si="186"/>
        <v>1486322.1913885432</v>
      </c>
      <c r="Y283" s="500">
        <f t="shared" si="186"/>
        <v>1495240.1245368712</v>
      </c>
      <c r="Z283" s="500">
        <f t="shared" si="186"/>
        <v>1504211.565284112</v>
      </c>
    </row>
    <row r="284" spans="2:26" s="485" customFormat="1">
      <c r="B284" s="476" t="s">
        <v>734</v>
      </c>
      <c r="C284" s="506"/>
      <c r="D284" s="504"/>
      <c r="E284" s="504"/>
      <c r="F284" s="505"/>
      <c r="G284" s="505">
        <f>+G277+G280+G283</f>
        <v>7198159.9095000112</v>
      </c>
      <c r="H284" s="505">
        <f t="shared" ref="H284:Z284" si="187">+H277+H280+H283</f>
        <v>7241348.8689569607</v>
      </c>
      <c r="I284" s="505">
        <f t="shared" si="187"/>
        <v>7284796.9621706782</v>
      </c>
      <c r="J284" s="505">
        <f t="shared" si="187"/>
        <v>7328505.7439437853</v>
      </c>
      <c r="K284" s="505">
        <f t="shared" si="187"/>
        <v>7372476.7784074042</v>
      </c>
      <c r="L284" s="505">
        <f t="shared" si="187"/>
        <v>7416711.6390779391</v>
      </c>
      <c r="M284" s="505">
        <f t="shared" si="187"/>
        <v>7461211.9089123514</v>
      </c>
      <c r="N284" s="505">
        <f t="shared" si="187"/>
        <v>7505979.1803658102</v>
      </c>
      <c r="O284" s="505">
        <f t="shared" si="187"/>
        <v>7551015.0554480031</v>
      </c>
      <c r="P284" s="505">
        <f t="shared" si="187"/>
        <v>7596321.1457807319</v>
      </c>
      <c r="Q284" s="505">
        <f t="shared" si="187"/>
        <v>7641899.0726553667</v>
      </c>
      <c r="R284" s="505">
        <f t="shared" si="187"/>
        <v>7687750.4670913499</v>
      </c>
      <c r="S284" s="505">
        <f t="shared" si="187"/>
        <v>7733876.9698938318</v>
      </c>
      <c r="T284" s="505">
        <f t="shared" si="187"/>
        <v>7780280.2317132223</v>
      </c>
      <c r="U284" s="505">
        <f t="shared" si="187"/>
        <v>7826961.9131035544</v>
      </c>
      <c r="V284" s="505">
        <f t="shared" si="187"/>
        <v>7873923.6845821328</v>
      </c>
      <c r="W284" s="505">
        <f t="shared" si="187"/>
        <v>7921167.2266896581</v>
      </c>
      <c r="X284" s="505">
        <f t="shared" si="187"/>
        <v>7968694.2300498057</v>
      </c>
      <c r="Y284" s="505">
        <f t="shared" si="187"/>
        <v>8016506.3954300405</v>
      </c>
      <c r="Z284" s="505">
        <f t="shared" si="187"/>
        <v>8064605.4338026196</v>
      </c>
    </row>
    <row r="285" spans="2:26">
      <c r="B285" s="477"/>
      <c r="C285" s="507"/>
      <c r="D285" s="508"/>
      <c r="E285" s="508"/>
      <c r="F285" s="10"/>
      <c r="G285" s="10"/>
      <c r="H285" s="10"/>
      <c r="I285" s="10"/>
      <c r="J285" s="10"/>
      <c r="K285" s="10"/>
      <c r="L285" s="10"/>
      <c r="M285" s="10"/>
      <c r="N285" s="10"/>
      <c r="O285" s="10"/>
      <c r="P285" s="10"/>
      <c r="Q285" s="10"/>
      <c r="R285" s="10"/>
      <c r="S285" s="10"/>
      <c r="T285" s="10"/>
      <c r="U285" s="10"/>
      <c r="V285" s="10"/>
      <c r="W285" s="10"/>
      <c r="X285" s="10"/>
      <c r="Y285" s="10"/>
      <c r="Z285" s="10"/>
    </row>
    <row r="286" spans="2:26">
      <c r="B286" s="694" t="s">
        <v>679</v>
      </c>
      <c r="C286" s="695"/>
      <c r="D286" s="695"/>
      <c r="E286" s="696"/>
      <c r="F286" s="697"/>
      <c r="G286" s="697"/>
      <c r="H286" s="697"/>
      <c r="I286" s="697"/>
      <c r="J286" s="697"/>
      <c r="K286" s="697"/>
      <c r="L286" s="697"/>
      <c r="M286" s="697"/>
      <c r="N286" s="697"/>
      <c r="O286" s="697"/>
      <c r="P286" s="697"/>
      <c r="Q286" s="697"/>
      <c r="R286" s="697"/>
      <c r="S286" s="697"/>
      <c r="T286" s="697"/>
      <c r="U286" s="697"/>
      <c r="V286" s="697"/>
      <c r="W286" s="697"/>
      <c r="X286" s="697"/>
      <c r="Y286" s="697"/>
      <c r="Z286" s="697"/>
    </row>
    <row r="287" spans="2:26">
      <c r="B287" s="483" t="s">
        <v>736</v>
      </c>
      <c r="C287" s="500">
        <f>476.68*1000000</f>
        <v>476680000</v>
      </c>
      <c r="D287" s="500">
        <f>433.51*1000000</f>
        <v>433510000</v>
      </c>
      <c r="E287" s="500">
        <v>437000000</v>
      </c>
      <c r="F287" s="487"/>
      <c r="G287" s="501">
        <f>+E287+E287*$C$259/100</f>
        <v>439622000</v>
      </c>
      <c r="H287" s="501">
        <f>+G287+G287*$C$259/100</f>
        <v>442259732</v>
      </c>
      <c r="I287" s="501">
        <f>+H287+H287*$C$259/100</f>
        <v>444913290.39200002</v>
      </c>
      <c r="J287" s="501">
        <f t="shared" ref="J287:Z287" si="188">+I287+I287*$C$259/100</f>
        <v>447582770.13435203</v>
      </c>
      <c r="K287" s="501">
        <f t="shared" si="188"/>
        <v>450268266.75515813</v>
      </c>
      <c r="L287" s="501">
        <f t="shared" si="188"/>
        <v>452969876.35568905</v>
      </c>
      <c r="M287" s="501">
        <f t="shared" si="188"/>
        <v>455687695.61382318</v>
      </c>
      <c r="N287" s="501">
        <f t="shared" si="188"/>
        <v>458421821.7875061</v>
      </c>
      <c r="O287" s="501">
        <f t="shared" si="188"/>
        <v>461172352.71823114</v>
      </c>
      <c r="P287" s="501">
        <f t="shared" si="188"/>
        <v>463939386.83454055</v>
      </c>
      <c r="Q287" s="501">
        <f t="shared" si="188"/>
        <v>466723023.1555478</v>
      </c>
      <c r="R287" s="501">
        <f t="shared" si="188"/>
        <v>469523361.2944811</v>
      </c>
      <c r="S287" s="501">
        <f t="shared" si="188"/>
        <v>472340501.46224797</v>
      </c>
      <c r="T287" s="501">
        <f t="shared" si="188"/>
        <v>475174544.47102147</v>
      </c>
      <c r="U287" s="501">
        <f t="shared" si="188"/>
        <v>478025591.73784763</v>
      </c>
      <c r="V287" s="501">
        <f t="shared" si="188"/>
        <v>480893745.28827471</v>
      </c>
      <c r="W287" s="501">
        <f t="shared" si="188"/>
        <v>483779107.76000434</v>
      </c>
      <c r="X287" s="501">
        <f t="shared" si="188"/>
        <v>486681782.40656435</v>
      </c>
      <c r="Y287" s="501">
        <f t="shared" si="188"/>
        <v>489601873.10100377</v>
      </c>
      <c r="Z287" s="501">
        <f t="shared" si="188"/>
        <v>492539484.3396098</v>
      </c>
    </row>
    <row r="288" spans="2:26">
      <c r="B288" s="473" t="s">
        <v>723</v>
      </c>
      <c r="C288" s="500"/>
      <c r="D288" s="500"/>
      <c r="E288" s="500"/>
      <c r="F288" s="487"/>
      <c r="G288" s="501">
        <f>+G287-E287</f>
        <v>2622000</v>
      </c>
      <c r="H288" s="501">
        <f>+H287-G287</f>
        <v>2637732</v>
      </c>
      <c r="I288" s="501">
        <f t="shared" ref="I288" si="189">+I287-H287</f>
        <v>2653558.3920000196</v>
      </c>
      <c r="J288" s="501">
        <f t="shared" ref="J288" si="190">+J287-I287</f>
        <v>2669479.7423520088</v>
      </c>
      <c r="K288" s="501">
        <f t="shared" ref="K288" si="191">+K287-J287</f>
        <v>2685496.620806098</v>
      </c>
      <c r="L288" s="501">
        <f t="shared" ref="L288" si="192">+L287-K287</f>
        <v>2701609.6005309224</v>
      </c>
      <c r="M288" s="501">
        <f t="shared" ref="M288" si="193">+M287-L287</f>
        <v>2717819.2581341267</v>
      </c>
      <c r="N288" s="501">
        <f t="shared" ref="N288" si="194">+N287-M287</f>
        <v>2734126.1736829281</v>
      </c>
      <c r="O288" s="501">
        <f t="shared" ref="O288" si="195">+O287-N287</f>
        <v>2750530.9307250381</v>
      </c>
      <c r="P288" s="501">
        <f t="shared" ref="P288" si="196">+P287-O287</f>
        <v>2767034.1163094044</v>
      </c>
      <c r="Q288" s="501">
        <f t="shared" ref="Q288" si="197">+Q287-P287</f>
        <v>2783636.3210072517</v>
      </c>
      <c r="R288" s="501">
        <f t="shared" ref="R288" si="198">+R287-Q287</f>
        <v>2800338.138933301</v>
      </c>
      <c r="S288" s="501">
        <f t="shared" ref="S288" si="199">+S287-R287</f>
        <v>2817140.1677668691</v>
      </c>
      <c r="T288" s="501">
        <f t="shared" ref="T288" si="200">+T287-S287</f>
        <v>2834043.0087735057</v>
      </c>
      <c r="U288" s="501">
        <f t="shared" ref="U288" si="201">+U287-T287</f>
        <v>2851047.2668261528</v>
      </c>
      <c r="V288" s="501">
        <f t="shared" ref="V288" si="202">+V287-U287</f>
        <v>2868153.5504270792</v>
      </c>
      <c r="W288" s="501">
        <f t="shared" ref="W288" si="203">+W287-V287</f>
        <v>2885362.4717296362</v>
      </c>
      <c r="X288" s="501">
        <f t="shared" ref="X288" si="204">+X287-W287</f>
        <v>2902674.6465600133</v>
      </c>
      <c r="Y288" s="501">
        <f t="shared" ref="Y288" si="205">+Y287-X287</f>
        <v>2920090.6944394112</v>
      </c>
      <c r="Z288" s="501">
        <f t="shared" ref="Z288" si="206">+Z287-Y287</f>
        <v>2937611.2386060357</v>
      </c>
    </row>
    <row r="289" spans="2:27">
      <c r="B289" s="473" t="s">
        <v>733</v>
      </c>
      <c r="C289" s="500"/>
      <c r="D289" s="500"/>
      <c r="E289" s="500"/>
      <c r="F289" s="487"/>
      <c r="G289" s="501">
        <f>+G288*0.235</f>
        <v>616170</v>
      </c>
      <c r="H289" s="501">
        <f t="shared" ref="H289:Z289" si="207">+H288*0.235</f>
        <v>619867.02</v>
      </c>
      <c r="I289" s="501">
        <f t="shared" si="207"/>
        <v>623586.22212000459</v>
      </c>
      <c r="J289" s="501">
        <f t="shared" si="207"/>
        <v>627327.73945272202</v>
      </c>
      <c r="K289" s="501">
        <f t="shared" si="207"/>
        <v>631091.70588943304</v>
      </c>
      <c r="L289" s="501">
        <f t="shared" si="207"/>
        <v>634878.25612476678</v>
      </c>
      <c r="M289" s="501">
        <f t="shared" si="207"/>
        <v>638687.52566151973</v>
      </c>
      <c r="N289" s="501">
        <f t="shared" si="207"/>
        <v>642519.65081548807</v>
      </c>
      <c r="O289" s="501">
        <f t="shared" si="207"/>
        <v>646374.76872038387</v>
      </c>
      <c r="P289" s="501">
        <f t="shared" si="207"/>
        <v>650253.01733270998</v>
      </c>
      <c r="Q289" s="501">
        <f t="shared" si="207"/>
        <v>654154.53543670417</v>
      </c>
      <c r="R289" s="501">
        <f t="shared" si="207"/>
        <v>658079.46264932572</v>
      </c>
      <c r="S289" s="501">
        <f t="shared" si="207"/>
        <v>662027.93942521419</v>
      </c>
      <c r="T289" s="501">
        <f t="shared" si="207"/>
        <v>666000.10706177377</v>
      </c>
      <c r="U289" s="501">
        <f t="shared" si="207"/>
        <v>669996.10770414583</v>
      </c>
      <c r="V289" s="501">
        <f t="shared" si="207"/>
        <v>674016.08435036358</v>
      </c>
      <c r="W289" s="501">
        <f t="shared" si="207"/>
        <v>678060.18085646443</v>
      </c>
      <c r="X289" s="501">
        <f t="shared" si="207"/>
        <v>682128.54194160306</v>
      </c>
      <c r="Y289" s="501">
        <f t="shared" si="207"/>
        <v>686221.31319326162</v>
      </c>
      <c r="Z289" s="501">
        <f t="shared" si="207"/>
        <v>690338.64107241831</v>
      </c>
    </row>
    <row r="290" spans="2:27">
      <c r="B290" s="483" t="s">
        <v>724</v>
      </c>
      <c r="C290" s="500">
        <f>153540.7*1000</f>
        <v>153540700</v>
      </c>
      <c r="D290" s="500">
        <f>141579.9*1000</f>
        <v>141579900</v>
      </c>
      <c r="E290" s="500">
        <f>195394*1000</f>
        <v>195394000</v>
      </c>
      <c r="F290" s="487"/>
      <c r="G290" s="501">
        <f>+E290+E290*$C$259/100</f>
        <v>196566364</v>
      </c>
      <c r="H290" s="501">
        <f>+G290+G290*$C$259/100</f>
        <v>197745762.18399999</v>
      </c>
      <c r="I290" s="501">
        <f t="shared" ref="I290:Z290" si="208">+H290+H290*$C$259/100</f>
        <v>198932236.75710398</v>
      </c>
      <c r="J290" s="501">
        <f t="shared" si="208"/>
        <v>200125830.17764661</v>
      </c>
      <c r="K290" s="501">
        <f t="shared" si="208"/>
        <v>201326585.15871248</v>
      </c>
      <c r="L290" s="501">
        <f t="shared" si="208"/>
        <v>202534544.66966474</v>
      </c>
      <c r="M290" s="501">
        <f t="shared" si="208"/>
        <v>203749751.93768272</v>
      </c>
      <c r="N290" s="501">
        <f t="shared" si="208"/>
        <v>204972250.44930881</v>
      </c>
      <c r="O290" s="501">
        <f t="shared" si="208"/>
        <v>206202083.95200467</v>
      </c>
      <c r="P290" s="501">
        <f t="shared" si="208"/>
        <v>207439296.4557167</v>
      </c>
      <c r="Q290" s="501">
        <f t="shared" si="208"/>
        <v>208683932.234451</v>
      </c>
      <c r="R290" s="501">
        <f t="shared" si="208"/>
        <v>209936035.8278577</v>
      </c>
      <c r="S290" s="501">
        <f t="shared" si="208"/>
        <v>211195652.04282483</v>
      </c>
      <c r="T290" s="501">
        <f t="shared" si="208"/>
        <v>212462825.95508179</v>
      </c>
      <c r="U290" s="501">
        <f t="shared" si="208"/>
        <v>213737602.91081229</v>
      </c>
      <c r="V290" s="501">
        <f t="shared" si="208"/>
        <v>215020028.52827716</v>
      </c>
      <c r="W290" s="501">
        <f t="shared" si="208"/>
        <v>216310148.69944683</v>
      </c>
      <c r="X290" s="501">
        <f t="shared" si="208"/>
        <v>217608009.59164351</v>
      </c>
      <c r="Y290" s="501">
        <f t="shared" si="208"/>
        <v>218913657.64919338</v>
      </c>
      <c r="Z290" s="501">
        <f t="shared" si="208"/>
        <v>220227139.59508854</v>
      </c>
    </row>
    <row r="291" spans="2:27">
      <c r="B291" s="473" t="s">
        <v>723</v>
      </c>
      <c r="C291" s="500"/>
      <c r="D291" s="500"/>
      <c r="E291" s="509"/>
      <c r="F291" s="487"/>
      <c r="G291" s="501">
        <f>+G290-E290</f>
        <v>1172364</v>
      </c>
      <c r="H291" s="501">
        <f t="shared" ref="H291:Z291" si="209">+H290-G290</f>
        <v>1179398.1839999855</v>
      </c>
      <c r="I291" s="501">
        <f t="shared" si="209"/>
        <v>1186474.5731039941</v>
      </c>
      <c r="J291" s="501">
        <f t="shared" si="209"/>
        <v>1193593.4205426276</v>
      </c>
      <c r="K291" s="501">
        <f t="shared" si="209"/>
        <v>1200754.9810658693</v>
      </c>
      <c r="L291" s="501">
        <f t="shared" si="209"/>
        <v>1207959.5109522641</v>
      </c>
      <c r="M291" s="501">
        <f t="shared" si="209"/>
        <v>1215207.2680179775</v>
      </c>
      <c r="N291" s="501">
        <f t="shared" si="209"/>
        <v>1222498.5116260946</v>
      </c>
      <c r="O291" s="501">
        <f t="shared" si="209"/>
        <v>1229833.5026958585</v>
      </c>
      <c r="P291" s="501">
        <f t="shared" si="209"/>
        <v>1237212.5037120283</v>
      </c>
      <c r="Q291" s="501">
        <f t="shared" si="209"/>
        <v>1244635.7787342966</v>
      </c>
      <c r="R291" s="501">
        <f t="shared" si="209"/>
        <v>1252103.593406707</v>
      </c>
      <c r="S291" s="501">
        <f t="shared" si="209"/>
        <v>1259616.2149671316</v>
      </c>
      <c r="T291" s="501">
        <f t="shared" si="209"/>
        <v>1267173.9122569561</v>
      </c>
      <c r="U291" s="501">
        <f t="shared" si="209"/>
        <v>1274776.9557304978</v>
      </c>
      <c r="V291" s="501">
        <f t="shared" si="209"/>
        <v>1282425.6174648702</v>
      </c>
      <c r="W291" s="501">
        <f t="shared" si="209"/>
        <v>1290120.1711696684</v>
      </c>
      <c r="X291" s="501">
        <f t="shared" si="209"/>
        <v>1297860.8921966851</v>
      </c>
      <c r="Y291" s="501">
        <f t="shared" si="209"/>
        <v>1305648.0575498641</v>
      </c>
      <c r="Z291" s="501">
        <f t="shared" si="209"/>
        <v>1313481.9458951652</v>
      </c>
    </row>
    <row r="292" spans="2:27">
      <c r="B292" s="473" t="s">
        <v>733</v>
      </c>
      <c r="C292" s="500"/>
      <c r="D292" s="500"/>
      <c r="E292" s="509"/>
      <c r="F292" s="487"/>
      <c r="G292" s="501">
        <f>+G291*0.235</f>
        <v>275505.53999999998</v>
      </c>
      <c r="H292" s="501">
        <f t="shared" ref="H292:Z292" si="210">+H291*0.235</f>
        <v>277158.57323999656</v>
      </c>
      <c r="I292" s="501">
        <f t="shared" si="210"/>
        <v>278821.52467943862</v>
      </c>
      <c r="J292" s="501">
        <f t="shared" si="210"/>
        <v>280494.45382751746</v>
      </c>
      <c r="K292" s="501">
        <f t="shared" si="210"/>
        <v>282177.42055047926</v>
      </c>
      <c r="L292" s="501">
        <f t="shared" si="210"/>
        <v>283870.48507378204</v>
      </c>
      <c r="M292" s="501">
        <f t="shared" si="210"/>
        <v>285573.70798422472</v>
      </c>
      <c r="N292" s="501">
        <f t="shared" si="210"/>
        <v>287287.15023213223</v>
      </c>
      <c r="O292" s="501">
        <f t="shared" si="210"/>
        <v>289010.87313352671</v>
      </c>
      <c r="P292" s="501">
        <f t="shared" si="210"/>
        <v>290744.93837232661</v>
      </c>
      <c r="Q292" s="501">
        <f t="shared" si="210"/>
        <v>292489.40800255968</v>
      </c>
      <c r="R292" s="501">
        <f t="shared" si="210"/>
        <v>294244.34445057611</v>
      </c>
      <c r="S292" s="501">
        <f t="shared" si="210"/>
        <v>296009.81051727594</v>
      </c>
      <c r="T292" s="501">
        <f t="shared" si="210"/>
        <v>297785.86938038468</v>
      </c>
      <c r="U292" s="501">
        <f t="shared" si="210"/>
        <v>299572.58459666697</v>
      </c>
      <c r="V292" s="501">
        <f t="shared" si="210"/>
        <v>301370.02010424447</v>
      </c>
      <c r="W292" s="501">
        <f t="shared" si="210"/>
        <v>303178.24022487208</v>
      </c>
      <c r="X292" s="501">
        <f t="shared" si="210"/>
        <v>304997.30966622097</v>
      </c>
      <c r="Y292" s="501">
        <f t="shared" si="210"/>
        <v>306827.29352421802</v>
      </c>
      <c r="Z292" s="501">
        <f t="shared" si="210"/>
        <v>308668.2572853638</v>
      </c>
    </row>
    <row r="293" spans="2:27">
      <c r="B293" s="483" t="s">
        <v>722</v>
      </c>
      <c r="C293" s="500">
        <f>13.43*1000000</f>
        <v>13430000</v>
      </c>
      <c r="D293" s="500">
        <f>10.53*1000000</f>
        <v>10530000</v>
      </c>
      <c r="E293" s="500">
        <f>37.14*1000000</f>
        <v>37140000</v>
      </c>
      <c r="F293" s="487"/>
      <c r="G293" s="501">
        <f>+E293+E293*$C$259/100</f>
        <v>37362840</v>
      </c>
      <c r="H293" s="501">
        <f>+G293+G293*$C$259/100</f>
        <v>37587017.039999999</v>
      </c>
      <c r="I293" s="501">
        <f t="shared" ref="I293:Z293" si="211">+H293+H293*$C$259/100</f>
        <v>37812539.142240003</v>
      </c>
      <c r="J293" s="501">
        <f t="shared" si="211"/>
        <v>38039414.377093442</v>
      </c>
      <c r="K293" s="501">
        <f t="shared" si="211"/>
        <v>38267650.863356002</v>
      </c>
      <c r="L293" s="501">
        <f t="shared" si="211"/>
        <v>38497256.768536136</v>
      </c>
      <c r="M293" s="501">
        <f t="shared" si="211"/>
        <v>38728240.30914735</v>
      </c>
      <c r="N293" s="501">
        <f t="shared" si="211"/>
        <v>38960609.751002237</v>
      </c>
      <c r="O293" s="501">
        <f t="shared" si="211"/>
        <v>39194373.409508251</v>
      </c>
      <c r="P293" s="501">
        <f t="shared" si="211"/>
        <v>39429539.649965301</v>
      </c>
      <c r="Q293" s="501">
        <f t="shared" si="211"/>
        <v>39666116.887865096</v>
      </c>
      <c r="R293" s="501">
        <f t="shared" si="211"/>
        <v>39904113.589192286</v>
      </c>
      <c r="S293" s="501">
        <f t="shared" si="211"/>
        <v>40143538.270727441</v>
      </c>
      <c r="T293" s="501">
        <f t="shared" si="211"/>
        <v>40384399.500351809</v>
      </c>
      <c r="U293" s="501">
        <f t="shared" si="211"/>
        <v>40626705.897353917</v>
      </c>
      <c r="V293" s="501">
        <f t="shared" si="211"/>
        <v>40870466.132738039</v>
      </c>
      <c r="W293" s="501">
        <f t="shared" si="211"/>
        <v>41115688.929534465</v>
      </c>
      <c r="X293" s="501">
        <f t="shared" si="211"/>
        <v>41362383.06311167</v>
      </c>
      <c r="Y293" s="501">
        <f t="shared" si="211"/>
        <v>41610557.361490339</v>
      </c>
      <c r="Z293" s="501">
        <f t="shared" si="211"/>
        <v>41860220.705659278</v>
      </c>
    </row>
    <row r="294" spans="2:27">
      <c r="B294" s="473" t="s">
        <v>723</v>
      </c>
      <c r="C294" s="500"/>
      <c r="D294" s="500"/>
      <c r="E294" s="509"/>
      <c r="F294" s="487"/>
      <c r="G294" s="501">
        <f>+G293-E293</f>
        <v>222840</v>
      </c>
      <c r="H294" s="501">
        <f t="shared" ref="H294:Z294" si="212">+H293-G293</f>
        <v>224177.03999999911</v>
      </c>
      <c r="I294" s="501">
        <f t="shared" si="212"/>
        <v>225522.10224000365</v>
      </c>
      <c r="J294" s="501">
        <f t="shared" si="212"/>
        <v>226875.23485343903</v>
      </c>
      <c r="K294" s="501">
        <f t="shared" si="212"/>
        <v>228236.48626255989</v>
      </c>
      <c r="L294" s="501">
        <f t="shared" si="212"/>
        <v>229605.90518013388</v>
      </c>
      <c r="M294" s="501">
        <f t="shared" si="212"/>
        <v>230983.54061121494</v>
      </c>
      <c r="N294" s="501">
        <f t="shared" si="212"/>
        <v>232369.44185488671</v>
      </c>
      <c r="O294" s="501">
        <f t="shared" si="212"/>
        <v>233763.65850601345</v>
      </c>
      <c r="P294" s="501">
        <f t="shared" si="212"/>
        <v>235166.2404570505</v>
      </c>
      <c r="Q294" s="501">
        <f t="shared" si="212"/>
        <v>236577.23789979517</v>
      </c>
      <c r="R294" s="501">
        <f t="shared" si="212"/>
        <v>237996.7013271898</v>
      </c>
      <c r="S294" s="501">
        <f t="shared" si="212"/>
        <v>239424.68153515458</v>
      </c>
      <c r="T294" s="501">
        <f t="shared" si="212"/>
        <v>240861.22962436825</v>
      </c>
      <c r="U294" s="501">
        <f t="shared" si="212"/>
        <v>242306.3970021084</v>
      </c>
      <c r="V294" s="501">
        <f t="shared" si="212"/>
        <v>243760.23538412154</v>
      </c>
      <c r="W294" s="501">
        <f t="shared" si="212"/>
        <v>245222.79679642618</v>
      </c>
      <c r="X294" s="501">
        <f t="shared" si="212"/>
        <v>246694.13357720524</v>
      </c>
      <c r="Y294" s="501">
        <f t="shared" si="212"/>
        <v>248174.29837866873</v>
      </c>
      <c r="Z294" s="501">
        <f t="shared" si="212"/>
        <v>249663.3441689387</v>
      </c>
    </row>
    <row r="295" spans="2:27">
      <c r="B295" s="473" t="s">
        <v>733</v>
      </c>
      <c r="C295" s="500"/>
      <c r="D295" s="500"/>
      <c r="E295" s="509"/>
      <c r="F295" s="487"/>
      <c r="G295" s="501">
        <f>+G294*0.235</f>
        <v>52367.399999999994</v>
      </c>
      <c r="H295" s="501">
        <f t="shared" ref="H295:Z295" si="213">+H294*0.235</f>
        <v>52681.604399999786</v>
      </c>
      <c r="I295" s="501">
        <f t="shared" si="213"/>
        <v>52997.694026400852</v>
      </c>
      <c r="J295" s="501">
        <f t="shared" si="213"/>
        <v>53315.680190558167</v>
      </c>
      <c r="K295" s="501">
        <f t="shared" si="213"/>
        <v>53635.574271701575</v>
      </c>
      <c r="L295" s="501">
        <f t="shared" si="213"/>
        <v>53957.387717331461</v>
      </c>
      <c r="M295" s="501">
        <f t="shared" si="213"/>
        <v>54281.132043635509</v>
      </c>
      <c r="N295" s="501">
        <f t="shared" si="213"/>
        <v>54606.818835898375</v>
      </c>
      <c r="O295" s="501">
        <f t="shared" si="213"/>
        <v>54934.459748913156</v>
      </c>
      <c r="P295" s="501">
        <f t="shared" si="213"/>
        <v>55264.066507406867</v>
      </c>
      <c r="Q295" s="501">
        <f t="shared" si="213"/>
        <v>55595.650906451861</v>
      </c>
      <c r="R295" s="501">
        <f t="shared" si="213"/>
        <v>55929.224811889602</v>
      </c>
      <c r="S295" s="501">
        <f t="shared" si="213"/>
        <v>56264.800160761326</v>
      </c>
      <c r="T295" s="501">
        <f t="shared" si="213"/>
        <v>56602.388961726538</v>
      </c>
      <c r="U295" s="501">
        <f t="shared" si="213"/>
        <v>56942.003295495473</v>
      </c>
      <c r="V295" s="501">
        <f t="shared" si="213"/>
        <v>57283.655315268559</v>
      </c>
      <c r="W295" s="501">
        <f t="shared" si="213"/>
        <v>57627.357247160151</v>
      </c>
      <c r="X295" s="501">
        <f t="shared" si="213"/>
        <v>57973.121390643231</v>
      </c>
      <c r="Y295" s="501">
        <f t="shared" si="213"/>
        <v>58320.960118987146</v>
      </c>
      <c r="Z295" s="501">
        <f t="shared" si="213"/>
        <v>58670.885879700589</v>
      </c>
    </row>
    <row r="296" spans="2:27" s="485" customFormat="1">
      <c r="B296" s="476" t="s">
        <v>734</v>
      </c>
      <c r="C296" s="506"/>
      <c r="D296" s="506"/>
      <c r="E296" s="510"/>
      <c r="F296" s="511"/>
      <c r="G296" s="505">
        <f>+G289+G292+G295</f>
        <v>944042.94000000006</v>
      </c>
      <c r="H296" s="505">
        <f t="shared" ref="H296:Z296" si="214">+H289+H292+H295</f>
        <v>949707.19763999642</v>
      </c>
      <c r="I296" s="505">
        <f t="shared" si="214"/>
        <v>955405.44082584395</v>
      </c>
      <c r="J296" s="505">
        <f t="shared" si="214"/>
        <v>961137.87347079767</v>
      </c>
      <c r="K296" s="505">
        <f t="shared" si="214"/>
        <v>966904.70071161387</v>
      </c>
      <c r="L296" s="505">
        <f t="shared" si="214"/>
        <v>972706.12891588022</v>
      </c>
      <c r="M296" s="505">
        <f t="shared" si="214"/>
        <v>978542.36568937986</v>
      </c>
      <c r="N296" s="505">
        <f t="shared" si="214"/>
        <v>984413.61988351878</v>
      </c>
      <c r="O296" s="505">
        <f t="shared" si="214"/>
        <v>990320.10160282382</v>
      </c>
      <c r="P296" s="505">
        <f t="shared" si="214"/>
        <v>996262.02221244352</v>
      </c>
      <c r="Q296" s="505">
        <f t="shared" si="214"/>
        <v>1002239.5943457157</v>
      </c>
      <c r="R296" s="505">
        <f t="shared" si="214"/>
        <v>1008253.0319117914</v>
      </c>
      <c r="S296" s="505">
        <f t="shared" si="214"/>
        <v>1014302.5501032515</v>
      </c>
      <c r="T296" s="505">
        <f t="shared" si="214"/>
        <v>1020388.365403885</v>
      </c>
      <c r="U296" s="505">
        <f t="shared" si="214"/>
        <v>1026510.6955963083</v>
      </c>
      <c r="V296" s="505">
        <f t="shared" si="214"/>
        <v>1032669.7597698766</v>
      </c>
      <c r="W296" s="505">
        <f t="shared" si="214"/>
        <v>1038865.7783284966</v>
      </c>
      <c r="X296" s="505">
        <f t="shared" si="214"/>
        <v>1045098.9729984672</v>
      </c>
      <c r="Y296" s="505">
        <f t="shared" si="214"/>
        <v>1051369.5668364668</v>
      </c>
      <c r="Z296" s="505">
        <f t="shared" si="214"/>
        <v>1057677.7842374826</v>
      </c>
    </row>
    <row r="297" spans="2:27">
      <c r="B297" s="478"/>
      <c r="C297" s="507"/>
      <c r="D297" s="508"/>
      <c r="E297" s="512"/>
      <c r="F297" s="10"/>
      <c r="G297" s="10"/>
      <c r="H297" s="10"/>
      <c r="I297" s="10"/>
      <c r="J297" s="10"/>
      <c r="K297" s="10"/>
      <c r="L297" s="10"/>
      <c r="M297" s="10"/>
      <c r="N297" s="10"/>
      <c r="O297" s="10"/>
      <c r="P297" s="10"/>
      <c r="Q297" s="10"/>
      <c r="R297" s="10"/>
      <c r="S297" s="10"/>
      <c r="T297" s="10"/>
      <c r="U297" s="10"/>
      <c r="V297" s="10"/>
      <c r="W297" s="10"/>
      <c r="X297" s="10"/>
      <c r="Y297" s="10"/>
      <c r="Z297" s="10"/>
    </row>
    <row r="298" spans="2:27">
      <c r="B298" s="698" t="s">
        <v>711</v>
      </c>
      <c r="C298" s="695"/>
      <c r="D298" s="695"/>
      <c r="E298" s="696"/>
      <c r="F298" s="697"/>
      <c r="G298" s="697"/>
      <c r="H298" s="697"/>
      <c r="I298" s="697"/>
      <c r="J298" s="697"/>
      <c r="K298" s="697"/>
      <c r="L298" s="697"/>
      <c r="M298" s="697"/>
      <c r="N298" s="697"/>
      <c r="O298" s="697"/>
      <c r="P298" s="697"/>
      <c r="Q298" s="697"/>
      <c r="R298" s="697"/>
      <c r="S298" s="697"/>
      <c r="T298" s="697"/>
      <c r="U298" s="697"/>
      <c r="V298" s="697"/>
      <c r="W298" s="697"/>
      <c r="X298" s="697"/>
      <c r="Y298" s="697"/>
      <c r="Z298" s="697"/>
    </row>
    <row r="299" spans="2:27">
      <c r="B299" s="483" t="s">
        <v>736</v>
      </c>
      <c r="C299" s="500">
        <f>0.19*1000000</f>
        <v>190000</v>
      </c>
      <c r="D299" s="500">
        <f>0.09*1000000</f>
        <v>90000</v>
      </c>
      <c r="E299" s="500">
        <f>0.1*1000000</f>
        <v>100000</v>
      </c>
      <c r="F299" s="487"/>
      <c r="G299" s="500">
        <f>+E299+E299*$C$258/100</f>
        <v>101900</v>
      </c>
      <c r="H299" s="500">
        <f>+G299+G299*$C$258/100</f>
        <v>103836.1</v>
      </c>
      <c r="I299" s="500">
        <f t="shared" ref="I299:Z299" si="215">+H299+H299*$C$258/100</f>
        <v>105808.9859</v>
      </c>
      <c r="J299" s="500">
        <f t="shared" si="215"/>
        <v>107819.3566321</v>
      </c>
      <c r="K299" s="500">
        <f t="shared" si="215"/>
        <v>109867.9244081099</v>
      </c>
      <c r="L299" s="500">
        <f t="shared" si="215"/>
        <v>111955.414971864</v>
      </c>
      <c r="M299" s="500">
        <f t="shared" si="215"/>
        <v>114082.56785632941</v>
      </c>
      <c r="N299" s="500">
        <f t="shared" si="215"/>
        <v>116250.13664559966</v>
      </c>
      <c r="O299" s="500">
        <f t="shared" si="215"/>
        <v>118458.88924186605</v>
      </c>
      <c r="P299" s="500">
        <f t="shared" si="215"/>
        <v>120709.6081374615</v>
      </c>
      <c r="Q299" s="500">
        <f t="shared" si="215"/>
        <v>123003.09069207327</v>
      </c>
      <c r="R299" s="500">
        <f t="shared" si="215"/>
        <v>125340.14941522267</v>
      </c>
      <c r="S299" s="500">
        <f t="shared" si="215"/>
        <v>127721.6122541119</v>
      </c>
      <c r="T299" s="500">
        <f t="shared" si="215"/>
        <v>130148.32288694002</v>
      </c>
      <c r="U299" s="500">
        <f t="shared" si="215"/>
        <v>132621.14102179187</v>
      </c>
      <c r="V299" s="500">
        <f t="shared" si="215"/>
        <v>135140.94270120593</v>
      </c>
      <c r="W299" s="500">
        <f t="shared" si="215"/>
        <v>137708.62061252884</v>
      </c>
      <c r="X299" s="500">
        <f t="shared" si="215"/>
        <v>140325.0844041669</v>
      </c>
      <c r="Y299" s="500">
        <f t="shared" si="215"/>
        <v>142991.26100784607</v>
      </c>
      <c r="Z299" s="500">
        <f t="shared" si="215"/>
        <v>145708.09496699515</v>
      </c>
      <c r="AA299" s="481"/>
    </row>
    <row r="300" spans="2:27">
      <c r="B300" s="473" t="s">
        <v>723</v>
      </c>
      <c r="C300" s="500"/>
      <c r="D300" s="500"/>
      <c r="E300" s="500"/>
      <c r="F300" s="487"/>
      <c r="G300" s="500">
        <f>+G299-E299</f>
        <v>1900</v>
      </c>
      <c r="H300" s="500">
        <f t="shared" ref="H300:Z300" si="216">+H299-G299</f>
        <v>1936.1000000000058</v>
      </c>
      <c r="I300" s="500">
        <f t="shared" si="216"/>
        <v>1972.8858999999939</v>
      </c>
      <c r="J300" s="500">
        <f t="shared" si="216"/>
        <v>2010.3707320999965</v>
      </c>
      <c r="K300" s="500">
        <f t="shared" si="216"/>
        <v>2048.5677760099061</v>
      </c>
      <c r="L300" s="500">
        <f t="shared" si="216"/>
        <v>2087.4905637540942</v>
      </c>
      <c r="M300" s="500">
        <f t="shared" si="216"/>
        <v>2127.1528844654094</v>
      </c>
      <c r="N300" s="500">
        <f t="shared" si="216"/>
        <v>2167.5687892702554</v>
      </c>
      <c r="O300" s="500">
        <f t="shared" si="216"/>
        <v>2208.7525962663931</v>
      </c>
      <c r="P300" s="500">
        <f t="shared" si="216"/>
        <v>2250.718895595448</v>
      </c>
      <c r="Q300" s="500">
        <f t="shared" si="216"/>
        <v>2293.4825546117645</v>
      </c>
      <c r="R300" s="500">
        <f t="shared" si="216"/>
        <v>2337.0587231493992</v>
      </c>
      <c r="S300" s="500">
        <f t="shared" si="216"/>
        <v>2381.4628388892306</v>
      </c>
      <c r="T300" s="500">
        <f t="shared" si="216"/>
        <v>2426.7106328281225</v>
      </c>
      <c r="U300" s="500">
        <f t="shared" si="216"/>
        <v>2472.8181348518556</v>
      </c>
      <c r="V300" s="500">
        <f t="shared" si="216"/>
        <v>2519.8016794140567</v>
      </c>
      <c r="W300" s="500">
        <f t="shared" si="216"/>
        <v>2567.6779113229131</v>
      </c>
      <c r="X300" s="500">
        <f t="shared" si="216"/>
        <v>2616.4637916380598</v>
      </c>
      <c r="Y300" s="500">
        <f t="shared" si="216"/>
        <v>2666.1766036791669</v>
      </c>
      <c r="Z300" s="500">
        <f t="shared" si="216"/>
        <v>2716.8339591490803</v>
      </c>
      <c r="AA300" s="481"/>
    </row>
    <row r="301" spans="2:27">
      <c r="B301" s="473" t="s">
        <v>733</v>
      </c>
      <c r="C301" s="500"/>
      <c r="D301" s="500"/>
      <c r="E301" s="500"/>
      <c r="F301" s="487"/>
      <c r="G301" s="500">
        <f>+G300*0.235</f>
        <v>446.5</v>
      </c>
      <c r="H301" s="500">
        <f t="shared" ref="H301:Z301" si="217">+H300*0.235</f>
        <v>454.98350000000136</v>
      </c>
      <c r="I301" s="500">
        <f t="shared" si="217"/>
        <v>463.62818649999855</v>
      </c>
      <c r="J301" s="500">
        <f t="shared" si="217"/>
        <v>472.43712204349913</v>
      </c>
      <c r="K301" s="500">
        <f t="shared" si="217"/>
        <v>481.41342736232792</v>
      </c>
      <c r="L301" s="500">
        <f t="shared" si="217"/>
        <v>490.56028248221213</v>
      </c>
      <c r="M301" s="500">
        <f t="shared" si="217"/>
        <v>499.88092784937118</v>
      </c>
      <c r="N301" s="500">
        <f t="shared" si="217"/>
        <v>509.37866547850996</v>
      </c>
      <c r="O301" s="500">
        <f t="shared" si="217"/>
        <v>519.0568601226023</v>
      </c>
      <c r="P301" s="500">
        <f t="shared" si="217"/>
        <v>528.91894046493019</v>
      </c>
      <c r="Q301" s="500">
        <f t="shared" si="217"/>
        <v>538.96840033376463</v>
      </c>
      <c r="R301" s="500">
        <f t="shared" si="217"/>
        <v>549.20879994010875</v>
      </c>
      <c r="S301" s="500">
        <f t="shared" si="217"/>
        <v>559.64376713896911</v>
      </c>
      <c r="T301" s="500">
        <f t="shared" si="217"/>
        <v>570.27699871460879</v>
      </c>
      <c r="U301" s="500">
        <f t="shared" si="217"/>
        <v>581.11226169018607</v>
      </c>
      <c r="V301" s="500">
        <f t="shared" si="217"/>
        <v>592.1533946623033</v>
      </c>
      <c r="W301" s="500">
        <f t="shared" si="217"/>
        <v>603.40430916088451</v>
      </c>
      <c r="X301" s="500">
        <f t="shared" si="217"/>
        <v>614.86899103494397</v>
      </c>
      <c r="Y301" s="500">
        <f t="shared" si="217"/>
        <v>626.55150186460423</v>
      </c>
      <c r="Z301" s="500">
        <f t="shared" si="217"/>
        <v>638.45598040003381</v>
      </c>
      <c r="AA301" s="481"/>
    </row>
    <row r="302" spans="2:27">
      <c r="B302" s="483" t="s">
        <v>724</v>
      </c>
      <c r="C302" s="500">
        <f>41239.4*1000</f>
        <v>41239400</v>
      </c>
      <c r="D302" s="500">
        <f>3987.9*1000</f>
        <v>3987900</v>
      </c>
      <c r="E302" s="500">
        <f>52158.5*1000</f>
        <v>52158500</v>
      </c>
      <c r="F302" s="487"/>
      <c r="G302" s="500">
        <f>+E302+E302*$C$258/100</f>
        <v>53149511.5</v>
      </c>
      <c r="H302" s="500">
        <f>+G302+G302*$C$258/100</f>
        <v>54159352.218500003</v>
      </c>
      <c r="I302" s="500">
        <f t="shared" ref="I302:Z302" si="218">+H302+H302*$C$258/100</f>
        <v>55188379.910651505</v>
      </c>
      <c r="J302" s="500">
        <f t="shared" si="218"/>
        <v>56236959.128953882</v>
      </c>
      <c r="K302" s="500">
        <f t="shared" si="218"/>
        <v>57305461.352404006</v>
      </c>
      <c r="L302" s="500">
        <f t="shared" si="218"/>
        <v>58394265.118099682</v>
      </c>
      <c r="M302" s="500">
        <f t="shared" si="218"/>
        <v>59503756.155343577</v>
      </c>
      <c r="N302" s="500">
        <f t="shared" si="218"/>
        <v>60634327.522295102</v>
      </c>
      <c r="O302" s="500">
        <f t="shared" si="218"/>
        <v>61786379.745218709</v>
      </c>
      <c r="P302" s="500">
        <f t="shared" si="218"/>
        <v>62960320.960377865</v>
      </c>
      <c r="Q302" s="500">
        <f t="shared" si="218"/>
        <v>64156567.058625042</v>
      </c>
      <c r="R302" s="500">
        <f t="shared" si="218"/>
        <v>65375541.832738921</v>
      </c>
      <c r="S302" s="500">
        <f t="shared" si="218"/>
        <v>66617677.127560958</v>
      </c>
      <c r="T302" s="500">
        <f t="shared" si="218"/>
        <v>67883412.992984623</v>
      </c>
      <c r="U302" s="500">
        <f t="shared" si="218"/>
        <v>69173197.839851335</v>
      </c>
      <c r="V302" s="500">
        <f t="shared" si="218"/>
        <v>70487488.598808512</v>
      </c>
      <c r="W302" s="500">
        <f t="shared" si="218"/>
        <v>71826750.882185876</v>
      </c>
      <c r="X302" s="500">
        <f t="shared" si="218"/>
        <v>73191459.148947403</v>
      </c>
      <c r="Y302" s="500">
        <f t="shared" si="218"/>
        <v>74582096.872777402</v>
      </c>
      <c r="Z302" s="500">
        <f t="shared" si="218"/>
        <v>75999156.713360175</v>
      </c>
      <c r="AA302" s="481"/>
    </row>
    <row r="303" spans="2:27">
      <c r="B303" s="473" t="s">
        <v>723</v>
      </c>
      <c r="C303" s="500"/>
      <c r="D303" s="500"/>
      <c r="E303" s="500"/>
      <c r="F303" s="487"/>
      <c r="G303" s="500">
        <f>+G302-E302</f>
        <v>991011.5</v>
      </c>
      <c r="H303" s="500">
        <f t="shared" ref="H303:Z303" si="219">+H302-G302</f>
        <v>1009840.7185000032</v>
      </c>
      <c r="I303" s="500">
        <f t="shared" si="219"/>
        <v>1029027.6921515018</v>
      </c>
      <c r="J303" s="500">
        <f t="shared" si="219"/>
        <v>1048579.2183023766</v>
      </c>
      <c r="K303" s="500">
        <f t="shared" si="219"/>
        <v>1068502.2234501243</v>
      </c>
      <c r="L303" s="500">
        <f t="shared" si="219"/>
        <v>1088803.7656956762</v>
      </c>
      <c r="M303" s="500">
        <f t="shared" si="219"/>
        <v>1109491.0372438952</v>
      </c>
      <c r="N303" s="500">
        <f t="shared" si="219"/>
        <v>1130571.3669515252</v>
      </c>
      <c r="O303" s="500">
        <f t="shared" si="219"/>
        <v>1152052.2229236066</v>
      </c>
      <c r="P303" s="500">
        <f t="shared" si="219"/>
        <v>1173941.2151591554</v>
      </c>
      <c r="Q303" s="500">
        <f t="shared" si="219"/>
        <v>1196246.0982471779</v>
      </c>
      <c r="R303" s="500">
        <f t="shared" si="219"/>
        <v>1218974.7741138786</v>
      </c>
      <c r="S303" s="500">
        <f t="shared" si="219"/>
        <v>1242135.2948220372</v>
      </c>
      <c r="T303" s="500">
        <f t="shared" si="219"/>
        <v>1265735.8654236645</v>
      </c>
      <c r="U303" s="500">
        <f t="shared" si="219"/>
        <v>1289784.846866712</v>
      </c>
      <c r="V303" s="500">
        <f t="shared" si="219"/>
        <v>1314290.7589571774</v>
      </c>
      <c r="W303" s="500">
        <f t="shared" si="219"/>
        <v>1339262.2833773643</v>
      </c>
      <c r="X303" s="500">
        <f t="shared" si="219"/>
        <v>1364708.2667615265</v>
      </c>
      <c r="Y303" s="500">
        <f t="shared" si="219"/>
        <v>1390637.7238299996</v>
      </c>
      <c r="Z303" s="500">
        <f t="shared" si="219"/>
        <v>1417059.8405827731</v>
      </c>
      <c r="AA303" s="481"/>
    </row>
    <row r="304" spans="2:27">
      <c r="B304" s="473" t="s">
        <v>733</v>
      </c>
      <c r="C304" s="500"/>
      <c r="D304" s="500"/>
      <c r="E304" s="500"/>
      <c r="F304" s="487"/>
      <c r="G304" s="500">
        <f>+G303*0.235</f>
        <v>232887.70249999998</v>
      </c>
      <c r="H304" s="500">
        <f t="shared" ref="H304:Z304" si="220">+H303*0.235</f>
        <v>237312.56884750075</v>
      </c>
      <c r="I304" s="500">
        <f t="shared" si="220"/>
        <v>241821.50765560291</v>
      </c>
      <c r="J304" s="500">
        <f t="shared" si="220"/>
        <v>246416.11630105847</v>
      </c>
      <c r="K304" s="500">
        <f t="shared" si="220"/>
        <v>251098.02251077918</v>
      </c>
      <c r="L304" s="500">
        <f t="shared" si="220"/>
        <v>255868.88493848388</v>
      </c>
      <c r="M304" s="500">
        <f t="shared" si="220"/>
        <v>260730.39375231537</v>
      </c>
      <c r="N304" s="500">
        <f t="shared" si="220"/>
        <v>265684.27123360842</v>
      </c>
      <c r="O304" s="500">
        <f t="shared" si="220"/>
        <v>270732.27238704753</v>
      </c>
      <c r="P304" s="500">
        <f t="shared" si="220"/>
        <v>275876.18556240149</v>
      </c>
      <c r="Q304" s="500">
        <f t="shared" si="220"/>
        <v>281117.8330880868</v>
      </c>
      <c r="R304" s="500">
        <f t="shared" si="220"/>
        <v>286459.07191676146</v>
      </c>
      <c r="S304" s="500">
        <f t="shared" si="220"/>
        <v>291901.79428317875</v>
      </c>
      <c r="T304" s="500">
        <f t="shared" si="220"/>
        <v>297447.92837456113</v>
      </c>
      <c r="U304" s="500">
        <f t="shared" si="220"/>
        <v>303099.4390136773</v>
      </c>
      <c r="V304" s="500">
        <f t="shared" si="220"/>
        <v>308858.32835493668</v>
      </c>
      <c r="W304" s="500">
        <f t="shared" si="220"/>
        <v>314726.6365936806</v>
      </c>
      <c r="X304" s="500">
        <f t="shared" si="220"/>
        <v>320706.44268895872</v>
      </c>
      <c r="Y304" s="500">
        <f t="shared" si="220"/>
        <v>326799.86510004988</v>
      </c>
      <c r="Z304" s="500">
        <f t="shared" si="220"/>
        <v>333009.06253695168</v>
      </c>
      <c r="AA304" s="481"/>
    </row>
    <row r="305" spans="2:27">
      <c r="B305" s="483" t="s">
        <v>722</v>
      </c>
      <c r="C305" s="500">
        <f>0.81*1000000</f>
        <v>810000</v>
      </c>
      <c r="D305" s="500">
        <f>0.27*1000000</f>
        <v>270000</v>
      </c>
      <c r="E305" s="500">
        <f>0.66*1000000</f>
        <v>660000</v>
      </c>
      <c r="F305" s="487"/>
      <c r="G305" s="500">
        <f>+E305+E305*$C$258/100</f>
        <v>672540</v>
      </c>
      <c r="H305" s="500">
        <f>+G305+G305*$C$258/100</f>
        <v>685318.26</v>
      </c>
      <c r="I305" s="500">
        <f t="shared" ref="I305:Z305" si="221">+H305+H305*$C$258/100</f>
        <v>698339.30694000004</v>
      </c>
      <c r="J305" s="500">
        <f t="shared" si="221"/>
        <v>711607.75377186004</v>
      </c>
      <c r="K305" s="500">
        <f t="shared" si="221"/>
        <v>725128.30109352537</v>
      </c>
      <c r="L305" s="500">
        <f t="shared" si="221"/>
        <v>738905.73881430237</v>
      </c>
      <c r="M305" s="500">
        <f t="shared" si="221"/>
        <v>752944.94785177417</v>
      </c>
      <c r="N305" s="500">
        <f t="shared" si="221"/>
        <v>767250.90186095785</v>
      </c>
      <c r="O305" s="500">
        <f t="shared" si="221"/>
        <v>781828.66899631603</v>
      </c>
      <c r="P305" s="500">
        <f t="shared" si="221"/>
        <v>796683.41370724607</v>
      </c>
      <c r="Q305" s="500">
        <f t="shared" si="221"/>
        <v>811820.39856768376</v>
      </c>
      <c r="R305" s="500">
        <f t="shared" si="221"/>
        <v>827244.98614046979</v>
      </c>
      <c r="S305" s="500">
        <f t="shared" si="221"/>
        <v>842962.64087713871</v>
      </c>
      <c r="T305" s="500">
        <f t="shared" si="221"/>
        <v>858978.93105380435</v>
      </c>
      <c r="U305" s="500">
        <f t="shared" si="221"/>
        <v>875299.53074382665</v>
      </c>
      <c r="V305" s="500">
        <f t="shared" si="221"/>
        <v>891930.22182795941</v>
      </c>
      <c r="W305" s="500">
        <f t="shared" si="221"/>
        <v>908876.89604269061</v>
      </c>
      <c r="X305" s="500">
        <f t="shared" si="221"/>
        <v>926145.55706750171</v>
      </c>
      <c r="Y305" s="500">
        <f t="shared" si="221"/>
        <v>943742.32265178428</v>
      </c>
      <c r="Z305" s="500">
        <f t="shared" si="221"/>
        <v>961673.42678216822</v>
      </c>
      <c r="AA305" s="481"/>
    </row>
    <row r="306" spans="2:27">
      <c r="B306" s="473" t="s">
        <v>723</v>
      </c>
      <c r="C306" s="500"/>
      <c r="D306" s="500"/>
      <c r="E306" s="500"/>
      <c r="F306" s="487"/>
      <c r="G306" s="500">
        <f>+G305-E305</f>
        <v>12540</v>
      </c>
      <c r="H306" s="500">
        <f t="shared" ref="H306" si="222">+H305-G305</f>
        <v>12778.260000000009</v>
      </c>
      <c r="I306" s="500">
        <f t="shared" ref="I306" si="223">+I305-H305</f>
        <v>13021.046940000029</v>
      </c>
      <c r="J306" s="500">
        <f t="shared" ref="J306" si="224">+J305-I305</f>
        <v>13268.446831859997</v>
      </c>
      <c r="K306" s="500">
        <f t="shared" ref="K306" si="225">+K305-J305</f>
        <v>13520.547321665334</v>
      </c>
      <c r="L306" s="500">
        <f t="shared" ref="L306" si="226">+L305-K305</f>
        <v>13777.437720777001</v>
      </c>
      <c r="M306" s="500">
        <f t="shared" ref="M306" si="227">+M305-L305</f>
        <v>14039.209037471795</v>
      </c>
      <c r="N306" s="500">
        <f t="shared" ref="N306" si="228">+N305-M305</f>
        <v>14305.954009183683</v>
      </c>
      <c r="O306" s="500">
        <f t="shared" ref="O306" si="229">+O305-N305</f>
        <v>14577.767135358183</v>
      </c>
      <c r="P306" s="500">
        <f t="shared" ref="P306" si="230">+P305-O305</f>
        <v>14854.744710930041</v>
      </c>
      <c r="Q306" s="500">
        <f t="shared" ref="Q306" si="231">+Q305-P305</f>
        <v>15136.984860437689</v>
      </c>
      <c r="R306" s="500">
        <f t="shared" ref="R306" si="232">+R305-Q305</f>
        <v>15424.587572786026</v>
      </c>
      <c r="S306" s="500">
        <f t="shared" ref="S306" si="233">+S305-R305</f>
        <v>15717.654736668919</v>
      </c>
      <c r="T306" s="500">
        <f t="shared" ref="T306" si="234">+T305-S305</f>
        <v>16016.290176665643</v>
      </c>
      <c r="U306" s="500">
        <f t="shared" ref="U306" si="235">+U305-T305</f>
        <v>16320.599690022296</v>
      </c>
      <c r="V306" s="500">
        <f t="shared" ref="V306" si="236">+V305-U305</f>
        <v>16630.691084132763</v>
      </c>
      <c r="W306" s="500">
        <f t="shared" ref="W306" si="237">+W305-V305</f>
        <v>16946.674214731203</v>
      </c>
      <c r="X306" s="500">
        <f t="shared" ref="X306" si="238">+X305-W305</f>
        <v>17268.661024811096</v>
      </c>
      <c r="Y306" s="500">
        <f t="shared" ref="Y306" si="239">+Y305-X305</f>
        <v>17596.765584282577</v>
      </c>
      <c r="Z306" s="500">
        <f t="shared" ref="Z306" si="240">+Z305-Y305</f>
        <v>17931.10413038393</v>
      </c>
      <c r="AA306" s="481"/>
    </row>
    <row r="307" spans="2:27">
      <c r="B307" s="473" t="s">
        <v>733</v>
      </c>
      <c r="C307" s="500"/>
      <c r="D307" s="500"/>
      <c r="E307" s="500"/>
      <c r="F307" s="487"/>
      <c r="G307" s="500">
        <f>+G306*0.235</f>
        <v>2946.8999999999996</v>
      </c>
      <c r="H307" s="500">
        <f t="shared" ref="H307:Z307" si="241">+H306*0.235</f>
        <v>3002.8911000000021</v>
      </c>
      <c r="I307" s="500">
        <f t="shared" si="241"/>
        <v>3059.9460309000069</v>
      </c>
      <c r="J307" s="500">
        <f t="shared" si="241"/>
        <v>3118.0850054870994</v>
      </c>
      <c r="K307" s="500">
        <f t="shared" si="241"/>
        <v>3177.3286205913532</v>
      </c>
      <c r="L307" s="500">
        <f t="shared" si="241"/>
        <v>3237.6978643825951</v>
      </c>
      <c r="M307" s="500">
        <f t="shared" si="241"/>
        <v>3299.2141238058716</v>
      </c>
      <c r="N307" s="500">
        <f t="shared" si="241"/>
        <v>3361.8991921581651</v>
      </c>
      <c r="O307" s="500">
        <f t="shared" si="241"/>
        <v>3425.7752768091727</v>
      </c>
      <c r="P307" s="500">
        <f t="shared" si="241"/>
        <v>3490.8650070685594</v>
      </c>
      <c r="Q307" s="500">
        <f t="shared" si="241"/>
        <v>3557.1914422028567</v>
      </c>
      <c r="R307" s="500">
        <f t="shared" si="241"/>
        <v>3624.7780796047159</v>
      </c>
      <c r="S307" s="500">
        <f t="shared" si="241"/>
        <v>3693.648863117196</v>
      </c>
      <c r="T307" s="500">
        <f t="shared" si="241"/>
        <v>3763.8281915164262</v>
      </c>
      <c r="U307" s="500">
        <f t="shared" si="241"/>
        <v>3835.3409271552396</v>
      </c>
      <c r="V307" s="500">
        <f t="shared" si="241"/>
        <v>3908.2124047711991</v>
      </c>
      <c r="W307" s="500">
        <f t="shared" si="241"/>
        <v>3982.4684404618324</v>
      </c>
      <c r="X307" s="500">
        <f t="shared" si="241"/>
        <v>4058.1353408306072</v>
      </c>
      <c r="Y307" s="500">
        <f t="shared" si="241"/>
        <v>4135.2399123064051</v>
      </c>
      <c r="Z307" s="500">
        <f t="shared" si="241"/>
        <v>4213.8094706402235</v>
      </c>
      <c r="AA307" s="481"/>
    </row>
    <row r="308" spans="2:27" s="485" customFormat="1">
      <c r="B308" s="476" t="s">
        <v>734</v>
      </c>
      <c r="C308" s="506"/>
      <c r="D308" s="506"/>
      <c r="E308" s="506"/>
      <c r="F308" s="511"/>
      <c r="G308" s="506">
        <f>+G301+G304+G307</f>
        <v>236281.10249999998</v>
      </c>
      <c r="H308" s="506">
        <f t="shared" ref="H308:Z308" si="242">+H301+H304+H307</f>
        <v>240770.44344750076</v>
      </c>
      <c r="I308" s="506">
        <f t="shared" si="242"/>
        <v>245345.0818730029</v>
      </c>
      <c r="J308" s="506">
        <f t="shared" si="242"/>
        <v>250006.6384285891</v>
      </c>
      <c r="K308" s="506">
        <f t="shared" si="242"/>
        <v>254756.76455873286</v>
      </c>
      <c r="L308" s="506">
        <f t="shared" si="242"/>
        <v>259597.14308534868</v>
      </c>
      <c r="M308" s="506">
        <f t="shared" si="242"/>
        <v>264529.48880397063</v>
      </c>
      <c r="N308" s="506">
        <f t="shared" si="242"/>
        <v>269555.54909124511</v>
      </c>
      <c r="O308" s="506">
        <f t="shared" si="242"/>
        <v>274677.1045239793</v>
      </c>
      <c r="P308" s="506">
        <f t="shared" si="242"/>
        <v>279895.96950993495</v>
      </c>
      <c r="Q308" s="506">
        <f t="shared" si="242"/>
        <v>285213.99293062341</v>
      </c>
      <c r="R308" s="506">
        <f t="shared" si="242"/>
        <v>290633.05879630632</v>
      </c>
      <c r="S308" s="506">
        <f t="shared" si="242"/>
        <v>296155.08691343491</v>
      </c>
      <c r="T308" s="506">
        <f t="shared" si="242"/>
        <v>301782.03356479213</v>
      </c>
      <c r="U308" s="506">
        <f t="shared" si="242"/>
        <v>307515.89220252272</v>
      </c>
      <c r="V308" s="506">
        <f t="shared" si="242"/>
        <v>313358.69415437017</v>
      </c>
      <c r="W308" s="506">
        <f t="shared" si="242"/>
        <v>319312.50934330333</v>
      </c>
      <c r="X308" s="506">
        <f t="shared" si="242"/>
        <v>325379.44702082424</v>
      </c>
      <c r="Y308" s="506">
        <f t="shared" si="242"/>
        <v>331561.65651422093</v>
      </c>
      <c r="Z308" s="506">
        <f t="shared" si="242"/>
        <v>337861.32798799191</v>
      </c>
      <c r="AA308" s="484"/>
    </row>
    <row r="309" spans="2:27">
      <c r="B309" s="478"/>
      <c r="C309" s="508"/>
      <c r="D309" s="508"/>
      <c r="E309" s="508"/>
      <c r="F309" s="10"/>
      <c r="G309" s="10"/>
      <c r="H309" s="10"/>
      <c r="I309" s="10"/>
      <c r="J309" s="10"/>
      <c r="K309" s="10"/>
      <c r="L309" s="10"/>
      <c r="M309" s="10"/>
      <c r="N309" s="10"/>
      <c r="O309" s="10"/>
      <c r="P309" s="10"/>
      <c r="Q309" s="10"/>
      <c r="R309" s="10"/>
      <c r="S309" s="10"/>
      <c r="T309" s="10"/>
      <c r="U309" s="10"/>
      <c r="V309" s="10"/>
      <c r="W309" s="10"/>
      <c r="X309" s="10"/>
      <c r="Y309" s="10"/>
      <c r="Z309" s="10"/>
    </row>
    <row r="310" spans="2:27">
      <c r="B310" s="698" t="s">
        <v>683</v>
      </c>
      <c r="C310" s="695"/>
      <c r="D310" s="695"/>
      <c r="E310" s="696"/>
      <c r="F310" s="697"/>
      <c r="G310" s="697"/>
      <c r="H310" s="697"/>
      <c r="I310" s="697"/>
      <c r="J310" s="697"/>
      <c r="K310" s="697"/>
      <c r="L310" s="697"/>
      <c r="M310" s="697"/>
      <c r="N310" s="697"/>
      <c r="O310" s="697"/>
      <c r="P310" s="697"/>
      <c r="Q310" s="697"/>
      <c r="R310" s="697"/>
      <c r="S310" s="697"/>
      <c r="T310" s="697"/>
      <c r="U310" s="697"/>
      <c r="V310" s="697"/>
      <c r="W310" s="697"/>
      <c r="X310" s="697"/>
      <c r="Y310" s="697"/>
      <c r="Z310" s="697"/>
    </row>
    <row r="311" spans="2:27">
      <c r="B311" s="483" t="s">
        <v>736</v>
      </c>
      <c r="C311" s="500">
        <f>0.23*1000000</f>
        <v>230000</v>
      </c>
      <c r="D311" s="500">
        <f>0.15*1000000</f>
        <v>150000</v>
      </c>
      <c r="E311" s="500">
        <f>0.52*1000000</f>
        <v>520000</v>
      </c>
      <c r="F311" s="487"/>
      <c r="G311" s="501">
        <f>+E311+E311*$C$258/100</f>
        <v>529880</v>
      </c>
      <c r="H311" s="501">
        <f>+G311+G311*$C$258/100</f>
        <v>539947.72</v>
      </c>
      <c r="I311" s="501">
        <f t="shared" ref="I311:Z311" si="243">+H311+H311*$C$258/100</f>
        <v>550206.72667999996</v>
      </c>
      <c r="J311" s="501">
        <f t="shared" si="243"/>
        <v>560660.65448691999</v>
      </c>
      <c r="K311" s="501">
        <f t="shared" si="243"/>
        <v>571313.20692217152</v>
      </c>
      <c r="L311" s="501">
        <f t="shared" si="243"/>
        <v>582168.15785369277</v>
      </c>
      <c r="M311" s="501">
        <f t="shared" si="243"/>
        <v>593229.35285291297</v>
      </c>
      <c r="N311" s="501">
        <f t="shared" si="243"/>
        <v>604500.71055711829</v>
      </c>
      <c r="O311" s="501">
        <f t="shared" si="243"/>
        <v>615986.22405770351</v>
      </c>
      <c r="P311" s="501">
        <f t="shared" si="243"/>
        <v>627689.96231479989</v>
      </c>
      <c r="Q311" s="501">
        <f t="shared" si="243"/>
        <v>639616.07159878104</v>
      </c>
      <c r="R311" s="501">
        <f t="shared" si="243"/>
        <v>651768.7769591579</v>
      </c>
      <c r="S311" s="501">
        <f t="shared" si="243"/>
        <v>664152.38372138189</v>
      </c>
      <c r="T311" s="501">
        <f t="shared" si="243"/>
        <v>676771.2790120882</v>
      </c>
      <c r="U311" s="501">
        <f t="shared" si="243"/>
        <v>689629.93331331783</v>
      </c>
      <c r="V311" s="501">
        <f t="shared" si="243"/>
        <v>702732.9020462709</v>
      </c>
      <c r="W311" s="501">
        <f t="shared" si="243"/>
        <v>716084.82718515</v>
      </c>
      <c r="X311" s="501">
        <f t="shared" si="243"/>
        <v>729690.43890166783</v>
      </c>
      <c r="Y311" s="501">
        <f t="shared" si="243"/>
        <v>743554.55724079954</v>
      </c>
      <c r="Z311" s="501">
        <f t="shared" si="243"/>
        <v>757682.09382837475</v>
      </c>
      <c r="AA311" s="27"/>
    </row>
    <row r="312" spans="2:27">
      <c r="B312" s="473" t="s">
        <v>723</v>
      </c>
      <c r="C312" s="500"/>
      <c r="D312" s="500"/>
      <c r="E312" s="500"/>
      <c r="F312" s="487"/>
      <c r="G312" s="501">
        <f>+G311-E311</f>
        <v>9880</v>
      </c>
      <c r="H312" s="501">
        <f t="shared" ref="H312" si="244">+H311-G311</f>
        <v>10067.719999999972</v>
      </c>
      <c r="I312" s="501">
        <f t="shared" ref="I312" si="245">+I311-H311</f>
        <v>10259.006679999991</v>
      </c>
      <c r="J312" s="501">
        <f t="shared" ref="J312" si="246">+J311-I311</f>
        <v>10453.927806920023</v>
      </c>
      <c r="K312" s="501">
        <f t="shared" ref="K312" si="247">+K311-J311</f>
        <v>10652.552435251535</v>
      </c>
      <c r="L312" s="501">
        <f t="shared" ref="L312" si="248">+L311-K311</f>
        <v>10854.950931521249</v>
      </c>
      <c r="M312" s="501">
        <f t="shared" ref="M312" si="249">+M311-L311</f>
        <v>11061.194999220199</v>
      </c>
      <c r="N312" s="501">
        <f t="shared" ref="N312" si="250">+N311-M311</f>
        <v>11271.357704205322</v>
      </c>
      <c r="O312" s="501">
        <f t="shared" ref="O312" si="251">+O311-N311</f>
        <v>11485.513500585221</v>
      </c>
      <c r="P312" s="501">
        <f t="shared" ref="P312" si="252">+P311-O311</f>
        <v>11703.738257096382</v>
      </c>
      <c r="Q312" s="501">
        <f t="shared" ref="Q312" si="253">+Q311-P311</f>
        <v>11926.109283981146</v>
      </c>
      <c r="R312" s="501">
        <f t="shared" ref="R312" si="254">+R311-Q311</f>
        <v>12152.705360376858</v>
      </c>
      <c r="S312" s="501">
        <f t="shared" ref="S312" si="255">+S311-R311</f>
        <v>12383.606762223993</v>
      </c>
      <c r="T312" s="501">
        <f t="shared" ref="T312" si="256">+T311-S311</f>
        <v>12618.895290706307</v>
      </c>
      <c r="U312" s="501">
        <f t="shared" ref="U312" si="257">+U311-T311</f>
        <v>12858.654301229632</v>
      </c>
      <c r="V312" s="501">
        <f t="shared" ref="V312" si="258">+V311-U311</f>
        <v>13102.968732953072</v>
      </c>
      <c r="W312" s="501">
        <f t="shared" ref="W312" si="259">+W311-V311</f>
        <v>13351.925138879102</v>
      </c>
      <c r="X312" s="501">
        <f t="shared" ref="X312" si="260">+X311-W311</f>
        <v>13605.611716517829</v>
      </c>
      <c r="Y312" s="501">
        <f t="shared" ref="Y312" si="261">+Y311-X311</f>
        <v>13864.118339131703</v>
      </c>
      <c r="Z312" s="501">
        <f t="shared" ref="Z312" si="262">+Z311-Y311</f>
        <v>14127.536587575218</v>
      </c>
      <c r="AA312" s="27"/>
    </row>
    <row r="313" spans="2:27">
      <c r="B313" s="473" t="s">
        <v>733</v>
      </c>
      <c r="C313" s="500"/>
      <c r="D313" s="500"/>
      <c r="E313" s="500"/>
      <c r="F313" s="487"/>
      <c r="G313" s="501">
        <f>+G312*0.235</f>
        <v>2321.7999999999997</v>
      </c>
      <c r="H313" s="501">
        <f t="shared" ref="H313:Z313" si="263">+H312*0.235</f>
        <v>2365.9141999999933</v>
      </c>
      <c r="I313" s="501">
        <f t="shared" si="263"/>
        <v>2410.8665697999977</v>
      </c>
      <c r="J313" s="501">
        <f t="shared" si="263"/>
        <v>2456.6730346262052</v>
      </c>
      <c r="K313" s="501">
        <f t="shared" si="263"/>
        <v>2503.3498222841104</v>
      </c>
      <c r="L313" s="501">
        <f t="shared" si="263"/>
        <v>2550.9134689074936</v>
      </c>
      <c r="M313" s="501">
        <f t="shared" si="263"/>
        <v>2599.3808248167466</v>
      </c>
      <c r="N313" s="501">
        <f t="shared" si="263"/>
        <v>2648.7690604882505</v>
      </c>
      <c r="O313" s="501">
        <f t="shared" si="263"/>
        <v>2699.0956726375266</v>
      </c>
      <c r="P313" s="501">
        <f t="shared" si="263"/>
        <v>2750.3784904176496</v>
      </c>
      <c r="Q313" s="501">
        <f t="shared" si="263"/>
        <v>2802.6356817355691</v>
      </c>
      <c r="R313" s="501">
        <f t="shared" si="263"/>
        <v>2855.8857596885614</v>
      </c>
      <c r="S313" s="501">
        <f t="shared" si="263"/>
        <v>2910.1475891226382</v>
      </c>
      <c r="T313" s="501">
        <f t="shared" si="263"/>
        <v>2965.440393315982</v>
      </c>
      <c r="U313" s="501">
        <f t="shared" si="263"/>
        <v>3021.7837607889633</v>
      </c>
      <c r="V313" s="501">
        <f t="shared" si="263"/>
        <v>3079.1976522439718</v>
      </c>
      <c r="W313" s="501">
        <f t="shared" si="263"/>
        <v>3137.7024076365888</v>
      </c>
      <c r="X313" s="501">
        <f t="shared" si="263"/>
        <v>3197.3187533816899</v>
      </c>
      <c r="Y313" s="501">
        <f t="shared" si="263"/>
        <v>3258.06780969595</v>
      </c>
      <c r="Z313" s="501">
        <f t="shared" si="263"/>
        <v>3319.971098080176</v>
      </c>
      <c r="AA313" s="27"/>
    </row>
    <row r="314" spans="2:27">
      <c r="B314" s="483" t="s">
        <v>724</v>
      </c>
      <c r="C314" s="500">
        <f>51349.9*1000</f>
        <v>51349900</v>
      </c>
      <c r="D314" s="500">
        <f>231422.5*1000</f>
        <v>231422500</v>
      </c>
      <c r="E314" s="500">
        <f>214481.4*1000</f>
        <v>214481400</v>
      </c>
      <c r="F314" s="487"/>
      <c r="G314" s="501">
        <f>+E314+E314*$C$258/100</f>
        <v>218556546.59999999</v>
      </c>
      <c r="H314" s="501">
        <f>+G314+G314*$C$258/100</f>
        <v>222709120.98539999</v>
      </c>
      <c r="I314" s="501">
        <f t="shared" ref="I314:Z314" si="264">+H314+H314*$C$258/100</f>
        <v>226940594.28412259</v>
      </c>
      <c r="J314" s="501">
        <f t="shared" si="264"/>
        <v>231252465.5755209</v>
      </c>
      <c r="K314" s="501">
        <f t="shared" si="264"/>
        <v>235646262.4214558</v>
      </c>
      <c r="L314" s="501">
        <f t="shared" si="264"/>
        <v>240123541.40746346</v>
      </c>
      <c r="M314" s="501">
        <f t="shared" si="264"/>
        <v>244685888.69420525</v>
      </c>
      <c r="N314" s="501">
        <f t="shared" si="264"/>
        <v>249334920.57939515</v>
      </c>
      <c r="O314" s="501">
        <f t="shared" si="264"/>
        <v>254072284.07040367</v>
      </c>
      <c r="P314" s="501">
        <f t="shared" si="264"/>
        <v>258899657.46774134</v>
      </c>
      <c r="Q314" s="501">
        <f t="shared" si="264"/>
        <v>263818750.95962843</v>
      </c>
      <c r="R314" s="501">
        <f t="shared" si="264"/>
        <v>268831307.22786134</v>
      </c>
      <c r="S314" s="501">
        <f t="shared" si="264"/>
        <v>273939102.06519073</v>
      </c>
      <c r="T314" s="501">
        <f t="shared" si="264"/>
        <v>279143945.00442934</v>
      </c>
      <c r="U314" s="501">
        <f t="shared" si="264"/>
        <v>284447679.95951349</v>
      </c>
      <c r="V314" s="501">
        <f t="shared" si="264"/>
        <v>289852185.87874424</v>
      </c>
      <c r="W314" s="501">
        <f t="shared" si="264"/>
        <v>295359377.41044039</v>
      </c>
      <c r="X314" s="501">
        <f t="shared" si="264"/>
        <v>300971205.58123875</v>
      </c>
      <c r="Y314" s="501">
        <f t="shared" si="264"/>
        <v>306689658.48728228</v>
      </c>
      <c r="Z314" s="501">
        <f t="shared" si="264"/>
        <v>312516761.99854064</v>
      </c>
      <c r="AA314" s="27"/>
    </row>
    <row r="315" spans="2:27">
      <c r="B315" s="473" t="s">
        <v>723</v>
      </c>
      <c r="C315" s="500"/>
      <c r="D315" s="500"/>
      <c r="E315" s="500"/>
      <c r="F315" s="487"/>
      <c r="G315" s="501">
        <f>+G314-E314</f>
        <v>4075146.599999994</v>
      </c>
      <c r="H315" s="501">
        <f t="shared" ref="H315:I315" si="265">+H314-G314</f>
        <v>4152574.3853999972</v>
      </c>
      <c r="I315" s="501">
        <f t="shared" si="265"/>
        <v>4231473.298722595</v>
      </c>
      <c r="J315" s="501">
        <f t="shared" ref="J315" si="266">+J314-I314</f>
        <v>4311871.2913983166</v>
      </c>
      <c r="K315" s="501">
        <f t="shared" ref="K315" si="267">+K314-J314</f>
        <v>4393796.8459348977</v>
      </c>
      <c r="L315" s="501">
        <f t="shared" ref="L315" si="268">+L314-K314</f>
        <v>4477278.9860076606</v>
      </c>
      <c r="M315" s="501">
        <f t="shared" ref="M315" si="269">+M314-L314</f>
        <v>4562347.2867417932</v>
      </c>
      <c r="N315" s="501">
        <f t="shared" ref="N315" si="270">+N314-M314</f>
        <v>4649031.8851898909</v>
      </c>
      <c r="O315" s="501">
        <f t="shared" ref="O315" si="271">+O314-N314</f>
        <v>4737363.4910085201</v>
      </c>
      <c r="P315" s="501">
        <f t="shared" ref="P315" si="272">+P314-O314</f>
        <v>4827373.3973376751</v>
      </c>
      <c r="Q315" s="501">
        <f t="shared" ref="Q315" si="273">+Q314-P314</f>
        <v>4919093.4918870926</v>
      </c>
      <c r="R315" s="501">
        <f t="shared" ref="R315" si="274">+R314-Q314</f>
        <v>5012556.2682329118</v>
      </c>
      <c r="S315" s="501">
        <f t="shared" ref="S315" si="275">+S314-R314</f>
        <v>5107794.8373293877</v>
      </c>
      <c r="T315" s="501">
        <f t="shared" ref="T315" si="276">+T314-S314</f>
        <v>5204842.9392386079</v>
      </c>
      <c r="U315" s="501">
        <f t="shared" ref="U315" si="277">+U314-T314</f>
        <v>5303734.9550841451</v>
      </c>
      <c r="V315" s="501">
        <f t="shared" ref="V315" si="278">+V314-U314</f>
        <v>5404505.9192307591</v>
      </c>
      <c r="W315" s="501">
        <f t="shared" ref="W315" si="279">+W314-V314</f>
        <v>5507191.5316961408</v>
      </c>
      <c r="X315" s="501">
        <f t="shared" ref="X315" si="280">+X314-W314</f>
        <v>5611828.1707983613</v>
      </c>
      <c r="Y315" s="501">
        <f t="shared" ref="Y315" si="281">+Y314-X314</f>
        <v>5718452.9060435295</v>
      </c>
      <c r="Z315" s="501">
        <f t="shared" ref="Z315" si="282">+Z314-Y314</f>
        <v>5827103.5112583637</v>
      </c>
      <c r="AA315" s="27"/>
    </row>
    <row r="316" spans="2:27">
      <c r="B316" s="473" t="s">
        <v>733</v>
      </c>
      <c r="C316" s="500"/>
      <c r="D316" s="500"/>
      <c r="E316" s="500"/>
      <c r="F316" s="487"/>
      <c r="G316" s="501">
        <f>+G315*0.235</f>
        <v>957659.45099999849</v>
      </c>
      <c r="H316" s="501">
        <f t="shared" ref="H316:Z316" si="283">+H315*0.235</f>
        <v>975854.98056899931</v>
      </c>
      <c r="I316" s="501">
        <f t="shared" si="283"/>
        <v>994396.22519980976</v>
      </c>
      <c r="J316" s="501">
        <f t="shared" si="283"/>
        <v>1013289.7534786044</v>
      </c>
      <c r="K316" s="501">
        <f t="shared" si="283"/>
        <v>1032542.2587947008</v>
      </c>
      <c r="L316" s="501">
        <f t="shared" si="283"/>
        <v>1052160.5617118003</v>
      </c>
      <c r="M316" s="501">
        <f t="shared" si="283"/>
        <v>1072151.6123843214</v>
      </c>
      <c r="N316" s="501">
        <f t="shared" si="283"/>
        <v>1092522.4930196244</v>
      </c>
      <c r="O316" s="501">
        <f t="shared" si="283"/>
        <v>1113280.4203870022</v>
      </c>
      <c r="P316" s="501">
        <f t="shared" si="283"/>
        <v>1134432.7483743536</v>
      </c>
      <c r="Q316" s="501">
        <f t="shared" si="283"/>
        <v>1155986.9705934667</v>
      </c>
      <c r="R316" s="501">
        <f t="shared" si="283"/>
        <v>1177950.7230347341</v>
      </c>
      <c r="S316" s="501">
        <f t="shared" si="283"/>
        <v>1200331.786772406</v>
      </c>
      <c r="T316" s="501">
        <f t="shared" si="283"/>
        <v>1223138.0907210729</v>
      </c>
      <c r="U316" s="501">
        <f t="shared" si="283"/>
        <v>1246377.714444774</v>
      </c>
      <c r="V316" s="501">
        <f t="shared" si="283"/>
        <v>1270058.8910192284</v>
      </c>
      <c r="W316" s="501">
        <f t="shared" si="283"/>
        <v>1294190.0099485931</v>
      </c>
      <c r="X316" s="501">
        <f t="shared" si="283"/>
        <v>1318779.6201376149</v>
      </c>
      <c r="Y316" s="501">
        <f t="shared" si="283"/>
        <v>1343836.4329202294</v>
      </c>
      <c r="Z316" s="501">
        <f t="shared" si="283"/>
        <v>1369369.3251457154</v>
      </c>
      <c r="AA316" s="27"/>
    </row>
    <row r="317" spans="2:27">
      <c r="B317" s="483" t="s">
        <v>722</v>
      </c>
      <c r="C317" s="500">
        <f>1.83*1000000</f>
        <v>1830000</v>
      </c>
      <c r="D317" s="500">
        <f>3.96*1000000</f>
        <v>3960000</v>
      </c>
      <c r="E317" s="500">
        <f>2.93*1000000</f>
        <v>2930000</v>
      </c>
      <c r="F317" s="501"/>
      <c r="G317" s="501"/>
      <c r="H317" s="501"/>
      <c r="I317" s="501"/>
      <c r="J317" s="501"/>
      <c r="K317" s="501"/>
      <c r="L317" s="501"/>
      <c r="M317" s="501"/>
      <c r="N317" s="501"/>
      <c r="O317" s="501"/>
      <c r="P317" s="501"/>
      <c r="Q317" s="501"/>
      <c r="R317" s="501"/>
      <c r="S317" s="501"/>
      <c r="T317" s="501"/>
      <c r="U317" s="501"/>
      <c r="V317" s="501"/>
      <c r="W317" s="501"/>
      <c r="X317" s="501"/>
      <c r="Y317" s="501"/>
      <c r="Z317" s="501"/>
    </row>
    <row r="318" spans="2:27" s="485" customFormat="1">
      <c r="B318" s="476" t="s">
        <v>734</v>
      </c>
      <c r="C318" s="504"/>
      <c r="D318" s="504"/>
      <c r="E318" s="504"/>
      <c r="F318" s="505"/>
      <c r="G318" s="505">
        <f>+G313+G316</f>
        <v>959981.25099999853</v>
      </c>
      <c r="H318" s="505">
        <f t="shared" ref="H318:Z318" si="284">+H313+H316</f>
        <v>978220.89476899931</v>
      </c>
      <c r="I318" s="505">
        <f t="shared" si="284"/>
        <v>996807.09176960972</v>
      </c>
      <c r="J318" s="505">
        <f t="shared" si="284"/>
        <v>1015746.4265132305</v>
      </c>
      <c r="K318" s="505">
        <f t="shared" si="284"/>
        <v>1035045.6086169849</v>
      </c>
      <c r="L318" s="505">
        <f t="shared" si="284"/>
        <v>1054711.4751807079</v>
      </c>
      <c r="M318" s="505">
        <f t="shared" si="284"/>
        <v>1074750.993209138</v>
      </c>
      <c r="N318" s="505">
        <f t="shared" si="284"/>
        <v>1095171.2620801127</v>
      </c>
      <c r="O318" s="505">
        <f t="shared" si="284"/>
        <v>1115979.5160596396</v>
      </c>
      <c r="P318" s="505">
        <f t="shared" si="284"/>
        <v>1137183.1268647714</v>
      </c>
      <c r="Q318" s="505">
        <f t="shared" si="284"/>
        <v>1158789.6062752022</v>
      </c>
      <c r="R318" s="505">
        <f t="shared" si="284"/>
        <v>1180806.6087944226</v>
      </c>
      <c r="S318" s="505">
        <f t="shared" si="284"/>
        <v>1203241.9343615286</v>
      </c>
      <c r="T318" s="505">
        <f t="shared" si="284"/>
        <v>1226103.531114389</v>
      </c>
      <c r="U318" s="505">
        <f t="shared" si="284"/>
        <v>1249399.4982055628</v>
      </c>
      <c r="V318" s="505">
        <f t="shared" si="284"/>
        <v>1273138.0886714724</v>
      </c>
      <c r="W318" s="505">
        <f t="shared" si="284"/>
        <v>1297327.7123562298</v>
      </c>
      <c r="X318" s="505">
        <f t="shared" si="284"/>
        <v>1321976.9388909966</v>
      </c>
      <c r="Y318" s="505">
        <f t="shared" si="284"/>
        <v>1347094.5007299252</v>
      </c>
      <c r="Z318" s="505">
        <f t="shared" si="284"/>
        <v>1372689.2962437957</v>
      </c>
    </row>
    <row r="319" spans="2:27">
      <c r="B319" s="58"/>
      <c r="C319" s="508"/>
      <c r="D319" s="508"/>
      <c r="E319" s="508"/>
      <c r="F319" s="10"/>
      <c r="G319" s="10"/>
      <c r="H319" s="10"/>
      <c r="I319" s="10"/>
      <c r="J319" s="10"/>
      <c r="K319" s="10"/>
      <c r="L319" s="10"/>
      <c r="M319" s="10"/>
      <c r="N319" s="10"/>
      <c r="O319" s="10"/>
      <c r="P319" s="10"/>
      <c r="Q319" s="10"/>
      <c r="R319" s="10"/>
      <c r="S319" s="10"/>
      <c r="T319" s="10"/>
      <c r="U319" s="10"/>
      <c r="V319" s="10"/>
      <c r="W319" s="10"/>
      <c r="X319" s="10"/>
      <c r="Y319" s="10"/>
      <c r="Z319" s="10"/>
    </row>
    <row r="320" spans="2:27">
      <c r="B320" s="698" t="s">
        <v>681</v>
      </c>
      <c r="C320" s="695"/>
      <c r="D320" s="695"/>
      <c r="E320" s="696"/>
      <c r="F320" s="697"/>
      <c r="G320" s="697"/>
      <c r="H320" s="697"/>
      <c r="I320" s="697"/>
      <c r="J320" s="697"/>
      <c r="K320" s="697"/>
      <c r="L320" s="697"/>
      <c r="M320" s="697"/>
      <c r="N320" s="697"/>
      <c r="O320" s="697"/>
      <c r="P320" s="697"/>
      <c r="Q320" s="697"/>
      <c r="R320" s="697"/>
      <c r="S320" s="697"/>
      <c r="T320" s="697"/>
      <c r="U320" s="697"/>
      <c r="V320" s="697"/>
      <c r="W320" s="697"/>
      <c r="X320" s="697"/>
      <c r="Y320" s="697"/>
      <c r="Z320" s="697"/>
    </row>
    <row r="321" spans="2:27">
      <c r="B321" s="483" t="s">
        <v>736</v>
      </c>
      <c r="C321" s="500">
        <v>1480000</v>
      </c>
      <c r="D321" s="500">
        <f>0.89*1000000</f>
        <v>890000</v>
      </c>
      <c r="E321" s="500">
        <f>0.82*1000000</f>
        <v>820000</v>
      </c>
      <c r="F321" s="487"/>
      <c r="G321" s="501">
        <f>+E321+E321*$C$258/100</f>
        <v>835580</v>
      </c>
      <c r="H321" s="501">
        <f>+G321+G321*$C$258/100</f>
        <v>851456.02</v>
      </c>
      <c r="I321" s="501">
        <f t="shared" ref="I321:Z321" si="285">+H321+H321*$C$258/100</f>
        <v>867633.68437999999</v>
      </c>
      <c r="J321" s="501">
        <f t="shared" si="285"/>
        <v>884118.72438321996</v>
      </c>
      <c r="K321" s="501">
        <f t="shared" si="285"/>
        <v>900916.9801465011</v>
      </c>
      <c r="L321" s="501">
        <f t="shared" si="285"/>
        <v>918034.40276928467</v>
      </c>
      <c r="M321" s="501">
        <f t="shared" si="285"/>
        <v>935477.0564219011</v>
      </c>
      <c r="N321" s="501">
        <f t="shared" si="285"/>
        <v>953251.12049391726</v>
      </c>
      <c r="O321" s="501">
        <f t="shared" si="285"/>
        <v>971362.89178330172</v>
      </c>
      <c r="P321" s="501">
        <f t="shared" si="285"/>
        <v>989818.78672718443</v>
      </c>
      <c r="Q321" s="501">
        <f t="shared" si="285"/>
        <v>1008625.3436750009</v>
      </c>
      <c r="R321" s="501">
        <f t="shared" si="285"/>
        <v>1027789.225204826</v>
      </c>
      <c r="S321" s="501">
        <f t="shared" si="285"/>
        <v>1047317.2204837176</v>
      </c>
      <c r="T321" s="501">
        <f t="shared" si="285"/>
        <v>1067216.2476729082</v>
      </c>
      <c r="U321" s="501">
        <f t="shared" si="285"/>
        <v>1087493.3563786936</v>
      </c>
      <c r="V321" s="501">
        <f t="shared" si="285"/>
        <v>1108155.7301498887</v>
      </c>
      <c r="W321" s="501">
        <f t="shared" si="285"/>
        <v>1129210.6890227366</v>
      </c>
      <c r="X321" s="501">
        <f t="shared" si="285"/>
        <v>1150665.6921141685</v>
      </c>
      <c r="Y321" s="501">
        <f t="shared" si="285"/>
        <v>1172528.3402643378</v>
      </c>
      <c r="Z321" s="501">
        <f t="shared" si="285"/>
        <v>1194806.3787293602</v>
      </c>
      <c r="AA321" s="27"/>
    </row>
    <row r="322" spans="2:27">
      <c r="B322" s="473" t="s">
        <v>723</v>
      </c>
      <c r="C322" s="500"/>
      <c r="D322" s="500"/>
      <c r="E322" s="500"/>
      <c r="F322" s="487"/>
      <c r="G322" s="501">
        <f>+G321-E321</f>
        <v>15580</v>
      </c>
      <c r="H322" s="501">
        <f t="shared" ref="H322" si="286">+H321-G321</f>
        <v>15876.020000000019</v>
      </c>
      <c r="I322" s="501">
        <f t="shared" ref="I322" si="287">+I321-H321</f>
        <v>16177.664379999973</v>
      </c>
      <c r="J322" s="501">
        <f t="shared" ref="J322" si="288">+J321-I321</f>
        <v>16485.040003219969</v>
      </c>
      <c r="K322" s="501">
        <f t="shared" ref="K322" si="289">+K321-J321</f>
        <v>16798.255763281137</v>
      </c>
      <c r="L322" s="501">
        <f t="shared" ref="L322" si="290">+L321-K321</f>
        <v>17117.422622783575</v>
      </c>
      <c r="M322" s="501">
        <f t="shared" ref="M322" si="291">+M321-L321</f>
        <v>17442.653652616427</v>
      </c>
      <c r="N322" s="501">
        <f t="shared" ref="N322" si="292">+N321-M321</f>
        <v>17774.064072016161</v>
      </c>
      <c r="O322" s="501">
        <f t="shared" ref="O322" si="293">+O321-N321</f>
        <v>18111.771289384458</v>
      </c>
      <c r="P322" s="501">
        <f t="shared" ref="P322" si="294">+P321-O321</f>
        <v>18455.894943882711</v>
      </c>
      <c r="Q322" s="501">
        <f t="shared" ref="Q322" si="295">+Q321-P321</f>
        <v>18806.556947816513</v>
      </c>
      <c r="R322" s="501">
        <f t="shared" ref="R322" si="296">+R321-Q321</f>
        <v>19163.881529825041</v>
      </c>
      <c r="S322" s="501">
        <f t="shared" ref="S322" si="297">+S321-R321</f>
        <v>19527.995278891642</v>
      </c>
      <c r="T322" s="501">
        <f t="shared" ref="T322" si="298">+T321-S321</f>
        <v>19899.027189190616</v>
      </c>
      <c r="U322" s="501">
        <f t="shared" ref="U322" si="299">+U321-T321</f>
        <v>20277.108705785358</v>
      </c>
      <c r="V322" s="501">
        <f t="shared" ref="V322" si="300">+V321-U321</f>
        <v>20662.373771195067</v>
      </c>
      <c r="W322" s="501">
        <f t="shared" ref="W322" si="301">+W321-V321</f>
        <v>21054.958872847958</v>
      </c>
      <c r="X322" s="501">
        <f t="shared" ref="X322" si="302">+X321-W321</f>
        <v>21455.003091431921</v>
      </c>
      <c r="Y322" s="501">
        <f t="shared" ref="Y322" si="303">+Y321-X321</f>
        <v>21862.648150169291</v>
      </c>
      <c r="Z322" s="501">
        <f t="shared" ref="Z322" si="304">+Z321-Y321</f>
        <v>22278.038465022342</v>
      </c>
      <c r="AA322" s="27"/>
    </row>
    <row r="323" spans="2:27">
      <c r="B323" s="473" t="s">
        <v>733</v>
      </c>
      <c r="C323" s="500"/>
      <c r="D323" s="500"/>
      <c r="E323" s="500"/>
      <c r="F323" s="487"/>
      <c r="G323" s="501">
        <f>+G322*0.235</f>
        <v>3661.2999999999997</v>
      </c>
      <c r="H323" s="501">
        <f t="shared" ref="H323:Z323" si="305">+H322*0.235</f>
        <v>3730.8647000000042</v>
      </c>
      <c r="I323" s="501">
        <f t="shared" si="305"/>
        <v>3801.7511292999934</v>
      </c>
      <c r="J323" s="501">
        <f t="shared" si="305"/>
        <v>3873.9844007566926</v>
      </c>
      <c r="K323" s="501">
        <f t="shared" si="305"/>
        <v>3947.5901043710669</v>
      </c>
      <c r="L323" s="501">
        <f t="shared" si="305"/>
        <v>4022.5943163541401</v>
      </c>
      <c r="M323" s="501">
        <f t="shared" si="305"/>
        <v>4099.0236083648606</v>
      </c>
      <c r="N323" s="501">
        <f t="shared" si="305"/>
        <v>4176.9050569237979</v>
      </c>
      <c r="O323" s="501">
        <f t="shared" si="305"/>
        <v>4256.2662530053476</v>
      </c>
      <c r="P323" s="501">
        <f t="shared" si="305"/>
        <v>4337.1353118124371</v>
      </c>
      <c r="Q323" s="501">
        <f t="shared" si="305"/>
        <v>4419.5408827368801</v>
      </c>
      <c r="R323" s="501">
        <f t="shared" si="305"/>
        <v>4503.512159508884</v>
      </c>
      <c r="S323" s="501">
        <f t="shared" si="305"/>
        <v>4589.0788905395357</v>
      </c>
      <c r="T323" s="501">
        <f t="shared" si="305"/>
        <v>4676.2713894597946</v>
      </c>
      <c r="U323" s="501">
        <f t="shared" si="305"/>
        <v>4765.1205458595587</v>
      </c>
      <c r="V323" s="501">
        <f t="shared" si="305"/>
        <v>4855.6578362308401</v>
      </c>
      <c r="W323" s="501">
        <f t="shared" si="305"/>
        <v>4947.9153351192699</v>
      </c>
      <c r="X323" s="501">
        <f t="shared" si="305"/>
        <v>5041.9257264865009</v>
      </c>
      <c r="Y323" s="501">
        <f t="shared" si="305"/>
        <v>5137.7223152897832</v>
      </c>
      <c r="Z323" s="501">
        <f t="shared" si="305"/>
        <v>5235.3390392802503</v>
      </c>
      <c r="AA323" s="27"/>
    </row>
    <row r="324" spans="2:27">
      <c r="B324" s="483" t="s">
        <v>724</v>
      </c>
      <c r="C324" s="500">
        <f>186886.5*1000</f>
        <v>186886500</v>
      </c>
      <c r="D324" s="500">
        <f>139319.4*1000</f>
        <v>139319400</v>
      </c>
      <c r="E324" s="500">
        <f>155495.3*1000</f>
        <v>155495300</v>
      </c>
      <c r="F324" s="487"/>
      <c r="G324" s="501">
        <f>+E324+E324*$C$258/100</f>
        <v>158449710.69999999</v>
      </c>
      <c r="H324" s="501">
        <f>+G324+G324*$C$258/100</f>
        <v>161460255.2033</v>
      </c>
      <c r="I324" s="501">
        <f t="shared" ref="I324:Z324" si="306">+H324+H324*$C$258/100</f>
        <v>164528000.05216271</v>
      </c>
      <c r="J324" s="501">
        <f t="shared" si="306"/>
        <v>167654032.05315381</v>
      </c>
      <c r="K324" s="501">
        <f t="shared" si="306"/>
        <v>170839458.66216373</v>
      </c>
      <c r="L324" s="501">
        <f t="shared" si="306"/>
        <v>174085408.37674484</v>
      </c>
      <c r="M324" s="501">
        <f t="shared" si="306"/>
        <v>177393031.135903</v>
      </c>
      <c r="N324" s="501">
        <f t="shared" si="306"/>
        <v>180763498.72748515</v>
      </c>
      <c r="O324" s="501">
        <f t="shared" si="306"/>
        <v>184198005.20330736</v>
      </c>
      <c r="P324" s="501">
        <f t="shared" si="306"/>
        <v>187697767.30217019</v>
      </c>
      <c r="Q324" s="501">
        <f t="shared" si="306"/>
        <v>191264024.88091141</v>
      </c>
      <c r="R324" s="501">
        <f t="shared" si="306"/>
        <v>194898041.35364872</v>
      </c>
      <c r="S324" s="501">
        <f t="shared" si="306"/>
        <v>198601104.13936806</v>
      </c>
      <c r="T324" s="501">
        <f t="shared" si="306"/>
        <v>202374525.11801606</v>
      </c>
      <c r="U324" s="501">
        <f t="shared" si="306"/>
        <v>206219641.09525836</v>
      </c>
      <c r="V324" s="501">
        <f t="shared" si="306"/>
        <v>210137814.27606827</v>
      </c>
      <c r="W324" s="501">
        <f t="shared" si="306"/>
        <v>214130432.74731356</v>
      </c>
      <c r="X324" s="501">
        <f t="shared" si="306"/>
        <v>218198910.96951252</v>
      </c>
      <c r="Y324" s="501">
        <f t="shared" si="306"/>
        <v>222344690.27793327</v>
      </c>
      <c r="Z324" s="501">
        <f t="shared" si="306"/>
        <v>226569239.39321399</v>
      </c>
      <c r="AA324" s="27"/>
    </row>
    <row r="325" spans="2:27">
      <c r="B325" s="473" t="s">
        <v>723</v>
      </c>
      <c r="C325" s="500"/>
      <c r="D325" s="500"/>
      <c r="E325" s="500"/>
      <c r="F325" s="501"/>
      <c r="G325" s="501">
        <f>+G324-E324</f>
        <v>2954410.6999999881</v>
      </c>
      <c r="H325" s="501">
        <f>+H324-G324</f>
        <v>3010544.5033000112</v>
      </c>
      <c r="I325" s="501">
        <f t="shared" ref="I325:Z325" si="307">+I324-H324</f>
        <v>3067744.8488627076</v>
      </c>
      <c r="J325" s="501">
        <f t="shared" si="307"/>
        <v>3126032.000991106</v>
      </c>
      <c r="K325" s="501">
        <f t="shared" si="307"/>
        <v>3185426.6090099216</v>
      </c>
      <c r="L325" s="501">
        <f t="shared" si="307"/>
        <v>3245949.7145811021</v>
      </c>
      <c r="M325" s="501">
        <f t="shared" si="307"/>
        <v>3307622.7591581643</v>
      </c>
      <c r="N325" s="501">
        <f t="shared" si="307"/>
        <v>3370467.5915821493</v>
      </c>
      <c r="O325" s="501">
        <f t="shared" si="307"/>
        <v>3434506.4758222103</v>
      </c>
      <c r="P325" s="501">
        <f t="shared" si="307"/>
        <v>3499762.0988628268</v>
      </c>
      <c r="Q325" s="501">
        <f t="shared" si="307"/>
        <v>3566257.5787412226</v>
      </c>
      <c r="R325" s="501">
        <f t="shared" si="307"/>
        <v>3634016.4727373123</v>
      </c>
      <c r="S325" s="501">
        <f t="shared" si="307"/>
        <v>3703062.7857193351</v>
      </c>
      <c r="T325" s="501">
        <f t="shared" si="307"/>
        <v>3773420.9786480069</v>
      </c>
      <c r="U325" s="501">
        <f t="shared" si="307"/>
        <v>3845115.977242291</v>
      </c>
      <c r="V325" s="501">
        <f t="shared" si="307"/>
        <v>3918173.1808099151</v>
      </c>
      <c r="W325" s="501">
        <f t="shared" si="307"/>
        <v>3992618.4712452888</v>
      </c>
      <c r="X325" s="501">
        <f t="shared" si="307"/>
        <v>4068478.2221989632</v>
      </c>
      <c r="Y325" s="501">
        <f t="shared" si="307"/>
        <v>4145779.3084207475</v>
      </c>
      <c r="Z325" s="501">
        <f t="shared" si="307"/>
        <v>4224549.1152807176</v>
      </c>
    </row>
    <row r="326" spans="2:27">
      <c r="B326" s="473" t="s">
        <v>733</v>
      </c>
      <c r="C326" s="500"/>
      <c r="D326" s="500"/>
      <c r="E326" s="500"/>
      <c r="F326" s="501"/>
      <c r="G326" s="501">
        <f>+G325*0.325</f>
        <v>960183.4774999962</v>
      </c>
      <c r="H326" s="501">
        <f t="shared" ref="H326:Z326" si="308">+H325*0.325</f>
        <v>978426.96357250365</v>
      </c>
      <c r="I326" s="501">
        <f t="shared" si="308"/>
        <v>997017.07588038</v>
      </c>
      <c r="J326" s="501">
        <f t="shared" si="308"/>
        <v>1015960.4003221095</v>
      </c>
      <c r="K326" s="501">
        <f t="shared" si="308"/>
        <v>1035263.6479282245</v>
      </c>
      <c r="L326" s="501">
        <f t="shared" si="308"/>
        <v>1054933.6572388583</v>
      </c>
      <c r="M326" s="501">
        <f t="shared" si="308"/>
        <v>1074977.3967264034</v>
      </c>
      <c r="N326" s="501">
        <f t="shared" si="308"/>
        <v>1095401.9672641985</v>
      </c>
      <c r="O326" s="501">
        <f t="shared" si="308"/>
        <v>1116214.6046422184</v>
      </c>
      <c r="P326" s="501">
        <f t="shared" si="308"/>
        <v>1137422.6821304187</v>
      </c>
      <c r="Q326" s="501">
        <f t="shared" si="308"/>
        <v>1159033.7130908973</v>
      </c>
      <c r="R326" s="501">
        <f t="shared" si="308"/>
        <v>1181055.3536396266</v>
      </c>
      <c r="S326" s="501">
        <f t="shared" si="308"/>
        <v>1203495.4053587839</v>
      </c>
      <c r="T326" s="501">
        <f t="shared" si="308"/>
        <v>1226361.8180606023</v>
      </c>
      <c r="U326" s="501">
        <f t="shared" si="308"/>
        <v>1249662.6926037446</v>
      </c>
      <c r="V326" s="501">
        <f t="shared" si="308"/>
        <v>1273406.2837632224</v>
      </c>
      <c r="W326" s="501">
        <f t="shared" si="308"/>
        <v>1297601.003154719</v>
      </c>
      <c r="X326" s="501">
        <f t="shared" si="308"/>
        <v>1322255.4222146631</v>
      </c>
      <c r="Y326" s="501">
        <f t="shared" si="308"/>
        <v>1347378.275236743</v>
      </c>
      <c r="Z326" s="501">
        <f t="shared" si="308"/>
        <v>1372978.4624662332</v>
      </c>
    </row>
    <row r="327" spans="2:27">
      <c r="B327" s="483" t="s">
        <v>722</v>
      </c>
      <c r="C327" s="500">
        <f>16.65*1000000</f>
        <v>16649999.999999998</v>
      </c>
      <c r="D327" s="500">
        <f>26.23*1000000</f>
        <v>26230000</v>
      </c>
      <c r="E327" s="500">
        <f>33.76*1000000</f>
        <v>33760000</v>
      </c>
      <c r="F327" s="501"/>
      <c r="G327" s="501"/>
      <c r="H327" s="501"/>
      <c r="I327" s="501"/>
      <c r="J327" s="501"/>
      <c r="K327" s="501"/>
      <c r="L327" s="501"/>
      <c r="M327" s="501"/>
      <c r="N327" s="501"/>
      <c r="O327" s="501"/>
      <c r="P327" s="501"/>
      <c r="Q327" s="501"/>
      <c r="R327" s="501"/>
      <c r="S327" s="501"/>
      <c r="T327" s="501"/>
      <c r="U327" s="501"/>
      <c r="V327" s="501"/>
      <c r="W327" s="501"/>
      <c r="X327" s="501"/>
      <c r="Y327" s="501"/>
      <c r="Z327" s="501"/>
    </row>
    <row r="328" spans="2:27" s="485" customFormat="1">
      <c r="B328" s="476" t="s">
        <v>734</v>
      </c>
      <c r="C328" s="506"/>
      <c r="D328" s="506"/>
      <c r="E328" s="506"/>
      <c r="F328" s="505"/>
      <c r="G328" s="505">
        <f>+G323+G326</f>
        <v>963844.77749999624</v>
      </c>
      <c r="H328" s="505">
        <f t="shared" ref="H328:Z328" si="309">+H323+H326</f>
        <v>982157.82827250368</v>
      </c>
      <c r="I328" s="505">
        <f t="shared" si="309"/>
        <v>1000818.82700968</v>
      </c>
      <c r="J328" s="505">
        <f t="shared" si="309"/>
        <v>1019834.3847228661</v>
      </c>
      <c r="K328" s="505">
        <f t="shared" si="309"/>
        <v>1039211.2380325956</v>
      </c>
      <c r="L328" s="505">
        <f t="shared" si="309"/>
        <v>1058956.2515552125</v>
      </c>
      <c r="M328" s="505">
        <f t="shared" si="309"/>
        <v>1079076.4203347682</v>
      </c>
      <c r="N328" s="505">
        <f t="shared" si="309"/>
        <v>1099578.8723211223</v>
      </c>
      <c r="O328" s="505">
        <f t="shared" si="309"/>
        <v>1120470.8708952237</v>
      </c>
      <c r="P328" s="505">
        <f t="shared" si="309"/>
        <v>1141759.8174422311</v>
      </c>
      <c r="Q328" s="505">
        <f t="shared" si="309"/>
        <v>1163453.2539736342</v>
      </c>
      <c r="R328" s="505">
        <f t="shared" si="309"/>
        <v>1185558.8657991355</v>
      </c>
      <c r="S328" s="505">
        <f t="shared" si="309"/>
        <v>1208084.4842493234</v>
      </c>
      <c r="T328" s="505">
        <f t="shared" si="309"/>
        <v>1231038.089450062</v>
      </c>
      <c r="U328" s="505">
        <f t="shared" si="309"/>
        <v>1254427.813149604</v>
      </c>
      <c r="V328" s="505">
        <f t="shared" si="309"/>
        <v>1278261.9415994533</v>
      </c>
      <c r="W328" s="505">
        <f t="shared" si="309"/>
        <v>1302548.9184898383</v>
      </c>
      <c r="X328" s="505">
        <f t="shared" si="309"/>
        <v>1327297.3479411497</v>
      </c>
      <c r="Y328" s="505">
        <f t="shared" si="309"/>
        <v>1352515.9975520328</v>
      </c>
      <c r="Z328" s="505">
        <f t="shared" si="309"/>
        <v>1378213.8015055135</v>
      </c>
    </row>
    <row r="329" spans="2:27">
      <c r="B329" s="478"/>
      <c r="C329" s="507"/>
      <c r="D329" s="507"/>
      <c r="E329" s="507"/>
      <c r="F329" s="10"/>
      <c r="G329" s="10"/>
      <c r="H329" s="10"/>
      <c r="I329" s="10"/>
      <c r="J329" s="10"/>
      <c r="K329" s="10"/>
      <c r="L329" s="10"/>
      <c r="M329" s="10"/>
      <c r="N329" s="10"/>
      <c r="O329" s="10"/>
      <c r="P329" s="10"/>
      <c r="Q329" s="10"/>
      <c r="R329" s="10"/>
      <c r="S329" s="10"/>
      <c r="T329" s="10"/>
      <c r="U329" s="10"/>
      <c r="V329" s="10"/>
      <c r="W329" s="10"/>
      <c r="X329" s="10"/>
      <c r="Y329" s="10"/>
      <c r="Z329" s="10"/>
    </row>
    <row r="330" spans="2:27">
      <c r="B330" s="478"/>
      <c r="C330" s="508"/>
      <c r="D330" s="508"/>
      <c r="E330" s="513"/>
      <c r="F330" s="10"/>
      <c r="G330" s="10"/>
      <c r="H330" s="10"/>
      <c r="I330" s="10"/>
      <c r="J330" s="10"/>
      <c r="K330" s="10"/>
      <c r="L330" s="10"/>
      <c r="M330" s="10"/>
      <c r="N330" s="10"/>
      <c r="O330" s="10"/>
      <c r="P330" s="10"/>
      <c r="Q330" s="10"/>
      <c r="R330" s="10"/>
      <c r="S330" s="10"/>
      <c r="T330" s="10"/>
      <c r="U330" s="10"/>
      <c r="V330" s="10"/>
      <c r="W330" s="10"/>
      <c r="X330" s="10"/>
      <c r="Y330" s="10"/>
      <c r="Z330" s="10"/>
    </row>
    <row r="331" spans="2:27">
      <c r="B331" s="698" t="s">
        <v>682</v>
      </c>
      <c r="C331" s="695"/>
      <c r="D331" s="695"/>
      <c r="E331" s="696"/>
      <c r="F331" s="697"/>
      <c r="G331" s="697"/>
      <c r="H331" s="697"/>
      <c r="I331" s="697"/>
      <c r="J331" s="697"/>
      <c r="K331" s="697"/>
      <c r="L331" s="697"/>
      <c r="M331" s="697"/>
      <c r="N331" s="697"/>
      <c r="O331" s="697"/>
      <c r="P331" s="697"/>
      <c r="Q331" s="697"/>
      <c r="R331" s="697"/>
      <c r="S331" s="697"/>
      <c r="T331" s="697"/>
      <c r="U331" s="697"/>
      <c r="V331" s="697"/>
      <c r="W331" s="697"/>
      <c r="X331" s="697"/>
      <c r="Y331" s="697"/>
      <c r="Z331" s="697"/>
    </row>
    <row r="332" spans="2:27">
      <c r="B332" s="483" t="s">
        <v>736</v>
      </c>
      <c r="C332" s="500">
        <f>1.7*1000000</f>
        <v>1700000</v>
      </c>
      <c r="D332" s="500">
        <f>2.24*1000000</f>
        <v>2240000</v>
      </c>
      <c r="E332" s="500">
        <f>12.05*1000000</f>
        <v>12050000</v>
      </c>
      <c r="F332" s="487"/>
      <c r="G332" s="501">
        <f>+E332+E332*$C$258/100</f>
        <v>12278950</v>
      </c>
      <c r="H332" s="501">
        <f>+G332+G332*$C$258/100</f>
        <v>12512250.050000001</v>
      </c>
      <c r="I332" s="501">
        <f t="shared" ref="I332:Z332" si="310">+H332+H332*$C$258/100</f>
        <v>12749982.80095</v>
      </c>
      <c r="J332" s="501">
        <f t="shared" si="310"/>
        <v>12992232.474168049</v>
      </c>
      <c r="K332" s="501">
        <f t="shared" si="310"/>
        <v>13239084.891177243</v>
      </c>
      <c r="L332" s="501">
        <f t="shared" si="310"/>
        <v>13490627.50410961</v>
      </c>
      <c r="M332" s="501">
        <f t="shared" si="310"/>
        <v>13746949.426687693</v>
      </c>
      <c r="N332" s="501">
        <f t="shared" si="310"/>
        <v>14008141.465794759</v>
      </c>
      <c r="O332" s="501">
        <f t="shared" si="310"/>
        <v>14274296.15364486</v>
      </c>
      <c r="P332" s="501">
        <f t="shared" si="310"/>
        <v>14545507.780564113</v>
      </c>
      <c r="Q332" s="501">
        <f t="shared" si="310"/>
        <v>14821872.42839483</v>
      </c>
      <c r="R332" s="501">
        <f t="shared" si="310"/>
        <v>15103488.004534332</v>
      </c>
      <c r="S332" s="501">
        <f t="shared" si="310"/>
        <v>15390454.276620485</v>
      </c>
      <c r="T332" s="501">
        <f t="shared" si="310"/>
        <v>15682872.907876274</v>
      </c>
      <c r="U332" s="501">
        <f t="shared" si="310"/>
        <v>15980847.493125923</v>
      </c>
      <c r="V332" s="501">
        <f t="shared" si="310"/>
        <v>16284483.595495315</v>
      </c>
      <c r="W332" s="501">
        <f t="shared" si="310"/>
        <v>16593888.783809727</v>
      </c>
      <c r="X332" s="501">
        <f t="shared" si="310"/>
        <v>16909172.670702111</v>
      </c>
      <c r="Y332" s="501">
        <f t="shared" si="310"/>
        <v>17230446.951445453</v>
      </c>
      <c r="Z332" s="501">
        <f t="shared" si="310"/>
        <v>17557825.443522915</v>
      </c>
      <c r="AA332" s="27"/>
    </row>
    <row r="333" spans="2:27">
      <c r="B333" s="473" t="s">
        <v>723</v>
      </c>
      <c r="C333" s="500"/>
      <c r="D333" s="500"/>
      <c r="E333" s="500"/>
      <c r="F333" s="487"/>
      <c r="G333" s="501">
        <f>+G332-E332</f>
        <v>228950</v>
      </c>
      <c r="H333" s="501">
        <f t="shared" ref="H333:Z333" si="311">+H332-G332</f>
        <v>233300.05000000075</v>
      </c>
      <c r="I333" s="501">
        <f t="shared" si="311"/>
        <v>237732.75094999932</v>
      </c>
      <c r="J333" s="501">
        <f t="shared" si="311"/>
        <v>242249.67321804911</v>
      </c>
      <c r="K333" s="501">
        <f t="shared" si="311"/>
        <v>246852.41700919345</v>
      </c>
      <c r="L333" s="501">
        <f t="shared" si="311"/>
        <v>251542.61293236725</v>
      </c>
      <c r="M333" s="501">
        <f t="shared" si="311"/>
        <v>256321.92257808335</v>
      </c>
      <c r="N333" s="501">
        <f t="shared" si="311"/>
        <v>261192.03910706565</v>
      </c>
      <c r="O333" s="501">
        <f t="shared" si="311"/>
        <v>266154.68785010092</v>
      </c>
      <c r="P333" s="501">
        <f t="shared" si="311"/>
        <v>271211.6269192528</v>
      </c>
      <c r="Q333" s="501">
        <f t="shared" si="311"/>
        <v>276364.64783071727</v>
      </c>
      <c r="R333" s="501">
        <f t="shared" si="311"/>
        <v>281615.57613950223</v>
      </c>
      <c r="S333" s="501">
        <f t="shared" si="311"/>
        <v>286966.27208615281</v>
      </c>
      <c r="T333" s="501">
        <f t="shared" si="311"/>
        <v>292418.63125578873</v>
      </c>
      <c r="U333" s="501">
        <f t="shared" si="311"/>
        <v>297974.58524964936</v>
      </c>
      <c r="V333" s="501">
        <f t="shared" si="311"/>
        <v>303636.10236939229</v>
      </c>
      <c r="W333" s="501">
        <f t="shared" si="311"/>
        <v>309405.18831441179</v>
      </c>
      <c r="X333" s="501">
        <f t="shared" si="311"/>
        <v>315283.88689238392</v>
      </c>
      <c r="Y333" s="501">
        <f t="shared" si="311"/>
        <v>321274.28074334189</v>
      </c>
      <c r="Z333" s="501">
        <f t="shared" si="311"/>
        <v>327378.49207746238</v>
      </c>
      <c r="AA333" s="27"/>
    </row>
    <row r="334" spans="2:27">
      <c r="B334" s="473" t="s">
        <v>733</v>
      </c>
      <c r="C334" s="500"/>
      <c r="D334" s="500"/>
      <c r="E334" s="500"/>
      <c r="F334" s="487"/>
      <c r="G334" s="501">
        <f>+G333*0.235</f>
        <v>53803.25</v>
      </c>
      <c r="H334" s="501">
        <f t="shared" ref="H334:Z334" si="312">+H333*0.235</f>
        <v>54825.511750000172</v>
      </c>
      <c r="I334" s="501">
        <f t="shared" si="312"/>
        <v>55867.196473249838</v>
      </c>
      <c r="J334" s="501">
        <f t="shared" si="312"/>
        <v>56928.673206241539</v>
      </c>
      <c r="K334" s="501">
        <f t="shared" si="312"/>
        <v>58010.317997160455</v>
      </c>
      <c r="L334" s="501">
        <f t="shared" si="312"/>
        <v>59112.514039106303</v>
      </c>
      <c r="M334" s="501">
        <f t="shared" si="312"/>
        <v>60235.651805849586</v>
      </c>
      <c r="N334" s="501">
        <f t="shared" si="312"/>
        <v>61380.129190160427</v>
      </c>
      <c r="O334" s="501">
        <f t="shared" si="312"/>
        <v>62546.351644773713</v>
      </c>
      <c r="P334" s="501">
        <f t="shared" si="312"/>
        <v>63734.732326024401</v>
      </c>
      <c r="Q334" s="501">
        <f t="shared" si="312"/>
        <v>64945.692240218552</v>
      </c>
      <c r="R334" s="501">
        <f t="shared" si="312"/>
        <v>66179.660392783015</v>
      </c>
      <c r="S334" s="501">
        <f t="shared" si="312"/>
        <v>67437.0739402459</v>
      </c>
      <c r="T334" s="501">
        <f t="shared" si="312"/>
        <v>68718.378345110352</v>
      </c>
      <c r="U334" s="501">
        <f t="shared" si="312"/>
        <v>70024.027533667599</v>
      </c>
      <c r="V334" s="501">
        <f t="shared" si="312"/>
        <v>71354.484056807181</v>
      </c>
      <c r="W334" s="501">
        <f t="shared" si="312"/>
        <v>72710.219253886768</v>
      </c>
      <c r="X334" s="501">
        <f t="shared" si="312"/>
        <v>74091.713419710213</v>
      </c>
      <c r="Y334" s="501">
        <f t="shared" si="312"/>
        <v>75499.455974685334</v>
      </c>
      <c r="Z334" s="501">
        <f t="shared" si="312"/>
        <v>76933.945638203659</v>
      </c>
      <c r="AA334" s="27"/>
    </row>
    <row r="335" spans="2:27">
      <c r="B335" s="483" t="s">
        <v>724</v>
      </c>
      <c r="C335" s="500">
        <f>71604.1*1000</f>
        <v>71604100</v>
      </c>
      <c r="D335" s="500">
        <f>60074.8*1000</f>
        <v>60074800</v>
      </c>
      <c r="E335" s="500">
        <f>77061.5*1000</f>
        <v>77061500</v>
      </c>
      <c r="F335" s="487"/>
      <c r="G335" s="501">
        <f>+E335+E335*$C$258/100</f>
        <v>78525668.5</v>
      </c>
      <c r="H335" s="501">
        <f>+G335+G335*$C$258/100</f>
        <v>80017656.201499999</v>
      </c>
      <c r="I335" s="501">
        <f t="shared" ref="I335:Z335" si="313">+H335+H335*$C$258/100</f>
        <v>81537991.669328496</v>
      </c>
      <c r="J335" s="501">
        <f t="shared" si="313"/>
        <v>83087213.511045739</v>
      </c>
      <c r="K335" s="501">
        <f t="shared" si="313"/>
        <v>84665870.56775561</v>
      </c>
      <c r="L335" s="501">
        <f t="shared" si="313"/>
        <v>86274522.108542964</v>
      </c>
      <c r="M335" s="501">
        <f t="shared" si="313"/>
        <v>87913738.028605282</v>
      </c>
      <c r="N335" s="501">
        <f t="shared" si="313"/>
        <v>89584099.051148787</v>
      </c>
      <c r="O335" s="501">
        <f t="shared" si="313"/>
        <v>91286196.933120608</v>
      </c>
      <c r="P335" s="501">
        <f t="shared" si="313"/>
        <v>93020634.674849898</v>
      </c>
      <c r="Q335" s="501">
        <f t="shared" si="313"/>
        <v>94788026.733672053</v>
      </c>
      <c r="R335" s="501">
        <f t="shared" si="313"/>
        <v>96588999.241611823</v>
      </c>
      <c r="S335" s="501">
        <f t="shared" si="313"/>
        <v>98424190.227202445</v>
      </c>
      <c r="T335" s="501">
        <f t="shared" si="313"/>
        <v>100294249.8415193</v>
      </c>
      <c r="U335" s="501">
        <f t="shared" si="313"/>
        <v>102199840.58850816</v>
      </c>
      <c r="V335" s="501">
        <f t="shared" si="313"/>
        <v>104141637.55968982</v>
      </c>
      <c r="W335" s="501">
        <f t="shared" si="313"/>
        <v>106120328.67332393</v>
      </c>
      <c r="X335" s="501">
        <f t="shared" si="313"/>
        <v>108136614.91811709</v>
      </c>
      <c r="Y335" s="501">
        <f t="shared" si="313"/>
        <v>110191210.60156132</v>
      </c>
      <c r="Z335" s="501">
        <f t="shared" si="313"/>
        <v>112284843.60299098</v>
      </c>
      <c r="AA335" s="27"/>
    </row>
    <row r="336" spans="2:27">
      <c r="B336" s="473" t="s">
        <v>723</v>
      </c>
      <c r="C336" s="500"/>
      <c r="D336" s="500"/>
      <c r="E336" s="500"/>
      <c r="F336" s="487"/>
      <c r="G336" s="501">
        <f>+G335-E335</f>
        <v>1464168.5</v>
      </c>
      <c r="H336" s="501">
        <f t="shared" ref="H336:Z336" si="314">+H335-G335</f>
        <v>1491987.7014999986</v>
      </c>
      <c r="I336" s="501">
        <f t="shared" si="314"/>
        <v>1520335.4678284973</v>
      </c>
      <c r="J336" s="501">
        <f t="shared" si="314"/>
        <v>1549221.8417172432</v>
      </c>
      <c r="K336" s="501">
        <f t="shared" si="314"/>
        <v>1578657.0567098707</v>
      </c>
      <c r="L336" s="501">
        <f t="shared" si="314"/>
        <v>1608651.5407873541</v>
      </c>
      <c r="M336" s="501">
        <f t="shared" si="314"/>
        <v>1639215.9200623184</v>
      </c>
      <c r="N336" s="501">
        <f t="shared" si="314"/>
        <v>1670361.0225435048</v>
      </c>
      <c r="O336" s="501">
        <f t="shared" si="314"/>
        <v>1702097.8819718212</v>
      </c>
      <c r="P336" s="501">
        <f t="shared" si="314"/>
        <v>1734437.7417292893</v>
      </c>
      <c r="Q336" s="501">
        <f t="shared" si="314"/>
        <v>1767392.058822155</v>
      </c>
      <c r="R336" s="501">
        <f t="shared" si="314"/>
        <v>1800972.5079397708</v>
      </c>
      <c r="S336" s="501">
        <f t="shared" si="314"/>
        <v>1835190.9855906218</v>
      </c>
      <c r="T336" s="501">
        <f t="shared" si="314"/>
        <v>1870059.6143168509</v>
      </c>
      <c r="U336" s="501">
        <f t="shared" si="314"/>
        <v>1905590.7469888628</v>
      </c>
      <c r="V336" s="501">
        <f t="shared" si="314"/>
        <v>1941796.9711816609</v>
      </c>
      <c r="W336" s="501">
        <f t="shared" si="314"/>
        <v>1978691.1136341095</v>
      </c>
      <c r="X336" s="501">
        <f t="shared" si="314"/>
        <v>2016286.2447931617</v>
      </c>
      <c r="Y336" s="501">
        <f t="shared" si="314"/>
        <v>2054595.6834442317</v>
      </c>
      <c r="Z336" s="501">
        <f t="shared" si="314"/>
        <v>2093633.0014296621</v>
      </c>
      <c r="AA336" s="27"/>
    </row>
    <row r="337" spans="2:27">
      <c r="B337" s="473" t="s">
        <v>733</v>
      </c>
      <c r="C337" s="500"/>
      <c r="D337" s="500"/>
      <c r="E337" s="500"/>
      <c r="F337" s="487"/>
      <c r="G337" s="501">
        <f>+G336*0.235</f>
        <v>344079.59749999997</v>
      </c>
      <c r="H337" s="501">
        <f t="shared" ref="H337:Z337" si="315">+H336*0.235</f>
        <v>350617.10985249962</v>
      </c>
      <c r="I337" s="501">
        <f t="shared" si="315"/>
        <v>357278.83493969683</v>
      </c>
      <c r="J337" s="501">
        <f t="shared" si="315"/>
        <v>364067.13280355214</v>
      </c>
      <c r="K337" s="501">
        <f t="shared" si="315"/>
        <v>370984.4083268196</v>
      </c>
      <c r="L337" s="501">
        <f t="shared" si="315"/>
        <v>378033.1120850282</v>
      </c>
      <c r="M337" s="501">
        <f t="shared" si="315"/>
        <v>385215.7412146448</v>
      </c>
      <c r="N337" s="501">
        <f t="shared" si="315"/>
        <v>392534.8402977236</v>
      </c>
      <c r="O337" s="501">
        <f t="shared" si="315"/>
        <v>399993.00226337794</v>
      </c>
      <c r="P337" s="501">
        <f t="shared" si="315"/>
        <v>407592.86930638296</v>
      </c>
      <c r="Q337" s="501">
        <f t="shared" si="315"/>
        <v>415337.13382320642</v>
      </c>
      <c r="R337" s="501">
        <f t="shared" si="315"/>
        <v>423228.53936584614</v>
      </c>
      <c r="S337" s="501">
        <f t="shared" si="315"/>
        <v>431269.88161379611</v>
      </c>
      <c r="T337" s="501">
        <f t="shared" si="315"/>
        <v>439464.00936445995</v>
      </c>
      <c r="U337" s="501">
        <f t="shared" si="315"/>
        <v>447813.82554238272</v>
      </c>
      <c r="V337" s="501">
        <f t="shared" si="315"/>
        <v>456322.28822769027</v>
      </c>
      <c r="W337" s="501">
        <f t="shared" si="315"/>
        <v>464992.41170401569</v>
      </c>
      <c r="X337" s="501">
        <f t="shared" si="315"/>
        <v>473827.267526393</v>
      </c>
      <c r="Y337" s="501">
        <f t="shared" si="315"/>
        <v>482829.98560939444</v>
      </c>
      <c r="Z337" s="501">
        <f t="shared" si="315"/>
        <v>492003.75533597055</v>
      </c>
      <c r="AA337" s="27"/>
    </row>
    <row r="338" spans="2:27">
      <c r="B338" s="483" t="s">
        <v>722</v>
      </c>
      <c r="C338" s="500">
        <f>18.54*1000000</f>
        <v>18540000</v>
      </c>
      <c r="D338" s="500">
        <f>18.15*1000000</f>
        <v>18150000</v>
      </c>
      <c r="E338" s="500">
        <f>24.89*1000000</f>
        <v>24890000</v>
      </c>
      <c r="F338" s="487"/>
      <c r="G338" s="501">
        <f>+E338+E338*$C$258/100</f>
        <v>25362910</v>
      </c>
      <c r="H338" s="501">
        <f>+G338+G338*$C$258/100</f>
        <v>25844805.289999999</v>
      </c>
      <c r="I338" s="501">
        <f t="shared" ref="I338:Z338" si="316">+H338+H338*$C$258/100</f>
        <v>26335856.59051</v>
      </c>
      <c r="J338" s="501">
        <f t="shared" si="316"/>
        <v>26836237.86572969</v>
      </c>
      <c r="K338" s="501">
        <f t="shared" si="316"/>
        <v>27346126.385178555</v>
      </c>
      <c r="L338" s="501">
        <f t="shared" si="316"/>
        <v>27865702.786496948</v>
      </c>
      <c r="M338" s="501">
        <f t="shared" si="316"/>
        <v>28395151.139440391</v>
      </c>
      <c r="N338" s="501">
        <f t="shared" si="316"/>
        <v>28934659.011089757</v>
      </c>
      <c r="O338" s="501">
        <f t="shared" si="316"/>
        <v>29484417.532300461</v>
      </c>
      <c r="P338" s="501">
        <f t="shared" si="316"/>
        <v>30044621.46541417</v>
      </c>
      <c r="Q338" s="501">
        <f t="shared" si="316"/>
        <v>30615469.273257039</v>
      </c>
      <c r="R338" s="501">
        <f t="shared" si="316"/>
        <v>31197163.189448923</v>
      </c>
      <c r="S338" s="501">
        <f t="shared" si="316"/>
        <v>31789909.290048454</v>
      </c>
      <c r="T338" s="501">
        <f t="shared" si="316"/>
        <v>32393917.566559374</v>
      </c>
      <c r="U338" s="501">
        <f t="shared" si="316"/>
        <v>33009402.000324003</v>
      </c>
      <c r="V338" s="501">
        <f t="shared" si="316"/>
        <v>33636580.638330162</v>
      </c>
      <c r="W338" s="501">
        <f t="shared" si="316"/>
        <v>34275675.670458436</v>
      </c>
      <c r="X338" s="501">
        <f t="shared" si="316"/>
        <v>34926913.508197144</v>
      </c>
      <c r="Y338" s="501">
        <f t="shared" si="316"/>
        <v>35590524.86485289</v>
      </c>
      <c r="Z338" s="501">
        <f t="shared" si="316"/>
        <v>36266744.837285094</v>
      </c>
      <c r="AA338" s="27"/>
    </row>
    <row r="339" spans="2:27">
      <c r="B339" s="473" t="s">
        <v>723</v>
      </c>
      <c r="C339" s="500"/>
      <c r="D339" s="500"/>
      <c r="E339" s="500"/>
      <c r="F339" s="487"/>
      <c r="G339" s="501">
        <f>+G338-E338</f>
        <v>472910</v>
      </c>
      <c r="H339" s="501">
        <f t="shared" ref="H339:Z339" si="317">+H338-G338</f>
        <v>481895.28999999911</v>
      </c>
      <c r="I339" s="501">
        <f t="shared" si="317"/>
        <v>491051.30051000044</v>
      </c>
      <c r="J339" s="501">
        <f t="shared" si="317"/>
        <v>500381.27521969005</v>
      </c>
      <c r="K339" s="501">
        <f t="shared" si="317"/>
        <v>509888.51944886521</v>
      </c>
      <c r="L339" s="501">
        <f t="shared" si="317"/>
        <v>519576.40131839365</v>
      </c>
      <c r="M339" s="501">
        <f t="shared" si="317"/>
        <v>529448.35294344276</v>
      </c>
      <c r="N339" s="501">
        <f t="shared" si="317"/>
        <v>539507.87164936587</v>
      </c>
      <c r="O339" s="501">
        <f t="shared" si="317"/>
        <v>549758.521210704</v>
      </c>
      <c r="P339" s="501">
        <f t="shared" si="317"/>
        <v>560203.93311370909</v>
      </c>
      <c r="Q339" s="501">
        <f t="shared" si="317"/>
        <v>570847.80784286931</v>
      </c>
      <c r="R339" s="501">
        <f t="shared" si="317"/>
        <v>581693.91619188339</v>
      </c>
      <c r="S339" s="501">
        <f t="shared" si="317"/>
        <v>592746.10059953108</v>
      </c>
      <c r="T339" s="501">
        <f t="shared" si="317"/>
        <v>604008.27651092038</v>
      </c>
      <c r="U339" s="501">
        <f t="shared" si="317"/>
        <v>615484.43376462907</v>
      </c>
      <c r="V339" s="501">
        <f t="shared" si="317"/>
        <v>627178.63800615817</v>
      </c>
      <c r="W339" s="501">
        <f t="shared" si="317"/>
        <v>639095.03212827444</v>
      </c>
      <c r="X339" s="501">
        <f t="shared" si="317"/>
        <v>651237.83773870766</v>
      </c>
      <c r="Y339" s="501">
        <f t="shared" si="317"/>
        <v>663611.3566557467</v>
      </c>
      <c r="Z339" s="501">
        <f t="shared" si="317"/>
        <v>676219.97243220359</v>
      </c>
      <c r="AA339" s="27"/>
    </row>
    <row r="340" spans="2:27">
      <c r="B340" s="473" t="s">
        <v>733</v>
      </c>
      <c r="C340" s="500"/>
      <c r="D340" s="503"/>
      <c r="E340" s="500"/>
      <c r="F340" s="487"/>
      <c r="G340" s="501">
        <f>+G339*0.235</f>
        <v>111133.84999999999</v>
      </c>
      <c r="H340" s="501">
        <f t="shared" ref="H340:Z340" si="318">+H339*0.235</f>
        <v>113245.39314999979</v>
      </c>
      <c r="I340" s="501">
        <f t="shared" si="318"/>
        <v>115397.0556198501</v>
      </c>
      <c r="J340" s="501">
        <f t="shared" si="318"/>
        <v>117589.59967662716</v>
      </c>
      <c r="K340" s="501">
        <f t="shared" si="318"/>
        <v>119823.80207048332</v>
      </c>
      <c r="L340" s="501">
        <f t="shared" si="318"/>
        <v>122100.4543098225</v>
      </c>
      <c r="M340" s="501">
        <f t="shared" si="318"/>
        <v>124420.36294170904</v>
      </c>
      <c r="N340" s="501">
        <f t="shared" si="318"/>
        <v>126784.34983760097</v>
      </c>
      <c r="O340" s="501">
        <f t="shared" si="318"/>
        <v>129193.25248451543</v>
      </c>
      <c r="P340" s="501">
        <f t="shared" si="318"/>
        <v>131647.92428172164</v>
      </c>
      <c r="Q340" s="501">
        <f t="shared" si="318"/>
        <v>134149.23484307429</v>
      </c>
      <c r="R340" s="501">
        <f t="shared" si="318"/>
        <v>136698.07030509258</v>
      </c>
      <c r="S340" s="501">
        <f t="shared" si="318"/>
        <v>139295.33364088979</v>
      </c>
      <c r="T340" s="501">
        <f t="shared" si="318"/>
        <v>141941.94498006627</v>
      </c>
      <c r="U340" s="501">
        <f t="shared" si="318"/>
        <v>144638.84193468784</v>
      </c>
      <c r="V340" s="501">
        <f t="shared" si="318"/>
        <v>147386.97993144716</v>
      </c>
      <c r="W340" s="501">
        <f t="shared" si="318"/>
        <v>150187.33255014449</v>
      </c>
      <c r="X340" s="501">
        <f t="shared" si="318"/>
        <v>153040.89186859629</v>
      </c>
      <c r="Y340" s="501">
        <f t="shared" si="318"/>
        <v>155948.66881410047</v>
      </c>
      <c r="Z340" s="501">
        <f t="shared" si="318"/>
        <v>158911.69352156782</v>
      </c>
      <c r="AA340" s="27"/>
    </row>
    <row r="341" spans="2:27" s="485" customFormat="1">
      <c r="B341" s="476" t="s">
        <v>734</v>
      </c>
      <c r="C341" s="506"/>
      <c r="D341" s="504"/>
      <c r="E341" s="506"/>
      <c r="F341" s="511"/>
      <c r="G341" s="505">
        <f>+G334+G337+G340</f>
        <v>509016.69749999995</v>
      </c>
      <c r="H341" s="505">
        <f t="shared" ref="H341:Z341" si="319">+H334+H337+H340</f>
        <v>518688.01475249958</v>
      </c>
      <c r="I341" s="505">
        <f t="shared" si="319"/>
        <v>528543.0870327967</v>
      </c>
      <c r="J341" s="505">
        <f t="shared" si="319"/>
        <v>538585.40568642085</v>
      </c>
      <c r="K341" s="505">
        <f t="shared" si="319"/>
        <v>548818.52839446336</v>
      </c>
      <c r="L341" s="505">
        <f t="shared" si="319"/>
        <v>559246.08043395705</v>
      </c>
      <c r="M341" s="505">
        <f t="shared" si="319"/>
        <v>569871.75596220337</v>
      </c>
      <c r="N341" s="505">
        <f t="shared" si="319"/>
        <v>580699.31932548503</v>
      </c>
      <c r="O341" s="505">
        <f t="shared" si="319"/>
        <v>591732.60639266716</v>
      </c>
      <c r="P341" s="505">
        <f t="shared" si="319"/>
        <v>602975.52591412899</v>
      </c>
      <c r="Q341" s="505">
        <f t="shared" si="319"/>
        <v>614432.06090649928</v>
      </c>
      <c r="R341" s="505">
        <f t="shared" si="319"/>
        <v>626106.27006372169</v>
      </c>
      <c r="S341" s="505">
        <f t="shared" si="319"/>
        <v>638002.28919493174</v>
      </c>
      <c r="T341" s="505">
        <f t="shared" si="319"/>
        <v>650124.33268963662</v>
      </c>
      <c r="U341" s="505">
        <f t="shared" si="319"/>
        <v>662476.6950107381</v>
      </c>
      <c r="V341" s="505">
        <f t="shared" si="319"/>
        <v>675063.7522159447</v>
      </c>
      <c r="W341" s="505">
        <f t="shared" si="319"/>
        <v>687889.96350804693</v>
      </c>
      <c r="X341" s="505">
        <f t="shared" si="319"/>
        <v>700959.87281469954</v>
      </c>
      <c r="Y341" s="505">
        <f t="shared" si="319"/>
        <v>714278.1103981802</v>
      </c>
      <c r="Z341" s="505">
        <f t="shared" si="319"/>
        <v>727849.39449574205</v>
      </c>
      <c r="AA341" s="486"/>
    </row>
    <row r="342" spans="2:27">
      <c r="B342" s="478"/>
      <c r="C342" s="507"/>
      <c r="D342" s="508"/>
      <c r="E342" s="507"/>
      <c r="F342" s="472"/>
      <c r="G342" s="10"/>
      <c r="H342" s="10"/>
      <c r="I342" s="10"/>
      <c r="J342" s="10"/>
      <c r="K342" s="10"/>
      <c r="L342" s="10"/>
      <c r="M342" s="10"/>
      <c r="N342" s="10"/>
      <c r="O342" s="10"/>
      <c r="P342" s="10"/>
      <c r="Q342" s="10"/>
      <c r="R342" s="10"/>
      <c r="S342" s="10"/>
      <c r="T342" s="10"/>
      <c r="U342" s="10"/>
      <c r="V342" s="10"/>
      <c r="W342" s="10"/>
      <c r="X342" s="10"/>
      <c r="Y342" s="10"/>
      <c r="Z342" s="10"/>
      <c r="AA342" s="27"/>
    </row>
    <row r="343" spans="2:27">
      <c r="B343" s="698" t="s">
        <v>680</v>
      </c>
      <c r="C343" s="695"/>
      <c r="D343" s="695"/>
      <c r="E343" s="696"/>
      <c r="F343" s="699"/>
      <c r="G343" s="697"/>
      <c r="H343" s="697"/>
      <c r="I343" s="697"/>
      <c r="J343" s="697"/>
      <c r="K343" s="697"/>
      <c r="L343" s="697"/>
      <c r="M343" s="697"/>
      <c r="N343" s="697"/>
      <c r="O343" s="697"/>
      <c r="P343" s="697"/>
      <c r="Q343" s="697"/>
      <c r="R343" s="697"/>
      <c r="S343" s="697"/>
      <c r="T343" s="697"/>
      <c r="U343" s="697"/>
      <c r="V343" s="697"/>
      <c r="W343" s="697"/>
      <c r="X343" s="697"/>
      <c r="Y343" s="697"/>
      <c r="Z343" s="697"/>
      <c r="AA343" s="27"/>
    </row>
    <row r="344" spans="2:27">
      <c r="B344" s="483" t="s">
        <v>736</v>
      </c>
      <c r="C344" s="500">
        <f>-5.16*1000000</f>
        <v>-5160000</v>
      </c>
      <c r="D344" s="500">
        <f>-3.35*1000000</f>
        <v>-3350000</v>
      </c>
      <c r="E344" s="500">
        <f>-0.36*1000000</f>
        <v>-360000</v>
      </c>
      <c r="F344" s="487"/>
      <c r="G344" s="501"/>
      <c r="H344" s="501"/>
      <c r="I344" s="501"/>
      <c r="J344" s="501"/>
      <c r="K344" s="501"/>
      <c r="L344" s="501"/>
      <c r="M344" s="501"/>
      <c r="N344" s="501"/>
      <c r="O344" s="501"/>
      <c r="P344" s="501"/>
      <c r="Q344" s="501"/>
      <c r="R344" s="501"/>
      <c r="S344" s="501"/>
      <c r="T344" s="501"/>
      <c r="U344" s="501"/>
      <c r="V344" s="501"/>
      <c r="W344" s="501"/>
      <c r="X344" s="501"/>
      <c r="Y344" s="501"/>
      <c r="Z344" s="501"/>
      <c r="AA344" s="27"/>
    </row>
    <row r="345" spans="2:27">
      <c r="B345" s="483" t="s">
        <v>724</v>
      </c>
      <c r="C345" s="500">
        <f>18803.9*1000</f>
        <v>18803900</v>
      </c>
      <c r="D345" s="500">
        <f>29772.6*1000</f>
        <v>29772600</v>
      </c>
      <c r="E345" s="500">
        <f>24244.6*1000</f>
        <v>24244600</v>
      </c>
      <c r="F345" s="487"/>
      <c r="G345" s="501">
        <f>+E345+E345*$C$258/100</f>
        <v>24705247.399999999</v>
      </c>
      <c r="H345" s="501">
        <f>+G345+G345*$C$258/100</f>
        <v>25174647.100599997</v>
      </c>
      <c r="I345" s="501">
        <f t="shared" ref="I345:Z345" si="320">+H345+H345*$C$258/100</f>
        <v>25652965.395511396</v>
      </c>
      <c r="J345" s="501">
        <f t="shared" si="320"/>
        <v>26140371.738026112</v>
      </c>
      <c r="K345" s="501">
        <f t="shared" si="320"/>
        <v>26637038.801048607</v>
      </c>
      <c r="L345" s="501">
        <f t="shared" si="320"/>
        <v>27143142.538268529</v>
      </c>
      <c r="M345" s="501">
        <f t="shared" si="320"/>
        <v>27658862.246495631</v>
      </c>
      <c r="N345" s="501">
        <f t="shared" si="320"/>
        <v>28184380.629179049</v>
      </c>
      <c r="O345" s="501">
        <f t="shared" si="320"/>
        <v>28719883.861133453</v>
      </c>
      <c r="P345" s="501">
        <f t="shared" si="320"/>
        <v>29265561.65449499</v>
      </c>
      <c r="Q345" s="501">
        <f t="shared" si="320"/>
        <v>29821607.325930394</v>
      </c>
      <c r="R345" s="501">
        <f t="shared" si="320"/>
        <v>30388217.865123071</v>
      </c>
      <c r="S345" s="501">
        <f t="shared" si="320"/>
        <v>30965594.004560411</v>
      </c>
      <c r="T345" s="501">
        <f t="shared" si="320"/>
        <v>31553940.29064706</v>
      </c>
      <c r="U345" s="501">
        <f t="shared" si="320"/>
        <v>32153465.156169355</v>
      </c>
      <c r="V345" s="501">
        <f t="shared" si="320"/>
        <v>32764380.994136572</v>
      </c>
      <c r="W345" s="501">
        <f t="shared" si="320"/>
        <v>33386904.233025167</v>
      </c>
      <c r="X345" s="501">
        <f t="shared" si="320"/>
        <v>34021255.413452648</v>
      </c>
      <c r="Y345" s="501">
        <f t="shared" si="320"/>
        <v>34667659.266308248</v>
      </c>
      <c r="Z345" s="501">
        <f t="shared" si="320"/>
        <v>35326344.792368107</v>
      </c>
      <c r="AA345" s="27"/>
    </row>
    <row r="346" spans="2:27">
      <c r="B346" s="473" t="s">
        <v>723</v>
      </c>
      <c r="C346" s="500"/>
      <c r="D346" s="500"/>
      <c r="E346" s="500"/>
      <c r="F346" s="487"/>
      <c r="G346" s="501">
        <f>+G345-E345</f>
        <v>460647.39999999851</v>
      </c>
      <c r="H346" s="501">
        <f t="shared" ref="H346:Z346" si="321">+H345-G345</f>
        <v>469399.70059999824</v>
      </c>
      <c r="I346" s="501">
        <f t="shared" si="321"/>
        <v>478318.29491139948</v>
      </c>
      <c r="J346" s="501">
        <f t="shared" si="321"/>
        <v>487406.34251471609</v>
      </c>
      <c r="K346" s="501">
        <f t="shared" si="321"/>
        <v>496667.06302249432</v>
      </c>
      <c r="L346" s="501">
        <f t="shared" si="321"/>
        <v>506103.73721992224</v>
      </c>
      <c r="M346" s="501">
        <f t="shared" si="321"/>
        <v>515719.70822710171</v>
      </c>
      <c r="N346" s="501">
        <f t="shared" si="321"/>
        <v>525518.38268341869</v>
      </c>
      <c r="O346" s="501">
        <f t="shared" si="321"/>
        <v>535503.23195440322</v>
      </c>
      <c r="P346" s="501">
        <f t="shared" si="321"/>
        <v>545677.79336153716</v>
      </c>
      <c r="Q346" s="501">
        <f t="shared" si="321"/>
        <v>556045.67143540457</v>
      </c>
      <c r="R346" s="501">
        <f t="shared" si="321"/>
        <v>566610.53919267654</v>
      </c>
      <c r="S346" s="501">
        <f t="shared" si="321"/>
        <v>577376.1394373402</v>
      </c>
      <c r="T346" s="501">
        <f t="shared" si="321"/>
        <v>588346.2860866487</v>
      </c>
      <c r="U346" s="501">
        <f t="shared" si="321"/>
        <v>599524.86552229524</v>
      </c>
      <c r="V346" s="501">
        <f t="shared" si="321"/>
        <v>610915.83796721697</v>
      </c>
      <c r="W346" s="501">
        <f t="shared" si="321"/>
        <v>622523.23888859525</v>
      </c>
      <c r="X346" s="501">
        <f t="shared" si="321"/>
        <v>634351.18042748049</v>
      </c>
      <c r="Y346" s="501">
        <f t="shared" si="321"/>
        <v>646403.85285560042</v>
      </c>
      <c r="Z346" s="501">
        <f t="shared" si="321"/>
        <v>658685.5260598585</v>
      </c>
      <c r="AA346" s="27"/>
    </row>
    <row r="347" spans="2:27">
      <c r="B347" s="473" t="s">
        <v>733</v>
      </c>
      <c r="C347" s="500"/>
      <c r="D347" s="500"/>
      <c r="E347" s="500"/>
      <c r="F347" s="487"/>
      <c r="G347" s="501">
        <f>+G346*0.235</f>
        <v>108252.13899999965</v>
      </c>
      <c r="H347" s="501">
        <f t="shared" ref="H347:Z347" si="322">+H346*0.235</f>
        <v>110308.92964099957</v>
      </c>
      <c r="I347" s="501">
        <f t="shared" si="322"/>
        <v>112404.79930417887</v>
      </c>
      <c r="J347" s="501">
        <f t="shared" si="322"/>
        <v>114540.49049095827</v>
      </c>
      <c r="K347" s="501">
        <f t="shared" si="322"/>
        <v>116716.75981028615</v>
      </c>
      <c r="L347" s="501">
        <f t="shared" si="322"/>
        <v>118934.37824668172</v>
      </c>
      <c r="M347" s="501">
        <f t="shared" si="322"/>
        <v>121194.13143336889</v>
      </c>
      <c r="N347" s="501">
        <f t="shared" si="322"/>
        <v>123496.81993060338</v>
      </c>
      <c r="O347" s="501">
        <f t="shared" si="322"/>
        <v>125843.25950928475</v>
      </c>
      <c r="P347" s="501">
        <f t="shared" si="322"/>
        <v>128234.28143996123</v>
      </c>
      <c r="Q347" s="501">
        <f t="shared" si="322"/>
        <v>130670.73278732007</v>
      </c>
      <c r="R347" s="501">
        <f t="shared" si="322"/>
        <v>133153.47671027898</v>
      </c>
      <c r="S347" s="501">
        <f t="shared" si="322"/>
        <v>135683.39276777493</v>
      </c>
      <c r="T347" s="501">
        <f t="shared" si="322"/>
        <v>138261.37723036244</v>
      </c>
      <c r="U347" s="501">
        <f t="shared" si="322"/>
        <v>140888.34339773937</v>
      </c>
      <c r="V347" s="501">
        <f t="shared" si="322"/>
        <v>143565.22192229598</v>
      </c>
      <c r="W347" s="501">
        <f t="shared" si="322"/>
        <v>146292.96113881987</v>
      </c>
      <c r="X347" s="501">
        <f t="shared" si="322"/>
        <v>149072.52740045791</v>
      </c>
      <c r="Y347" s="501">
        <f t="shared" si="322"/>
        <v>151904.9054210661</v>
      </c>
      <c r="Z347" s="501">
        <f t="shared" si="322"/>
        <v>154791.09862406674</v>
      </c>
      <c r="AA347" s="27"/>
    </row>
    <row r="348" spans="2:27">
      <c r="B348" s="483" t="s">
        <v>722</v>
      </c>
      <c r="C348" s="500">
        <f>6.37*1000000</f>
        <v>6370000</v>
      </c>
      <c r="D348" s="500">
        <f>8.23*1000000</f>
        <v>8230000</v>
      </c>
      <c r="E348" s="500">
        <f>8.86*1000000</f>
        <v>8860000</v>
      </c>
      <c r="F348" s="501"/>
      <c r="G348" s="501"/>
      <c r="H348" s="501"/>
      <c r="I348" s="501"/>
      <c r="J348" s="501"/>
      <c r="K348" s="501"/>
      <c r="L348" s="501"/>
      <c r="M348" s="501"/>
      <c r="N348" s="501"/>
      <c r="O348" s="501"/>
      <c r="P348" s="501"/>
      <c r="Q348" s="501"/>
      <c r="R348" s="501"/>
      <c r="S348" s="501"/>
      <c r="T348" s="501"/>
      <c r="U348" s="501"/>
      <c r="V348" s="501"/>
      <c r="W348" s="501"/>
      <c r="X348" s="501"/>
      <c r="Y348" s="501"/>
      <c r="Z348" s="501"/>
    </row>
    <row r="349" spans="2:27" s="485" customFormat="1">
      <c r="B349" s="476" t="s">
        <v>734</v>
      </c>
      <c r="C349" s="504"/>
      <c r="D349" s="504"/>
      <c r="E349" s="504"/>
      <c r="F349" s="505"/>
      <c r="G349" s="505">
        <f>+G347</f>
        <v>108252.13899999965</v>
      </c>
      <c r="H349" s="505">
        <f t="shared" ref="H349:Z349" si="323">+H347</f>
        <v>110308.92964099957</v>
      </c>
      <c r="I349" s="505">
        <f t="shared" si="323"/>
        <v>112404.79930417887</v>
      </c>
      <c r="J349" s="505">
        <f t="shared" si="323"/>
        <v>114540.49049095827</v>
      </c>
      <c r="K349" s="505">
        <f t="shared" si="323"/>
        <v>116716.75981028615</v>
      </c>
      <c r="L349" s="505">
        <f t="shared" si="323"/>
        <v>118934.37824668172</v>
      </c>
      <c r="M349" s="505">
        <f t="shared" si="323"/>
        <v>121194.13143336889</v>
      </c>
      <c r="N349" s="505">
        <f t="shared" si="323"/>
        <v>123496.81993060338</v>
      </c>
      <c r="O349" s="505">
        <f t="shared" si="323"/>
        <v>125843.25950928475</v>
      </c>
      <c r="P349" s="505">
        <f t="shared" si="323"/>
        <v>128234.28143996123</v>
      </c>
      <c r="Q349" s="505">
        <f t="shared" si="323"/>
        <v>130670.73278732007</v>
      </c>
      <c r="R349" s="505">
        <f t="shared" si="323"/>
        <v>133153.47671027898</v>
      </c>
      <c r="S349" s="505">
        <f t="shared" si="323"/>
        <v>135683.39276777493</v>
      </c>
      <c r="T349" s="505">
        <f t="shared" si="323"/>
        <v>138261.37723036244</v>
      </c>
      <c r="U349" s="505">
        <f t="shared" si="323"/>
        <v>140888.34339773937</v>
      </c>
      <c r="V349" s="505">
        <f t="shared" si="323"/>
        <v>143565.22192229598</v>
      </c>
      <c r="W349" s="505">
        <f t="shared" si="323"/>
        <v>146292.96113881987</v>
      </c>
      <c r="X349" s="505">
        <f t="shared" si="323"/>
        <v>149072.52740045791</v>
      </c>
      <c r="Y349" s="505">
        <f t="shared" si="323"/>
        <v>151904.9054210661</v>
      </c>
      <c r="Z349" s="505">
        <f t="shared" si="323"/>
        <v>154791.09862406674</v>
      </c>
    </row>
    <row r="350" spans="2:27">
      <c r="B350" s="478"/>
      <c r="C350" s="508"/>
      <c r="D350" s="508"/>
      <c r="E350" s="508"/>
      <c r="F350" s="10"/>
      <c r="G350" s="10"/>
      <c r="H350" s="10"/>
      <c r="I350" s="10"/>
      <c r="J350" s="10"/>
      <c r="K350" s="10"/>
      <c r="L350" s="10"/>
      <c r="M350" s="10"/>
      <c r="N350" s="10"/>
      <c r="O350" s="10"/>
      <c r="P350" s="10"/>
      <c r="Q350" s="10"/>
      <c r="R350" s="10"/>
      <c r="S350" s="10"/>
      <c r="T350" s="10"/>
      <c r="U350" s="10"/>
      <c r="V350" s="10"/>
      <c r="W350" s="10"/>
      <c r="X350" s="10"/>
      <c r="Y350" s="10"/>
      <c r="Z350" s="10"/>
    </row>
    <row r="351" spans="2:27">
      <c r="B351" s="84" t="s">
        <v>782</v>
      </c>
      <c r="C351" s="472"/>
      <c r="D351" s="508"/>
      <c r="E351" s="508"/>
      <c r="F351" s="472"/>
      <c r="G351" s="10"/>
      <c r="H351" s="10"/>
      <c r="I351" s="10"/>
      <c r="J351" s="10"/>
      <c r="K351" s="10"/>
      <c r="L351" s="10"/>
      <c r="M351" s="10"/>
      <c r="N351" s="10"/>
      <c r="O351" s="10"/>
      <c r="P351" s="10"/>
      <c r="Q351" s="10"/>
      <c r="R351" s="10"/>
      <c r="S351" s="10"/>
      <c r="T351" s="10"/>
      <c r="U351" s="10"/>
      <c r="V351" s="10"/>
      <c r="W351" s="10"/>
      <c r="X351" s="10"/>
      <c r="Y351" s="10"/>
      <c r="Z351" s="10"/>
    </row>
    <row r="352" spans="2:27">
      <c r="B352" s="478"/>
      <c r="C352" s="487"/>
      <c r="D352" s="503"/>
      <c r="E352" s="503"/>
      <c r="F352" s="482">
        <v>2022</v>
      </c>
      <c r="G352" s="482">
        <v>2023</v>
      </c>
      <c r="H352" s="482">
        <v>2024</v>
      </c>
      <c r="I352" s="482">
        <v>2025</v>
      </c>
      <c r="J352" s="482">
        <v>2026</v>
      </c>
      <c r="K352" s="482">
        <v>2027</v>
      </c>
      <c r="L352" s="482">
        <v>2028</v>
      </c>
      <c r="M352" s="482">
        <v>2029</v>
      </c>
      <c r="N352" s="482">
        <v>2030</v>
      </c>
      <c r="O352" s="482">
        <v>2031</v>
      </c>
      <c r="P352" s="482">
        <v>2032</v>
      </c>
      <c r="Q352" s="482">
        <v>2033</v>
      </c>
      <c r="R352" s="482">
        <v>2034</v>
      </c>
      <c r="S352" s="482">
        <v>2035</v>
      </c>
      <c r="T352" s="482">
        <v>2036</v>
      </c>
      <c r="U352" s="482">
        <v>2037</v>
      </c>
      <c r="V352" s="482">
        <v>2038</v>
      </c>
      <c r="W352" s="482">
        <v>2039</v>
      </c>
      <c r="X352" s="482">
        <v>2040</v>
      </c>
      <c r="Y352" s="482">
        <v>2041</v>
      </c>
      <c r="Z352" s="482">
        <v>2042</v>
      </c>
    </row>
    <row r="353" spans="2:27">
      <c r="B353" s="478"/>
      <c r="C353" s="514" t="s">
        <v>762</v>
      </c>
      <c r="D353" s="503"/>
      <c r="E353" s="503"/>
      <c r="F353" s="487"/>
      <c r="G353" s="501">
        <f>+G272</f>
        <v>986517.07499999995</v>
      </c>
      <c r="H353" s="501">
        <f>+H272+G284+G296</f>
        <v>9134639.0269500073</v>
      </c>
      <c r="I353" s="501">
        <f>+I272+H284+H296+G328</f>
        <v>10153291.638611658</v>
      </c>
      <c r="J353" s="501">
        <f t="shared" ref="J353:Z353" si="324">+J272+I284+I296+H328+G308+G318</f>
        <v>11423003.724050811</v>
      </c>
      <c r="K353" s="501">
        <f t="shared" si="324"/>
        <v>11519861.208758241</v>
      </c>
      <c r="L353" s="501">
        <f t="shared" si="324"/>
        <v>11617837.908158684</v>
      </c>
      <c r="M353" s="501">
        <f t="shared" si="324"/>
        <v>11716950.760866467</v>
      </c>
      <c r="N353" s="501">
        <f t="shared" si="324"/>
        <v>11817217.001370283</v>
      </c>
      <c r="O353" s="501">
        <f t="shared" si="324"/>
        <v>11918654.165499995</v>
      </c>
      <c r="P353" s="501">
        <f t="shared" si="324"/>
        <v>12021280.095994797</v>
      </c>
      <c r="Q353" s="501">
        <f t="shared" si="324"/>
        <v>12125112.948177168</v>
      </c>
      <c r="R353" s="501">
        <f t="shared" si="324"/>
        <v>12230171.195733035</v>
      </c>
      <c r="S353" s="501">
        <f t="shared" si="324"/>
        <v>12336473.636601824</v>
      </c>
      <c r="T353" s="501">
        <f t="shared" si="324"/>
        <v>12444039.398975886</v>
      </c>
      <c r="U353" s="501">
        <f t="shared" si="324"/>
        <v>12552887.947414845</v>
      </c>
      <c r="V353" s="501">
        <f t="shared" si="324"/>
        <v>12663039.089073319</v>
      </c>
      <c r="W353" s="501">
        <f t="shared" si="324"/>
        <v>12774512.980047116</v>
      </c>
      <c r="X353" s="501">
        <f t="shared" si="324"/>
        <v>12887330.131839219</v>
      </c>
      <c r="Y353" s="501">
        <f t="shared" si="324"/>
        <v>13001511.417946352</v>
      </c>
      <c r="Z353" s="501">
        <f t="shared" si="324"/>
        <v>13117078.080571093</v>
      </c>
      <c r="AA353" s="27"/>
    </row>
    <row r="354" spans="2:27">
      <c r="B354" s="478"/>
      <c r="C354" s="515" t="s">
        <v>713</v>
      </c>
      <c r="D354" s="503"/>
      <c r="E354" s="503"/>
      <c r="F354" s="487"/>
      <c r="G354" s="501">
        <f>+G272</f>
        <v>986517.07499999995</v>
      </c>
      <c r="H354" s="501">
        <f>+H272+G284+G296</f>
        <v>9134639.0269500073</v>
      </c>
      <c r="I354" s="501">
        <f>+I272+H284+H296+G349</f>
        <v>9297699.0001116619</v>
      </c>
      <c r="J354" s="501">
        <f t="shared" ref="J354:Z354" si="325">+J272+I284+I296+H349+G318+G308</f>
        <v>10551154.825419307</v>
      </c>
      <c r="K354" s="501">
        <f t="shared" si="325"/>
        <v>10631447.181052739</v>
      </c>
      <c r="L354" s="501">
        <f t="shared" si="325"/>
        <v>10712544.013926776</v>
      </c>
      <c r="M354" s="501">
        <f t="shared" si="325"/>
        <v>10794456.282644156</v>
      </c>
      <c r="N354" s="501">
        <f t="shared" si="325"/>
        <v>10877195.128061753</v>
      </c>
      <c r="O354" s="501">
        <f t="shared" si="325"/>
        <v>10960771.876598597</v>
      </c>
      <c r="P354" s="501">
        <f t="shared" si="325"/>
        <v>11045198.043604277</v>
      </c>
      <c r="Q354" s="501">
        <f t="shared" si="325"/>
        <v>11130485.336791229</v>
      </c>
      <c r="R354" s="501">
        <f t="shared" si="325"/>
        <v>11216645.659730766</v>
      </c>
      <c r="S354" s="501">
        <f t="shared" si="325"/>
        <v>11303691.115415512</v>
      </c>
      <c r="T354" s="501">
        <f t="shared" si="325"/>
        <v>11391634.009887028</v>
      </c>
      <c r="U354" s="501">
        <f t="shared" si="325"/>
        <v>11480486.855933297</v>
      </c>
      <c r="V354" s="501">
        <f t="shared" si="325"/>
        <v>11570262.376853621</v>
      </c>
      <c r="W354" s="501">
        <f t="shared" si="325"/>
        <v>11660973.510295251</v>
      </c>
      <c r="X354" s="501">
        <f t="shared" si="325"/>
        <v>11752633.412162062</v>
      </c>
      <c r="Y354" s="501">
        <f t="shared" si="325"/>
        <v>11845255.460595334</v>
      </c>
      <c r="Z354" s="501">
        <f t="shared" si="325"/>
        <v>11938853.260030402</v>
      </c>
      <c r="AA354" s="27"/>
    </row>
    <row r="355" spans="2:27">
      <c r="B355" s="478"/>
      <c r="C355" s="516" t="s">
        <v>714</v>
      </c>
      <c r="D355" s="503"/>
      <c r="E355" s="503"/>
      <c r="F355" s="487"/>
      <c r="G355" s="487">
        <f>+G272</f>
        <v>986517.07499999995</v>
      </c>
      <c r="H355" s="501">
        <f>+H272+G284+G296</f>
        <v>9134639.0269500073</v>
      </c>
      <c r="I355" s="501">
        <f>+I272+H284+H296+G328</f>
        <v>10153291.638611658</v>
      </c>
      <c r="J355" s="501">
        <f>+J272+I284+I296+H328+G341+G308</f>
        <v>10972039.170550812</v>
      </c>
      <c r="K355" s="501">
        <f t="shared" ref="K355:Z355" si="326">+K272+J284+J296+I328+H341+H308</f>
        <v>11060328.32874174</v>
      </c>
      <c r="L355" s="501">
        <f t="shared" si="326"/>
        <v>11149573.903421871</v>
      </c>
      <c r="M355" s="501">
        <f t="shared" si="326"/>
        <v>11239789.740039658</v>
      </c>
      <c r="N355" s="501">
        <f t="shared" si="326"/>
        <v>11330989.92114776</v>
      </c>
      <c r="O355" s="501">
        <f t="shared" si="326"/>
        <v>11423188.770753244</v>
      </c>
      <c r="P355" s="501">
        <f t="shared" si="326"/>
        <v>11516400.858747862</v>
      </c>
      <c r="Q355" s="501">
        <f t="shared" si="326"/>
        <v>11610641.00542254</v>
      </c>
      <c r="R355" s="501">
        <f t="shared" si="326"/>
        <v>11705924.286066063</v>
      </c>
      <c r="S355" s="501">
        <f t="shared" si="326"/>
        <v>11802266.035651183</v>
      </c>
      <c r="T355" s="501">
        <f t="shared" si="326"/>
        <v>11899681.853607183</v>
      </c>
      <c r="U355" s="501">
        <f t="shared" si="326"/>
        <v>11998187.608684145</v>
      </c>
      <c r="V355" s="501">
        <f t="shared" si="326"/>
        <v>12097799.443906723</v>
      </c>
      <c r="W355" s="501">
        <f t="shared" si="326"/>
        <v>12198533.781622365</v>
      </c>
      <c r="X355" s="501">
        <f t="shared" si="326"/>
        <v>12300407.328644395</v>
      </c>
      <c r="Y355" s="501">
        <f t="shared" si="326"/>
        <v>12403437.081490824</v>
      </c>
      <c r="Z355" s="501">
        <f t="shared" si="326"/>
        <v>12507640.33172291</v>
      </c>
      <c r="AA355" s="27"/>
    </row>
    <row r="356" spans="2:27">
      <c r="B356" s="478"/>
      <c r="D356" s="480"/>
      <c r="E356" s="480"/>
      <c r="F356" s="27"/>
      <c r="G356" s="27"/>
      <c r="H356" s="27"/>
      <c r="I356" s="27"/>
      <c r="J356" s="27"/>
      <c r="K356" s="27"/>
      <c r="L356" s="27"/>
      <c r="M356" s="27"/>
      <c r="N356" s="27"/>
      <c r="O356" s="27"/>
      <c r="P356" s="27"/>
      <c r="Q356" s="27"/>
      <c r="R356" s="27"/>
      <c r="S356" s="27"/>
      <c r="T356" s="27"/>
      <c r="U356" s="27"/>
      <c r="V356" s="27"/>
      <c r="W356" s="27"/>
      <c r="X356" s="27"/>
      <c r="Y356" s="27"/>
      <c r="Z356" s="27"/>
    </row>
    <row r="357" spans="2:27" ht="21">
      <c r="B357" s="725" t="s">
        <v>858</v>
      </c>
      <c r="C357" s="480" t="s">
        <v>731</v>
      </c>
      <c r="D357" s="480"/>
      <c r="E357" s="480"/>
      <c r="F357" s="27"/>
      <c r="G357" s="27"/>
      <c r="H357" s="27"/>
      <c r="I357" s="27"/>
      <c r="J357" s="27"/>
      <c r="K357" s="27"/>
      <c r="L357" s="27"/>
      <c r="M357" s="27"/>
      <c r="N357" s="27"/>
      <c r="O357" s="27"/>
      <c r="P357" s="27"/>
      <c r="Q357" s="27"/>
      <c r="R357" s="27"/>
      <c r="S357" s="27"/>
      <c r="T357" s="27"/>
      <c r="U357" s="27"/>
      <c r="V357" s="27"/>
      <c r="W357" s="27"/>
      <c r="X357" s="27"/>
      <c r="Y357" s="27"/>
      <c r="Z357" s="27"/>
    </row>
    <row r="358" spans="2:27">
      <c r="B358" s="635" t="s">
        <v>839</v>
      </c>
      <c r="C358" s="480">
        <v>2.9</v>
      </c>
      <c r="D358" s="480"/>
      <c r="E358" s="480"/>
      <c r="F358" s="27"/>
      <c r="G358" s="27"/>
      <c r="H358" s="27"/>
      <c r="I358" s="27"/>
      <c r="J358" s="27"/>
      <c r="K358" s="27"/>
      <c r="L358" s="27"/>
      <c r="M358" s="27"/>
      <c r="N358" s="27"/>
      <c r="O358" s="27"/>
      <c r="P358" s="27"/>
      <c r="Q358" s="27"/>
      <c r="R358" s="27"/>
      <c r="S358" s="27"/>
      <c r="T358" s="27"/>
      <c r="U358" s="27"/>
      <c r="V358" s="27"/>
      <c r="W358" s="27"/>
      <c r="X358" s="27"/>
      <c r="Y358" s="27"/>
      <c r="Z358" s="27"/>
    </row>
    <row r="359" spans="2:27">
      <c r="B359" s="636" t="s">
        <v>840</v>
      </c>
      <c r="C359" s="480">
        <v>2.8</v>
      </c>
      <c r="D359" s="480"/>
      <c r="E359" s="480"/>
      <c r="F359" s="27"/>
      <c r="G359" s="27"/>
      <c r="H359" s="27"/>
      <c r="I359" s="27"/>
      <c r="J359" s="27"/>
      <c r="K359" s="27"/>
      <c r="L359" s="27"/>
      <c r="M359" s="27"/>
      <c r="N359" s="27"/>
      <c r="O359" s="27"/>
      <c r="P359" s="27"/>
      <c r="Q359" s="27"/>
      <c r="R359" s="27"/>
      <c r="S359" s="27"/>
      <c r="T359" s="27"/>
      <c r="U359" s="27"/>
      <c r="V359" s="27"/>
      <c r="W359" s="27"/>
      <c r="X359" s="27"/>
      <c r="Y359" s="27"/>
      <c r="Z359" s="27"/>
    </row>
    <row r="360" spans="2:27">
      <c r="B360"/>
      <c r="C360"/>
      <c r="D360"/>
      <c r="E360" s="478"/>
      <c r="F360" s="27"/>
      <c r="G360" s="27"/>
      <c r="H360" s="27"/>
      <c r="I360" s="27"/>
      <c r="J360" s="27"/>
      <c r="K360" s="27"/>
      <c r="L360" s="27"/>
      <c r="M360" s="27"/>
      <c r="N360" s="27"/>
      <c r="O360" s="27"/>
      <c r="P360" s="27"/>
      <c r="Q360" s="27"/>
      <c r="R360" s="27"/>
      <c r="S360" s="27"/>
      <c r="T360" s="27"/>
      <c r="U360" s="27"/>
      <c r="V360" s="27"/>
      <c r="W360" s="27"/>
      <c r="X360" s="27"/>
      <c r="Y360" s="27"/>
      <c r="Z360" s="27"/>
    </row>
    <row r="361" spans="2:27" ht="15.75" customHeight="1">
      <c r="C361" s="179"/>
      <c r="D361" s="179"/>
      <c r="E361" s="478"/>
      <c r="F361" s="27"/>
      <c r="G361" s="27"/>
      <c r="H361" s="27"/>
      <c r="I361" s="27"/>
      <c r="J361" s="27"/>
      <c r="K361" s="27"/>
      <c r="L361" s="27"/>
      <c r="M361" s="27"/>
      <c r="N361" s="27"/>
      <c r="O361" s="27"/>
      <c r="P361" s="27"/>
      <c r="Q361" s="27"/>
      <c r="R361" s="27"/>
      <c r="S361" s="27"/>
      <c r="T361" s="27"/>
      <c r="U361" s="27"/>
      <c r="V361" s="27"/>
      <c r="W361" s="27"/>
      <c r="X361" s="27"/>
      <c r="Y361" s="27"/>
      <c r="Z361" s="27"/>
    </row>
    <row r="362" spans="2:27">
      <c r="B362" s="58"/>
      <c r="C362" s="507"/>
      <c r="D362" s="507"/>
      <c r="E362" s="507"/>
      <c r="F362" s="472"/>
      <c r="G362" s="10"/>
      <c r="H362" s="10"/>
      <c r="I362" s="10"/>
      <c r="J362" s="10"/>
      <c r="K362" s="10"/>
      <c r="L362" s="10"/>
      <c r="M362" s="10"/>
      <c r="N362" s="10"/>
      <c r="O362" s="10"/>
      <c r="P362" s="10"/>
      <c r="Q362" s="10"/>
      <c r="R362" s="10"/>
      <c r="S362" s="10"/>
      <c r="T362" s="10"/>
      <c r="U362" s="10"/>
      <c r="V362" s="10"/>
      <c r="W362" s="10"/>
      <c r="X362" s="10"/>
      <c r="Y362" s="10"/>
      <c r="Z362" s="10"/>
      <c r="AA362" s="27"/>
    </row>
    <row r="363" spans="2:27">
      <c r="B363" s="58"/>
      <c r="C363" s="507"/>
      <c r="D363" s="507"/>
      <c r="E363" s="507"/>
      <c r="F363" s="472"/>
      <c r="G363" s="10"/>
      <c r="H363" s="10"/>
      <c r="I363" s="10"/>
      <c r="J363" s="10"/>
      <c r="K363" s="10"/>
      <c r="L363" s="10"/>
      <c r="M363" s="10"/>
      <c r="N363" s="10"/>
      <c r="O363" s="10"/>
      <c r="P363" s="10"/>
      <c r="Q363" s="10"/>
      <c r="R363" s="10"/>
      <c r="S363" s="10"/>
      <c r="T363" s="10"/>
      <c r="U363" s="10"/>
      <c r="V363" s="10"/>
      <c r="W363" s="10"/>
      <c r="X363" s="10"/>
      <c r="Y363" s="10"/>
      <c r="Z363" s="10"/>
      <c r="AA363" s="27"/>
    </row>
    <row r="364" spans="2:27" s="485" customFormat="1">
      <c r="B364" s="179" t="s">
        <v>786</v>
      </c>
      <c r="C364" s="701">
        <v>2019</v>
      </c>
      <c r="D364" s="702">
        <v>2020</v>
      </c>
      <c r="E364" s="701">
        <v>2021</v>
      </c>
      <c r="F364" s="27">
        <v>2022</v>
      </c>
      <c r="G364" s="27">
        <v>2023</v>
      </c>
      <c r="H364" s="27">
        <v>2024</v>
      </c>
      <c r="I364" s="27">
        <v>2025</v>
      </c>
      <c r="J364" s="27">
        <v>2026</v>
      </c>
      <c r="K364" s="27">
        <v>2027</v>
      </c>
      <c r="L364" s="27">
        <v>2028</v>
      </c>
      <c r="M364" s="27">
        <v>2029</v>
      </c>
      <c r="N364" s="27">
        <v>2030</v>
      </c>
      <c r="O364" s="27">
        <v>2031</v>
      </c>
      <c r="P364" s="27">
        <v>2032</v>
      </c>
      <c r="Q364" s="27">
        <v>2033</v>
      </c>
      <c r="R364" s="27">
        <v>2034</v>
      </c>
      <c r="S364" s="27">
        <v>2035</v>
      </c>
      <c r="T364" s="27">
        <v>2036</v>
      </c>
      <c r="U364" s="27">
        <v>2037</v>
      </c>
      <c r="V364" s="27">
        <v>2038</v>
      </c>
      <c r="W364" s="27">
        <v>2039</v>
      </c>
      <c r="X364" s="27">
        <v>2040</v>
      </c>
      <c r="Y364" s="27">
        <v>2041</v>
      </c>
      <c r="Z364" s="27">
        <v>2042</v>
      </c>
      <c r="AA364" s="486"/>
    </row>
    <row r="365" spans="2:27">
      <c r="B365" s="703" t="s">
        <v>806</v>
      </c>
      <c r="C365" s="704"/>
      <c r="D365" s="704"/>
      <c r="E365" s="704"/>
      <c r="F365" s="704"/>
      <c r="G365" s="704"/>
      <c r="H365" s="704"/>
      <c r="I365" s="704"/>
      <c r="J365" s="704"/>
      <c r="K365" s="704"/>
      <c r="L365" s="704"/>
      <c r="M365" s="704"/>
      <c r="N365" s="704"/>
      <c r="O365" s="704"/>
      <c r="P365" s="704"/>
      <c r="Q365" s="704"/>
      <c r="R365" s="704"/>
      <c r="S365" s="704"/>
      <c r="T365" s="704"/>
      <c r="U365" s="704"/>
      <c r="V365" s="704"/>
      <c r="W365" s="704"/>
      <c r="X365" s="704"/>
      <c r="Y365" s="704"/>
      <c r="Z365" s="704"/>
      <c r="AA365" s="27"/>
    </row>
    <row r="366" spans="2:27">
      <c r="B366" s="483" t="s">
        <v>736</v>
      </c>
      <c r="C366" s="500">
        <f>221.5*1000000</f>
        <v>221500000</v>
      </c>
      <c r="D366" s="500">
        <f>320.55*1000000</f>
        <v>320550000</v>
      </c>
      <c r="E366" s="500">
        <f>624.33*1000000</f>
        <v>624330000</v>
      </c>
      <c r="F366" s="500">
        <f>437.68*1000000</f>
        <v>437680000</v>
      </c>
      <c r="G366" s="487"/>
      <c r="H366" s="501">
        <f>+E366+E366*$C$359/100</f>
        <v>641811240</v>
      </c>
      <c r="I366" s="501">
        <f>+H366+H366*$C$359/100</f>
        <v>659781954.72000003</v>
      </c>
      <c r="J366" s="501">
        <f t="shared" ref="J366:Z366" si="327">+I366+I366*$C$359/100</f>
        <v>678255849.45216</v>
      </c>
      <c r="K366" s="501">
        <f t="shared" si="327"/>
        <v>697247013.23682046</v>
      </c>
      <c r="L366" s="501">
        <f t="shared" si="327"/>
        <v>716769929.60745144</v>
      </c>
      <c r="M366" s="501">
        <f t="shared" si="327"/>
        <v>736839487.63646007</v>
      </c>
      <c r="N366" s="501">
        <f t="shared" si="327"/>
        <v>757470993.29028094</v>
      </c>
      <c r="O366" s="501">
        <f t="shared" si="327"/>
        <v>778680181.10240877</v>
      </c>
      <c r="P366" s="501">
        <f t="shared" si="327"/>
        <v>800483226.17327619</v>
      </c>
      <c r="Q366" s="501">
        <f t="shared" si="327"/>
        <v>822896756.50612795</v>
      </c>
      <c r="R366" s="501">
        <f t="shared" si="327"/>
        <v>845937865.68829954</v>
      </c>
      <c r="S366" s="501">
        <f t="shared" si="327"/>
        <v>869624125.92757189</v>
      </c>
      <c r="T366" s="501">
        <f t="shared" si="327"/>
        <v>893973601.4535439</v>
      </c>
      <c r="U366" s="501">
        <f t="shared" si="327"/>
        <v>919004862.2942431</v>
      </c>
      <c r="V366" s="501">
        <f t="shared" si="327"/>
        <v>944736998.43848193</v>
      </c>
      <c r="W366" s="501">
        <f t="shared" si="327"/>
        <v>971189634.39475942</v>
      </c>
      <c r="X366" s="501">
        <f t="shared" si="327"/>
        <v>998382944.15781271</v>
      </c>
      <c r="Y366" s="501">
        <f t="shared" si="327"/>
        <v>1026337666.5942315</v>
      </c>
      <c r="Z366" s="501">
        <f t="shared" si="327"/>
        <v>1055075121.25887</v>
      </c>
      <c r="AA366" s="27"/>
    </row>
    <row r="367" spans="2:27">
      <c r="B367" s="473" t="s">
        <v>723</v>
      </c>
      <c r="C367" s="500"/>
      <c r="D367" s="500"/>
      <c r="E367" s="500"/>
      <c r="F367" s="487"/>
      <c r="G367" s="487"/>
      <c r="H367" s="501">
        <f>+H366-E366</f>
        <v>17481240</v>
      </c>
      <c r="I367" s="501">
        <f t="shared" ref="I367:Z367" si="328">+I366-H366</f>
        <v>17970714.720000029</v>
      </c>
      <c r="J367" s="501">
        <f t="shared" si="328"/>
        <v>18473894.732159972</v>
      </c>
      <c r="K367" s="501">
        <f t="shared" si="328"/>
        <v>18991163.784660459</v>
      </c>
      <c r="L367" s="501">
        <f t="shared" si="328"/>
        <v>19522916.37063098</v>
      </c>
      <c r="M367" s="501">
        <f t="shared" si="328"/>
        <v>20069558.029008627</v>
      </c>
      <c r="N367" s="501">
        <f t="shared" si="328"/>
        <v>20631505.653820872</v>
      </c>
      <c r="O367" s="501">
        <f t="shared" si="328"/>
        <v>21209187.812127829</v>
      </c>
      <c r="P367" s="501">
        <f t="shared" si="328"/>
        <v>21803045.070867419</v>
      </c>
      <c r="Q367" s="501">
        <f t="shared" si="328"/>
        <v>22413530.332851768</v>
      </c>
      <c r="R367" s="501">
        <f t="shared" si="328"/>
        <v>23041109.182171583</v>
      </c>
      <c r="S367" s="501">
        <f t="shared" si="328"/>
        <v>23686260.239272356</v>
      </c>
      <c r="T367" s="501">
        <f t="shared" si="328"/>
        <v>24349475.525972009</v>
      </c>
      <c r="U367" s="501">
        <f t="shared" si="328"/>
        <v>25031260.840699196</v>
      </c>
      <c r="V367" s="501">
        <f t="shared" si="328"/>
        <v>25732136.14423883</v>
      </c>
      <c r="W367" s="501">
        <f t="shared" si="328"/>
        <v>26452635.95627749</v>
      </c>
      <c r="X367" s="501">
        <f t="shared" si="328"/>
        <v>27193309.763053298</v>
      </c>
      <c r="Y367" s="501">
        <f t="shared" si="328"/>
        <v>27954722.436418772</v>
      </c>
      <c r="Z367" s="501">
        <f t="shared" si="328"/>
        <v>28737454.664638519</v>
      </c>
      <c r="AA367" s="27"/>
    </row>
    <row r="368" spans="2:27">
      <c r="B368" s="473" t="s">
        <v>733</v>
      </c>
      <c r="C368" s="500"/>
      <c r="D368" s="500"/>
      <c r="E368" s="500"/>
      <c r="F368" s="487"/>
      <c r="G368" s="487"/>
      <c r="H368" s="501">
        <f>+H367*0.235</f>
        <v>4108091.4</v>
      </c>
      <c r="I368" s="501">
        <f t="shared" ref="I368:Z368" si="329">+I367*0.235</f>
        <v>4223117.9592000069</v>
      </c>
      <c r="J368" s="501">
        <f t="shared" si="329"/>
        <v>4341365.2620575931</v>
      </c>
      <c r="K368" s="501">
        <f t="shared" si="329"/>
        <v>4462923.4893952077</v>
      </c>
      <c r="L368" s="501">
        <f t="shared" si="329"/>
        <v>4587885.3470982797</v>
      </c>
      <c r="M368" s="501">
        <f t="shared" si="329"/>
        <v>4716346.1368170269</v>
      </c>
      <c r="N368" s="501">
        <f t="shared" si="329"/>
        <v>4848403.828647905</v>
      </c>
      <c r="O368" s="501">
        <f t="shared" si="329"/>
        <v>4984159.1358500393</v>
      </c>
      <c r="P368" s="501">
        <f t="shared" si="329"/>
        <v>5123715.5916538434</v>
      </c>
      <c r="Q368" s="501">
        <f t="shared" si="329"/>
        <v>5267179.6282201651</v>
      </c>
      <c r="R368" s="501">
        <f t="shared" si="329"/>
        <v>5414660.657810322</v>
      </c>
      <c r="S368" s="501">
        <f t="shared" si="329"/>
        <v>5566271.1562290033</v>
      </c>
      <c r="T368" s="501">
        <f t="shared" si="329"/>
        <v>5722126.7486034213</v>
      </c>
      <c r="U368" s="501">
        <f t="shared" si="329"/>
        <v>5882346.297564311</v>
      </c>
      <c r="V368" s="501">
        <f t="shared" si="329"/>
        <v>6047051.9938961249</v>
      </c>
      <c r="W368" s="501">
        <f t="shared" si="329"/>
        <v>6216369.4497252097</v>
      </c>
      <c r="X368" s="501">
        <f t="shared" si="329"/>
        <v>6390427.7943175249</v>
      </c>
      <c r="Y368" s="501">
        <f t="shared" si="329"/>
        <v>6569359.7725584107</v>
      </c>
      <c r="Z368" s="501">
        <f t="shared" si="329"/>
        <v>6753301.8461900521</v>
      </c>
      <c r="AA368" s="27"/>
    </row>
    <row r="369" spans="2:28">
      <c r="B369" s="483" t="s">
        <v>724</v>
      </c>
      <c r="C369" s="500">
        <f>1100233.8*1000</f>
        <v>1100233800</v>
      </c>
      <c r="D369" s="500">
        <f>1256766.6*1000</f>
        <v>1256766600</v>
      </c>
      <c r="E369" s="500">
        <f>2161088.2*1000</f>
        <v>2161088200</v>
      </c>
      <c r="F369" s="500">
        <f>2359905.4*1000</f>
        <v>2359905400</v>
      </c>
      <c r="G369" s="487"/>
      <c r="H369" s="501">
        <f>+E369+E369*$C$359/100</f>
        <v>2221598669.5999999</v>
      </c>
      <c r="I369" s="501">
        <f>+H369+H369*$C$359/100</f>
        <v>2283803432.3487997</v>
      </c>
      <c r="J369" s="501">
        <f t="shared" ref="J369:Z369" si="330">+I369+I369*$C$359/100</f>
        <v>2347749928.454566</v>
      </c>
      <c r="K369" s="501">
        <f t="shared" si="330"/>
        <v>2413486926.4512939</v>
      </c>
      <c r="L369" s="501">
        <f t="shared" si="330"/>
        <v>2481064560.3919301</v>
      </c>
      <c r="M369" s="501">
        <f t="shared" si="330"/>
        <v>2550534368.0829043</v>
      </c>
      <c r="N369" s="501">
        <f t="shared" si="330"/>
        <v>2621949330.3892255</v>
      </c>
      <c r="O369" s="501">
        <f t="shared" si="330"/>
        <v>2695363911.6401238</v>
      </c>
      <c r="P369" s="501">
        <f t="shared" si="330"/>
        <v>2770834101.1660471</v>
      </c>
      <c r="Q369" s="501">
        <f t="shared" si="330"/>
        <v>2848417455.9986963</v>
      </c>
      <c r="R369" s="501">
        <f t="shared" si="330"/>
        <v>2928173144.7666597</v>
      </c>
      <c r="S369" s="501">
        <f t="shared" si="330"/>
        <v>3010161992.8201261</v>
      </c>
      <c r="T369" s="501">
        <f t="shared" si="330"/>
        <v>3094446528.6190896</v>
      </c>
      <c r="U369" s="501">
        <f t="shared" si="330"/>
        <v>3181091031.420424</v>
      </c>
      <c r="V369" s="501">
        <f t="shared" si="330"/>
        <v>3270161580.3001957</v>
      </c>
      <c r="W369" s="501">
        <f t="shared" si="330"/>
        <v>3361726104.5486012</v>
      </c>
      <c r="X369" s="501">
        <f t="shared" si="330"/>
        <v>3455854435.4759622</v>
      </c>
      <c r="Y369" s="501">
        <f t="shared" si="330"/>
        <v>3552618359.6692891</v>
      </c>
      <c r="Z369" s="501">
        <f t="shared" si="330"/>
        <v>3652091673.7400293</v>
      </c>
      <c r="AA369" s="27"/>
    </row>
    <row r="370" spans="2:28">
      <c r="B370" s="473" t="s">
        <v>723</v>
      </c>
      <c r="C370" s="500"/>
      <c r="D370" s="500"/>
      <c r="E370" s="500"/>
      <c r="F370" s="487"/>
      <c r="G370" s="487"/>
      <c r="H370" s="501">
        <f>+H369-E369</f>
        <v>60510469.599999905</v>
      </c>
      <c r="I370" s="501">
        <f t="shared" ref="I370:Z370" si="331">+I369-H369</f>
        <v>62204762.748799801</v>
      </c>
      <c r="J370" s="501">
        <f t="shared" si="331"/>
        <v>63946496.105766296</v>
      </c>
      <c r="K370" s="501">
        <f t="shared" si="331"/>
        <v>65736997.996727943</v>
      </c>
      <c r="L370" s="501">
        <f t="shared" si="331"/>
        <v>67577633.940636158</v>
      </c>
      <c r="M370" s="501">
        <f t="shared" si="331"/>
        <v>69469807.690974236</v>
      </c>
      <c r="N370" s="501">
        <f t="shared" si="331"/>
        <v>71414962.306321144</v>
      </c>
      <c r="O370" s="501">
        <f t="shared" si="331"/>
        <v>73414581.250898361</v>
      </c>
      <c r="P370" s="501">
        <f t="shared" si="331"/>
        <v>75470189.525923252</v>
      </c>
      <c r="Q370" s="501">
        <f t="shared" si="331"/>
        <v>77583354.832649231</v>
      </c>
      <c r="R370" s="501">
        <f t="shared" si="331"/>
        <v>79755688.767963409</v>
      </c>
      <c r="S370" s="501">
        <f t="shared" si="331"/>
        <v>81988848.05346632</v>
      </c>
      <c r="T370" s="501">
        <f t="shared" si="331"/>
        <v>84284535.798963547</v>
      </c>
      <c r="U370" s="501">
        <f t="shared" si="331"/>
        <v>86644502.801334381</v>
      </c>
      <c r="V370" s="501">
        <f t="shared" si="331"/>
        <v>89070548.879771709</v>
      </c>
      <c r="W370" s="501">
        <f t="shared" si="331"/>
        <v>91564524.248405457</v>
      </c>
      <c r="X370" s="501">
        <f t="shared" si="331"/>
        <v>94128330.927361012</v>
      </c>
      <c r="Y370" s="501">
        <f t="shared" si="331"/>
        <v>96763924.19332695</v>
      </c>
      <c r="Z370" s="501">
        <f t="shared" si="331"/>
        <v>99473314.070740223</v>
      </c>
      <c r="AA370" s="27"/>
    </row>
    <row r="371" spans="2:28">
      <c r="B371" s="473" t="s">
        <v>733</v>
      </c>
      <c r="C371" s="500"/>
      <c r="D371" s="500"/>
      <c r="E371" s="500"/>
      <c r="F371" s="487"/>
      <c r="G371" s="487"/>
      <c r="H371" s="501">
        <f>+H370*0.235</f>
        <v>14219960.355999976</v>
      </c>
      <c r="I371" s="501">
        <f t="shared" ref="I371:Z371" si="332">+I370*0.235</f>
        <v>14618119.245967953</v>
      </c>
      <c r="J371" s="501">
        <f t="shared" si="332"/>
        <v>15027426.58485508</v>
      </c>
      <c r="K371" s="501">
        <f t="shared" si="332"/>
        <v>15448194.529231066</v>
      </c>
      <c r="L371" s="501">
        <f t="shared" si="332"/>
        <v>15880743.976049496</v>
      </c>
      <c r="M371" s="501">
        <f t="shared" si="332"/>
        <v>16325404.807378944</v>
      </c>
      <c r="N371" s="501">
        <f t="shared" si="332"/>
        <v>16782516.141985469</v>
      </c>
      <c r="O371" s="501">
        <f t="shared" si="332"/>
        <v>17252426.593961112</v>
      </c>
      <c r="P371" s="501">
        <f t="shared" si="332"/>
        <v>17735494.538591962</v>
      </c>
      <c r="Q371" s="501">
        <f t="shared" si="332"/>
        <v>18232088.385672569</v>
      </c>
      <c r="R371" s="501">
        <f t="shared" si="332"/>
        <v>18742586.860471401</v>
      </c>
      <c r="S371" s="501">
        <f t="shared" si="332"/>
        <v>19267379.292564586</v>
      </c>
      <c r="T371" s="501">
        <f t="shared" si="332"/>
        <v>19806865.912756432</v>
      </c>
      <c r="U371" s="501">
        <f t="shared" si="332"/>
        <v>20361458.15831358</v>
      </c>
      <c r="V371" s="501">
        <f t="shared" si="332"/>
        <v>20931578.986746352</v>
      </c>
      <c r="W371" s="501">
        <f t="shared" si="332"/>
        <v>21517663.198375281</v>
      </c>
      <c r="X371" s="501">
        <f t="shared" si="332"/>
        <v>22120157.767929837</v>
      </c>
      <c r="Y371" s="501">
        <f t="shared" si="332"/>
        <v>22739522.185431831</v>
      </c>
      <c r="Z371" s="501">
        <f t="shared" si="332"/>
        <v>23376228.806623951</v>
      </c>
      <c r="AA371" s="27"/>
    </row>
    <row r="372" spans="2:28">
      <c r="B372" s="483" t="s">
        <v>722</v>
      </c>
      <c r="C372" s="500">
        <f>262.34*1000000</f>
        <v>262339999.99999997</v>
      </c>
      <c r="D372" s="500">
        <f>348.89*1000000</f>
        <v>348890000</v>
      </c>
      <c r="E372" s="500">
        <f>381.31*1000000</f>
        <v>381310000</v>
      </c>
      <c r="F372" s="500">
        <f>602.45*1000000</f>
        <v>602450000</v>
      </c>
      <c r="G372" s="487"/>
      <c r="H372" s="501">
        <f>+E372+E372*$C$359/100</f>
        <v>391986680</v>
      </c>
      <c r="I372" s="501">
        <f>+H372+H372*$C$359/100</f>
        <v>402962307.04000002</v>
      </c>
      <c r="J372" s="501">
        <f t="shared" ref="J372:Z372" si="333">+I372+I372*$C$359/100</f>
        <v>414245251.63712001</v>
      </c>
      <c r="K372" s="501">
        <f t="shared" si="333"/>
        <v>425844118.68295938</v>
      </c>
      <c r="L372" s="501">
        <f t="shared" si="333"/>
        <v>437767754.00608224</v>
      </c>
      <c r="M372" s="501">
        <f t="shared" si="333"/>
        <v>450025251.11825252</v>
      </c>
      <c r="N372" s="501">
        <f t="shared" si="333"/>
        <v>462625958.14956361</v>
      </c>
      <c r="O372" s="501">
        <f t="shared" si="333"/>
        <v>475579484.97775137</v>
      </c>
      <c r="P372" s="501">
        <f t="shared" si="333"/>
        <v>488895710.55712843</v>
      </c>
      <c r="Q372" s="501">
        <f t="shared" si="333"/>
        <v>502584790.45272803</v>
      </c>
      <c r="R372" s="501">
        <f t="shared" si="333"/>
        <v>516657164.5854044</v>
      </c>
      <c r="S372" s="501">
        <f t="shared" si="333"/>
        <v>531123565.19379574</v>
      </c>
      <c r="T372" s="501">
        <f t="shared" si="333"/>
        <v>545995025.01922202</v>
      </c>
      <c r="U372" s="501">
        <f t="shared" si="333"/>
        <v>561282885.71976018</v>
      </c>
      <c r="V372" s="501">
        <f t="shared" si="333"/>
        <v>576998806.51991343</v>
      </c>
      <c r="W372" s="501">
        <f t="shared" si="333"/>
        <v>593154773.10247099</v>
      </c>
      <c r="X372" s="501">
        <f t="shared" si="333"/>
        <v>609763106.74934018</v>
      </c>
      <c r="Y372" s="501">
        <f t="shared" si="333"/>
        <v>626836473.73832166</v>
      </c>
      <c r="Z372" s="501">
        <f t="shared" si="333"/>
        <v>644387895.00299466</v>
      </c>
      <c r="AA372" s="27"/>
    </row>
    <row r="373" spans="2:28">
      <c r="B373" s="473" t="s">
        <v>723</v>
      </c>
      <c r="C373" s="500"/>
      <c r="D373" s="500"/>
      <c r="E373" s="500"/>
      <c r="F373" s="487"/>
      <c r="G373" s="487"/>
      <c r="H373" s="501">
        <f>+H372-E372</f>
        <v>10676680</v>
      </c>
      <c r="I373" s="501">
        <f t="shared" ref="I373:Z373" si="334">+I372-H372</f>
        <v>10975627.040000021</v>
      </c>
      <c r="J373" s="501">
        <f t="shared" si="334"/>
        <v>11282944.597119987</v>
      </c>
      <c r="K373" s="501">
        <f t="shared" si="334"/>
        <v>11598867.045839369</v>
      </c>
      <c r="L373" s="501">
        <f t="shared" si="334"/>
        <v>11923635.323122859</v>
      </c>
      <c r="M373" s="501">
        <f t="shared" si="334"/>
        <v>12257497.112170279</v>
      </c>
      <c r="N373" s="501">
        <f t="shared" si="334"/>
        <v>12600707.031311095</v>
      </c>
      <c r="O373" s="501">
        <f t="shared" si="334"/>
        <v>12953526.828187764</v>
      </c>
      <c r="P373" s="501">
        <f t="shared" si="334"/>
        <v>13316225.579377055</v>
      </c>
      <c r="Q373" s="501">
        <f t="shared" si="334"/>
        <v>13689079.895599604</v>
      </c>
      <c r="R373" s="501">
        <f t="shared" si="334"/>
        <v>14072374.132676363</v>
      </c>
      <c r="S373" s="501">
        <f t="shared" si="334"/>
        <v>14466400.608391345</v>
      </c>
      <c r="T373" s="501">
        <f t="shared" si="334"/>
        <v>14871459.82542628</v>
      </c>
      <c r="U373" s="501">
        <f t="shared" si="334"/>
        <v>15287860.700538158</v>
      </c>
      <c r="V373" s="501">
        <f t="shared" si="334"/>
        <v>15715920.800153255</v>
      </c>
      <c r="W373" s="501">
        <f t="shared" si="334"/>
        <v>16155966.582557559</v>
      </c>
      <c r="X373" s="501">
        <f t="shared" si="334"/>
        <v>16608333.646869183</v>
      </c>
      <c r="Y373" s="501">
        <f t="shared" si="334"/>
        <v>17073366.988981485</v>
      </c>
      <c r="Z373" s="501">
        <f t="shared" si="334"/>
        <v>17551421.264672995</v>
      </c>
      <c r="AA373" s="27"/>
    </row>
    <row r="374" spans="2:28">
      <c r="B374" s="473" t="s">
        <v>733</v>
      </c>
      <c r="C374" s="500"/>
      <c r="D374" s="500"/>
      <c r="E374" s="500"/>
      <c r="F374" s="487"/>
      <c r="G374" s="487"/>
      <c r="H374" s="501">
        <f>+H373*0.235</f>
        <v>2509019.7999999998</v>
      </c>
      <c r="I374" s="501">
        <f t="shared" ref="I374:Z374" si="335">+I373*0.235</f>
        <v>2579272.3544000047</v>
      </c>
      <c r="J374" s="501">
        <f t="shared" si="335"/>
        <v>2651491.9803231969</v>
      </c>
      <c r="K374" s="501">
        <f t="shared" si="335"/>
        <v>2725733.7557722516</v>
      </c>
      <c r="L374" s="501">
        <f t="shared" si="335"/>
        <v>2802054.3009338719</v>
      </c>
      <c r="M374" s="501">
        <f t="shared" si="335"/>
        <v>2880511.8213600153</v>
      </c>
      <c r="N374" s="501">
        <f t="shared" si="335"/>
        <v>2961166.1523581073</v>
      </c>
      <c r="O374" s="501">
        <f t="shared" si="335"/>
        <v>3044078.8046241244</v>
      </c>
      <c r="P374" s="501">
        <f t="shared" si="335"/>
        <v>3129313.0111536076</v>
      </c>
      <c r="Q374" s="501">
        <f t="shared" si="335"/>
        <v>3216933.7754659066</v>
      </c>
      <c r="R374" s="501">
        <f t="shared" si="335"/>
        <v>3307007.9211789453</v>
      </c>
      <c r="S374" s="501">
        <f t="shared" si="335"/>
        <v>3399604.1429719659</v>
      </c>
      <c r="T374" s="501">
        <f t="shared" si="335"/>
        <v>3494793.0589751755</v>
      </c>
      <c r="U374" s="501">
        <f t="shared" si="335"/>
        <v>3592647.2646264671</v>
      </c>
      <c r="V374" s="501">
        <f t="shared" si="335"/>
        <v>3693241.388036015</v>
      </c>
      <c r="W374" s="501">
        <f t="shared" si="335"/>
        <v>3796652.1469010264</v>
      </c>
      <c r="X374" s="501">
        <f t="shared" si="335"/>
        <v>3902958.4070142577</v>
      </c>
      <c r="Y374" s="501">
        <f t="shared" si="335"/>
        <v>4012241.2424106486</v>
      </c>
      <c r="Z374" s="501">
        <f t="shared" si="335"/>
        <v>4124583.9971981533</v>
      </c>
      <c r="AA374" s="27"/>
    </row>
    <row r="375" spans="2:28" s="485" customFormat="1">
      <c r="B375" s="476" t="s">
        <v>734</v>
      </c>
      <c r="C375" s="506"/>
      <c r="D375" s="504"/>
      <c r="E375" s="506"/>
      <c r="F375" s="511"/>
      <c r="G375" s="505"/>
      <c r="H375" s="505">
        <f>+H368+H371+H374</f>
        <v>20837071.555999976</v>
      </c>
      <c r="I375" s="505">
        <f t="shared" ref="I375:Z375" si="336">+I368+I371+I374</f>
        <v>21420509.559567966</v>
      </c>
      <c r="J375" s="505">
        <f t="shared" si="336"/>
        <v>22020283.82723587</v>
      </c>
      <c r="K375" s="505">
        <f t="shared" si="336"/>
        <v>22636851.774398524</v>
      </c>
      <c r="L375" s="505">
        <f t="shared" si="336"/>
        <v>23270683.624081645</v>
      </c>
      <c r="M375" s="505">
        <f t="shared" si="336"/>
        <v>23922262.765555985</v>
      </c>
      <c r="N375" s="505">
        <f t="shared" si="336"/>
        <v>24592086.12299148</v>
      </c>
      <c r="O375" s="505">
        <f t="shared" si="336"/>
        <v>25280664.534435276</v>
      </c>
      <c r="P375" s="505">
        <f t="shared" si="336"/>
        <v>25988523.141399413</v>
      </c>
      <c r="Q375" s="505">
        <f t="shared" si="336"/>
        <v>26716201.789358638</v>
      </c>
      <c r="R375" s="505">
        <f t="shared" si="336"/>
        <v>27464255.439460669</v>
      </c>
      <c r="S375" s="505">
        <f t="shared" si="336"/>
        <v>28233254.591765556</v>
      </c>
      <c r="T375" s="505">
        <f t="shared" si="336"/>
        <v>29023785.720335029</v>
      </c>
      <c r="U375" s="505">
        <f t="shared" si="336"/>
        <v>29836451.720504358</v>
      </c>
      <c r="V375" s="505">
        <f t="shared" si="336"/>
        <v>30671872.368678492</v>
      </c>
      <c r="W375" s="505">
        <f t="shared" si="336"/>
        <v>31530684.795001518</v>
      </c>
      <c r="X375" s="505">
        <f t="shared" si="336"/>
        <v>32413543.96926162</v>
      </c>
      <c r="Y375" s="505">
        <f t="shared" si="336"/>
        <v>33321123.200400889</v>
      </c>
      <c r="Z375" s="505">
        <f t="shared" si="336"/>
        <v>34254114.65001215</v>
      </c>
      <c r="AA375" s="486"/>
    </row>
    <row r="376" spans="2:28">
      <c r="B376" s="703" t="s">
        <v>737</v>
      </c>
      <c r="C376" s="705"/>
      <c r="D376" s="705"/>
      <c r="E376" s="706"/>
      <c r="F376" s="707"/>
      <c r="G376" s="708"/>
      <c r="H376" s="708"/>
      <c r="I376" s="708"/>
      <c r="J376" s="708"/>
      <c r="K376" s="708"/>
      <c r="L376" s="708"/>
      <c r="M376" s="708"/>
      <c r="N376" s="708"/>
      <c r="O376" s="708"/>
      <c r="P376" s="708"/>
      <c r="Q376" s="708"/>
      <c r="R376" s="708"/>
      <c r="S376" s="708"/>
      <c r="T376" s="708"/>
      <c r="U376" s="708"/>
      <c r="V376" s="708"/>
      <c r="W376" s="708"/>
      <c r="X376" s="708"/>
      <c r="Y376" s="708"/>
      <c r="Z376" s="708"/>
      <c r="AA376" s="27"/>
    </row>
    <row r="377" spans="2:28">
      <c r="B377" s="483" t="s">
        <v>736</v>
      </c>
      <c r="C377" s="500">
        <v>52280000</v>
      </c>
      <c r="D377" s="500">
        <f>45.47*1000000</f>
        <v>45470000</v>
      </c>
      <c r="E377" s="500">
        <f>58.28*1000000</f>
        <v>58280000</v>
      </c>
      <c r="F377" s="500">
        <f>63.33*1000000</f>
        <v>63330000</v>
      </c>
      <c r="G377" s="487"/>
      <c r="H377" s="487"/>
      <c r="I377" s="501">
        <f>+E377+E377*$C$359/100</f>
        <v>59911840</v>
      </c>
      <c r="J377" s="501">
        <f>+I377+I377*$C$359/100</f>
        <v>61589371.520000003</v>
      </c>
      <c r="K377" s="501">
        <f t="shared" ref="K377:Z377" si="337">+J377+J377*$C$359/100</f>
        <v>63313873.922560006</v>
      </c>
      <c r="L377" s="501">
        <f t="shared" si="337"/>
        <v>65086662.392391689</v>
      </c>
      <c r="M377" s="501">
        <f t="shared" si="337"/>
        <v>66909088.939378656</v>
      </c>
      <c r="N377" s="501">
        <f t="shared" si="337"/>
        <v>68782543.429681256</v>
      </c>
      <c r="O377" s="501">
        <f t="shared" si="337"/>
        <v>70708454.645712331</v>
      </c>
      <c r="P377" s="501">
        <f t="shared" si="337"/>
        <v>72688291.37579228</v>
      </c>
      <c r="Q377" s="501">
        <f t="shared" si="337"/>
        <v>74723563.534314469</v>
      </c>
      <c r="R377" s="501">
        <f t="shared" si="337"/>
        <v>76815823.313275278</v>
      </c>
      <c r="S377" s="501">
        <f t="shared" si="337"/>
        <v>78966666.36604698</v>
      </c>
      <c r="T377" s="501">
        <f t="shared" si="337"/>
        <v>81177733.024296299</v>
      </c>
      <c r="U377" s="501">
        <f t="shared" si="337"/>
        <v>83450709.5489766</v>
      </c>
      <c r="V377" s="501">
        <f t="shared" si="337"/>
        <v>85787329.416347951</v>
      </c>
      <c r="W377" s="501">
        <f t="shared" si="337"/>
        <v>88189374.640005693</v>
      </c>
      <c r="X377" s="501">
        <f t="shared" si="337"/>
        <v>90658677.129925847</v>
      </c>
      <c r="Y377" s="501">
        <f t="shared" si="337"/>
        <v>93197120.089563772</v>
      </c>
      <c r="Z377" s="501">
        <f t="shared" si="337"/>
        <v>95806639.452071562</v>
      </c>
      <c r="AA377" s="27"/>
      <c r="AB377" s="27"/>
    </row>
    <row r="378" spans="2:28">
      <c r="B378" s="473" t="s">
        <v>723</v>
      </c>
      <c r="C378" s="500"/>
      <c r="D378" s="500"/>
      <c r="E378" s="500"/>
      <c r="F378" s="487"/>
      <c r="G378" s="487"/>
      <c r="H378" s="487"/>
      <c r="I378" s="501">
        <f>+I377-E377</f>
        <v>1631840</v>
      </c>
      <c r="J378" s="501">
        <f t="shared" ref="J378:Z378" si="338">+J377-I377</f>
        <v>1677531.5200000033</v>
      </c>
      <c r="K378" s="501">
        <f t="shared" si="338"/>
        <v>1724502.4025600031</v>
      </c>
      <c r="L378" s="501">
        <f t="shared" si="338"/>
        <v>1772788.4698316827</v>
      </c>
      <c r="M378" s="501">
        <f t="shared" si="338"/>
        <v>1822426.5469869673</v>
      </c>
      <c r="N378" s="501">
        <f t="shared" si="338"/>
        <v>1873454.4903026</v>
      </c>
      <c r="O378" s="501">
        <f t="shared" si="338"/>
        <v>1925911.2160310745</v>
      </c>
      <c r="P378" s="501">
        <f t="shared" si="338"/>
        <v>1979836.7300799489</v>
      </c>
      <c r="Q378" s="501">
        <f t="shared" si="338"/>
        <v>2035272.1585221887</v>
      </c>
      <c r="R378" s="501">
        <f t="shared" si="338"/>
        <v>2092259.7789608091</v>
      </c>
      <c r="S378" s="501">
        <f t="shared" si="338"/>
        <v>2150843.0527717024</v>
      </c>
      <c r="T378" s="501">
        <f t="shared" si="338"/>
        <v>2211066.6582493186</v>
      </c>
      <c r="U378" s="501">
        <f t="shared" si="338"/>
        <v>2272976.5246803015</v>
      </c>
      <c r="V378" s="501">
        <f t="shared" si="338"/>
        <v>2336619.8673713505</v>
      </c>
      <c r="W378" s="501">
        <f t="shared" si="338"/>
        <v>2402045.2236577421</v>
      </c>
      <c r="X378" s="501">
        <f t="shared" si="338"/>
        <v>2469302.4899201542</v>
      </c>
      <c r="Y378" s="501">
        <f t="shared" si="338"/>
        <v>2538442.959637925</v>
      </c>
      <c r="Z378" s="501">
        <f t="shared" si="338"/>
        <v>2609519.3625077903</v>
      </c>
      <c r="AA378" s="27"/>
      <c r="AB378" s="27"/>
    </row>
    <row r="379" spans="2:28">
      <c r="B379" s="473" t="s">
        <v>733</v>
      </c>
      <c r="C379" s="500"/>
      <c r="D379" s="500"/>
      <c r="E379" s="500"/>
      <c r="F379" s="487"/>
      <c r="G379" s="487"/>
      <c r="H379" s="487"/>
      <c r="I379" s="501">
        <f>+I378*0.235</f>
        <v>383482.39999999997</v>
      </c>
      <c r="J379" s="501">
        <f t="shared" ref="J379:Z379" si="339">+J378*0.235</f>
        <v>394219.90720000077</v>
      </c>
      <c r="K379" s="501">
        <f t="shared" si="339"/>
        <v>405258.06460160069</v>
      </c>
      <c r="L379" s="501">
        <f t="shared" si="339"/>
        <v>416605.29041044542</v>
      </c>
      <c r="M379" s="501">
        <f t="shared" si="339"/>
        <v>428270.23854193732</v>
      </c>
      <c r="N379" s="501">
        <f t="shared" si="339"/>
        <v>440261.80522111099</v>
      </c>
      <c r="O379" s="501">
        <f t="shared" si="339"/>
        <v>452589.13576730248</v>
      </c>
      <c r="P379" s="501">
        <f t="shared" si="339"/>
        <v>465261.63156878797</v>
      </c>
      <c r="Q379" s="501">
        <f t="shared" si="339"/>
        <v>478288.95725271432</v>
      </c>
      <c r="R379" s="501">
        <f t="shared" si="339"/>
        <v>491681.04805579013</v>
      </c>
      <c r="S379" s="501">
        <f t="shared" si="339"/>
        <v>505448.11740135006</v>
      </c>
      <c r="T379" s="501">
        <f t="shared" si="339"/>
        <v>519600.66468858987</v>
      </c>
      <c r="U379" s="501">
        <f t="shared" si="339"/>
        <v>534149.48329987086</v>
      </c>
      <c r="V379" s="501">
        <f t="shared" si="339"/>
        <v>549105.66883226729</v>
      </c>
      <c r="W379" s="501">
        <f t="shared" si="339"/>
        <v>564480.62755956932</v>
      </c>
      <c r="X379" s="501">
        <f t="shared" si="339"/>
        <v>580286.08513123624</v>
      </c>
      <c r="Y379" s="501">
        <f t="shared" si="339"/>
        <v>596534.09551491239</v>
      </c>
      <c r="Z379" s="501">
        <f t="shared" si="339"/>
        <v>613237.05018933071</v>
      </c>
      <c r="AA379" s="27"/>
      <c r="AB379" s="27"/>
    </row>
    <row r="380" spans="2:28">
      <c r="B380" s="483" t="s">
        <v>724</v>
      </c>
      <c r="C380" s="500">
        <f>70189.6*1000</f>
        <v>70189600</v>
      </c>
      <c r="D380" s="500">
        <f>87088.6*1000</f>
        <v>87088600</v>
      </c>
      <c r="E380" s="500">
        <f>74545.4*1000</f>
        <v>74545400</v>
      </c>
      <c r="F380" s="500">
        <f>107061.5*1000</f>
        <v>107061500</v>
      </c>
      <c r="G380" s="487"/>
      <c r="H380" s="487"/>
      <c r="I380" s="501">
        <f>+E380+E380*$C$359/100</f>
        <v>76632671.200000003</v>
      </c>
      <c r="J380" s="501">
        <f>+I380+I380*$C$359/100</f>
        <v>78778385.993599996</v>
      </c>
      <c r="K380" s="501">
        <f t="shared" ref="K380:Z380" si="340">+J380+J380*$C$359/100</f>
        <v>80984180.801420793</v>
      </c>
      <c r="L380" s="501">
        <f t="shared" si="340"/>
        <v>83251737.863860577</v>
      </c>
      <c r="M380" s="501">
        <f t="shared" si="340"/>
        <v>85582786.524048671</v>
      </c>
      <c r="N380" s="501">
        <f t="shared" si="340"/>
        <v>87979104.54672204</v>
      </c>
      <c r="O380" s="501">
        <f t="shared" si="340"/>
        <v>90442519.474030256</v>
      </c>
      <c r="P380" s="501">
        <f t="shared" si="340"/>
        <v>92974910.019303098</v>
      </c>
      <c r="Q380" s="501">
        <f t="shared" si="340"/>
        <v>95578207.499843583</v>
      </c>
      <c r="R380" s="501">
        <f t="shared" si="340"/>
        <v>98254397.309839204</v>
      </c>
      <c r="S380" s="501">
        <f t="shared" si="340"/>
        <v>101005520.4345147</v>
      </c>
      <c r="T380" s="501">
        <f t="shared" si="340"/>
        <v>103833675.00668111</v>
      </c>
      <c r="U380" s="501">
        <f t="shared" si="340"/>
        <v>106741017.90686819</v>
      </c>
      <c r="V380" s="501">
        <f t="shared" si="340"/>
        <v>109729766.40826049</v>
      </c>
      <c r="W380" s="501">
        <f t="shared" si="340"/>
        <v>112802199.86769179</v>
      </c>
      <c r="X380" s="501">
        <f t="shared" si="340"/>
        <v>115960661.46398716</v>
      </c>
      <c r="Y380" s="501">
        <f t="shared" si="340"/>
        <v>119207559.9849788</v>
      </c>
      <c r="Z380" s="501">
        <f t="shared" si="340"/>
        <v>122545371.6645582</v>
      </c>
      <c r="AA380" s="27"/>
      <c r="AB380" s="27"/>
    </row>
    <row r="381" spans="2:28">
      <c r="B381" s="473" t="s">
        <v>723</v>
      </c>
      <c r="C381" s="500"/>
      <c r="D381" s="500"/>
      <c r="E381" s="500"/>
      <c r="F381" s="487"/>
      <c r="G381" s="487"/>
      <c r="H381" s="487"/>
      <c r="I381" s="501">
        <f>+I380-E380</f>
        <v>2087271.200000003</v>
      </c>
      <c r="J381" s="501">
        <f t="shared" ref="J381:Z381" si="341">+J380-I380</f>
        <v>2145714.793599993</v>
      </c>
      <c r="K381" s="501">
        <f t="shared" si="341"/>
        <v>2205794.807820797</v>
      </c>
      <c r="L381" s="501">
        <f t="shared" si="341"/>
        <v>2267557.0624397844</v>
      </c>
      <c r="M381" s="501">
        <f t="shared" si="341"/>
        <v>2331048.6601880938</v>
      </c>
      <c r="N381" s="501">
        <f t="shared" si="341"/>
        <v>2396318.0226733685</v>
      </c>
      <c r="O381" s="501">
        <f t="shared" si="341"/>
        <v>2463414.9273082167</v>
      </c>
      <c r="P381" s="501">
        <f t="shared" si="341"/>
        <v>2532390.545272842</v>
      </c>
      <c r="Q381" s="501">
        <f t="shared" si="341"/>
        <v>2603297.4805404842</v>
      </c>
      <c r="R381" s="501">
        <f t="shared" si="341"/>
        <v>2676189.8099956214</v>
      </c>
      <c r="S381" s="501">
        <f t="shared" si="341"/>
        <v>2751123.1246754974</v>
      </c>
      <c r="T381" s="501">
        <f t="shared" si="341"/>
        <v>2828154.5721664131</v>
      </c>
      <c r="U381" s="501">
        <f t="shared" si="341"/>
        <v>2907342.9001870751</v>
      </c>
      <c r="V381" s="501">
        <f t="shared" si="341"/>
        <v>2988748.5013923049</v>
      </c>
      <c r="W381" s="501">
        <f t="shared" si="341"/>
        <v>3072433.4594312906</v>
      </c>
      <c r="X381" s="501">
        <f t="shared" si="341"/>
        <v>3158461.5962953717</v>
      </c>
      <c r="Y381" s="501">
        <f t="shared" si="341"/>
        <v>3246898.5209916383</v>
      </c>
      <c r="Z381" s="501">
        <f t="shared" si="341"/>
        <v>3337811.679579407</v>
      </c>
      <c r="AA381" s="27"/>
      <c r="AB381" s="27"/>
    </row>
    <row r="382" spans="2:28">
      <c r="B382" s="473" t="s">
        <v>733</v>
      </c>
      <c r="C382" s="500"/>
      <c r="D382" s="500"/>
      <c r="E382" s="500"/>
      <c r="F382" s="487"/>
      <c r="G382" s="487"/>
      <c r="H382" s="487"/>
      <c r="I382" s="501">
        <f>+I381*0.235</f>
        <v>490508.73200000066</v>
      </c>
      <c r="J382" s="501">
        <f t="shared" ref="J382:Z382" si="342">+J381*0.235</f>
        <v>504242.97649599833</v>
      </c>
      <c r="K382" s="501">
        <f t="shared" si="342"/>
        <v>518361.77983788727</v>
      </c>
      <c r="L382" s="501">
        <f t="shared" si="342"/>
        <v>532875.90967334935</v>
      </c>
      <c r="M382" s="501">
        <f t="shared" si="342"/>
        <v>547796.43514420197</v>
      </c>
      <c r="N382" s="501">
        <f t="shared" si="342"/>
        <v>563134.7353282416</v>
      </c>
      <c r="O382" s="501">
        <f t="shared" si="342"/>
        <v>578902.50791743083</v>
      </c>
      <c r="P382" s="501">
        <f t="shared" si="342"/>
        <v>595111.77813911787</v>
      </c>
      <c r="Q382" s="501">
        <f t="shared" si="342"/>
        <v>611774.9079270137</v>
      </c>
      <c r="R382" s="501">
        <f t="shared" si="342"/>
        <v>628904.60534897097</v>
      </c>
      <c r="S382" s="501">
        <f t="shared" si="342"/>
        <v>646513.93429874186</v>
      </c>
      <c r="T382" s="501">
        <f t="shared" si="342"/>
        <v>664616.32445910701</v>
      </c>
      <c r="U382" s="501">
        <f t="shared" si="342"/>
        <v>683225.58154396259</v>
      </c>
      <c r="V382" s="501">
        <f t="shared" si="342"/>
        <v>702355.89782719163</v>
      </c>
      <c r="W382" s="501">
        <f t="shared" si="342"/>
        <v>722021.86296635331</v>
      </c>
      <c r="X382" s="501">
        <f t="shared" si="342"/>
        <v>742238.47512941225</v>
      </c>
      <c r="Y382" s="501">
        <f t="shared" si="342"/>
        <v>763021.15243303496</v>
      </c>
      <c r="Z382" s="501">
        <f t="shared" si="342"/>
        <v>784385.74470116058</v>
      </c>
      <c r="AA382" s="27"/>
      <c r="AB382" s="27"/>
    </row>
    <row r="383" spans="2:28">
      <c r="B383" s="483" t="s">
        <v>722</v>
      </c>
      <c r="C383" s="500">
        <f>37.52*1000000</f>
        <v>37520000</v>
      </c>
      <c r="D383" s="500">
        <f>29.23*1000000</f>
        <v>29230000</v>
      </c>
      <c r="E383" s="500">
        <f>47.59*1000000</f>
        <v>47590000</v>
      </c>
      <c r="F383" s="500">
        <f>103.44*1000000</f>
        <v>103440000</v>
      </c>
      <c r="G383" s="487"/>
      <c r="H383" s="487"/>
      <c r="I383" s="501"/>
      <c r="J383" s="501"/>
      <c r="K383" s="501"/>
      <c r="L383" s="501"/>
      <c r="M383" s="501"/>
      <c r="N383" s="501"/>
      <c r="O383" s="501"/>
      <c r="P383" s="501"/>
      <c r="Q383" s="501"/>
      <c r="R383" s="501"/>
      <c r="S383" s="501"/>
      <c r="T383" s="501"/>
      <c r="U383" s="501"/>
      <c r="V383" s="501"/>
      <c r="W383" s="501"/>
      <c r="X383" s="501"/>
      <c r="Y383" s="501"/>
      <c r="Z383" s="501"/>
      <c r="AA383" s="27"/>
      <c r="AB383" s="27"/>
    </row>
    <row r="384" spans="2:28" s="485" customFormat="1" ht="14.25" customHeight="1">
      <c r="B384" s="476" t="s">
        <v>734</v>
      </c>
      <c r="C384" s="506"/>
      <c r="D384" s="504"/>
      <c r="E384" s="506"/>
      <c r="F384" s="511"/>
      <c r="G384" s="505"/>
      <c r="H384" s="505"/>
      <c r="I384" s="505">
        <f>+I379+I382</f>
        <v>873991.13200000068</v>
      </c>
      <c r="J384" s="505">
        <f t="shared" ref="J384:Z384" si="343">+J379+J382</f>
        <v>898462.88369599916</v>
      </c>
      <c r="K384" s="505">
        <f t="shared" si="343"/>
        <v>923619.8444394879</v>
      </c>
      <c r="L384" s="505">
        <f t="shared" si="343"/>
        <v>949481.20008379477</v>
      </c>
      <c r="M384" s="505">
        <f t="shared" si="343"/>
        <v>976066.67368613929</v>
      </c>
      <c r="N384" s="505">
        <f t="shared" si="343"/>
        <v>1003396.5405493525</v>
      </c>
      <c r="O384" s="505">
        <f t="shared" si="343"/>
        <v>1031491.6436847333</v>
      </c>
      <c r="P384" s="505">
        <f t="shared" si="343"/>
        <v>1060373.4097079057</v>
      </c>
      <c r="Q384" s="505">
        <f t="shared" si="343"/>
        <v>1090063.865179728</v>
      </c>
      <c r="R384" s="505">
        <f t="shared" si="343"/>
        <v>1120585.6534047611</v>
      </c>
      <c r="S384" s="505">
        <f t="shared" si="343"/>
        <v>1151962.0517000919</v>
      </c>
      <c r="T384" s="505">
        <f t="shared" si="343"/>
        <v>1184216.9891476969</v>
      </c>
      <c r="U384" s="505">
        <f t="shared" si="343"/>
        <v>1217375.0648438334</v>
      </c>
      <c r="V384" s="505">
        <f t="shared" si="343"/>
        <v>1251461.5666594589</v>
      </c>
      <c r="W384" s="505">
        <f t="shared" si="343"/>
        <v>1286502.4905259227</v>
      </c>
      <c r="X384" s="505">
        <f t="shared" si="343"/>
        <v>1322524.5602606484</v>
      </c>
      <c r="Y384" s="505">
        <f t="shared" si="343"/>
        <v>1359555.2479479474</v>
      </c>
      <c r="Z384" s="505">
        <f t="shared" si="343"/>
        <v>1397622.7948904913</v>
      </c>
      <c r="AA384" s="486"/>
    </row>
    <row r="385" spans="2:28">
      <c r="B385" s="709" t="s">
        <v>759</v>
      </c>
      <c r="C385" s="708"/>
      <c r="D385" s="708"/>
      <c r="E385" s="706"/>
      <c r="F385" s="707"/>
      <c r="G385" s="708"/>
      <c r="H385" s="708"/>
      <c r="I385" s="708"/>
      <c r="J385" s="708"/>
      <c r="K385" s="708"/>
      <c r="L385" s="708"/>
      <c r="M385" s="708"/>
      <c r="N385" s="708"/>
      <c r="O385" s="708"/>
      <c r="P385" s="708"/>
      <c r="Q385" s="708"/>
      <c r="R385" s="708"/>
      <c r="S385" s="708"/>
      <c r="T385" s="708"/>
      <c r="U385" s="708"/>
      <c r="V385" s="708"/>
      <c r="W385" s="708"/>
      <c r="X385" s="708"/>
      <c r="Y385" s="708"/>
      <c r="Z385" s="708"/>
      <c r="AA385" s="27"/>
    </row>
    <row r="386" spans="2:28">
      <c r="B386" s="483" t="s">
        <v>736</v>
      </c>
      <c r="C386" s="500">
        <v>8030000</v>
      </c>
      <c r="D386" s="500">
        <f>53.5*1000000</f>
        <v>53500000</v>
      </c>
      <c r="E386" s="500">
        <f>52.58*1000000</f>
        <v>52580000</v>
      </c>
      <c r="F386" s="500">
        <f>211.03*1000000</f>
        <v>211030000</v>
      </c>
      <c r="G386" s="487"/>
      <c r="H386" s="487"/>
      <c r="I386" s="501">
        <f>+E386+E386*$C$359/100</f>
        <v>54052240</v>
      </c>
      <c r="J386" s="501">
        <f>+I386+I386*$C$359/100</f>
        <v>55565702.719999999</v>
      </c>
      <c r="K386" s="501">
        <f t="shared" ref="K386:Z386" si="344">+J386+J386*$C$359/100</f>
        <v>57121542.396159999</v>
      </c>
      <c r="L386" s="501">
        <f t="shared" si="344"/>
        <v>58720945.583252482</v>
      </c>
      <c r="M386" s="501">
        <f t="shared" si="344"/>
        <v>60365132.059583552</v>
      </c>
      <c r="N386" s="501">
        <f t="shared" si="344"/>
        <v>62055355.757251889</v>
      </c>
      <c r="O386" s="501">
        <f t="shared" si="344"/>
        <v>63792905.718454942</v>
      </c>
      <c r="P386" s="501">
        <f t="shared" si="344"/>
        <v>65579107.078571677</v>
      </c>
      <c r="Q386" s="501">
        <f t="shared" si="344"/>
        <v>67415322.076771677</v>
      </c>
      <c r="R386" s="501">
        <f t="shared" si="344"/>
        <v>69302951.094921291</v>
      </c>
      <c r="S386" s="501">
        <f t="shared" si="344"/>
        <v>71243433.725579083</v>
      </c>
      <c r="T386" s="501">
        <f t="shared" si="344"/>
        <v>73238249.869895294</v>
      </c>
      <c r="U386" s="501">
        <f t="shared" si="344"/>
        <v>75288920.866252363</v>
      </c>
      <c r="V386" s="501">
        <f t="shared" si="344"/>
        <v>77397010.650507435</v>
      </c>
      <c r="W386" s="501">
        <f t="shared" si="344"/>
        <v>79564126.948721647</v>
      </c>
      <c r="X386" s="501">
        <f t="shared" si="344"/>
        <v>81791922.503285855</v>
      </c>
      <c r="Y386" s="501">
        <f t="shared" si="344"/>
        <v>84082096.333377853</v>
      </c>
      <c r="Z386" s="501">
        <f t="shared" si="344"/>
        <v>86436395.030712426</v>
      </c>
      <c r="AA386" s="27"/>
      <c r="AB386" s="27"/>
    </row>
    <row r="387" spans="2:28">
      <c r="B387" s="473" t="s">
        <v>723</v>
      </c>
      <c r="C387" s="500"/>
      <c r="D387" s="500"/>
      <c r="E387" s="500"/>
      <c r="F387" s="487"/>
      <c r="G387" s="487"/>
      <c r="H387" s="487"/>
      <c r="I387" s="501">
        <f>+I386-E386</f>
        <v>1472240</v>
      </c>
      <c r="J387" s="501">
        <f t="shared" ref="J387:Z387" si="345">+J386-I386</f>
        <v>1513462.7199999988</v>
      </c>
      <c r="K387" s="501">
        <f t="shared" si="345"/>
        <v>1555839.6761600003</v>
      </c>
      <c r="L387" s="501">
        <f t="shared" si="345"/>
        <v>1599403.187092483</v>
      </c>
      <c r="M387" s="501">
        <f t="shared" si="345"/>
        <v>1644186.4763310701</v>
      </c>
      <c r="N387" s="501">
        <f t="shared" si="345"/>
        <v>1690223.6976683363</v>
      </c>
      <c r="O387" s="501">
        <f t="shared" si="345"/>
        <v>1737549.9612030536</v>
      </c>
      <c r="P387" s="501">
        <f t="shared" si="345"/>
        <v>1786201.3601167351</v>
      </c>
      <c r="Q387" s="501">
        <f t="shared" si="345"/>
        <v>1836214.9981999993</v>
      </c>
      <c r="R387" s="501">
        <f t="shared" si="345"/>
        <v>1887629.0181496143</v>
      </c>
      <c r="S387" s="501">
        <f t="shared" si="345"/>
        <v>1940482.6306577921</v>
      </c>
      <c r="T387" s="501">
        <f t="shared" si="345"/>
        <v>1994816.1443162113</v>
      </c>
      <c r="U387" s="501">
        <f t="shared" si="345"/>
        <v>2050670.9963570684</v>
      </c>
      <c r="V387" s="501">
        <f t="shared" si="345"/>
        <v>2108089.7842550725</v>
      </c>
      <c r="W387" s="501">
        <f t="shared" si="345"/>
        <v>2167116.2982142121</v>
      </c>
      <c r="X387" s="501">
        <f t="shared" si="345"/>
        <v>2227795.5545642078</v>
      </c>
      <c r="Y387" s="501">
        <f t="shared" si="345"/>
        <v>2290173.830091998</v>
      </c>
      <c r="Z387" s="501">
        <f t="shared" si="345"/>
        <v>2354298.6973345727</v>
      </c>
      <c r="AA387" s="27"/>
      <c r="AB387" s="27"/>
    </row>
    <row r="388" spans="2:28">
      <c r="B388" s="473" t="s">
        <v>733</v>
      </c>
      <c r="C388" s="500"/>
      <c r="D388" s="500"/>
      <c r="E388" s="500"/>
      <c r="F388" s="487"/>
      <c r="G388" s="487"/>
      <c r="H388" s="487"/>
      <c r="I388" s="501">
        <f>+I387*0.235</f>
        <v>345976.39999999997</v>
      </c>
      <c r="J388" s="501">
        <f t="shared" ref="J388:Z388" si="346">+J387*0.235</f>
        <v>355663.73919999972</v>
      </c>
      <c r="K388" s="501">
        <f t="shared" si="346"/>
        <v>365622.32389760006</v>
      </c>
      <c r="L388" s="501">
        <f t="shared" si="346"/>
        <v>375859.74896673352</v>
      </c>
      <c r="M388" s="501">
        <f t="shared" si="346"/>
        <v>386383.82193780143</v>
      </c>
      <c r="N388" s="501">
        <f t="shared" si="346"/>
        <v>397202.56895205902</v>
      </c>
      <c r="O388" s="501">
        <f t="shared" si="346"/>
        <v>408324.2408827176</v>
      </c>
      <c r="P388" s="501">
        <f t="shared" si="346"/>
        <v>419757.31962743273</v>
      </c>
      <c r="Q388" s="501">
        <f t="shared" si="346"/>
        <v>431510.52457699983</v>
      </c>
      <c r="R388" s="501">
        <f t="shared" si="346"/>
        <v>443592.81926515937</v>
      </c>
      <c r="S388" s="501">
        <f t="shared" si="346"/>
        <v>456013.41820458113</v>
      </c>
      <c r="T388" s="501">
        <f t="shared" si="346"/>
        <v>468781.79391430964</v>
      </c>
      <c r="U388" s="501">
        <f t="shared" si="346"/>
        <v>481907.68414391106</v>
      </c>
      <c r="V388" s="501">
        <f t="shared" si="346"/>
        <v>495401.09929994203</v>
      </c>
      <c r="W388" s="501">
        <f t="shared" si="346"/>
        <v>509272.3300803398</v>
      </c>
      <c r="X388" s="501">
        <f t="shared" si="346"/>
        <v>523531.95532258879</v>
      </c>
      <c r="Y388" s="501">
        <f t="shared" si="346"/>
        <v>538190.8500716195</v>
      </c>
      <c r="Z388" s="501">
        <f t="shared" si="346"/>
        <v>553260.19387362455</v>
      </c>
      <c r="AA388" s="27"/>
      <c r="AB388" s="27"/>
    </row>
    <row r="389" spans="2:28">
      <c r="B389" s="483" t="s">
        <v>724</v>
      </c>
      <c r="C389" s="500">
        <f>151841.5*1000</f>
        <v>151841500</v>
      </c>
      <c r="D389" s="500">
        <f>122555.6*1000</f>
        <v>122555600</v>
      </c>
      <c r="E389" s="500">
        <f>134267.1*1000</f>
        <v>134267100</v>
      </c>
      <c r="F389" s="500">
        <f>128403.8*1000</f>
        <v>128403800</v>
      </c>
      <c r="G389" s="487"/>
      <c r="H389" s="487"/>
      <c r="I389" s="501">
        <f>+E389+E389*$C$359/100</f>
        <v>138026578.80000001</v>
      </c>
      <c r="J389" s="501">
        <f>+I389+I389*$C$359/100</f>
        <v>141891323.00640002</v>
      </c>
      <c r="K389" s="501">
        <f t="shared" ref="K389:Z389" si="347">+J389+J389*$C$359/100</f>
        <v>145864280.05057922</v>
      </c>
      <c r="L389" s="501">
        <f t="shared" si="347"/>
        <v>149948479.89199543</v>
      </c>
      <c r="M389" s="501">
        <f t="shared" si="347"/>
        <v>154147037.3289713</v>
      </c>
      <c r="N389" s="501">
        <f t="shared" si="347"/>
        <v>158463154.37418249</v>
      </c>
      <c r="O389" s="501">
        <f t="shared" si="347"/>
        <v>162900122.69665959</v>
      </c>
      <c r="P389" s="501">
        <f t="shared" si="347"/>
        <v>167461326.13216606</v>
      </c>
      <c r="Q389" s="501">
        <f t="shared" si="347"/>
        <v>172150243.26386669</v>
      </c>
      <c r="R389" s="501">
        <f t="shared" si="347"/>
        <v>176970450.07525495</v>
      </c>
      <c r="S389" s="501">
        <f t="shared" si="347"/>
        <v>181925622.67736208</v>
      </c>
      <c r="T389" s="501">
        <f t="shared" si="347"/>
        <v>187019540.11232823</v>
      </c>
      <c r="U389" s="501">
        <f t="shared" si="347"/>
        <v>192256087.23547342</v>
      </c>
      <c r="V389" s="501">
        <f t="shared" si="347"/>
        <v>197639257.67806667</v>
      </c>
      <c r="W389" s="501">
        <f t="shared" si="347"/>
        <v>203173156.89305255</v>
      </c>
      <c r="X389" s="501">
        <f t="shared" si="347"/>
        <v>208862005.28605801</v>
      </c>
      <c r="Y389" s="501">
        <f t="shared" si="347"/>
        <v>214710141.43406764</v>
      </c>
      <c r="Z389" s="501">
        <f t="shared" si="347"/>
        <v>220722025.39422154</v>
      </c>
      <c r="AA389" s="27"/>
      <c r="AB389" s="27"/>
    </row>
    <row r="390" spans="2:28">
      <c r="B390" s="473" t="s">
        <v>723</v>
      </c>
      <c r="C390" s="500"/>
      <c r="D390" s="500"/>
      <c r="E390" s="500"/>
      <c r="F390" s="487"/>
      <c r="G390" s="487"/>
      <c r="H390" s="487"/>
      <c r="I390" s="501">
        <f>+I389-E389</f>
        <v>3759478.8000000119</v>
      </c>
      <c r="J390" s="501">
        <f t="shared" ref="J390:Z390" si="348">+J389-I389</f>
        <v>3864744.206400007</v>
      </c>
      <c r="K390" s="501">
        <f t="shared" si="348"/>
        <v>3972957.0441792011</v>
      </c>
      <c r="L390" s="501">
        <f t="shared" si="348"/>
        <v>4084199.8414162099</v>
      </c>
      <c r="M390" s="501">
        <f t="shared" si="348"/>
        <v>4198557.4369758666</v>
      </c>
      <c r="N390" s="501">
        <f t="shared" si="348"/>
        <v>4316117.0452111959</v>
      </c>
      <c r="O390" s="501">
        <f t="shared" si="348"/>
        <v>4436968.3224771023</v>
      </c>
      <c r="P390" s="501">
        <f t="shared" si="348"/>
        <v>4561203.4355064631</v>
      </c>
      <c r="Q390" s="501">
        <f t="shared" si="348"/>
        <v>4688917.131700635</v>
      </c>
      <c r="R390" s="501">
        <f t="shared" si="348"/>
        <v>4820206.8113882542</v>
      </c>
      <c r="S390" s="501">
        <f t="shared" si="348"/>
        <v>4955172.6021071374</v>
      </c>
      <c r="T390" s="501">
        <f t="shared" si="348"/>
        <v>5093917.4349661469</v>
      </c>
      <c r="U390" s="501">
        <f t="shared" si="348"/>
        <v>5236547.1231451929</v>
      </c>
      <c r="V390" s="501">
        <f t="shared" si="348"/>
        <v>5383170.4425932467</v>
      </c>
      <c r="W390" s="501">
        <f t="shared" si="348"/>
        <v>5533899.2149858773</v>
      </c>
      <c r="X390" s="501">
        <f t="shared" si="348"/>
        <v>5688848.3930054605</v>
      </c>
      <c r="Y390" s="501">
        <f t="shared" si="348"/>
        <v>5848136.1480096281</v>
      </c>
      <c r="Z390" s="501">
        <f t="shared" si="348"/>
        <v>6011883.9601539075</v>
      </c>
      <c r="AA390" s="27"/>
      <c r="AB390" s="27"/>
    </row>
    <row r="391" spans="2:28">
      <c r="B391" s="473" t="s">
        <v>733</v>
      </c>
      <c r="C391" s="500"/>
      <c r="D391" s="500"/>
      <c r="E391" s="500"/>
      <c r="F391" s="487"/>
      <c r="G391" s="487"/>
      <c r="H391" s="487"/>
      <c r="I391" s="501">
        <f>+I390*0.235</f>
        <v>883477.51800000272</v>
      </c>
      <c r="J391" s="501">
        <f t="shared" ref="J391:Z391" si="349">+J390*0.235</f>
        <v>908214.88850400154</v>
      </c>
      <c r="K391" s="501">
        <f t="shared" si="349"/>
        <v>933644.90538211225</v>
      </c>
      <c r="L391" s="501">
        <f t="shared" si="349"/>
        <v>959786.96273280925</v>
      </c>
      <c r="M391" s="501">
        <f t="shared" si="349"/>
        <v>986660.99768932862</v>
      </c>
      <c r="N391" s="501">
        <f t="shared" si="349"/>
        <v>1014287.505624631</v>
      </c>
      <c r="O391" s="501">
        <f t="shared" si="349"/>
        <v>1042687.5557821189</v>
      </c>
      <c r="P391" s="501">
        <f t="shared" si="349"/>
        <v>1071882.8073440187</v>
      </c>
      <c r="Q391" s="501">
        <f t="shared" si="349"/>
        <v>1101895.525949649</v>
      </c>
      <c r="R391" s="501">
        <f t="shared" si="349"/>
        <v>1132748.6006762397</v>
      </c>
      <c r="S391" s="501">
        <f t="shared" si="349"/>
        <v>1164465.5614951772</v>
      </c>
      <c r="T391" s="501">
        <f t="shared" si="349"/>
        <v>1197070.5972170446</v>
      </c>
      <c r="U391" s="501">
        <f t="shared" si="349"/>
        <v>1230588.5739391202</v>
      </c>
      <c r="V391" s="501">
        <f t="shared" si="349"/>
        <v>1265045.0540094129</v>
      </c>
      <c r="W391" s="501">
        <f t="shared" si="349"/>
        <v>1300466.315521681</v>
      </c>
      <c r="X391" s="501">
        <f t="shared" si="349"/>
        <v>1336879.3723562832</v>
      </c>
      <c r="Y391" s="501">
        <f t="shared" si="349"/>
        <v>1374311.9947822625</v>
      </c>
      <c r="Z391" s="501">
        <f t="shared" si="349"/>
        <v>1412792.7306361683</v>
      </c>
      <c r="AA391" s="27"/>
      <c r="AB391" s="27"/>
    </row>
    <row r="392" spans="2:28">
      <c r="B392" s="483" t="s">
        <v>722</v>
      </c>
      <c r="C392" s="500">
        <f>10.57*1000000</f>
        <v>10570000</v>
      </c>
      <c r="D392" s="500">
        <f>10.8*1000000</f>
        <v>10800000</v>
      </c>
      <c r="E392" s="500">
        <v>15100000</v>
      </c>
      <c r="F392" s="500">
        <f>29.19*1000000</f>
        <v>29190000</v>
      </c>
      <c r="G392" s="487"/>
      <c r="H392" s="487"/>
      <c r="I392" s="501">
        <f>+E392+E392*$C$359/100</f>
        <v>15522800</v>
      </c>
      <c r="J392" s="501">
        <f>+I392+I392*$C$359/100</f>
        <v>15957438.4</v>
      </c>
      <c r="K392" s="501">
        <f t="shared" ref="K392:Z392" si="350">+J392+J392*$C$359/100</f>
        <v>16404246.6752</v>
      </c>
      <c r="L392" s="501">
        <f t="shared" si="350"/>
        <v>16863565.582105599</v>
      </c>
      <c r="M392" s="501">
        <f t="shared" si="350"/>
        <v>17335745.418404557</v>
      </c>
      <c r="N392" s="501">
        <f t="shared" si="350"/>
        <v>17821146.290119883</v>
      </c>
      <c r="O392" s="501">
        <f t="shared" si="350"/>
        <v>18320138.386243239</v>
      </c>
      <c r="P392" s="501">
        <f t="shared" si="350"/>
        <v>18833102.261058051</v>
      </c>
      <c r="Q392" s="501">
        <f t="shared" si="350"/>
        <v>19360429.124367677</v>
      </c>
      <c r="R392" s="501">
        <f t="shared" si="350"/>
        <v>19902521.139849972</v>
      </c>
      <c r="S392" s="501">
        <f t="shared" si="350"/>
        <v>20459791.731765769</v>
      </c>
      <c r="T392" s="501">
        <f t="shared" si="350"/>
        <v>21032665.900255211</v>
      </c>
      <c r="U392" s="501">
        <f t="shared" si="350"/>
        <v>21621580.545462355</v>
      </c>
      <c r="V392" s="501">
        <f t="shared" si="350"/>
        <v>22226984.800735302</v>
      </c>
      <c r="W392" s="501">
        <f t="shared" si="350"/>
        <v>22849340.375155892</v>
      </c>
      <c r="X392" s="501">
        <f t="shared" si="350"/>
        <v>23489121.905660257</v>
      </c>
      <c r="Y392" s="501">
        <f t="shared" si="350"/>
        <v>24146817.319018744</v>
      </c>
      <c r="Z392" s="501">
        <f t="shared" si="350"/>
        <v>24822928.203951269</v>
      </c>
      <c r="AA392" s="27"/>
      <c r="AB392" s="27"/>
    </row>
    <row r="393" spans="2:28">
      <c r="B393" s="473" t="s">
        <v>723</v>
      </c>
      <c r="C393" s="500"/>
      <c r="D393" s="500"/>
      <c r="E393" s="500"/>
      <c r="F393" s="487"/>
      <c r="G393" s="487"/>
      <c r="H393" s="487"/>
      <c r="I393" s="501">
        <f>+I392-E392</f>
        <v>422800</v>
      </c>
      <c r="J393" s="501">
        <f t="shared" ref="J393:Z393" si="351">+J392-I392</f>
        <v>434638.40000000037</v>
      </c>
      <c r="K393" s="501">
        <f t="shared" si="351"/>
        <v>446808.27520000003</v>
      </c>
      <c r="L393" s="501">
        <f t="shared" si="351"/>
        <v>459318.90690559894</v>
      </c>
      <c r="M393" s="501">
        <f t="shared" si="351"/>
        <v>472179.83629895747</v>
      </c>
      <c r="N393" s="501">
        <f t="shared" si="351"/>
        <v>485400.87171532586</v>
      </c>
      <c r="O393" s="501">
        <f t="shared" si="351"/>
        <v>498992.09612335637</v>
      </c>
      <c r="P393" s="501">
        <f t="shared" si="351"/>
        <v>512963.87481481209</v>
      </c>
      <c r="Q393" s="501">
        <f t="shared" si="351"/>
        <v>527326.86330962554</v>
      </c>
      <c r="R393" s="501">
        <f t="shared" si="351"/>
        <v>542092.0154822953</v>
      </c>
      <c r="S393" s="501">
        <f t="shared" si="351"/>
        <v>557270.59191579744</v>
      </c>
      <c r="T393" s="501">
        <f t="shared" si="351"/>
        <v>572874.16848944128</v>
      </c>
      <c r="U393" s="501">
        <f t="shared" si="351"/>
        <v>588914.64520714432</v>
      </c>
      <c r="V393" s="501">
        <f t="shared" si="351"/>
        <v>605404.25527294725</v>
      </c>
      <c r="W393" s="501">
        <f t="shared" si="351"/>
        <v>622355.57442058995</v>
      </c>
      <c r="X393" s="501">
        <f t="shared" si="351"/>
        <v>639781.53050436452</v>
      </c>
      <c r="Y393" s="501">
        <f t="shared" si="351"/>
        <v>657695.41335848719</v>
      </c>
      <c r="Z393" s="501">
        <f t="shared" si="351"/>
        <v>676110.88493252546</v>
      </c>
      <c r="AA393" s="27"/>
      <c r="AB393" s="27"/>
    </row>
    <row r="394" spans="2:28">
      <c r="B394" s="473" t="s">
        <v>733</v>
      </c>
      <c r="C394" s="500"/>
      <c r="D394" s="503"/>
      <c r="E394" s="500"/>
      <c r="F394" s="487"/>
      <c r="G394" s="501"/>
      <c r="H394" s="501"/>
      <c r="I394" s="501">
        <f>+I393*0.235</f>
        <v>99358</v>
      </c>
      <c r="J394" s="501">
        <f t="shared" ref="J394:Z394" si="352">+J393*0.235</f>
        <v>102140.02400000008</v>
      </c>
      <c r="K394" s="501">
        <f t="shared" si="352"/>
        <v>104999.944672</v>
      </c>
      <c r="L394" s="501">
        <f t="shared" si="352"/>
        <v>107939.94312281575</v>
      </c>
      <c r="M394" s="501">
        <f t="shared" si="352"/>
        <v>110962.261530255</v>
      </c>
      <c r="N394" s="501">
        <f t="shared" si="352"/>
        <v>114069.20485310158</v>
      </c>
      <c r="O394" s="501">
        <f t="shared" si="352"/>
        <v>117263.14258898875</v>
      </c>
      <c r="P394" s="501">
        <f t="shared" si="352"/>
        <v>120546.51058148083</v>
      </c>
      <c r="Q394" s="501">
        <f t="shared" si="352"/>
        <v>123921.812877762</v>
      </c>
      <c r="R394" s="501">
        <f t="shared" si="352"/>
        <v>127391.62363833938</v>
      </c>
      <c r="S394" s="501">
        <f t="shared" si="352"/>
        <v>130958.5891002124</v>
      </c>
      <c r="T394" s="501">
        <f t="shared" si="352"/>
        <v>134625.42959501868</v>
      </c>
      <c r="U394" s="501">
        <f t="shared" si="352"/>
        <v>138394.9416236789</v>
      </c>
      <c r="V394" s="501">
        <f t="shared" si="352"/>
        <v>142269.99998914258</v>
      </c>
      <c r="W394" s="501">
        <f t="shared" si="352"/>
        <v>146253.55998883862</v>
      </c>
      <c r="X394" s="501">
        <f t="shared" si="352"/>
        <v>150348.65966852565</v>
      </c>
      <c r="Y394" s="501">
        <f t="shared" si="352"/>
        <v>154558.42213924447</v>
      </c>
      <c r="Z394" s="501">
        <f t="shared" si="352"/>
        <v>158886.05795914348</v>
      </c>
      <c r="AA394" s="27"/>
    </row>
    <row r="395" spans="2:28" s="485" customFormat="1">
      <c r="B395" s="476" t="s">
        <v>734</v>
      </c>
      <c r="C395" s="505"/>
      <c r="D395" s="505"/>
      <c r="E395" s="506"/>
      <c r="F395" s="511"/>
      <c r="G395" s="505"/>
      <c r="H395" s="505"/>
      <c r="I395" s="505">
        <f>+I388+I391+I394</f>
        <v>1328811.9180000026</v>
      </c>
      <c r="J395" s="505">
        <f t="shared" ref="J395:Z395" si="353">+J388+J391+J394</f>
        <v>1366018.6517040012</v>
      </c>
      <c r="K395" s="505">
        <f t="shared" si="353"/>
        <v>1404267.1739517122</v>
      </c>
      <c r="L395" s="505">
        <f t="shared" si="353"/>
        <v>1443586.6548223586</v>
      </c>
      <c r="M395" s="505">
        <f t="shared" si="353"/>
        <v>1484007.0811573849</v>
      </c>
      <c r="N395" s="505">
        <f t="shared" si="353"/>
        <v>1525559.2794297915</v>
      </c>
      <c r="O395" s="505">
        <f t="shared" si="353"/>
        <v>1568274.9392538252</v>
      </c>
      <c r="P395" s="505">
        <f t="shared" si="353"/>
        <v>1612186.6375529324</v>
      </c>
      <c r="Q395" s="505">
        <f t="shared" si="353"/>
        <v>1657327.8634044107</v>
      </c>
      <c r="R395" s="505">
        <f t="shared" si="353"/>
        <v>1703733.0435797384</v>
      </c>
      <c r="S395" s="505">
        <f t="shared" si="353"/>
        <v>1751437.5687999707</v>
      </c>
      <c r="T395" s="505">
        <f t="shared" si="353"/>
        <v>1800477.820726373</v>
      </c>
      <c r="U395" s="505">
        <f t="shared" si="353"/>
        <v>1850891.1997067102</v>
      </c>
      <c r="V395" s="505">
        <f t="shared" si="353"/>
        <v>1902716.1532984977</v>
      </c>
      <c r="W395" s="505">
        <f t="shared" si="353"/>
        <v>1955992.2055908595</v>
      </c>
      <c r="X395" s="505">
        <f t="shared" si="353"/>
        <v>2010759.9873473977</v>
      </c>
      <c r="Y395" s="505">
        <f t="shared" si="353"/>
        <v>2067061.2669931264</v>
      </c>
      <c r="Z395" s="505">
        <f t="shared" si="353"/>
        <v>2124938.9824689361</v>
      </c>
      <c r="AA395" s="486"/>
    </row>
    <row r="396" spans="2:28">
      <c r="B396" s="624" t="s">
        <v>807</v>
      </c>
      <c r="C396"/>
      <c r="D396"/>
      <c r="E396" s="478"/>
      <c r="F396" s="27"/>
      <c r="G396" s="27">
        <f>G375+G384+G395</f>
        <v>0</v>
      </c>
      <c r="H396" s="27">
        <f t="shared" ref="H396:Z396" si="354">H375+H384+H395</f>
        <v>20837071.555999976</v>
      </c>
      <c r="I396" s="27">
        <f t="shared" si="354"/>
        <v>23623312.609567966</v>
      </c>
      <c r="J396" s="27">
        <f t="shared" si="354"/>
        <v>24284765.36263587</v>
      </c>
      <c r="K396" s="27">
        <f t="shared" si="354"/>
        <v>24964738.792789724</v>
      </c>
      <c r="L396" s="27">
        <f t="shared" si="354"/>
        <v>25663751.478987798</v>
      </c>
      <c r="M396" s="27">
        <f t="shared" si="354"/>
        <v>26382336.520399511</v>
      </c>
      <c r="N396" s="27">
        <f t="shared" si="354"/>
        <v>27121041.942970626</v>
      </c>
      <c r="O396" s="27">
        <f t="shared" si="354"/>
        <v>27880431.117373835</v>
      </c>
      <c r="P396" s="27">
        <f t="shared" si="354"/>
        <v>28661083.188660249</v>
      </c>
      <c r="Q396" s="27">
        <f t="shared" si="354"/>
        <v>29463593.517942779</v>
      </c>
      <c r="R396" s="27">
        <f t="shared" si="354"/>
        <v>30288574.136445168</v>
      </c>
      <c r="S396" s="27">
        <f t="shared" si="354"/>
        <v>31136654.212265618</v>
      </c>
      <c r="T396" s="27">
        <f t="shared" si="354"/>
        <v>32008480.530209098</v>
      </c>
      <c r="U396" s="27">
        <f t="shared" si="354"/>
        <v>32904717.985054903</v>
      </c>
      <c r="V396" s="27">
        <f t="shared" si="354"/>
        <v>33826050.08863645</v>
      </c>
      <c r="W396" s="27">
        <f t="shared" si="354"/>
        <v>34773179.491118304</v>
      </c>
      <c r="X396" s="27">
        <f t="shared" si="354"/>
        <v>35746828.516869664</v>
      </c>
      <c r="Y396" s="27">
        <f t="shared" si="354"/>
        <v>36747739.715341963</v>
      </c>
      <c r="Z396" s="27">
        <f t="shared" si="354"/>
        <v>37776676.427371576</v>
      </c>
    </row>
    <row r="397" spans="2:28">
      <c r="B397"/>
      <c r="C397"/>
      <c r="D397"/>
      <c r="E397" s="478"/>
      <c r="F397" s="27"/>
      <c r="G397" s="27"/>
      <c r="H397" s="27"/>
      <c r="I397" s="27"/>
      <c r="J397" s="27"/>
      <c r="K397" s="27"/>
      <c r="L397" s="27"/>
      <c r="M397" s="27"/>
      <c r="N397" s="27"/>
      <c r="O397" s="27"/>
      <c r="P397" s="27"/>
      <c r="Q397" s="27"/>
      <c r="R397" s="27"/>
      <c r="S397" s="27"/>
      <c r="T397" s="27"/>
      <c r="U397" s="27"/>
      <c r="V397" s="27"/>
      <c r="W397" s="27"/>
      <c r="X397" s="27"/>
      <c r="Y397" s="27"/>
      <c r="Z397" s="27"/>
    </row>
    <row r="398" spans="2:28" ht="21">
      <c r="B398" s="725" t="s">
        <v>868</v>
      </c>
      <c r="C398" s="480" t="s">
        <v>731</v>
      </c>
      <c r="D398"/>
      <c r="E398" s="478"/>
      <c r="F398" s="27"/>
      <c r="G398" s="27"/>
      <c r="H398" s="27"/>
      <c r="I398" s="27"/>
      <c r="J398" s="27"/>
      <c r="K398" s="27"/>
      <c r="L398" s="27"/>
      <c r="M398" s="27"/>
      <c r="N398" s="27"/>
      <c r="O398" s="27"/>
      <c r="P398" s="27"/>
      <c r="Q398" s="27"/>
      <c r="R398" s="27"/>
      <c r="S398" s="27"/>
      <c r="T398" s="27"/>
      <c r="U398" s="27"/>
      <c r="V398" s="27"/>
      <c r="W398" s="27"/>
      <c r="X398" s="27"/>
      <c r="Y398" s="27"/>
      <c r="Z398" s="27"/>
    </row>
    <row r="399" spans="2:28">
      <c r="B399" s="635" t="s">
        <v>839</v>
      </c>
      <c r="C399" s="480">
        <v>2.9</v>
      </c>
      <c r="D399"/>
      <c r="E399" s="478"/>
      <c r="F399" s="27"/>
      <c r="G399" s="27"/>
      <c r="H399" s="27"/>
      <c r="I399" s="27"/>
      <c r="J399" s="27"/>
      <c r="K399" s="27"/>
      <c r="L399" s="27"/>
      <c r="M399" s="27"/>
      <c r="N399" s="27"/>
      <c r="O399" s="27"/>
      <c r="P399" s="27"/>
      <c r="Q399" s="27"/>
      <c r="R399" s="27"/>
      <c r="S399" s="27"/>
      <c r="T399" s="27"/>
      <c r="U399" s="27"/>
      <c r="V399" s="27"/>
      <c r="W399" s="27"/>
      <c r="X399" s="27"/>
      <c r="Y399" s="27"/>
      <c r="Z399" s="27"/>
    </row>
    <row r="400" spans="2:28">
      <c r="B400" s="636" t="s">
        <v>840</v>
      </c>
      <c r="C400" s="480">
        <v>2.8</v>
      </c>
      <c r="D400"/>
      <c r="E400" s="478"/>
      <c r="F400" s="27"/>
      <c r="G400" s="27"/>
      <c r="H400" s="27"/>
      <c r="I400" s="27"/>
      <c r="J400" s="27"/>
      <c r="K400" s="27"/>
      <c r="L400" s="27"/>
      <c r="M400" s="27"/>
      <c r="N400" s="27"/>
      <c r="O400" s="27"/>
      <c r="P400" s="27"/>
      <c r="Q400" s="27"/>
      <c r="R400" s="27"/>
      <c r="S400" s="27"/>
      <c r="T400" s="27"/>
      <c r="U400" s="27"/>
      <c r="V400" s="27"/>
      <c r="W400" s="27"/>
      <c r="X400" s="27"/>
      <c r="Y400" s="27"/>
      <c r="Z400" s="27"/>
    </row>
    <row r="401" spans="1:26">
      <c r="B401" s="637"/>
      <c r="C401" s="480"/>
      <c r="D401"/>
      <c r="E401" s="478"/>
      <c r="F401" s="27"/>
      <c r="G401" s="27"/>
      <c r="H401" s="27"/>
      <c r="I401" s="27"/>
      <c r="J401" s="27"/>
      <c r="K401" s="27"/>
      <c r="L401" s="27"/>
      <c r="M401" s="27"/>
      <c r="N401" s="27"/>
      <c r="O401" s="27"/>
      <c r="P401" s="27"/>
      <c r="Q401" s="27"/>
      <c r="R401" s="27"/>
      <c r="S401" s="27"/>
      <c r="T401" s="27"/>
      <c r="U401" s="27"/>
      <c r="V401" s="27"/>
      <c r="W401" s="27"/>
      <c r="X401" s="27"/>
      <c r="Y401" s="27"/>
      <c r="Z401" s="27"/>
    </row>
    <row r="402" spans="1:26">
      <c r="B402"/>
      <c r="C402">
        <v>2019</v>
      </c>
      <c r="D402">
        <v>2020</v>
      </c>
      <c r="E402" s="478">
        <v>2021</v>
      </c>
      <c r="F402" s="27">
        <v>2022</v>
      </c>
      <c r="G402" s="27">
        <v>2023</v>
      </c>
      <c r="H402" s="27">
        <v>2024</v>
      </c>
      <c r="I402" s="27">
        <v>2025</v>
      </c>
      <c r="J402" s="27">
        <v>2026</v>
      </c>
      <c r="K402" s="27">
        <v>2027</v>
      </c>
      <c r="L402" s="27">
        <v>2028</v>
      </c>
      <c r="M402" s="27">
        <v>2029</v>
      </c>
      <c r="N402" s="27">
        <v>2030</v>
      </c>
      <c r="O402" s="27">
        <v>2031</v>
      </c>
      <c r="P402" s="27">
        <v>2032</v>
      </c>
      <c r="Q402" s="27">
        <v>2033</v>
      </c>
      <c r="R402" s="27">
        <v>2034</v>
      </c>
      <c r="S402" s="27">
        <v>2035</v>
      </c>
      <c r="T402" s="27">
        <v>2036</v>
      </c>
      <c r="U402" s="27">
        <v>2037</v>
      </c>
      <c r="V402" s="27">
        <v>2038</v>
      </c>
      <c r="W402" s="27">
        <v>2039</v>
      </c>
      <c r="X402" s="27">
        <v>2040</v>
      </c>
      <c r="Y402" s="27">
        <v>2041</v>
      </c>
      <c r="Z402" s="27">
        <v>2042</v>
      </c>
    </row>
    <row r="403" spans="1:26">
      <c r="A403" s="32">
        <v>2024</v>
      </c>
      <c r="B403" s="682" t="s">
        <v>837</v>
      </c>
      <c r="C403" s="683"/>
      <c r="D403" s="683"/>
      <c r="E403" s="683"/>
      <c r="F403" s="683"/>
      <c r="G403" s="683"/>
      <c r="H403" s="684"/>
      <c r="I403" s="684"/>
      <c r="J403" s="684"/>
      <c r="K403" s="684"/>
      <c r="L403" s="684"/>
      <c r="M403" s="684"/>
      <c r="N403" s="684"/>
      <c r="O403" s="684"/>
      <c r="P403" s="684"/>
      <c r="Q403" s="684"/>
      <c r="R403" s="684"/>
      <c r="S403" s="684"/>
      <c r="T403" s="684"/>
      <c r="U403" s="684"/>
      <c r="V403" s="684"/>
      <c r="W403" s="684"/>
      <c r="X403" s="684"/>
      <c r="Y403" s="684"/>
      <c r="Z403" s="684"/>
    </row>
    <row r="404" spans="1:26">
      <c r="B404" s="638" t="s">
        <v>736</v>
      </c>
      <c r="C404" s="639">
        <f>-0.07*1000000</f>
        <v>-70000</v>
      </c>
      <c r="D404" s="500">
        <f>0.79*1000000</f>
        <v>790000</v>
      </c>
      <c r="E404" s="500">
        <f>0.49*1000000</f>
        <v>490000</v>
      </c>
      <c r="F404" s="500">
        <f>1.01*1000000</f>
        <v>1010000</v>
      </c>
      <c r="G404" s="639"/>
      <c r="H404" s="27"/>
      <c r="I404" s="27">
        <f>+F404*(1+$C$399/100)</f>
        <v>1039289.9999999999</v>
      </c>
      <c r="J404" s="27">
        <f>+I404*(1+$C$399/100)</f>
        <v>1069429.4099999997</v>
      </c>
      <c r="K404" s="27">
        <f t="shared" ref="K404:Z404" si="355">+J404*(1+$C$399/100)</f>
        <v>1100442.8628899995</v>
      </c>
      <c r="L404" s="27">
        <f t="shared" si="355"/>
        <v>1132355.7059138094</v>
      </c>
      <c r="M404" s="27">
        <f t="shared" si="355"/>
        <v>1165194.0213853098</v>
      </c>
      <c r="N404" s="27">
        <f t="shared" si="355"/>
        <v>1198984.6480054837</v>
      </c>
      <c r="O404" s="27">
        <f t="shared" si="355"/>
        <v>1233755.2027976427</v>
      </c>
      <c r="P404" s="27">
        <f t="shared" si="355"/>
        <v>1269534.1036787743</v>
      </c>
      <c r="Q404" s="27">
        <f t="shared" si="355"/>
        <v>1306350.5926854587</v>
      </c>
      <c r="R404" s="27">
        <f t="shared" si="355"/>
        <v>1344234.7598733369</v>
      </c>
      <c r="S404" s="27">
        <f t="shared" si="355"/>
        <v>1383217.5679096635</v>
      </c>
      <c r="T404" s="27">
        <f t="shared" si="355"/>
        <v>1423330.8773790437</v>
      </c>
      <c r="U404" s="27">
        <f t="shared" si="355"/>
        <v>1464607.4728230359</v>
      </c>
      <c r="V404" s="27">
        <f t="shared" si="355"/>
        <v>1507081.0895349039</v>
      </c>
      <c r="W404" s="27">
        <f t="shared" si="355"/>
        <v>1550786.441131416</v>
      </c>
      <c r="X404" s="27">
        <f t="shared" si="355"/>
        <v>1595759.247924227</v>
      </c>
      <c r="Y404" s="27">
        <f t="shared" si="355"/>
        <v>1642036.2661140296</v>
      </c>
      <c r="Z404" s="27">
        <f t="shared" si="355"/>
        <v>1689655.3178313363</v>
      </c>
    </row>
    <row r="405" spans="1:26">
      <c r="B405" s="473" t="s">
        <v>723</v>
      </c>
      <c r="C405" s="639"/>
      <c r="D405" s="639"/>
      <c r="E405" s="639"/>
      <c r="F405" s="639"/>
      <c r="G405" s="639"/>
      <c r="H405" s="27"/>
      <c r="I405" s="27">
        <f>+I404-F404</f>
        <v>29289.999999999884</v>
      </c>
      <c r="J405" s="27">
        <f>+J404-I404</f>
        <v>30139.4099999998</v>
      </c>
      <c r="K405" s="27">
        <f t="shared" ref="K405:Z405" si="356">+K404-J404</f>
        <v>31013.45288999984</v>
      </c>
      <c r="L405" s="27">
        <f t="shared" si="356"/>
        <v>31912.843023809837</v>
      </c>
      <c r="M405" s="27">
        <f t="shared" si="356"/>
        <v>32838.315471500391</v>
      </c>
      <c r="N405" s="27">
        <f t="shared" si="356"/>
        <v>33790.62662017392</v>
      </c>
      <c r="O405" s="27">
        <f t="shared" si="356"/>
        <v>34770.554792159004</v>
      </c>
      <c r="P405" s="27">
        <f t="shared" si="356"/>
        <v>35778.900881131645</v>
      </c>
      <c r="Q405" s="27">
        <f t="shared" si="356"/>
        <v>36816.489006684395</v>
      </c>
      <c r="R405" s="27">
        <f t="shared" si="356"/>
        <v>37884.167187878164</v>
      </c>
      <c r="S405" s="27">
        <f t="shared" si="356"/>
        <v>38982.808036326664</v>
      </c>
      <c r="T405" s="27">
        <f t="shared" si="356"/>
        <v>40113.309469380183</v>
      </c>
      <c r="U405" s="27">
        <f t="shared" si="356"/>
        <v>41276.595443992177</v>
      </c>
      <c r="V405" s="27">
        <f t="shared" si="356"/>
        <v>42473.616711867973</v>
      </c>
      <c r="W405" s="27">
        <f t="shared" si="356"/>
        <v>43705.351596512133</v>
      </c>
      <c r="X405" s="27">
        <f t="shared" si="356"/>
        <v>44972.806792811025</v>
      </c>
      <c r="Y405" s="27">
        <f t="shared" si="356"/>
        <v>46277.018189802533</v>
      </c>
      <c r="Z405" s="27">
        <f t="shared" si="356"/>
        <v>47619.05171730672</v>
      </c>
    </row>
    <row r="406" spans="1:26">
      <c r="B406" s="473" t="s">
        <v>733</v>
      </c>
      <c r="C406" s="639"/>
      <c r="D406" s="639"/>
      <c r="E406" s="639"/>
      <c r="F406" s="639"/>
      <c r="G406" s="639"/>
      <c r="H406" s="27"/>
      <c r="I406" s="27">
        <f>+I405*0.235</f>
        <v>6883.1499999999724</v>
      </c>
      <c r="J406" s="27">
        <f>+J405*0.235</f>
        <v>7082.7613499999525</v>
      </c>
      <c r="K406" s="27">
        <f t="shared" ref="K406:Z406" si="357">+K405*0.235</f>
        <v>7288.1614291499618</v>
      </c>
      <c r="L406" s="27">
        <f t="shared" si="357"/>
        <v>7499.5181105953116</v>
      </c>
      <c r="M406" s="27">
        <f t="shared" si="357"/>
        <v>7717.0041358025919</v>
      </c>
      <c r="N406" s="27">
        <f t="shared" si="357"/>
        <v>7940.7972557408712</v>
      </c>
      <c r="O406" s="27">
        <f t="shared" si="357"/>
        <v>8171.0803761573652</v>
      </c>
      <c r="P406" s="27">
        <f t="shared" si="357"/>
        <v>8408.0417070659369</v>
      </c>
      <c r="Q406" s="27">
        <f t="shared" si="357"/>
        <v>8651.8749165708323</v>
      </c>
      <c r="R406" s="27">
        <f t="shared" si="357"/>
        <v>8902.7792891513673</v>
      </c>
      <c r="S406" s="27">
        <f t="shared" si="357"/>
        <v>9160.959888536765</v>
      </c>
      <c r="T406" s="27">
        <f t="shared" si="357"/>
        <v>9426.6277253043427</v>
      </c>
      <c r="U406" s="27">
        <f t="shared" si="357"/>
        <v>9699.9999293381607</v>
      </c>
      <c r="V406" s="27">
        <f t="shared" si="357"/>
        <v>9981.2999272889738</v>
      </c>
      <c r="W406" s="27">
        <f t="shared" si="357"/>
        <v>10270.757625180351</v>
      </c>
      <c r="X406" s="27">
        <f t="shared" si="357"/>
        <v>10568.609596310591</v>
      </c>
      <c r="Y406" s="27">
        <f t="shared" si="357"/>
        <v>10875.099274603595</v>
      </c>
      <c r="Z406" s="27">
        <f t="shared" si="357"/>
        <v>11190.477153567079</v>
      </c>
    </row>
    <row r="407" spans="1:26">
      <c r="B407" s="638" t="s">
        <v>724</v>
      </c>
      <c r="C407" s="500">
        <f>17178.6*1000</f>
        <v>17178600</v>
      </c>
      <c r="D407" s="500">
        <f>22586.8*1000</f>
        <v>22586800</v>
      </c>
      <c r="E407" s="500">
        <f>63767*1000</f>
        <v>63767000</v>
      </c>
      <c r="F407" s="500">
        <f>48845*1000</f>
        <v>48845000</v>
      </c>
      <c r="G407" s="629"/>
      <c r="H407" s="27"/>
      <c r="I407" s="27">
        <f>+F407*(1+$C$399/100)</f>
        <v>50261504.999999993</v>
      </c>
      <c r="J407" s="27">
        <f>+I407*(1+$C$399/100)</f>
        <v>51719088.644999988</v>
      </c>
      <c r="K407" s="27">
        <f t="shared" ref="K407:Z407" si="358">+J407*(1+$C$399/100)</f>
        <v>53218942.215704985</v>
      </c>
      <c r="L407" s="27">
        <f t="shared" si="358"/>
        <v>54762291.539960422</v>
      </c>
      <c r="M407" s="27">
        <f t="shared" si="358"/>
        <v>56350397.994619273</v>
      </c>
      <c r="N407" s="27">
        <f t="shared" si="358"/>
        <v>57984559.536463223</v>
      </c>
      <c r="O407" s="27">
        <f t="shared" si="358"/>
        <v>59666111.76302065</v>
      </c>
      <c r="P407" s="27">
        <f t="shared" si="358"/>
        <v>61396429.004148245</v>
      </c>
      <c r="Q407" s="27">
        <f t="shared" si="358"/>
        <v>63176925.445268542</v>
      </c>
      <c r="R407" s="27">
        <f t="shared" si="358"/>
        <v>65009056.283181325</v>
      </c>
      <c r="S407" s="27">
        <f t="shared" si="358"/>
        <v>66894318.915393576</v>
      </c>
      <c r="T407" s="27">
        <f t="shared" si="358"/>
        <v>68834254.163939983</v>
      </c>
      <c r="U407" s="27">
        <f t="shared" si="358"/>
        <v>70830447.534694239</v>
      </c>
      <c r="V407" s="27">
        <f t="shared" si="358"/>
        <v>72884530.513200372</v>
      </c>
      <c r="W407" s="27">
        <f t="shared" si="358"/>
        <v>74998181.89808318</v>
      </c>
      <c r="X407" s="27">
        <f t="shared" si="358"/>
        <v>77173129.173127592</v>
      </c>
      <c r="Y407" s="27">
        <f t="shared" si="358"/>
        <v>79411149.919148281</v>
      </c>
      <c r="Z407" s="27">
        <f t="shared" si="358"/>
        <v>81714073.266803578</v>
      </c>
    </row>
    <row r="408" spans="1:26">
      <c r="B408" s="473" t="s">
        <v>723</v>
      </c>
      <c r="C408" s="639"/>
      <c r="D408" s="639"/>
      <c r="E408" s="639"/>
      <c r="F408" s="639"/>
      <c r="G408" s="639"/>
      <c r="H408" s="27"/>
      <c r="I408" s="27">
        <f>+I407-F407</f>
        <v>1416504.9999999925</v>
      </c>
      <c r="J408" s="27">
        <f>+J407-I407</f>
        <v>1457583.6449999958</v>
      </c>
      <c r="K408" s="27">
        <f t="shared" ref="K408:Z408" si="359">+K407-J407</f>
        <v>1499853.5707049966</v>
      </c>
      <c r="L408" s="27">
        <f t="shared" si="359"/>
        <v>1543349.3242554367</v>
      </c>
      <c r="M408" s="27">
        <f t="shared" si="359"/>
        <v>1588106.454658851</v>
      </c>
      <c r="N408" s="27">
        <f t="shared" si="359"/>
        <v>1634161.5418439507</v>
      </c>
      <c r="O408" s="27">
        <f t="shared" si="359"/>
        <v>1681552.2265574262</v>
      </c>
      <c r="P408" s="27">
        <f t="shared" si="359"/>
        <v>1730317.2411275953</v>
      </c>
      <c r="Q408" s="27">
        <f t="shared" si="359"/>
        <v>1780496.4411202967</v>
      </c>
      <c r="R408" s="27">
        <f t="shared" si="359"/>
        <v>1832130.837912783</v>
      </c>
      <c r="S408" s="27">
        <f t="shared" si="359"/>
        <v>1885262.6322122514</v>
      </c>
      <c r="T408" s="27">
        <f t="shared" si="359"/>
        <v>1939935.2485464066</v>
      </c>
      <c r="U408" s="27">
        <f t="shared" si="359"/>
        <v>1996193.3707542568</v>
      </c>
      <c r="V408" s="27">
        <f t="shared" si="359"/>
        <v>2054082.978506133</v>
      </c>
      <c r="W408" s="27">
        <f t="shared" si="359"/>
        <v>2113651.3848828077</v>
      </c>
      <c r="X408" s="27">
        <f t="shared" si="359"/>
        <v>2174947.2750444114</v>
      </c>
      <c r="Y408" s="27">
        <f t="shared" si="359"/>
        <v>2238020.7460206896</v>
      </c>
      <c r="Z408" s="27">
        <f t="shared" si="359"/>
        <v>2302923.3476552963</v>
      </c>
    </row>
    <row r="409" spans="1:26">
      <c r="B409" s="473" t="s">
        <v>733</v>
      </c>
      <c r="C409" s="639"/>
      <c r="D409" s="639"/>
      <c r="E409" s="500"/>
      <c r="F409" s="639"/>
      <c r="G409" s="639"/>
      <c r="H409" s="27"/>
      <c r="I409" s="27">
        <f>+I408*0.235</f>
        <v>332878.67499999824</v>
      </c>
      <c r="J409" s="27">
        <f>+J408*0.235</f>
        <v>342532.15657499898</v>
      </c>
      <c r="K409" s="27">
        <f t="shared" ref="K409:Z409" si="360">+K408*0.235</f>
        <v>352465.5891156742</v>
      </c>
      <c r="L409" s="27">
        <f t="shared" si="360"/>
        <v>362687.09120002761</v>
      </c>
      <c r="M409" s="27">
        <f t="shared" si="360"/>
        <v>373205.01684482995</v>
      </c>
      <c r="N409" s="27">
        <f t="shared" si="360"/>
        <v>384027.96233332838</v>
      </c>
      <c r="O409" s="27">
        <f t="shared" si="360"/>
        <v>395164.77324099513</v>
      </c>
      <c r="P409" s="27">
        <f t="shared" si="360"/>
        <v>406624.5516649849</v>
      </c>
      <c r="Q409" s="27">
        <f t="shared" si="360"/>
        <v>418416.66366326972</v>
      </c>
      <c r="R409" s="27">
        <f t="shared" si="360"/>
        <v>430550.746909504</v>
      </c>
      <c r="S409" s="27">
        <f t="shared" si="360"/>
        <v>443036.71856987907</v>
      </c>
      <c r="T409" s="27">
        <f t="shared" si="360"/>
        <v>455884.78340840555</v>
      </c>
      <c r="U409" s="27">
        <f t="shared" si="360"/>
        <v>469105.44212725031</v>
      </c>
      <c r="V409" s="27">
        <f t="shared" si="360"/>
        <v>482709.49994894123</v>
      </c>
      <c r="W409" s="27">
        <f t="shared" si="360"/>
        <v>496708.07544745976</v>
      </c>
      <c r="X409" s="27">
        <f t="shared" si="360"/>
        <v>511112.60963543667</v>
      </c>
      <c r="Y409" s="27">
        <f t="shared" si="360"/>
        <v>525934.875314862</v>
      </c>
      <c r="Z409" s="27">
        <f t="shared" si="360"/>
        <v>541186.98669899465</v>
      </c>
    </row>
    <row r="410" spans="1:26">
      <c r="B410" s="483" t="s">
        <v>722</v>
      </c>
      <c r="C410" s="500">
        <f>2.1*1000000</f>
        <v>2100000</v>
      </c>
      <c r="D410" s="500">
        <f>3.29*1000000</f>
        <v>3290000</v>
      </c>
      <c r="E410" s="500">
        <f>3.34*1000000</f>
        <v>3340000</v>
      </c>
      <c r="F410" s="500">
        <f>10.41*1000000</f>
        <v>10410000</v>
      </c>
      <c r="G410" s="639"/>
      <c r="H410" s="27"/>
      <c r="I410" s="27">
        <f>+F410*(1+$C$399/100)</f>
        <v>10711890</v>
      </c>
      <c r="J410" s="27">
        <f>+I410*(1+$C$399/100)</f>
        <v>11022534.809999999</v>
      </c>
      <c r="K410" s="27">
        <f t="shared" ref="K410:Z410" si="361">+J410*(1+$C$399/100)</f>
        <v>11342188.319489997</v>
      </c>
      <c r="L410" s="27">
        <f t="shared" si="361"/>
        <v>11671111.780755205</v>
      </c>
      <c r="M410" s="27">
        <f t="shared" si="361"/>
        <v>12009574.022397105</v>
      </c>
      <c r="N410" s="27">
        <f t="shared" si="361"/>
        <v>12357851.66904662</v>
      </c>
      <c r="O410" s="27">
        <f t="shared" si="361"/>
        <v>12716229.367448971</v>
      </c>
      <c r="P410" s="27">
        <f t="shared" si="361"/>
        <v>13085000.019104989</v>
      </c>
      <c r="Q410" s="27">
        <f t="shared" si="361"/>
        <v>13464465.019659033</v>
      </c>
      <c r="R410" s="27">
        <f t="shared" si="361"/>
        <v>13854934.505229143</v>
      </c>
      <c r="S410" s="27">
        <f t="shared" si="361"/>
        <v>14256727.605880788</v>
      </c>
      <c r="T410" s="27">
        <f t="shared" si="361"/>
        <v>14670172.706451328</v>
      </c>
      <c r="U410" s="27">
        <f t="shared" si="361"/>
        <v>15095607.714938415</v>
      </c>
      <c r="V410" s="27">
        <f t="shared" si="361"/>
        <v>15533380.338671628</v>
      </c>
      <c r="W410" s="27">
        <f t="shared" si="361"/>
        <v>15983848.368493104</v>
      </c>
      <c r="X410" s="27">
        <f t="shared" si="361"/>
        <v>16447379.971179403</v>
      </c>
      <c r="Y410" s="27">
        <f t="shared" si="361"/>
        <v>16924353.990343604</v>
      </c>
      <c r="Z410" s="27">
        <f t="shared" si="361"/>
        <v>17415160.256063566</v>
      </c>
    </row>
    <row r="411" spans="1:26">
      <c r="B411" s="473" t="s">
        <v>723</v>
      </c>
      <c r="C411" s="639"/>
      <c r="D411" s="639"/>
      <c r="E411" s="639"/>
      <c r="F411" s="639"/>
      <c r="G411" s="639"/>
      <c r="H411" s="27"/>
      <c r="I411" s="27">
        <f>+I410-F410</f>
        <v>301890</v>
      </c>
      <c r="J411" s="27">
        <f>+J410-I410</f>
        <v>310644.80999999866</v>
      </c>
      <c r="K411" s="27">
        <f t="shared" ref="K411:Z411" si="362">+K410-J410</f>
        <v>319653.50948999822</v>
      </c>
      <c r="L411" s="27">
        <f t="shared" si="362"/>
        <v>328923.4612652082</v>
      </c>
      <c r="M411" s="27">
        <f t="shared" si="362"/>
        <v>338462.24164189957</v>
      </c>
      <c r="N411" s="27">
        <f t="shared" si="362"/>
        <v>348277.64664951526</v>
      </c>
      <c r="O411" s="27">
        <f t="shared" si="362"/>
        <v>358377.69840235077</v>
      </c>
      <c r="P411" s="27">
        <f t="shared" si="362"/>
        <v>368770.65165601857</v>
      </c>
      <c r="Q411" s="27">
        <f t="shared" si="362"/>
        <v>379465.0005540438</v>
      </c>
      <c r="R411" s="27">
        <f t="shared" si="362"/>
        <v>390469.48557011038</v>
      </c>
      <c r="S411" s="27">
        <f t="shared" si="362"/>
        <v>401793.10065164417</v>
      </c>
      <c r="T411" s="27">
        <f t="shared" si="362"/>
        <v>413445.10057054088</v>
      </c>
      <c r="U411" s="27">
        <f t="shared" si="362"/>
        <v>425435.00848708674</v>
      </c>
      <c r="V411" s="27">
        <f t="shared" si="362"/>
        <v>437772.62373321317</v>
      </c>
      <c r="W411" s="27">
        <f t="shared" si="362"/>
        <v>450468.02982147597</v>
      </c>
      <c r="X411" s="27">
        <f t="shared" si="362"/>
        <v>463531.60268629901</v>
      </c>
      <c r="Y411" s="27">
        <f t="shared" si="362"/>
        <v>476974.01916420087</v>
      </c>
      <c r="Z411" s="27">
        <f t="shared" si="362"/>
        <v>490806.26571996137</v>
      </c>
    </row>
    <row r="412" spans="1:26">
      <c r="B412" s="473" t="s">
        <v>733</v>
      </c>
      <c r="C412" s="639"/>
      <c r="D412" s="639"/>
      <c r="E412" s="639"/>
      <c r="F412" s="639"/>
      <c r="G412" s="639"/>
      <c r="H412" s="27"/>
      <c r="I412" s="27">
        <f>+I411*0.235</f>
        <v>70944.149999999994</v>
      </c>
      <c r="J412" s="27">
        <f>+J411*0.235</f>
        <v>73001.530349999681</v>
      </c>
      <c r="K412" s="27">
        <f t="shared" ref="K412:Z412" si="363">+K411*0.235</f>
        <v>75118.574730149572</v>
      </c>
      <c r="L412" s="27">
        <f t="shared" si="363"/>
        <v>77297.013397323928</v>
      </c>
      <c r="M412" s="27">
        <f t="shared" si="363"/>
        <v>79538.626785846398</v>
      </c>
      <c r="N412" s="27">
        <f t="shared" si="363"/>
        <v>81845.246962636083</v>
      </c>
      <c r="O412" s="27">
        <f t="shared" si="363"/>
        <v>84218.759124552424</v>
      </c>
      <c r="P412" s="27">
        <f t="shared" si="363"/>
        <v>86661.103139164363</v>
      </c>
      <c r="Q412" s="27">
        <f t="shared" si="363"/>
        <v>89174.275130200287</v>
      </c>
      <c r="R412" s="27">
        <f t="shared" si="363"/>
        <v>91760.32910897593</v>
      </c>
      <c r="S412" s="27">
        <f t="shared" si="363"/>
        <v>94421.378653136373</v>
      </c>
      <c r="T412" s="27">
        <f t="shared" si="363"/>
        <v>97159.598634077105</v>
      </c>
      <c r="U412" s="27">
        <f t="shared" si="363"/>
        <v>99977.226994465382</v>
      </c>
      <c r="V412" s="27">
        <f t="shared" si="363"/>
        <v>102876.56657730509</v>
      </c>
      <c r="W412" s="27">
        <f t="shared" si="363"/>
        <v>105859.98700804685</v>
      </c>
      <c r="X412" s="27">
        <f t="shared" si="363"/>
        <v>108929.92663128026</v>
      </c>
      <c r="Y412" s="27">
        <f t="shared" si="363"/>
        <v>112088.8945035872</v>
      </c>
      <c r="Z412" s="27">
        <f t="shared" si="363"/>
        <v>115339.47244419092</v>
      </c>
    </row>
    <row r="413" spans="1:26" s="485" customFormat="1">
      <c r="B413" s="476" t="s">
        <v>734</v>
      </c>
      <c r="C413" s="681"/>
      <c r="D413" s="681"/>
      <c r="E413" s="681"/>
      <c r="F413" s="681"/>
      <c r="G413" s="681"/>
      <c r="H413" s="486"/>
      <c r="I413" s="486">
        <f>+I406+I409+I412</f>
        <v>410705.97499999823</v>
      </c>
      <c r="J413" s="486">
        <f>+J406+J409+J412</f>
        <v>422616.44827499858</v>
      </c>
      <c r="K413" s="486">
        <f t="shared" ref="K413:Z413" si="364">+K406+K409+K412</f>
        <v>434872.32527497376</v>
      </c>
      <c r="L413" s="486">
        <f t="shared" si="364"/>
        <v>447483.62270794681</v>
      </c>
      <c r="M413" s="486">
        <f t="shared" si="364"/>
        <v>460460.64776647894</v>
      </c>
      <c r="N413" s="486">
        <f t="shared" si="364"/>
        <v>473814.0065517053</v>
      </c>
      <c r="O413" s="486">
        <f t="shared" si="364"/>
        <v>487554.61274170491</v>
      </c>
      <c r="P413" s="486">
        <f t="shared" si="364"/>
        <v>501693.69651121518</v>
      </c>
      <c r="Q413" s="486">
        <f t="shared" si="364"/>
        <v>516242.81371004088</v>
      </c>
      <c r="R413" s="486">
        <f t="shared" si="364"/>
        <v>531213.85530763131</v>
      </c>
      <c r="S413" s="486">
        <f t="shared" si="364"/>
        <v>546619.05711155222</v>
      </c>
      <c r="T413" s="486">
        <f t="shared" si="364"/>
        <v>562471.00976778695</v>
      </c>
      <c r="U413" s="486">
        <f t="shared" si="364"/>
        <v>578782.66905105382</v>
      </c>
      <c r="V413" s="486">
        <f t="shared" si="364"/>
        <v>595567.36645353527</v>
      </c>
      <c r="W413" s="486">
        <f t="shared" si="364"/>
        <v>612838.82008068694</v>
      </c>
      <c r="X413" s="486">
        <f t="shared" si="364"/>
        <v>630611.14586302754</v>
      </c>
      <c r="Y413" s="486">
        <f t="shared" si="364"/>
        <v>648898.86909305281</v>
      </c>
      <c r="Z413" s="486">
        <f t="shared" si="364"/>
        <v>667716.93629675265</v>
      </c>
    </row>
    <row r="414" spans="1:26" ht="15.6">
      <c r="A414" s="32">
        <v>2024</v>
      </c>
      <c r="B414" s="685" t="s">
        <v>827</v>
      </c>
      <c r="C414" s="686"/>
      <c r="D414" s="686"/>
      <c r="E414" s="686"/>
      <c r="F414" s="686"/>
      <c r="G414" s="686"/>
      <c r="H414" s="684"/>
      <c r="I414" s="684"/>
      <c r="J414" s="684"/>
      <c r="K414" s="684"/>
      <c r="L414" s="684"/>
      <c r="M414" s="684"/>
      <c r="N414" s="684"/>
      <c r="O414" s="684"/>
      <c r="P414" s="684"/>
      <c r="Q414" s="684"/>
      <c r="R414" s="684"/>
      <c r="S414" s="684"/>
      <c r="T414" s="684"/>
      <c r="U414" s="684"/>
      <c r="V414" s="684"/>
      <c r="W414" s="684"/>
      <c r="X414" s="684"/>
      <c r="Y414" s="684"/>
      <c r="Z414" s="684"/>
    </row>
    <row r="415" spans="1:26" ht="15.6">
      <c r="B415" s="638" t="s">
        <v>736</v>
      </c>
      <c r="C415" s="631">
        <f>0.34*1000000</f>
        <v>340000</v>
      </c>
      <c r="D415" s="500">
        <f>0.14*1000000</f>
        <v>140000</v>
      </c>
      <c r="E415" s="500">
        <f>0.47*1000000</f>
        <v>470000</v>
      </c>
      <c r="F415" s="500">
        <f>0.63*1000000</f>
        <v>630000</v>
      </c>
      <c r="G415" s="631"/>
      <c r="H415" s="27"/>
      <c r="I415" s="27">
        <f>+F415*(1+$C$399/100)</f>
        <v>648270</v>
      </c>
      <c r="J415" s="27">
        <f>+I415*(1+$C$399/100)</f>
        <v>667069.82999999996</v>
      </c>
      <c r="K415" s="27">
        <f t="shared" ref="K415:Z415" si="365">+J415*(1+$C$399/100)</f>
        <v>686414.85506999993</v>
      </c>
      <c r="L415" s="27">
        <f t="shared" si="365"/>
        <v>706320.88586702989</v>
      </c>
      <c r="M415" s="27">
        <f t="shared" si="365"/>
        <v>726804.19155717373</v>
      </c>
      <c r="N415" s="27">
        <f t="shared" si="365"/>
        <v>747881.51311233174</v>
      </c>
      <c r="O415" s="27">
        <f t="shared" si="365"/>
        <v>769570.07699258928</v>
      </c>
      <c r="P415" s="27">
        <f t="shared" si="365"/>
        <v>791887.6092253743</v>
      </c>
      <c r="Q415" s="27">
        <f t="shared" si="365"/>
        <v>814852.3498929101</v>
      </c>
      <c r="R415" s="27">
        <f t="shared" si="365"/>
        <v>838483.06803980446</v>
      </c>
      <c r="S415" s="27">
        <f t="shared" si="365"/>
        <v>862799.0770129587</v>
      </c>
      <c r="T415" s="27">
        <f t="shared" si="365"/>
        <v>887820.25024633447</v>
      </c>
      <c r="U415" s="27">
        <f t="shared" si="365"/>
        <v>913567.03750347812</v>
      </c>
      <c r="V415" s="27">
        <f t="shared" si="365"/>
        <v>940060.48159107892</v>
      </c>
      <c r="W415" s="27">
        <f t="shared" si="365"/>
        <v>967322.23555722018</v>
      </c>
      <c r="X415" s="27">
        <f t="shared" si="365"/>
        <v>995374.58038837952</v>
      </c>
      <c r="Y415" s="27">
        <f t="shared" si="365"/>
        <v>1024240.4432196424</v>
      </c>
      <c r="Z415" s="27">
        <f t="shared" si="365"/>
        <v>1053943.4160730119</v>
      </c>
    </row>
    <row r="416" spans="1:26" ht="15.6">
      <c r="B416" s="473" t="s">
        <v>723</v>
      </c>
      <c r="C416" s="640"/>
      <c r="D416" s="640"/>
      <c r="E416" s="640"/>
      <c r="F416" s="640"/>
      <c r="G416" s="640"/>
      <c r="H416" s="27"/>
      <c r="I416" s="27">
        <f>+I415-F415</f>
        <v>18270</v>
      </c>
      <c r="J416" s="27">
        <f>+J415-I415</f>
        <v>18799.829999999958</v>
      </c>
      <c r="K416" s="27">
        <f t="shared" ref="K416:Z416" si="366">+K415-J415</f>
        <v>19345.025069999974</v>
      </c>
      <c r="L416" s="27">
        <f t="shared" si="366"/>
        <v>19906.030797029962</v>
      </c>
      <c r="M416" s="27">
        <f t="shared" si="366"/>
        <v>20483.305690143839</v>
      </c>
      <c r="N416" s="27">
        <f t="shared" si="366"/>
        <v>21077.321555158007</v>
      </c>
      <c r="O416" s="27">
        <f t="shared" si="366"/>
        <v>21688.563880257541</v>
      </c>
      <c r="P416" s="27">
        <f t="shared" si="366"/>
        <v>22317.532232785015</v>
      </c>
      <c r="Q416" s="27">
        <f t="shared" si="366"/>
        <v>22964.740667535807</v>
      </c>
      <c r="R416" s="27">
        <f t="shared" si="366"/>
        <v>23630.71814689436</v>
      </c>
      <c r="S416" s="27">
        <f t="shared" si="366"/>
        <v>24316.008973154239</v>
      </c>
      <c r="T416" s="27">
        <f t="shared" si="366"/>
        <v>25021.173233375768</v>
      </c>
      <c r="U416" s="27">
        <f t="shared" si="366"/>
        <v>25746.787257143646</v>
      </c>
      <c r="V416" s="27">
        <f t="shared" si="366"/>
        <v>26493.444087600801</v>
      </c>
      <c r="W416" s="27">
        <f t="shared" si="366"/>
        <v>27261.753966141259</v>
      </c>
      <c r="X416" s="27">
        <f t="shared" si="366"/>
        <v>28052.344831159338</v>
      </c>
      <c r="Y416" s="27">
        <f t="shared" si="366"/>
        <v>28865.862831262872</v>
      </c>
      <c r="Z416" s="27">
        <f t="shared" si="366"/>
        <v>29702.972853369545</v>
      </c>
    </row>
    <row r="417" spans="1:26" ht="15.6">
      <c r="B417" s="473" t="s">
        <v>733</v>
      </c>
      <c r="C417" s="640"/>
      <c r="D417" s="640"/>
      <c r="E417" s="640"/>
      <c r="F417" s="640"/>
      <c r="G417" s="640"/>
      <c r="H417" s="27"/>
      <c r="I417" s="27">
        <f>+I416*0.235</f>
        <v>4293.45</v>
      </c>
      <c r="J417" s="27">
        <f>+J416*0.235</f>
        <v>4417.9600499999897</v>
      </c>
      <c r="K417" s="27">
        <f t="shared" ref="K417:Z417" si="367">+K416*0.235</f>
        <v>4546.0808914499939</v>
      </c>
      <c r="L417" s="27">
        <f t="shared" si="367"/>
        <v>4677.917237302041</v>
      </c>
      <c r="M417" s="27">
        <f t="shared" si="367"/>
        <v>4813.5768371838021</v>
      </c>
      <c r="N417" s="27">
        <f t="shared" si="367"/>
        <v>4953.170565462131</v>
      </c>
      <c r="O417" s="27">
        <f t="shared" si="367"/>
        <v>5096.8125118605221</v>
      </c>
      <c r="P417" s="27">
        <f t="shared" si="367"/>
        <v>5244.6200747044786</v>
      </c>
      <c r="Q417" s="27">
        <f t="shared" si="367"/>
        <v>5396.7140568709146</v>
      </c>
      <c r="R417" s="27">
        <f t="shared" si="367"/>
        <v>5553.2187645201739</v>
      </c>
      <c r="S417" s="27">
        <f t="shared" si="367"/>
        <v>5714.2621086912459</v>
      </c>
      <c r="T417" s="27">
        <f t="shared" si="367"/>
        <v>5879.9757098433056</v>
      </c>
      <c r="U417" s="27">
        <f t="shared" si="367"/>
        <v>6050.4950054287565</v>
      </c>
      <c r="V417" s="27">
        <f t="shared" si="367"/>
        <v>6225.9593605861883</v>
      </c>
      <c r="W417" s="27">
        <f t="shared" si="367"/>
        <v>6406.5121820431959</v>
      </c>
      <c r="X417" s="27">
        <f t="shared" si="367"/>
        <v>6592.3010353224445</v>
      </c>
      <c r="Y417" s="27">
        <f t="shared" si="367"/>
        <v>6783.4777653467745</v>
      </c>
      <c r="Z417" s="27">
        <f t="shared" si="367"/>
        <v>6980.1986205418425</v>
      </c>
    </row>
    <row r="418" spans="1:26" ht="15.6">
      <c r="B418" s="638" t="s">
        <v>724</v>
      </c>
      <c r="C418" s="500">
        <f>45120.5*1000</f>
        <v>45120500</v>
      </c>
      <c r="D418" s="500">
        <f>67516.4*1000</f>
        <v>67516400</v>
      </c>
      <c r="E418" s="500">
        <f>38443.7*1000</f>
        <v>38443700</v>
      </c>
      <c r="F418" s="500">
        <f>56891.7*1000</f>
        <v>56891700</v>
      </c>
      <c r="G418" s="640"/>
      <c r="H418" s="27"/>
      <c r="I418" s="27">
        <f>+F418*(1+$C$399/100)</f>
        <v>58541559.299999997</v>
      </c>
      <c r="J418" s="27">
        <f>+I418*(1+$C$399/100)</f>
        <v>60239264.519699991</v>
      </c>
      <c r="K418" s="27">
        <f t="shared" ref="K418:Z418" si="368">+J418*(1+$C$399/100)</f>
        <v>61986203.190771282</v>
      </c>
      <c r="L418" s="27">
        <f t="shared" si="368"/>
        <v>63783803.083303645</v>
      </c>
      <c r="M418" s="27">
        <f t="shared" si="368"/>
        <v>65633533.372719444</v>
      </c>
      <c r="N418" s="27">
        <f t="shared" si="368"/>
        <v>67536905.840528309</v>
      </c>
      <c r="O418" s="27">
        <f t="shared" si="368"/>
        <v>69495476.109903619</v>
      </c>
      <c r="P418" s="27">
        <f t="shared" si="368"/>
        <v>71510844.917090818</v>
      </c>
      <c r="Q418" s="27">
        <f t="shared" si="368"/>
        <v>73584659.419686452</v>
      </c>
      <c r="R418" s="27">
        <f t="shared" si="368"/>
        <v>75718614.542857349</v>
      </c>
      <c r="S418" s="27">
        <f t="shared" si="368"/>
        <v>77914454.364600211</v>
      </c>
      <c r="T418" s="27">
        <f t="shared" si="368"/>
        <v>80173973.541173607</v>
      </c>
      <c r="U418" s="27">
        <f t="shared" si="368"/>
        <v>82499018.773867637</v>
      </c>
      <c r="V418" s="27">
        <f t="shared" si="368"/>
        <v>84891490.318309784</v>
      </c>
      <c r="W418" s="27">
        <f t="shared" si="368"/>
        <v>87353343.537540764</v>
      </c>
      <c r="X418" s="27">
        <f t="shared" si="368"/>
        <v>89886590.500129431</v>
      </c>
      <c r="Y418" s="27">
        <f t="shared" si="368"/>
        <v>92493301.624633178</v>
      </c>
      <c r="Z418" s="27">
        <f t="shared" si="368"/>
        <v>95175607.371747538</v>
      </c>
    </row>
    <row r="419" spans="1:26" ht="15.6">
      <c r="B419" s="473" t="s">
        <v>723</v>
      </c>
      <c r="C419" s="640"/>
      <c r="D419" s="640"/>
      <c r="E419" s="640"/>
      <c r="F419" s="640"/>
      <c r="G419" s="640"/>
      <c r="H419" s="27"/>
      <c r="I419" s="27">
        <f>+I418-F418</f>
        <v>1649859.299999997</v>
      </c>
      <c r="J419" s="27">
        <f>+J418-I418</f>
        <v>1697705.2196999937</v>
      </c>
      <c r="K419" s="27">
        <f t="shared" ref="K419:Z419" si="369">+K418-J418</f>
        <v>1746938.671071291</v>
      </c>
      <c r="L419" s="27">
        <f t="shared" si="369"/>
        <v>1797599.8925323635</v>
      </c>
      <c r="M419" s="27">
        <f t="shared" si="369"/>
        <v>1849730.2894157991</v>
      </c>
      <c r="N419" s="27">
        <f t="shared" si="369"/>
        <v>1903372.467808865</v>
      </c>
      <c r="O419" s="27">
        <f t="shared" si="369"/>
        <v>1958570.2693753093</v>
      </c>
      <c r="P419" s="27">
        <f t="shared" si="369"/>
        <v>2015368.8071871996</v>
      </c>
      <c r="Q419" s="27">
        <f t="shared" si="369"/>
        <v>2073814.5025956333</v>
      </c>
      <c r="R419" s="27">
        <f t="shared" si="369"/>
        <v>2133955.1231708974</v>
      </c>
      <c r="S419" s="27">
        <f t="shared" si="369"/>
        <v>2195839.8217428625</v>
      </c>
      <c r="T419" s="27">
        <f t="shared" si="369"/>
        <v>2259519.1765733957</v>
      </c>
      <c r="U419" s="27">
        <f t="shared" si="369"/>
        <v>2325045.2326940298</v>
      </c>
      <c r="V419" s="27">
        <f t="shared" si="369"/>
        <v>2392471.544442147</v>
      </c>
      <c r="W419" s="27">
        <f t="shared" si="369"/>
        <v>2461853.2192309797</v>
      </c>
      <c r="X419" s="27">
        <f t="shared" si="369"/>
        <v>2533246.9625886679</v>
      </c>
      <c r="Y419" s="27">
        <f t="shared" si="369"/>
        <v>2606711.1245037466</v>
      </c>
      <c r="Z419" s="27">
        <f t="shared" si="369"/>
        <v>2682305.7471143603</v>
      </c>
    </row>
    <row r="420" spans="1:26" ht="15.6">
      <c r="B420" s="473" t="s">
        <v>733</v>
      </c>
      <c r="C420" s="640"/>
      <c r="D420" s="640"/>
      <c r="E420" s="640"/>
      <c r="F420" s="640"/>
      <c r="G420" s="640"/>
      <c r="H420" s="27"/>
      <c r="I420" s="27">
        <f>+I419*0.235</f>
        <v>387716.93549999926</v>
      </c>
      <c r="J420" s="27">
        <f>+J419*0.235</f>
        <v>398960.72662949853</v>
      </c>
      <c r="K420" s="27">
        <f t="shared" ref="K420:Z420" si="370">+K419*0.235</f>
        <v>410530.58770175336</v>
      </c>
      <c r="L420" s="27">
        <f t="shared" si="370"/>
        <v>422435.97474510543</v>
      </c>
      <c r="M420" s="27">
        <f t="shared" si="370"/>
        <v>434686.61801271274</v>
      </c>
      <c r="N420" s="27">
        <f t="shared" si="370"/>
        <v>447292.52993508324</v>
      </c>
      <c r="O420" s="27">
        <f t="shared" si="370"/>
        <v>460264.01330319769</v>
      </c>
      <c r="P420" s="27">
        <f t="shared" si="370"/>
        <v>473611.66968899185</v>
      </c>
      <c r="Q420" s="27">
        <f t="shared" si="370"/>
        <v>487346.40810997377</v>
      </c>
      <c r="R420" s="27">
        <f t="shared" si="370"/>
        <v>501479.45394516084</v>
      </c>
      <c r="S420" s="27">
        <f t="shared" si="370"/>
        <v>516022.35810957267</v>
      </c>
      <c r="T420" s="27">
        <f t="shared" si="370"/>
        <v>530987.00649474794</v>
      </c>
      <c r="U420" s="27">
        <f t="shared" si="370"/>
        <v>546385.62968309701</v>
      </c>
      <c r="V420" s="27">
        <f t="shared" si="370"/>
        <v>562230.81294390454</v>
      </c>
      <c r="W420" s="27">
        <f t="shared" si="370"/>
        <v>578535.50651928014</v>
      </c>
      <c r="X420" s="27">
        <f t="shared" si="370"/>
        <v>595313.03620833694</v>
      </c>
      <c r="Y420" s="27">
        <f t="shared" si="370"/>
        <v>612577.11425838037</v>
      </c>
      <c r="Z420" s="27">
        <f t="shared" si="370"/>
        <v>630341.85057187465</v>
      </c>
    </row>
    <row r="421" spans="1:26" ht="15.6">
      <c r="B421" s="483" t="s">
        <v>722</v>
      </c>
      <c r="C421" s="500">
        <f>3.22*1000000</f>
        <v>3220000</v>
      </c>
      <c r="D421" s="500">
        <f>1.2*1000000</f>
        <v>1200000</v>
      </c>
      <c r="E421" s="500">
        <f>2.36*1000000</f>
        <v>2360000</v>
      </c>
      <c r="F421" s="500">
        <f>4.46*1000000</f>
        <v>4460000</v>
      </c>
      <c r="G421" s="640"/>
      <c r="H421" s="27"/>
      <c r="I421" s="27">
        <f>+F421*(1+$C$399/100)</f>
        <v>4589340</v>
      </c>
      <c r="J421" s="27">
        <f>+I421*(1+$C$399/100)</f>
        <v>4722430.8599999994</v>
      </c>
      <c r="K421" s="27">
        <f t="shared" ref="K421:Z421" si="371">+J421*(1+$C$399/100)</f>
        <v>4859381.3549399991</v>
      </c>
      <c r="L421" s="27">
        <f t="shared" si="371"/>
        <v>5000303.4142332589</v>
      </c>
      <c r="M421" s="27">
        <f t="shared" si="371"/>
        <v>5145312.2132460233</v>
      </c>
      <c r="N421" s="27">
        <f t="shared" si="371"/>
        <v>5294526.2674301574</v>
      </c>
      <c r="O421" s="27">
        <f t="shared" si="371"/>
        <v>5448067.5291856313</v>
      </c>
      <c r="P421" s="27">
        <f t="shared" si="371"/>
        <v>5606061.487532014</v>
      </c>
      <c r="Q421" s="27">
        <f t="shared" si="371"/>
        <v>5768637.2706704419</v>
      </c>
      <c r="R421" s="27">
        <f t="shared" si="371"/>
        <v>5935927.751519884</v>
      </c>
      <c r="S421" s="27">
        <f t="shared" si="371"/>
        <v>6108069.6563139604</v>
      </c>
      <c r="T421" s="27">
        <f t="shared" si="371"/>
        <v>6285203.6763470648</v>
      </c>
      <c r="U421" s="27">
        <f t="shared" si="371"/>
        <v>6467474.582961129</v>
      </c>
      <c r="V421" s="27">
        <f t="shared" si="371"/>
        <v>6655031.3458670015</v>
      </c>
      <c r="W421" s="27">
        <f t="shared" si="371"/>
        <v>6848027.2548971437</v>
      </c>
      <c r="X421" s="27">
        <f t="shared" si="371"/>
        <v>7046620.0452891607</v>
      </c>
      <c r="Y421" s="27">
        <f t="shared" si="371"/>
        <v>7250972.0266025458</v>
      </c>
      <c r="Z421" s="27">
        <f t="shared" si="371"/>
        <v>7461250.215374019</v>
      </c>
    </row>
    <row r="422" spans="1:26" ht="15.6">
      <c r="B422" s="473" t="s">
        <v>723</v>
      </c>
      <c r="C422" s="640"/>
      <c r="D422" s="640"/>
      <c r="E422" s="640"/>
      <c r="F422" s="640"/>
      <c r="G422" s="640"/>
      <c r="H422" s="27"/>
      <c r="I422" s="27">
        <f>+I421-F421</f>
        <v>129340</v>
      </c>
      <c r="J422" s="27">
        <f>+J421-I421</f>
        <v>133090.8599999994</v>
      </c>
      <c r="K422" s="27">
        <f t="shared" ref="K422:Z422" si="372">+K421-J421</f>
        <v>136950.49493999965</v>
      </c>
      <c r="L422" s="27">
        <f t="shared" si="372"/>
        <v>140922.05929325987</v>
      </c>
      <c r="M422" s="27">
        <f t="shared" si="372"/>
        <v>145008.79901276436</v>
      </c>
      <c r="N422" s="27">
        <f t="shared" si="372"/>
        <v>149214.05418413412</v>
      </c>
      <c r="O422" s="27">
        <f t="shared" si="372"/>
        <v>153541.26175547391</v>
      </c>
      <c r="P422" s="27">
        <f t="shared" si="372"/>
        <v>157993.95834638271</v>
      </c>
      <c r="Q422" s="27">
        <f t="shared" si="372"/>
        <v>162575.78313842788</v>
      </c>
      <c r="R422" s="27">
        <f t="shared" si="372"/>
        <v>167290.48084944207</v>
      </c>
      <c r="S422" s="27">
        <f t="shared" si="372"/>
        <v>172141.90479407646</v>
      </c>
      <c r="T422" s="27">
        <f t="shared" si="372"/>
        <v>177134.02003310435</v>
      </c>
      <c r="U422" s="27">
        <f t="shared" si="372"/>
        <v>182270.90661406424</v>
      </c>
      <c r="V422" s="27">
        <f t="shared" si="372"/>
        <v>187556.76290587243</v>
      </c>
      <c r="W422" s="27">
        <f t="shared" si="372"/>
        <v>192995.90903014224</v>
      </c>
      <c r="X422" s="27">
        <f t="shared" si="372"/>
        <v>198592.79039201699</v>
      </c>
      <c r="Y422" s="27">
        <f t="shared" si="372"/>
        <v>204351.98131338507</v>
      </c>
      <c r="Z422" s="27">
        <f t="shared" si="372"/>
        <v>210278.18877147324</v>
      </c>
    </row>
    <row r="423" spans="1:26" ht="15.6">
      <c r="B423" s="473" t="s">
        <v>733</v>
      </c>
      <c r="C423" s="640"/>
      <c r="D423" s="640"/>
      <c r="E423" s="640"/>
      <c r="F423" s="640"/>
      <c r="G423" s="640"/>
      <c r="H423" s="27"/>
      <c r="I423" s="27">
        <f>+I422*0.235</f>
        <v>30394.899999999998</v>
      </c>
      <c r="J423" s="27">
        <f>+J422*0.235</f>
        <v>31276.352099999858</v>
      </c>
      <c r="K423" s="27">
        <f t="shared" ref="K423:Z423" si="373">+K422*0.235</f>
        <v>32183.366310899917</v>
      </c>
      <c r="L423" s="27">
        <f t="shared" si="373"/>
        <v>33116.683933916065</v>
      </c>
      <c r="M423" s="27">
        <f t="shared" si="373"/>
        <v>34077.067767999622</v>
      </c>
      <c r="N423" s="27">
        <f t="shared" si="373"/>
        <v>35065.302733271514</v>
      </c>
      <c r="O423" s="27">
        <f t="shared" si="373"/>
        <v>36082.196512536364</v>
      </c>
      <c r="P423" s="27">
        <f t="shared" si="373"/>
        <v>37128.580211399938</v>
      </c>
      <c r="Q423" s="27">
        <f t="shared" si="373"/>
        <v>38205.309037530547</v>
      </c>
      <c r="R423" s="27">
        <f t="shared" si="373"/>
        <v>39313.262999618884</v>
      </c>
      <c r="S423" s="27">
        <f t="shared" si="373"/>
        <v>40453.347626607967</v>
      </c>
      <c r="T423" s="27">
        <f t="shared" si="373"/>
        <v>41626.494707779522</v>
      </c>
      <c r="U423" s="27">
        <f t="shared" si="373"/>
        <v>42833.663054305092</v>
      </c>
      <c r="V423" s="27">
        <f t="shared" si="373"/>
        <v>44075.839282880021</v>
      </c>
      <c r="W423" s="27">
        <f t="shared" si="373"/>
        <v>45354.038622083426</v>
      </c>
      <c r="X423" s="27">
        <f t="shared" si="373"/>
        <v>46669.305742123994</v>
      </c>
      <c r="Y423" s="27">
        <f t="shared" si="373"/>
        <v>48022.715608645485</v>
      </c>
      <c r="Z423" s="27">
        <f t="shared" si="373"/>
        <v>49415.374361296206</v>
      </c>
    </row>
    <row r="424" spans="1:26" ht="15.6">
      <c r="B424" s="476" t="s">
        <v>734</v>
      </c>
      <c r="C424" s="631"/>
      <c r="D424" s="631"/>
      <c r="E424" s="631"/>
      <c r="F424" s="631"/>
      <c r="G424" s="631"/>
      <c r="H424" s="27"/>
      <c r="I424" s="486">
        <f>+I417+I420+I423</f>
        <v>422405.2854999993</v>
      </c>
      <c r="J424" s="486">
        <f>+J417+J420+J423</f>
        <v>434655.03877949837</v>
      </c>
      <c r="K424" s="486">
        <f t="shared" ref="K424:Z424" si="374">+K417+K420+K423</f>
        <v>447260.03490410326</v>
      </c>
      <c r="L424" s="486">
        <f t="shared" si="374"/>
        <v>460230.57591632358</v>
      </c>
      <c r="M424" s="486">
        <f t="shared" si="374"/>
        <v>473577.26261789614</v>
      </c>
      <c r="N424" s="486">
        <f t="shared" si="374"/>
        <v>487311.00323381688</v>
      </c>
      <c r="O424" s="486">
        <f t="shared" si="374"/>
        <v>501443.02232759458</v>
      </c>
      <c r="P424" s="486">
        <f t="shared" si="374"/>
        <v>515984.86997509626</v>
      </c>
      <c r="Q424" s="486">
        <f t="shared" si="374"/>
        <v>530948.43120437523</v>
      </c>
      <c r="R424" s="486">
        <f t="shared" si="374"/>
        <v>546345.93570929987</v>
      </c>
      <c r="S424" s="486">
        <f t="shared" si="374"/>
        <v>562189.96784487192</v>
      </c>
      <c r="T424" s="486">
        <f t="shared" si="374"/>
        <v>578493.47691237077</v>
      </c>
      <c r="U424" s="486">
        <f t="shared" si="374"/>
        <v>595269.78774283093</v>
      </c>
      <c r="V424" s="486">
        <f t="shared" si="374"/>
        <v>612532.61158737075</v>
      </c>
      <c r="W424" s="486">
        <f t="shared" si="374"/>
        <v>630296.05732340668</v>
      </c>
      <c r="X424" s="486">
        <f t="shared" si="374"/>
        <v>648574.6429857834</v>
      </c>
      <c r="Y424" s="486">
        <f t="shared" si="374"/>
        <v>667383.3076323726</v>
      </c>
      <c r="Z424" s="486">
        <f t="shared" si="374"/>
        <v>686737.42355371267</v>
      </c>
    </row>
    <row r="425" spans="1:26">
      <c r="A425" s="32">
        <v>2024</v>
      </c>
      <c r="B425" s="685" t="s">
        <v>825</v>
      </c>
      <c r="C425" s="683"/>
      <c r="D425" s="683"/>
      <c r="E425" s="683"/>
      <c r="F425" s="683"/>
      <c r="G425" s="683"/>
      <c r="H425" s="684"/>
      <c r="I425" s="684"/>
      <c r="J425" s="684"/>
      <c r="K425" s="684"/>
      <c r="L425" s="684"/>
      <c r="M425" s="684"/>
      <c r="N425" s="684"/>
      <c r="O425" s="684"/>
      <c r="P425" s="684"/>
      <c r="Q425" s="684"/>
      <c r="R425" s="684"/>
      <c r="S425" s="684"/>
      <c r="T425" s="684"/>
      <c r="U425" s="684"/>
      <c r="V425" s="684"/>
      <c r="W425" s="684"/>
      <c r="X425" s="684"/>
      <c r="Y425" s="684"/>
      <c r="Z425" s="684"/>
    </row>
    <row r="426" spans="1:26" ht="15.6">
      <c r="B426" s="638" t="s">
        <v>736</v>
      </c>
      <c r="C426" s="631">
        <f>1.51*1000000</f>
        <v>1510000</v>
      </c>
      <c r="D426" s="500">
        <f>0.89*1000000</f>
        <v>890000</v>
      </c>
      <c r="E426" s="500">
        <f>3.13*1000000</f>
        <v>3130000</v>
      </c>
      <c r="F426" s="500">
        <f>2.2*1000000</f>
        <v>2200000</v>
      </c>
      <c r="G426" s="639"/>
      <c r="H426" s="27"/>
      <c r="I426" s="27">
        <f>+F426*(1+$C$399/100)</f>
        <v>2263800</v>
      </c>
      <c r="J426" s="27">
        <f>+I426*(1+$C$399/100)</f>
        <v>2329450.1999999997</v>
      </c>
      <c r="K426" s="27">
        <f t="shared" ref="K426:Z426" si="375">+J426*(1+$C$399/100)</f>
        <v>2397004.2557999995</v>
      </c>
      <c r="L426" s="27">
        <f t="shared" si="375"/>
        <v>2466517.3792181993</v>
      </c>
      <c r="M426" s="27">
        <f t="shared" si="375"/>
        <v>2538046.3832155271</v>
      </c>
      <c r="N426" s="27">
        <f t="shared" si="375"/>
        <v>2611649.728328777</v>
      </c>
      <c r="O426" s="27">
        <f t="shared" si="375"/>
        <v>2687387.5704503115</v>
      </c>
      <c r="P426" s="27">
        <f t="shared" si="375"/>
        <v>2765321.8099933704</v>
      </c>
      <c r="Q426" s="27">
        <f t="shared" si="375"/>
        <v>2845516.1424831781</v>
      </c>
      <c r="R426" s="27">
        <f t="shared" si="375"/>
        <v>2928036.1106151901</v>
      </c>
      <c r="S426" s="27">
        <f t="shared" si="375"/>
        <v>3012949.1578230304</v>
      </c>
      <c r="T426" s="27">
        <f t="shared" si="375"/>
        <v>3100324.683399898</v>
      </c>
      <c r="U426" s="27">
        <f t="shared" si="375"/>
        <v>3190234.0992184947</v>
      </c>
      <c r="V426" s="27">
        <f t="shared" si="375"/>
        <v>3282750.8880958306</v>
      </c>
      <c r="W426" s="27">
        <f t="shared" si="375"/>
        <v>3377950.6638506092</v>
      </c>
      <c r="X426" s="27">
        <f t="shared" si="375"/>
        <v>3475911.2331022765</v>
      </c>
      <c r="Y426" s="27">
        <f t="shared" si="375"/>
        <v>3576712.658862242</v>
      </c>
      <c r="Z426" s="27">
        <f t="shared" si="375"/>
        <v>3680437.3259692467</v>
      </c>
    </row>
    <row r="427" spans="1:26">
      <c r="B427" s="473" t="s">
        <v>723</v>
      </c>
      <c r="C427" s="639"/>
      <c r="D427" s="639"/>
      <c r="E427" s="639"/>
      <c r="F427" s="639"/>
      <c r="G427" s="639"/>
      <c r="H427" s="27"/>
      <c r="I427" s="27">
        <f>+I426-F426</f>
        <v>63800</v>
      </c>
      <c r="J427" s="27">
        <f>+J426-I426</f>
        <v>65650.199999999721</v>
      </c>
      <c r="K427" s="27">
        <f t="shared" ref="K427:Z427" si="376">+K426-J426</f>
        <v>67554.05579999974</v>
      </c>
      <c r="L427" s="27">
        <f t="shared" si="376"/>
        <v>69513.12341819983</v>
      </c>
      <c r="M427" s="27">
        <f t="shared" si="376"/>
        <v>71529.00399732776</v>
      </c>
      <c r="N427" s="27">
        <f t="shared" si="376"/>
        <v>73603.345113249961</v>
      </c>
      <c r="O427" s="27">
        <f t="shared" si="376"/>
        <v>75737.842121534515</v>
      </c>
      <c r="P427" s="27">
        <f t="shared" si="376"/>
        <v>77934.239543058909</v>
      </c>
      <c r="Q427" s="27">
        <f t="shared" si="376"/>
        <v>80194.332489807624</v>
      </c>
      <c r="R427" s="27">
        <f t="shared" si="376"/>
        <v>82519.968132012058</v>
      </c>
      <c r="S427" s="27">
        <f t="shared" si="376"/>
        <v>84913.047207840253</v>
      </c>
      <c r="T427" s="27">
        <f t="shared" si="376"/>
        <v>87375.525576867629</v>
      </c>
      <c r="U427" s="27">
        <f t="shared" si="376"/>
        <v>89909.415818596724</v>
      </c>
      <c r="V427" s="27">
        <f t="shared" si="376"/>
        <v>92516.788877335843</v>
      </c>
      <c r="W427" s="27">
        <f t="shared" si="376"/>
        <v>95199.775754778646</v>
      </c>
      <c r="X427" s="27">
        <f t="shared" si="376"/>
        <v>97960.569251667242</v>
      </c>
      <c r="Y427" s="27">
        <f t="shared" si="376"/>
        <v>100801.42575996555</v>
      </c>
      <c r="Z427" s="27">
        <f t="shared" si="376"/>
        <v>103724.66710700467</v>
      </c>
    </row>
    <row r="428" spans="1:26">
      <c r="B428" s="473" t="s">
        <v>733</v>
      </c>
      <c r="C428" s="639"/>
      <c r="D428" s="639"/>
      <c r="E428" s="639"/>
      <c r="F428" s="639"/>
      <c r="G428" s="639"/>
      <c r="H428" s="27"/>
      <c r="I428" s="27">
        <f>+I427*0.235</f>
        <v>14993</v>
      </c>
      <c r="J428" s="27">
        <f>+J427*0.235</f>
        <v>15427.796999999933</v>
      </c>
      <c r="K428" s="27">
        <f t="shared" ref="K428:Z428" si="377">+K427*0.235</f>
        <v>15875.203112999938</v>
      </c>
      <c r="L428" s="27">
        <f t="shared" si="377"/>
        <v>16335.584003276959</v>
      </c>
      <c r="M428" s="27">
        <f t="shared" si="377"/>
        <v>16809.315939372023</v>
      </c>
      <c r="N428" s="27">
        <f t="shared" si="377"/>
        <v>17296.786101613739</v>
      </c>
      <c r="O428" s="27">
        <f t="shared" si="377"/>
        <v>17798.392898560611</v>
      </c>
      <c r="P428" s="27">
        <f t="shared" si="377"/>
        <v>18314.546292618841</v>
      </c>
      <c r="Q428" s="27">
        <f t="shared" si="377"/>
        <v>18845.668135104792</v>
      </c>
      <c r="R428" s="27">
        <f t="shared" si="377"/>
        <v>19392.192511022833</v>
      </c>
      <c r="S428" s="27">
        <f t="shared" si="377"/>
        <v>19954.566093842459</v>
      </c>
      <c r="T428" s="27">
        <f t="shared" si="377"/>
        <v>20533.248510563892</v>
      </c>
      <c r="U428" s="27">
        <f t="shared" si="377"/>
        <v>21128.712717370228</v>
      </c>
      <c r="V428" s="27">
        <f t="shared" si="377"/>
        <v>21741.44538617392</v>
      </c>
      <c r="W428" s="27">
        <f t="shared" si="377"/>
        <v>22371.947302372981</v>
      </c>
      <c r="X428" s="27">
        <f t="shared" si="377"/>
        <v>23020.733774141801</v>
      </c>
      <c r="Y428" s="27">
        <f t="shared" si="377"/>
        <v>23688.335053591905</v>
      </c>
      <c r="Z428" s="27">
        <f t="shared" si="377"/>
        <v>24375.296770146095</v>
      </c>
    </row>
    <row r="429" spans="1:26">
      <c r="B429" s="638" t="s">
        <v>724</v>
      </c>
      <c r="C429" s="500">
        <f>51015.1*1000</f>
        <v>51015100</v>
      </c>
      <c r="D429" s="500">
        <f>53646.2*1000</f>
        <v>53646200</v>
      </c>
      <c r="E429" s="500">
        <f>67628.1*1000</f>
        <v>67628100</v>
      </c>
      <c r="F429" s="500">
        <f>94747.9*1000</f>
        <v>94747900</v>
      </c>
      <c r="G429" s="639"/>
      <c r="H429" s="27"/>
      <c r="I429" s="27">
        <f>+F429*(1+$C$399/100)</f>
        <v>97495589.099999994</v>
      </c>
      <c r="J429" s="27">
        <f>+I429*(1+$C$399/100)</f>
        <v>100322961.18389998</v>
      </c>
      <c r="K429" s="27">
        <f t="shared" ref="K429:Z429" si="378">+J429*(1+$C$399/100)</f>
        <v>103232327.05823307</v>
      </c>
      <c r="L429" s="27">
        <f t="shared" si="378"/>
        <v>106226064.54292181</v>
      </c>
      <c r="M429" s="27">
        <f t="shared" si="378"/>
        <v>109306620.41466653</v>
      </c>
      <c r="N429" s="27">
        <f t="shared" si="378"/>
        <v>112476512.40669185</v>
      </c>
      <c r="O429" s="27">
        <f t="shared" si="378"/>
        <v>115738331.2664859</v>
      </c>
      <c r="P429" s="27">
        <f t="shared" si="378"/>
        <v>119094742.87321398</v>
      </c>
      <c r="Q429" s="27">
        <f t="shared" si="378"/>
        <v>122548490.41653717</v>
      </c>
      <c r="R429" s="27">
        <f t="shared" si="378"/>
        <v>126102396.63861673</v>
      </c>
      <c r="S429" s="27">
        <f t="shared" si="378"/>
        <v>129759366.1411366</v>
      </c>
      <c r="T429" s="27">
        <f t="shared" si="378"/>
        <v>133522387.75922956</v>
      </c>
      <c r="U429" s="27">
        <f t="shared" si="378"/>
        <v>137394537.00424719</v>
      </c>
      <c r="V429" s="27">
        <f t="shared" si="378"/>
        <v>141378978.57737035</v>
      </c>
      <c r="W429" s="27">
        <f t="shared" si="378"/>
        <v>145478968.95611408</v>
      </c>
      <c r="X429" s="27">
        <f t="shared" si="378"/>
        <v>149697859.05584139</v>
      </c>
      <c r="Y429" s="27">
        <f t="shared" si="378"/>
        <v>154039096.96846077</v>
      </c>
      <c r="Z429" s="27">
        <f t="shared" si="378"/>
        <v>158506230.78054613</v>
      </c>
    </row>
    <row r="430" spans="1:26">
      <c r="B430" s="473" t="s">
        <v>723</v>
      </c>
      <c r="C430" s="639"/>
      <c r="D430" s="639"/>
      <c r="E430" s="639"/>
      <c r="F430" s="639"/>
      <c r="G430" s="639"/>
      <c r="H430" s="27"/>
      <c r="I430" s="27">
        <f>+I429-F429</f>
        <v>2747689.099999994</v>
      </c>
      <c r="J430" s="27">
        <f>+J429-I429</f>
        <v>2827372.0838999897</v>
      </c>
      <c r="K430" s="27">
        <f t="shared" ref="K430:Z430" si="379">+K429-J429</f>
        <v>2909365.8743330836</v>
      </c>
      <c r="L430" s="27">
        <f t="shared" si="379"/>
        <v>2993737.4846887439</v>
      </c>
      <c r="M430" s="27">
        <f t="shared" si="379"/>
        <v>3080555.8717447221</v>
      </c>
      <c r="N430" s="27">
        <f t="shared" si="379"/>
        <v>3169891.9920253158</v>
      </c>
      <c r="O430" s="27">
        <f t="shared" si="379"/>
        <v>3261818.8597940505</v>
      </c>
      <c r="P430" s="27">
        <f t="shared" si="379"/>
        <v>3356411.6067280769</v>
      </c>
      <c r="Q430" s="27">
        <f t="shared" si="379"/>
        <v>3453747.543323189</v>
      </c>
      <c r="R430" s="27">
        <f t="shared" si="379"/>
        <v>3553906.2220795602</v>
      </c>
      <c r="S430" s="27">
        <f t="shared" si="379"/>
        <v>3656969.5025198758</v>
      </c>
      <c r="T430" s="27">
        <f t="shared" si="379"/>
        <v>3763021.6180929542</v>
      </c>
      <c r="U430" s="27">
        <f t="shared" si="379"/>
        <v>3872149.2450176328</v>
      </c>
      <c r="V430" s="27">
        <f t="shared" si="379"/>
        <v>3984441.573123157</v>
      </c>
      <c r="W430" s="27">
        <f t="shared" si="379"/>
        <v>4099990.3787437379</v>
      </c>
      <c r="X430" s="27">
        <f t="shared" si="379"/>
        <v>4218890.0997273028</v>
      </c>
      <c r="Y430" s="27">
        <f t="shared" si="379"/>
        <v>4341237.9126193821</v>
      </c>
      <c r="Z430" s="27">
        <f t="shared" si="379"/>
        <v>4467133.8120853603</v>
      </c>
    </row>
    <row r="431" spans="1:26">
      <c r="B431" s="473" t="s">
        <v>733</v>
      </c>
      <c r="C431" s="639"/>
      <c r="D431" s="639"/>
      <c r="E431" s="639"/>
      <c r="F431" s="639"/>
      <c r="G431" s="639"/>
      <c r="H431" s="27"/>
      <c r="I431" s="27">
        <f>+I430*0.235</f>
        <v>645706.93849999853</v>
      </c>
      <c r="J431" s="27">
        <f>+J430*0.235</f>
        <v>664432.43971649755</v>
      </c>
      <c r="K431" s="27">
        <f t="shared" ref="K431:Z431" si="380">+K430*0.235</f>
        <v>683700.98046827456</v>
      </c>
      <c r="L431" s="27">
        <f t="shared" si="380"/>
        <v>703528.30890185479</v>
      </c>
      <c r="M431" s="27">
        <f t="shared" si="380"/>
        <v>723930.62986000965</v>
      </c>
      <c r="N431" s="27">
        <f t="shared" si="380"/>
        <v>744924.61812594917</v>
      </c>
      <c r="O431" s="27">
        <f t="shared" si="380"/>
        <v>766527.43205160182</v>
      </c>
      <c r="P431" s="27">
        <f t="shared" si="380"/>
        <v>788756.72758109798</v>
      </c>
      <c r="Q431" s="27">
        <f t="shared" si="380"/>
        <v>811630.67268094933</v>
      </c>
      <c r="R431" s="27">
        <f t="shared" si="380"/>
        <v>835167.96218869661</v>
      </c>
      <c r="S431" s="27">
        <f t="shared" si="380"/>
        <v>859387.83309217077</v>
      </c>
      <c r="T431" s="27">
        <f t="shared" si="380"/>
        <v>884310.08025184413</v>
      </c>
      <c r="U431" s="27">
        <f t="shared" si="380"/>
        <v>909955.07257914369</v>
      </c>
      <c r="V431" s="27">
        <f t="shared" si="380"/>
        <v>936343.76968394185</v>
      </c>
      <c r="W431" s="27">
        <f t="shared" si="380"/>
        <v>963497.73900477833</v>
      </c>
      <c r="X431" s="27">
        <f t="shared" si="380"/>
        <v>991439.17343591608</v>
      </c>
      <c r="Y431" s="27">
        <f t="shared" si="380"/>
        <v>1020190.9094655548</v>
      </c>
      <c r="Z431" s="27">
        <f t="shared" si="380"/>
        <v>1049776.4458400595</v>
      </c>
    </row>
    <row r="432" spans="1:26">
      <c r="B432" s="483" t="s">
        <v>722</v>
      </c>
      <c r="C432" s="500">
        <f>8.03*1000000</f>
        <v>8029999.9999999991</v>
      </c>
      <c r="D432" s="500">
        <f>11.97*1000000</f>
        <v>11970000</v>
      </c>
      <c r="E432" s="500">
        <f>19.77*1000000</f>
        <v>19770000</v>
      </c>
      <c r="F432" s="500">
        <f>39.79*1000000</f>
        <v>39790000</v>
      </c>
      <c r="G432" s="639"/>
      <c r="H432" s="27"/>
      <c r="I432" s="27">
        <f>+F432*(1+$C$399/100)</f>
        <v>40943910</v>
      </c>
      <c r="J432" s="27">
        <f>+I432*(1+$C$399/100)</f>
        <v>42131283.389999993</v>
      </c>
      <c r="K432" s="27">
        <f t="shared" ref="K432:Z432" si="381">+J432*(1+$C$399/100)</f>
        <v>43353090.608309992</v>
      </c>
      <c r="L432" s="27">
        <f t="shared" si="381"/>
        <v>44610330.235950977</v>
      </c>
      <c r="M432" s="27">
        <f t="shared" si="381"/>
        <v>45904029.812793553</v>
      </c>
      <c r="N432" s="27">
        <f t="shared" si="381"/>
        <v>47235246.677364565</v>
      </c>
      <c r="O432" s="27">
        <f t="shared" si="381"/>
        <v>48605068.831008136</v>
      </c>
      <c r="P432" s="27">
        <f t="shared" si="381"/>
        <v>50014615.82710737</v>
      </c>
      <c r="Q432" s="27">
        <f t="shared" si="381"/>
        <v>51465039.686093479</v>
      </c>
      <c r="R432" s="27">
        <f t="shared" si="381"/>
        <v>52957525.836990185</v>
      </c>
      <c r="S432" s="27">
        <f t="shared" si="381"/>
        <v>54493294.086262897</v>
      </c>
      <c r="T432" s="27">
        <f t="shared" si="381"/>
        <v>56073599.614764519</v>
      </c>
      <c r="U432" s="27">
        <f t="shared" si="381"/>
        <v>57699734.003592685</v>
      </c>
      <c r="V432" s="27">
        <f t="shared" si="381"/>
        <v>59373026.289696865</v>
      </c>
      <c r="W432" s="27">
        <f t="shared" si="381"/>
        <v>61094844.052098066</v>
      </c>
      <c r="X432" s="27">
        <f t="shared" si="381"/>
        <v>62866594.529608905</v>
      </c>
      <c r="Y432" s="27">
        <f t="shared" si="381"/>
        <v>64689725.770967558</v>
      </c>
      <c r="Z432" s="27">
        <f t="shared" si="381"/>
        <v>66565727.818325609</v>
      </c>
    </row>
    <row r="433" spans="1:26" ht="15.6">
      <c r="B433" s="473" t="s">
        <v>723</v>
      </c>
      <c r="C433" s="631"/>
      <c r="D433" s="631"/>
      <c r="E433" s="631"/>
      <c r="F433" s="631"/>
      <c r="G433" s="631"/>
      <c r="H433" s="27"/>
      <c r="I433" s="27">
        <f>+I432-F432</f>
        <v>1153910</v>
      </c>
      <c r="J433" s="27">
        <f>+J432-I432</f>
        <v>1187373.3899999931</v>
      </c>
      <c r="K433" s="27">
        <f t="shared" ref="K433:Z433" si="382">+K432-J432</f>
        <v>1221807.2183099985</v>
      </c>
      <c r="L433" s="27">
        <f t="shared" si="382"/>
        <v>1257239.627640985</v>
      </c>
      <c r="M433" s="27">
        <f t="shared" si="382"/>
        <v>1293699.5768425763</v>
      </c>
      <c r="N433" s="27">
        <f t="shared" si="382"/>
        <v>1331216.8645710126</v>
      </c>
      <c r="O433" s="27">
        <f t="shared" si="382"/>
        <v>1369822.1536435708</v>
      </c>
      <c r="P433" s="27">
        <f t="shared" si="382"/>
        <v>1409546.9960992336</v>
      </c>
      <c r="Q433" s="27">
        <f t="shared" si="382"/>
        <v>1450423.8589861095</v>
      </c>
      <c r="R433" s="27">
        <f t="shared" si="382"/>
        <v>1492486.1508967057</v>
      </c>
      <c r="S433" s="27">
        <f t="shared" si="382"/>
        <v>1535768.2492727116</v>
      </c>
      <c r="T433" s="27">
        <f t="shared" si="382"/>
        <v>1580305.5285016224</v>
      </c>
      <c r="U433" s="27">
        <f t="shared" si="382"/>
        <v>1626134.3888281658</v>
      </c>
      <c r="V433" s="27">
        <f t="shared" si="382"/>
        <v>1673292.2861041799</v>
      </c>
      <c r="W433" s="27">
        <f t="shared" si="382"/>
        <v>1721817.7624012008</v>
      </c>
      <c r="X433" s="27">
        <f t="shared" si="382"/>
        <v>1771750.4775108397</v>
      </c>
      <c r="Y433" s="27">
        <f t="shared" si="382"/>
        <v>1823131.2413586527</v>
      </c>
      <c r="Z433" s="27">
        <f t="shared" si="382"/>
        <v>1876002.0473580509</v>
      </c>
    </row>
    <row r="434" spans="1:26" ht="15.6">
      <c r="B434" s="473" t="s">
        <v>733</v>
      </c>
      <c r="C434" s="640"/>
      <c r="D434" s="640"/>
      <c r="E434" s="640"/>
      <c r="F434" s="640"/>
      <c r="G434" s="640"/>
      <c r="H434" s="27"/>
      <c r="I434" s="27">
        <f>+I433*0.235</f>
        <v>271168.84999999998</v>
      </c>
      <c r="J434" s="27">
        <f>+J433*0.235</f>
        <v>279032.74664999836</v>
      </c>
      <c r="K434" s="27">
        <f t="shared" ref="K434:Z434" si="383">+K433*0.235</f>
        <v>287124.69630284962</v>
      </c>
      <c r="L434" s="27">
        <f t="shared" si="383"/>
        <v>295451.31249563146</v>
      </c>
      <c r="M434" s="27">
        <f t="shared" si="383"/>
        <v>304019.40055800538</v>
      </c>
      <c r="N434" s="27">
        <f t="shared" si="383"/>
        <v>312835.96317418793</v>
      </c>
      <c r="O434" s="27">
        <f t="shared" si="383"/>
        <v>321908.20610623911</v>
      </c>
      <c r="P434" s="27">
        <f t="shared" si="383"/>
        <v>331243.5440833199</v>
      </c>
      <c r="Q434" s="27">
        <f t="shared" si="383"/>
        <v>340849.60686173569</v>
      </c>
      <c r="R434" s="27">
        <f t="shared" si="383"/>
        <v>350734.2454607258</v>
      </c>
      <c r="S434" s="27">
        <f t="shared" si="383"/>
        <v>360905.53857908718</v>
      </c>
      <c r="T434" s="27">
        <f t="shared" si="383"/>
        <v>371371.79919788125</v>
      </c>
      <c r="U434" s="27">
        <f t="shared" si="383"/>
        <v>382141.58137461892</v>
      </c>
      <c r="V434" s="27">
        <f t="shared" si="383"/>
        <v>393223.68723448226</v>
      </c>
      <c r="W434" s="27">
        <f t="shared" si="383"/>
        <v>404627.17416428216</v>
      </c>
      <c r="X434" s="27">
        <f t="shared" si="383"/>
        <v>416361.36221504729</v>
      </c>
      <c r="Y434" s="27">
        <f t="shared" si="383"/>
        <v>428435.84171928337</v>
      </c>
      <c r="Z434" s="27">
        <f t="shared" si="383"/>
        <v>440860.48112914193</v>
      </c>
    </row>
    <row r="435" spans="1:26" ht="15.6">
      <c r="B435" s="476" t="s">
        <v>734</v>
      </c>
      <c r="C435" s="633"/>
      <c r="D435" s="633"/>
      <c r="E435" s="633"/>
      <c r="F435" s="632"/>
      <c r="G435" s="632"/>
      <c r="H435" s="27"/>
      <c r="I435" s="486">
        <f>+I428+I431+I434</f>
        <v>931868.78849999851</v>
      </c>
      <c r="J435" s="486">
        <f>+J428+J431+J434</f>
        <v>958892.98336649581</v>
      </c>
      <c r="K435" s="486">
        <f t="shared" ref="K435:Z435" si="384">+K428+K431+K434</f>
        <v>986700.87988412404</v>
      </c>
      <c r="L435" s="486">
        <f t="shared" si="384"/>
        <v>1015315.2054007633</v>
      </c>
      <c r="M435" s="486">
        <f t="shared" si="384"/>
        <v>1044759.346357387</v>
      </c>
      <c r="N435" s="486">
        <f t="shared" si="384"/>
        <v>1075057.3674017508</v>
      </c>
      <c r="O435" s="486">
        <f t="shared" si="384"/>
        <v>1106234.0310564016</v>
      </c>
      <c r="P435" s="486">
        <f t="shared" si="384"/>
        <v>1138314.8179570367</v>
      </c>
      <c r="Q435" s="486">
        <f t="shared" si="384"/>
        <v>1171325.9476777897</v>
      </c>
      <c r="R435" s="486">
        <f t="shared" si="384"/>
        <v>1205294.4001604451</v>
      </c>
      <c r="S435" s="486">
        <f t="shared" si="384"/>
        <v>1240247.9377651005</v>
      </c>
      <c r="T435" s="486">
        <f t="shared" si="384"/>
        <v>1276215.1279602894</v>
      </c>
      <c r="U435" s="486">
        <f t="shared" si="384"/>
        <v>1313225.3666711329</v>
      </c>
      <c r="V435" s="486">
        <f t="shared" si="384"/>
        <v>1351308.9023045981</v>
      </c>
      <c r="W435" s="486">
        <f t="shared" si="384"/>
        <v>1390496.8604714335</v>
      </c>
      <c r="X435" s="486">
        <f t="shared" si="384"/>
        <v>1430821.2694251051</v>
      </c>
      <c r="Y435" s="486">
        <f t="shared" si="384"/>
        <v>1472315.0862384299</v>
      </c>
      <c r="Z435" s="486">
        <f t="shared" si="384"/>
        <v>1515012.2237393477</v>
      </c>
    </row>
    <row r="436" spans="1:26">
      <c r="A436" s="32">
        <v>2024</v>
      </c>
      <c r="B436" s="685" t="s">
        <v>822</v>
      </c>
      <c r="C436" s="683"/>
      <c r="D436" s="683"/>
      <c r="E436" s="683"/>
      <c r="F436" s="683"/>
      <c r="G436" s="683"/>
      <c r="H436" s="684"/>
      <c r="I436" s="684"/>
      <c r="J436" s="684"/>
      <c r="K436" s="684"/>
      <c r="L436" s="684"/>
      <c r="M436" s="684"/>
      <c r="N436" s="684"/>
      <c r="O436" s="684"/>
      <c r="P436" s="684"/>
      <c r="Q436" s="684"/>
      <c r="R436" s="684"/>
      <c r="S436" s="684"/>
      <c r="T436" s="684"/>
      <c r="U436" s="684"/>
      <c r="V436" s="684"/>
      <c r="W436" s="684"/>
      <c r="X436" s="684"/>
      <c r="Y436" s="684"/>
      <c r="Z436" s="684"/>
    </row>
    <row r="437" spans="1:26" ht="15.6">
      <c r="B437" s="638" t="s">
        <v>736</v>
      </c>
      <c r="C437" s="631">
        <f>10.91*1000000</f>
        <v>10910000</v>
      </c>
      <c r="D437" s="500">
        <f>-6.65*1000000</f>
        <v>-6650000</v>
      </c>
      <c r="E437" s="500">
        <f>14.85*1000000</f>
        <v>14850000</v>
      </c>
      <c r="F437" s="500">
        <f>12.98*1000000</f>
        <v>12980000</v>
      </c>
      <c r="G437" s="639"/>
      <c r="H437" s="27"/>
      <c r="I437" s="27">
        <f>+F437*(1+$C$399/100)</f>
        <v>13356419.999999998</v>
      </c>
      <c r="J437" s="27">
        <f>+I437*(1+$C$399/100)</f>
        <v>13743756.179999998</v>
      </c>
      <c r="K437" s="27">
        <f t="shared" ref="K437:Z437" si="385">+J437*(1+$C$399/100)</f>
        <v>14142325.109219996</v>
      </c>
      <c r="L437" s="27">
        <f t="shared" si="385"/>
        <v>14552452.537387375</v>
      </c>
      <c r="M437" s="27">
        <f t="shared" si="385"/>
        <v>14974473.660971608</v>
      </c>
      <c r="N437" s="27">
        <f t="shared" si="385"/>
        <v>15408733.397139784</v>
      </c>
      <c r="O437" s="27">
        <f t="shared" si="385"/>
        <v>15855586.665656837</v>
      </c>
      <c r="P437" s="27">
        <f t="shared" si="385"/>
        <v>16315398.678960884</v>
      </c>
      <c r="Q437" s="27">
        <f t="shared" si="385"/>
        <v>16788545.240650747</v>
      </c>
      <c r="R437" s="27">
        <f t="shared" si="385"/>
        <v>17275413.052629616</v>
      </c>
      <c r="S437" s="27">
        <f t="shared" si="385"/>
        <v>17776400.031155873</v>
      </c>
      <c r="T437" s="27">
        <f t="shared" si="385"/>
        <v>18291915.632059392</v>
      </c>
      <c r="U437" s="27">
        <f t="shared" si="385"/>
        <v>18822381.185389113</v>
      </c>
      <c r="V437" s="27">
        <f t="shared" si="385"/>
        <v>19368230.239765394</v>
      </c>
      <c r="W437" s="27">
        <f t="shared" si="385"/>
        <v>19929908.916718591</v>
      </c>
      <c r="X437" s="27">
        <f t="shared" si="385"/>
        <v>20507876.275303427</v>
      </c>
      <c r="Y437" s="27">
        <f t="shared" si="385"/>
        <v>21102604.687287226</v>
      </c>
      <c r="Z437" s="27">
        <f t="shared" si="385"/>
        <v>21714580.223218553</v>
      </c>
    </row>
    <row r="438" spans="1:26">
      <c r="B438" s="473" t="s">
        <v>723</v>
      </c>
      <c r="C438" s="639"/>
      <c r="D438" s="639"/>
      <c r="E438" s="639"/>
      <c r="F438" s="639"/>
      <c r="G438" s="639"/>
      <c r="H438" s="27"/>
      <c r="I438" s="27">
        <f>+I437-F437</f>
        <v>376419.99999999814</v>
      </c>
      <c r="J438" s="27">
        <f>+J437-I437</f>
        <v>387336.1799999997</v>
      </c>
      <c r="K438" s="27">
        <f t="shared" ref="K438:Z438" si="386">+K437-J437</f>
        <v>398568.92921999842</v>
      </c>
      <c r="L438" s="27">
        <f t="shared" si="386"/>
        <v>410127.42816737853</v>
      </c>
      <c r="M438" s="27">
        <f t="shared" si="386"/>
        <v>422021.12358423322</v>
      </c>
      <c r="N438" s="27">
        <f t="shared" si="386"/>
        <v>434259.73616817594</v>
      </c>
      <c r="O438" s="27">
        <f t="shared" si="386"/>
        <v>446853.26851705275</v>
      </c>
      <c r="P438" s="27">
        <f t="shared" si="386"/>
        <v>459812.01330404729</v>
      </c>
      <c r="Q438" s="27">
        <f t="shared" si="386"/>
        <v>473146.56168986298</v>
      </c>
      <c r="R438" s="27">
        <f t="shared" si="386"/>
        <v>486867.81197886914</v>
      </c>
      <c r="S438" s="27">
        <f t="shared" si="386"/>
        <v>500986.97852625698</v>
      </c>
      <c r="T438" s="27">
        <f t="shared" si="386"/>
        <v>515515.6009035185</v>
      </c>
      <c r="U438" s="27">
        <f t="shared" si="386"/>
        <v>530465.55332972109</v>
      </c>
      <c r="V438" s="27">
        <f t="shared" si="386"/>
        <v>545849.0543762818</v>
      </c>
      <c r="W438" s="27">
        <f t="shared" si="386"/>
        <v>561678.67695319653</v>
      </c>
      <c r="X438" s="27">
        <f t="shared" si="386"/>
        <v>577967.35858483613</v>
      </c>
      <c r="Y438" s="27">
        <f t="shared" si="386"/>
        <v>594728.41198379919</v>
      </c>
      <c r="Z438" s="27">
        <f t="shared" si="386"/>
        <v>611975.53593132645</v>
      </c>
    </row>
    <row r="439" spans="1:26">
      <c r="B439" s="473" t="s">
        <v>733</v>
      </c>
      <c r="C439" s="639"/>
      <c r="D439" s="639"/>
      <c r="E439" s="639"/>
      <c r="F439" s="639"/>
      <c r="G439" s="639"/>
      <c r="H439" s="27"/>
      <c r="I439" s="27">
        <f>+I438*0.235</f>
        <v>88458.699999999561</v>
      </c>
      <c r="J439" s="27">
        <f>+J438*0.235</f>
        <v>91024.00229999992</v>
      </c>
      <c r="K439" s="27">
        <f t="shared" ref="K439:Z439" si="387">+K438*0.235</f>
        <v>93663.698366699624</v>
      </c>
      <c r="L439" s="27">
        <f t="shared" si="387"/>
        <v>96379.945619333943</v>
      </c>
      <c r="M439" s="27">
        <f t="shared" si="387"/>
        <v>99174.9640422948</v>
      </c>
      <c r="N439" s="27">
        <f t="shared" si="387"/>
        <v>102051.03799952134</v>
      </c>
      <c r="O439" s="27">
        <f t="shared" si="387"/>
        <v>105010.51810150739</v>
      </c>
      <c r="P439" s="27">
        <f t="shared" si="387"/>
        <v>108055.82312645111</v>
      </c>
      <c r="Q439" s="27">
        <f t="shared" si="387"/>
        <v>111189.4419971178</v>
      </c>
      <c r="R439" s="27">
        <f t="shared" si="387"/>
        <v>114413.93581503425</v>
      </c>
      <c r="S439" s="27">
        <f t="shared" si="387"/>
        <v>117731.93995367039</v>
      </c>
      <c r="T439" s="27">
        <f t="shared" si="387"/>
        <v>121146.16621232685</v>
      </c>
      <c r="U439" s="27">
        <f t="shared" si="387"/>
        <v>124659.40503248444</v>
      </c>
      <c r="V439" s="27">
        <f t="shared" si="387"/>
        <v>128274.52777842621</v>
      </c>
      <c r="W439" s="27">
        <f t="shared" si="387"/>
        <v>131994.48908400116</v>
      </c>
      <c r="X439" s="27">
        <f t="shared" si="387"/>
        <v>135822.32926743649</v>
      </c>
      <c r="Y439" s="27">
        <f t="shared" si="387"/>
        <v>139761.1768161928</v>
      </c>
      <c r="Z439" s="27">
        <f t="shared" si="387"/>
        <v>143814.2509438617</v>
      </c>
    </row>
    <row r="440" spans="1:26">
      <c r="B440" s="638" t="s">
        <v>724</v>
      </c>
      <c r="C440" s="500">
        <f>45030.5*1000</f>
        <v>45030500</v>
      </c>
      <c r="D440" s="500">
        <f>71072.9*1000</f>
        <v>71072900</v>
      </c>
      <c r="E440" s="500">
        <f>80879.7*1000</f>
        <v>80879700</v>
      </c>
      <c r="F440" s="500">
        <f>71898.4*1000</f>
        <v>71898400</v>
      </c>
      <c r="G440" s="639"/>
      <c r="H440" s="27"/>
      <c r="I440" s="27">
        <f>+F440*(1+$C$399/100)</f>
        <v>73983453.599999994</v>
      </c>
      <c r="J440" s="27">
        <f>+I440*(1+$C$399/100)</f>
        <v>76128973.754399985</v>
      </c>
      <c r="K440" s="27">
        <f t="shared" ref="K440:Z440" si="388">+J440*(1+$C$399/100)</f>
        <v>78336713.99327758</v>
      </c>
      <c r="L440" s="27">
        <f t="shared" si="388"/>
        <v>80608478.699082628</v>
      </c>
      <c r="M440" s="27">
        <f t="shared" si="388"/>
        <v>82946124.581356019</v>
      </c>
      <c r="N440" s="27">
        <f t="shared" si="388"/>
        <v>85351562.194215342</v>
      </c>
      <c r="O440" s="27">
        <f t="shared" si="388"/>
        <v>87826757.497847587</v>
      </c>
      <c r="P440" s="27">
        <f t="shared" si="388"/>
        <v>90373733.465285152</v>
      </c>
      <c r="Q440" s="27">
        <f t="shared" si="388"/>
        <v>92994571.735778421</v>
      </c>
      <c r="R440" s="27">
        <f t="shared" si="388"/>
        <v>95691414.31611599</v>
      </c>
      <c r="S440" s="27">
        <f t="shared" si="388"/>
        <v>98466465.331283346</v>
      </c>
      <c r="T440" s="27">
        <f t="shared" si="388"/>
        <v>101321992.82589056</v>
      </c>
      <c r="U440" s="27">
        <f t="shared" si="388"/>
        <v>104260330.61784138</v>
      </c>
      <c r="V440" s="27">
        <f t="shared" si="388"/>
        <v>107283880.20575877</v>
      </c>
      <c r="W440" s="27">
        <f t="shared" si="388"/>
        <v>110395112.73172577</v>
      </c>
      <c r="X440" s="27">
        <f t="shared" si="388"/>
        <v>113596571.00094581</v>
      </c>
      <c r="Y440" s="27">
        <f t="shared" si="388"/>
        <v>116890871.55997322</v>
      </c>
      <c r="Z440" s="27">
        <f t="shared" si="388"/>
        <v>120280706.83521244</v>
      </c>
    </row>
    <row r="441" spans="1:26">
      <c r="B441" s="473" t="s">
        <v>723</v>
      </c>
      <c r="C441" s="639"/>
      <c r="D441" s="639"/>
      <c r="E441" s="639"/>
      <c r="F441" s="639"/>
      <c r="G441" s="639"/>
      <c r="H441" s="27"/>
      <c r="I441" s="27">
        <f>+I440-F440</f>
        <v>2085053.599999994</v>
      </c>
      <c r="J441" s="27">
        <f>+J440-I440</f>
        <v>2145520.154399991</v>
      </c>
      <c r="K441" s="27">
        <f t="shared" ref="K441:Z441" si="389">+K440-J440</f>
        <v>2207740.2388775945</v>
      </c>
      <c r="L441" s="27">
        <f t="shared" si="389"/>
        <v>2271764.7058050483</v>
      </c>
      <c r="M441" s="27">
        <f t="shared" si="389"/>
        <v>2337645.8822733909</v>
      </c>
      <c r="N441" s="27">
        <f t="shared" si="389"/>
        <v>2405437.6128593236</v>
      </c>
      <c r="O441" s="27">
        <f t="shared" si="389"/>
        <v>2475195.3036322445</v>
      </c>
      <c r="P441" s="27">
        <f t="shared" si="389"/>
        <v>2546975.9674375653</v>
      </c>
      <c r="Q441" s="27">
        <f t="shared" si="389"/>
        <v>2620838.270493269</v>
      </c>
      <c r="R441" s="27">
        <f t="shared" si="389"/>
        <v>2696842.5803375691</v>
      </c>
      <c r="S441" s="27">
        <f t="shared" si="389"/>
        <v>2775051.0151673555</v>
      </c>
      <c r="T441" s="27">
        <f t="shared" si="389"/>
        <v>2855527.4946072102</v>
      </c>
      <c r="U441" s="27">
        <f t="shared" si="389"/>
        <v>2938337.7919508219</v>
      </c>
      <c r="V441" s="27">
        <f t="shared" si="389"/>
        <v>3023549.5879173875</v>
      </c>
      <c r="W441" s="27">
        <f t="shared" si="389"/>
        <v>3111232.5259670019</v>
      </c>
      <c r="X441" s="27">
        <f t="shared" si="389"/>
        <v>3201458.2692200392</v>
      </c>
      <c r="Y441" s="27">
        <f t="shared" si="389"/>
        <v>3294300.5590274185</v>
      </c>
      <c r="Z441" s="27">
        <f t="shared" si="389"/>
        <v>3389835.2752392143</v>
      </c>
    </row>
    <row r="442" spans="1:26">
      <c r="B442" s="473" t="s">
        <v>733</v>
      </c>
      <c r="C442" s="639"/>
      <c r="D442" s="639"/>
      <c r="E442" s="639"/>
      <c r="F442" s="639"/>
      <c r="G442" s="639"/>
      <c r="H442" s="27"/>
      <c r="I442" s="27">
        <f>+I441*0.235</f>
        <v>489987.59599999856</v>
      </c>
      <c r="J442" s="27">
        <f>+J441*0.235</f>
        <v>504197.23628399789</v>
      </c>
      <c r="K442" s="27">
        <f t="shared" ref="K442:Z442" si="390">+K441*0.235</f>
        <v>518818.95613623469</v>
      </c>
      <c r="L442" s="27">
        <f t="shared" si="390"/>
        <v>533864.70586418628</v>
      </c>
      <c r="M442" s="27">
        <f t="shared" si="390"/>
        <v>549346.78233424679</v>
      </c>
      <c r="N442" s="27">
        <f t="shared" si="390"/>
        <v>565277.83902194106</v>
      </c>
      <c r="O442" s="27">
        <f t="shared" si="390"/>
        <v>581670.89635357738</v>
      </c>
      <c r="P442" s="27">
        <f t="shared" si="390"/>
        <v>598539.35234782787</v>
      </c>
      <c r="Q442" s="27">
        <f t="shared" si="390"/>
        <v>615896.99356591818</v>
      </c>
      <c r="R442" s="27">
        <f t="shared" si="390"/>
        <v>633758.00637932867</v>
      </c>
      <c r="S442" s="27">
        <f t="shared" si="390"/>
        <v>652136.98856432852</v>
      </c>
      <c r="T442" s="27">
        <f t="shared" si="390"/>
        <v>671048.96123269433</v>
      </c>
      <c r="U442" s="27">
        <f t="shared" si="390"/>
        <v>690509.38110844314</v>
      </c>
      <c r="V442" s="27">
        <f t="shared" si="390"/>
        <v>710534.15316058602</v>
      </c>
      <c r="W442" s="27">
        <f t="shared" si="390"/>
        <v>731139.64360224537</v>
      </c>
      <c r="X442" s="27">
        <f t="shared" si="390"/>
        <v>752342.69326670922</v>
      </c>
      <c r="Y442" s="27">
        <f t="shared" si="390"/>
        <v>774160.63137144328</v>
      </c>
      <c r="Z442" s="27">
        <f t="shared" si="390"/>
        <v>796611.2896812153</v>
      </c>
    </row>
    <row r="443" spans="1:26">
      <c r="B443" s="483" t="s">
        <v>722</v>
      </c>
      <c r="C443" s="500">
        <f>6.96*1000000</f>
        <v>6960000</v>
      </c>
      <c r="D443" s="500">
        <f>10.17*1000000</f>
        <v>10170000</v>
      </c>
      <c r="E443" s="500">
        <f>17.05*1000000</f>
        <v>17050000</v>
      </c>
      <c r="F443" s="500">
        <f>12.53*1000000</f>
        <v>12530000</v>
      </c>
      <c r="G443" s="629"/>
      <c r="H443" s="27"/>
      <c r="I443" s="27">
        <f>+F443*(1+$C$399/100)</f>
        <v>12893369.999999998</v>
      </c>
      <c r="J443" s="27">
        <f>+I443*(1+$C$399/100)</f>
        <v>13267277.729999997</v>
      </c>
      <c r="K443" s="27">
        <f t="shared" ref="K443:Z443" si="391">+J443*(1+$C$399/100)</f>
        <v>13652028.784169996</v>
      </c>
      <c r="L443" s="27">
        <f t="shared" si="391"/>
        <v>14047937.618910925</v>
      </c>
      <c r="M443" s="27">
        <f t="shared" si="391"/>
        <v>14455327.809859341</v>
      </c>
      <c r="N443" s="27">
        <f t="shared" si="391"/>
        <v>14874532.316345261</v>
      </c>
      <c r="O443" s="27">
        <f t="shared" si="391"/>
        <v>15305893.753519272</v>
      </c>
      <c r="P443" s="27">
        <f t="shared" si="391"/>
        <v>15749764.67237133</v>
      </c>
      <c r="Q443" s="27">
        <f t="shared" si="391"/>
        <v>16206507.847870097</v>
      </c>
      <c r="R443" s="27">
        <f t="shared" si="391"/>
        <v>16676496.575458327</v>
      </c>
      <c r="S443" s="27">
        <f t="shared" si="391"/>
        <v>17160114.976146616</v>
      </c>
      <c r="T443" s="27">
        <f t="shared" si="391"/>
        <v>17657758.310454868</v>
      </c>
      <c r="U443" s="27">
        <f t="shared" si="391"/>
        <v>18169833.301458057</v>
      </c>
      <c r="V443" s="27">
        <f t="shared" si="391"/>
        <v>18696758.467200339</v>
      </c>
      <c r="W443" s="27">
        <f t="shared" si="391"/>
        <v>19238964.462749146</v>
      </c>
      <c r="X443" s="27">
        <f t="shared" si="391"/>
        <v>19796894.432168871</v>
      </c>
      <c r="Y443" s="27">
        <f t="shared" si="391"/>
        <v>20371004.370701768</v>
      </c>
      <c r="Z443" s="27">
        <f t="shared" si="391"/>
        <v>20961763.497452118</v>
      </c>
    </row>
    <row r="444" spans="1:26" ht="15.6">
      <c r="B444" s="473" t="s">
        <v>723</v>
      </c>
      <c r="C444" s="640"/>
      <c r="D444" s="640"/>
      <c r="E444" s="640"/>
      <c r="F444" s="640"/>
      <c r="G444" s="639"/>
      <c r="H444" s="27"/>
      <c r="I444" s="27">
        <f>+I443-F443</f>
        <v>363369.99999999814</v>
      </c>
      <c r="J444" s="27">
        <f>+J443-I443</f>
        <v>373907.72999999858</v>
      </c>
      <c r="K444" s="27">
        <f t="shared" ref="K444:Z444" si="392">+K443-J443</f>
        <v>384751.05416999944</v>
      </c>
      <c r="L444" s="27">
        <f t="shared" si="392"/>
        <v>395908.83474092931</v>
      </c>
      <c r="M444" s="27">
        <f t="shared" si="392"/>
        <v>407390.19094841555</v>
      </c>
      <c r="N444" s="27">
        <f t="shared" si="392"/>
        <v>419204.5064859204</v>
      </c>
      <c r="O444" s="27">
        <f t="shared" si="392"/>
        <v>431361.43717401102</v>
      </c>
      <c r="P444" s="27">
        <f t="shared" si="392"/>
        <v>443870.91885205731</v>
      </c>
      <c r="Q444" s="27">
        <f t="shared" si="392"/>
        <v>456743.17549876682</v>
      </c>
      <c r="R444" s="27">
        <f t="shared" si="392"/>
        <v>469988.72758823074</v>
      </c>
      <c r="S444" s="27">
        <f t="shared" si="392"/>
        <v>483618.40068828873</v>
      </c>
      <c r="T444" s="27">
        <f t="shared" si="392"/>
        <v>497643.33430825174</v>
      </c>
      <c r="U444" s="27">
        <f t="shared" si="392"/>
        <v>512074.99100318924</v>
      </c>
      <c r="V444" s="27">
        <f t="shared" si="392"/>
        <v>526925.16574228182</v>
      </c>
      <c r="W444" s="27">
        <f t="shared" si="392"/>
        <v>542205.99554880708</v>
      </c>
      <c r="X444" s="27">
        <f t="shared" si="392"/>
        <v>557929.96941972524</v>
      </c>
      <c r="Y444" s="27">
        <f t="shared" si="392"/>
        <v>574109.93853289634</v>
      </c>
      <c r="Z444" s="27">
        <f t="shared" si="392"/>
        <v>590759.12675035</v>
      </c>
    </row>
    <row r="445" spans="1:26" ht="15.6">
      <c r="B445" s="473" t="s">
        <v>733</v>
      </c>
      <c r="C445" s="640"/>
      <c r="D445" s="640"/>
      <c r="E445" s="640"/>
      <c r="F445" s="640"/>
      <c r="G445" s="639"/>
      <c r="H445" s="27"/>
      <c r="I445" s="27">
        <f>+I444*0.235</f>
        <v>85391.949999999561</v>
      </c>
      <c r="J445" s="27">
        <f>+J444*0.235</f>
        <v>87868.316549999668</v>
      </c>
      <c r="K445" s="27">
        <f t="shared" ref="K445:Z445" si="393">+K444*0.235</f>
        <v>90416.497729949857</v>
      </c>
      <c r="L445" s="27">
        <f t="shared" si="393"/>
        <v>93038.576164118378</v>
      </c>
      <c r="M445" s="27">
        <f t="shared" si="393"/>
        <v>95736.694872877648</v>
      </c>
      <c r="N445" s="27">
        <f t="shared" si="393"/>
        <v>98513.059024191287</v>
      </c>
      <c r="O445" s="27">
        <f t="shared" si="393"/>
        <v>101369.93773589258</v>
      </c>
      <c r="P445" s="27">
        <f t="shared" si="393"/>
        <v>104309.66593023346</v>
      </c>
      <c r="Q445" s="27">
        <f t="shared" si="393"/>
        <v>107334.6462422102</v>
      </c>
      <c r="R445" s="27">
        <f t="shared" si="393"/>
        <v>110447.35098323422</v>
      </c>
      <c r="S445" s="27">
        <f t="shared" si="393"/>
        <v>113650.32416174785</v>
      </c>
      <c r="T445" s="27">
        <f t="shared" si="393"/>
        <v>116946.18356243915</v>
      </c>
      <c r="U445" s="27">
        <f t="shared" si="393"/>
        <v>120337.62288574946</v>
      </c>
      <c r="V445" s="27">
        <f t="shared" si="393"/>
        <v>123827.41394943622</v>
      </c>
      <c r="W445" s="27">
        <f t="shared" si="393"/>
        <v>127418.40895396966</v>
      </c>
      <c r="X445" s="27">
        <f t="shared" si="393"/>
        <v>131113.54281363543</v>
      </c>
      <c r="Y445" s="27">
        <f t="shared" si="393"/>
        <v>134915.83555523065</v>
      </c>
      <c r="Z445" s="27">
        <f t="shared" si="393"/>
        <v>138828.39478633224</v>
      </c>
    </row>
    <row r="446" spans="1:26" ht="15.6">
      <c r="B446" s="476" t="s">
        <v>734</v>
      </c>
      <c r="C446" s="633"/>
      <c r="D446" s="633"/>
      <c r="E446" s="633"/>
      <c r="F446" s="632"/>
      <c r="G446" s="634"/>
      <c r="H446" s="27"/>
      <c r="I446" s="486">
        <f>+I439+I442+I445</f>
        <v>663838.24599999771</v>
      </c>
      <c r="J446" s="486">
        <f>+J439+J442+J445</f>
        <v>683089.55513399746</v>
      </c>
      <c r="K446" s="486">
        <f t="shared" ref="K446:Z446" si="394">+K439+K442+K445</f>
        <v>702899.1522328842</v>
      </c>
      <c r="L446" s="486">
        <f t="shared" si="394"/>
        <v>723283.22764763853</v>
      </c>
      <c r="M446" s="486">
        <f t="shared" si="394"/>
        <v>744258.44124941924</v>
      </c>
      <c r="N446" s="486">
        <f t="shared" si="394"/>
        <v>765841.93604565365</v>
      </c>
      <c r="O446" s="486">
        <f t="shared" si="394"/>
        <v>788051.35219097743</v>
      </c>
      <c r="P446" s="486">
        <f t="shared" si="394"/>
        <v>810904.84140451241</v>
      </c>
      <c r="Q446" s="486">
        <f t="shared" si="394"/>
        <v>834421.08180524618</v>
      </c>
      <c r="R446" s="486">
        <f t="shared" si="394"/>
        <v>858619.29317759711</v>
      </c>
      <c r="S446" s="486">
        <f t="shared" si="394"/>
        <v>883519.25267974671</v>
      </c>
      <c r="T446" s="486">
        <f t="shared" si="394"/>
        <v>909141.31100746035</v>
      </c>
      <c r="U446" s="486">
        <f t="shared" si="394"/>
        <v>935506.40902667702</v>
      </c>
      <c r="V446" s="486">
        <f t="shared" si="394"/>
        <v>962636.09488844848</v>
      </c>
      <c r="W446" s="486">
        <f t="shared" si="394"/>
        <v>990552.54164021625</v>
      </c>
      <c r="X446" s="486">
        <f t="shared" si="394"/>
        <v>1019278.5653477812</v>
      </c>
      <c r="Y446" s="486">
        <f t="shared" si="394"/>
        <v>1048837.6437428668</v>
      </c>
      <c r="Z446" s="486">
        <f t="shared" si="394"/>
        <v>1079253.9354114092</v>
      </c>
    </row>
    <row r="447" spans="1:26">
      <c r="A447" s="680">
        <v>2024</v>
      </c>
      <c r="B447" s="687" t="s">
        <v>859</v>
      </c>
      <c r="C447" s="683"/>
      <c r="D447" s="683"/>
      <c r="E447" s="683"/>
      <c r="F447" s="683"/>
      <c r="G447" s="683"/>
      <c r="H447" s="684"/>
      <c r="I447" s="684"/>
      <c r="J447" s="684"/>
      <c r="K447" s="684"/>
      <c r="L447" s="684"/>
      <c r="M447" s="684"/>
      <c r="N447" s="684"/>
      <c r="O447" s="684"/>
      <c r="P447" s="684"/>
      <c r="Q447" s="684"/>
      <c r="R447" s="684"/>
      <c r="S447" s="684"/>
      <c r="T447" s="684"/>
      <c r="U447" s="684"/>
      <c r="V447" s="684"/>
      <c r="W447" s="684"/>
      <c r="X447" s="684"/>
      <c r="Y447" s="684"/>
      <c r="Z447" s="684"/>
    </row>
    <row r="448" spans="1:26" ht="15.6">
      <c r="B448" s="638" t="s">
        <v>736</v>
      </c>
      <c r="C448" s="631">
        <f>52.28*1000000</f>
        <v>52280000</v>
      </c>
      <c r="D448" s="500">
        <f>45.47*1000000</f>
        <v>45470000</v>
      </c>
      <c r="E448" s="500">
        <f>58.28*1000000</f>
        <v>58280000</v>
      </c>
      <c r="F448" s="500">
        <f>63.33*1000000</f>
        <v>63330000</v>
      </c>
      <c r="G448" s="639"/>
      <c r="H448" s="27"/>
      <c r="I448" s="27">
        <f>+F448*(1+$C$399/100*0.33)</f>
        <v>63936068.100000001</v>
      </c>
      <c r="J448" s="27">
        <f>+I448*(1+$C$399/100*0.33)</f>
        <v>64547936.271717004</v>
      </c>
      <c r="K448" s="27">
        <f t="shared" ref="K448:Z448" si="395">+J448*(1+$C$399/100*0.33)</f>
        <v>65165660.021837339</v>
      </c>
      <c r="L448" s="27">
        <f t="shared" si="395"/>
        <v>65789295.388246328</v>
      </c>
      <c r="M448" s="27">
        <f t="shared" si="395"/>
        <v>66418898.945111848</v>
      </c>
      <c r="N448" s="27">
        <f t="shared" si="395"/>
        <v>67054527.808016576</v>
      </c>
      <c r="O448" s="27">
        <f t="shared" si="395"/>
        <v>67696239.639139295</v>
      </c>
      <c r="P448" s="27">
        <f t="shared" si="395"/>
        <v>68344092.652485862</v>
      </c>
      <c r="Q448" s="27">
        <f t="shared" si="395"/>
        <v>68998145.619170159</v>
      </c>
      <c r="R448" s="27">
        <f t="shared" si="395"/>
        <v>69658457.872745618</v>
      </c>
      <c r="S448" s="27">
        <f t="shared" si="395"/>
        <v>70325089.314587802</v>
      </c>
      <c r="T448" s="27">
        <f t="shared" si="395"/>
        <v>70998100.419328406</v>
      </c>
      <c r="U448" s="27">
        <f t="shared" si="395"/>
        <v>71677552.24034138</v>
      </c>
      <c r="V448" s="27">
        <f t="shared" si="395"/>
        <v>72363506.41528146</v>
      </c>
      <c r="W448" s="27">
        <f t="shared" si="395"/>
        <v>73056025.171675712</v>
      </c>
      <c r="X448" s="27">
        <f t="shared" si="395"/>
        <v>73755171.33256866</v>
      </c>
      <c r="Y448" s="27">
        <f t="shared" si="395"/>
        <v>74461008.322221354</v>
      </c>
      <c r="Z448" s="27">
        <f t="shared" si="395"/>
        <v>75173600.171865016</v>
      </c>
    </row>
    <row r="449" spans="1:26">
      <c r="B449" s="473" t="s">
        <v>723</v>
      </c>
      <c r="C449" s="639"/>
      <c r="D449" s="639"/>
      <c r="E449" s="639"/>
      <c r="F449" s="639"/>
      <c r="G449" s="639"/>
      <c r="H449" s="27"/>
      <c r="I449" s="27">
        <f>+I448-F448</f>
        <v>606068.10000000149</v>
      </c>
      <c r="J449" s="27">
        <f>+J448-I448</f>
        <v>611868.17171700299</v>
      </c>
      <c r="K449" s="27">
        <f t="shared" ref="K449:Z449" si="396">+K448-J448</f>
        <v>617723.75012033433</v>
      </c>
      <c r="L449" s="27">
        <f t="shared" si="396"/>
        <v>623635.36640898883</v>
      </c>
      <c r="M449" s="27">
        <f t="shared" si="396"/>
        <v>629603.55686552078</v>
      </c>
      <c r="N449" s="27">
        <f t="shared" si="396"/>
        <v>635628.86290472746</v>
      </c>
      <c r="O449" s="27">
        <f t="shared" si="396"/>
        <v>641711.83112271875</v>
      </c>
      <c r="P449" s="27">
        <f t="shared" si="396"/>
        <v>647853.01334656775</v>
      </c>
      <c r="Q449" s="27">
        <f t="shared" si="396"/>
        <v>654052.96668429673</v>
      </c>
      <c r="R449" s="27">
        <f t="shared" si="396"/>
        <v>660312.25357545912</v>
      </c>
      <c r="S449" s="27">
        <f t="shared" si="396"/>
        <v>666631.44184218347</v>
      </c>
      <c r="T449" s="27">
        <f t="shared" si="396"/>
        <v>673011.10474060476</v>
      </c>
      <c r="U449" s="27">
        <f t="shared" si="396"/>
        <v>679451.82101297379</v>
      </c>
      <c r="V449" s="27">
        <f t="shared" si="396"/>
        <v>685954.17494007945</v>
      </c>
      <c r="W449" s="27">
        <f t="shared" si="396"/>
        <v>692518.75639425218</v>
      </c>
      <c r="X449" s="27">
        <f t="shared" si="396"/>
        <v>699146.16089294851</v>
      </c>
      <c r="Y449" s="27">
        <f t="shared" si="396"/>
        <v>705836.98965269327</v>
      </c>
      <c r="Z449" s="27">
        <f t="shared" si="396"/>
        <v>712591.84964366257</v>
      </c>
    </row>
    <row r="450" spans="1:26">
      <c r="B450" s="473" t="s">
        <v>733</v>
      </c>
      <c r="C450" s="639"/>
      <c r="D450" s="639"/>
      <c r="E450" s="639"/>
      <c r="F450" s="639"/>
      <c r="G450" s="639"/>
      <c r="H450" s="27"/>
      <c r="I450" s="27">
        <f>+I449*0.235</f>
        <v>142426.00350000034</v>
      </c>
      <c r="J450" s="27">
        <f>+J449*0.235</f>
        <v>143789.0203534957</v>
      </c>
      <c r="K450" s="27">
        <f t="shared" ref="K450:Z450" si="397">+K449*0.235</f>
        <v>145165.08127827855</v>
      </c>
      <c r="L450" s="27">
        <f t="shared" si="397"/>
        <v>146554.31110611238</v>
      </c>
      <c r="M450" s="27">
        <f t="shared" si="397"/>
        <v>147956.83586339737</v>
      </c>
      <c r="N450" s="27">
        <f t="shared" si="397"/>
        <v>149372.78278261094</v>
      </c>
      <c r="O450" s="27">
        <f t="shared" si="397"/>
        <v>150802.28031383888</v>
      </c>
      <c r="P450" s="27">
        <f t="shared" si="397"/>
        <v>152245.45813644343</v>
      </c>
      <c r="Q450" s="27">
        <f t="shared" si="397"/>
        <v>153702.44717080973</v>
      </c>
      <c r="R450" s="27">
        <f t="shared" si="397"/>
        <v>155173.37959023289</v>
      </c>
      <c r="S450" s="27">
        <f t="shared" si="397"/>
        <v>156658.3888329131</v>
      </c>
      <c r="T450" s="27">
        <f t="shared" si="397"/>
        <v>158157.6096140421</v>
      </c>
      <c r="U450" s="27">
        <f t="shared" si="397"/>
        <v>159671.17793804884</v>
      </c>
      <c r="V450" s="27">
        <f t="shared" si="397"/>
        <v>161199.23111091866</v>
      </c>
      <c r="W450" s="27">
        <f t="shared" si="397"/>
        <v>162741.90775264925</v>
      </c>
      <c r="X450" s="27">
        <f t="shared" si="397"/>
        <v>164299.3478098429</v>
      </c>
      <c r="Y450" s="27">
        <f t="shared" si="397"/>
        <v>165871.69256838292</v>
      </c>
      <c r="Z450" s="27">
        <f t="shared" si="397"/>
        <v>167459.08466626069</v>
      </c>
    </row>
    <row r="451" spans="1:26">
      <c r="B451" s="638" t="s">
        <v>724</v>
      </c>
      <c r="C451" s="500">
        <f>70189.6*1000</f>
        <v>70189600</v>
      </c>
      <c r="D451" s="500">
        <f>87088.6*1000</f>
        <v>87088600</v>
      </c>
      <c r="E451" s="500">
        <f>74545.4*1000</f>
        <v>74545400</v>
      </c>
      <c r="F451" s="500">
        <f>107061.5*1000</f>
        <v>107061500</v>
      </c>
      <c r="G451" s="639"/>
      <c r="H451" s="27"/>
      <c r="I451" s="27">
        <f>+F451*(1+$C$399/100*0.33)</f>
        <v>108086078.55500001</v>
      </c>
      <c r="J451" s="27">
        <f>+I451*(1+$C$399/100*0.33)</f>
        <v>109120462.32677136</v>
      </c>
      <c r="K451" s="27">
        <f t="shared" ref="K451:Z451" si="398">+J451*(1+$C$399/100*0.33)</f>
        <v>110164745.15123858</v>
      </c>
      <c r="L451" s="27">
        <f t="shared" si="398"/>
        <v>111219021.76233594</v>
      </c>
      <c r="M451" s="27">
        <f t="shared" si="398"/>
        <v>112283387.80060151</v>
      </c>
      <c r="N451" s="27">
        <f t="shared" si="398"/>
        <v>113357939.82185328</v>
      </c>
      <c r="O451" s="27">
        <f t="shared" si="398"/>
        <v>114442775.30594842</v>
      </c>
      <c r="P451" s="27">
        <f t="shared" si="398"/>
        <v>115537992.66562636</v>
      </c>
      <c r="Q451" s="27">
        <f t="shared" si="398"/>
        <v>116643691.25543642</v>
      </c>
      <c r="R451" s="27">
        <f t="shared" si="398"/>
        <v>117759971.38075095</v>
      </c>
      <c r="S451" s="27">
        <f t="shared" si="398"/>
        <v>118886934.30686475</v>
      </c>
      <c r="T451" s="27">
        <f t="shared" si="398"/>
        <v>120024682.26818146</v>
      </c>
      <c r="U451" s="27">
        <f t="shared" si="398"/>
        <v>121173318.47748797</v>
      </c>
      <c r="V451" s="27">
        <f t="shared" si="398"/>
        <v>122332947.13531753</v>
      </c>
      <c r="W451" s="27">
        <f t="shared" si="398"/>
        <v>123503673.43940254</v>
      </c>
      <c r="X451" s="27">
        <f t="shared" si="398"/>
        <v>124685603.59421763</v>
      </c>
      <c r="Y451" s="27">
        <f t="shared" si="398"/>
        <v>125878844.82061431</v>
      </c>
      <c r="Z451" s="27">
        <f t="shared" si="398"/>
        <v>127083505.3655476</v>
      </c>
    </row>
    <row r="452" spans="1:26">
      <c r="B452" s="473" t="s">
        <v>723</v>
      </c>
      <c r="C452" s="639"/>
      <c r="D452" s="639"/>
      <c r="E452" s="639"/>
      <c r="F452" s="639"/>
      <c r="G452" s="639"/>
      <c r="H452" s="27"/>
      <c r="I452" s="27">
        <f>+I451-F451</f>
        <v>1024578.5550000072</v>
      </c>
      <c r="J452" s="27">
        <f>+J451-I451</f>
        <v>1034383.7717713565</v>
      </c>
      <c r="K452" s="27">
        <f t="shared" ref="K452:Z452" si="399">+K451-J451</f>
        <v>1044282.824467212</v>
      </c>
      <c r="L452" s="27">
        <f t="shared" si="399"/>
        <v>1054276.6110973656</v>
      </c>
      <c r="M452" s="27">
        <f t="shared" si="399"/>
        <v>1064366.038265571</v>
      </c>
      <c r="N452" s="27">
        <f t="shared" si="399"/>
        <v>1074552.0212517679</v>
      </c>
      <c r="O452" s="27">
        <f t="shared" si="399"/>
        <v>1084835.4840951413</v>
      </c>
      <c r="P452" s="27">
        <f t="shared" si="399"/>
        <v>1095217.3596779406</v>
      </c>
      <c r="Q452" s="27">
        <f t="shared" si="399"/>
        <v>1105698.5898100585</v>
      </c>
      <c r="R452" s="27">
        <f t="shared" si="399"/>
        <v>1116280.1253145337</v>
      </c>
      <c r="S452" s="27">
        <f t="shared" si="399"/>
        <v>1126962.9261137992</v>
      </c>
      <c r="T452" s="27">
        <f t="shared" si="399"/>
        <v>1137747.9613167048</v>
      </c>
      <c r="U452" s="27">
        <f t="shared" si="399"/>
        <v>1148636.2093065083</v>
      </c>
      <c r="V452" s="27">
        <f t="shared" si="399"/>
        <v>1159628.6578295678</v>
      </c>
      <c r="W452" s="27">
        <f t="shared" si="399"/>
        <v>1170726.3040850013</v>
      </c>
      <c r="X452" s="27">
        <f t="shared" si="399"/>
        <v>1181930.1548150927</v>
      </c>
      <c r="Y452" s="27">
        <f t="shared" si="399"/>
        <v>1193241.2263966799</v>
      </c>
      <c r="Z452" s="27">
        <f t="shared" si="399"/>
        <v>1204660.5449332893</v>
      </c>
    </row>
    <row r="453" spans="1:26">
      <c r="B453" s="473" t="s">
        <v>733</v>
      </c>
      <c r="C453" s="639"/>
      <c r="D453" s="639"/>
      <c r="E453" s="639"/>
      <c r="F453" s="639"/>
      <c r="G453" s="639"/>
      <c r="H453" s="27"/>
      <c r="I453" s="27">
        <f>+I452*0.235</f>
        <v>240775.96042500166</v>
      </c>
      <c r="J453" s="27">
        <f>+J452*0.235</f>
        <v>243080.18636626875</v>
      </c>
      <c r="K453" s="27">
        <f t="shared" ref="K453:Z453" si="400">+K452*0.235</f>
        <v>245406.46374979478</v>
      </c>
      <c r="L453" s="27">
        <f t="shared" si="400"/>
        <v>247755.00360788091</v>
      </c>
      <c r="M453" s="27">
        <f t="shared" si="400"/>
        <v>250126.01899240917</v>
      </c>
      <c r="N453" s="27">
        <f t="shared" si="400"/>
        <v>252519.72499416544</v>
      </c>
      <c r="O453" s="27">
        <f t="shared" si="400"/>
        <v>254936.33876235818</v>
      </c>
      <c r="P453" s="27">
        <f t="shared" si="400"/>
        <v>257376.07952431604</v>
      </c>
      <c r="Q453" s="27">
        <f t="shared" si="400"/>
        <v>259839.16860536372</v>
      </c>
      <c r="R453" s="27">
        <f t="shared" si="400"/>
        <v>262325.82944891544</v>
      </c>
      <c r="S453" s="27">
        <f t="shared" si="400"/>
        <v>264836.28763674281</v>
      </c>
      <c r="T453" s="27">
        <f t="shared" si="400"/>
        <v>267370.77090942563</v>
      </c>
      <c r="U453" s="27">
        <f t="shared" si="400"/>
        <v>269929.50918702944</v>
      </c>
      <c r="V453" s="27">
        <f t="shared" si="400"/>
        <v>272512.73458994844</v>
      </c>
      <c r="W453" s="27">
        <f t="shared" si="400"/>
        <v>275120.68145997531</v>
      </c>
      <c r="X453" s="27">
        <f t="shared" si="400"/>
        <v>277753.58638154675</v>
      </c>
      <c r="Y453" s="27">
        <f t="shared" si="400"/>
        <v>280411.68820321973</v>
      </c>
      <c r="Z453" s="27">
        <f t="shared" si="400"/>
        <v>283095.22805932298</v>
      </c>
    </row>
    <row r="454" spans="1:26">
      <c r="B454" s="483" t="s">
        <v>722</v>
      </c>
      <c r="C454" s="500">
        <f>37.52*1000000</f>
        <v>37520000</v>
      </c>
      <c r="D454" s="500">
        <f>29.23*1000000</f>
        <v>29230000</v>
      </c>
      <c r="E454" s="500">
        <f>47.59*1000000</f>
        <v>47590000</v>
      </c>
      <c r="F454" s="500">
        <f>103.44*1000000</f>
        <v>103440000</v>
      </c>
      <c r="G454" s="639"/>
      <c r="H454" s="27"/>
      <c r="I454" s="27">
        <f>+F454*(1+$C$399/100*0.33)</f>
        <v>104429920.80000001</v>
      </c>
      <c r="J454" s="27">
        <f>+I454*(1+$C$399/100*0.33)</f>
        <v>105429315.14205602</v>
      </c>
      <c r="K454" s="27">
        <f t="shared" ref="K454:Z454" si="401">+J454*(1+$C$399/100*0.33)</f>
        <v>106438273.6879655</v>
      </c>
      <c r="L454" s="27">
        <f t="shared" si="401"/>
        <v>107456887.96715933</v>
      </c>
      <c r="M454" s="27">
        <f t="shared" si="401"/>
        <v>108485250.38500506</v>
      </c>
      <c r="N454" s="27">
        <f t="shared" si="401"/>
        <v>109523454.23118956</v>
      </c>
      <c r="O454" s="27">
        <f t="shared" si="401"/>
        <v>110571593.68818206</v>
      </c>
      <c r="P454" s="27">
        <f t="shared" si="401"/>
        <v>111629763.83977796</v>
      </c>
      <c r="Q454" s="27">
        <f t="shared" si="401"/>
        <v>112698060.67972465</v>
      </c>
      <c r="R454" s="27">
        <f t="shared" si="401"/>
        <v>113776581.12042962</v>
      </c>
      <c r="S454" s="27">
        <f t="shared" si="401"/>
        <v>114865423.00175214</v>
      </c>
      <c r="T454" s="27">
        <f t="shared" si="401"/>
        <v>115964685.09987892</v>
      </c>
      <c r="U454" s="27">
        <f t="shared" si="401"/>
        <v>117074467.13628477</v>
      </c>
      <c r="V454" s="27">
        <f t="shared" si="401"/>
        <v>118194869.78677902</v>
      </c>
      <c r="W454" s="27">
        <f t="shared" si="401"/>
        <v>119325994.6906385</v>
      </c>
      <c r="X454" s="27">
        <f t="shared" si="401"/>
        <v>120467944.45982791</v>
      </c>
      <c r="Y454" s="27">
        <f t="shared" si="401"/>
        <v>121620822.68830848</v>
      </c>
      <c r="Z454" s="27">
        <f t="shared" si="401"/>
        <v>122784733.9614356</v>
      </c>
    </row>
    <row r="455" spans="1:26">
      <c r="B455" s="473" t="s">
        <v>723</v>
      </c>
      <c r="C455" s="639"/>
      <c r="D455" s="639"/>
      <c r="E455" s="639"/>
      <c r="F455" s="639"/>
      <c r="G455" s="639"/>
      <c r="H455" s="27"/>
      <c r="I455" s="27">
        <f>+I454-F454</f>
        <v>989920.80000001192</v>
      </c>
      <c r="J455" s="27">
        <f>+J454-I454</f>
        <v>999394.34205600619</v>
      </c>
      <c r="K455" s="27">
        <f t="shared" ref="K455:Z455" si="402">+K454-J454</f>
        <v>1008958.5459094793</v>
      </c>
      <c r="L455" s="27">
        <f t="shared" si="402"/>
        <v>1018614.2791938335</v>
      </c>
      <c r="M455" s="27">
        <f t="shared" si="402"/>
        <v>1028362.417845726</v>
      </c>
      <c r="N455" s="27">
        <f t="shared" si="402"/>
        <v>1038203.846184507</v>
      </c>
      <c r="O455" s="27">
        <f t="shared" si="402"/>
        <v>1048139.4569924921</v>
      </c>
      <c r="P455" s="27">
        <f t="shared" si="402"/>
        <v>1058170.1515959054</v>
      </c>
      <c r="Q455" s="27">
        <f t="shared" si="402"/>
        <v>1068296.8399466872</v>
      </c>
      <c r="R455" s="27">
        <f t="shared" si="402"/>
        <v>1078520.4407049716</v>
      </c>
      <c r="S455" s="27">
        <f t="shared" si="402"/>
        <v>1088841.881322518</v>
      </c>
      <c r="T455" s="27">
        <f t="shared" si="402"/>
        <v>1099262.098126784</v>
      </c>
      <c r="U455" s="27">
        <f t="shared" si="402"/>
        <v>1109782.0364058465</v>
      </c>
      <c r="V455" s="27">
        <f t="shared" si="402"/>
        <v>1120402.6504942477</v>
      </c>
      <c r="W455" s="27">
        <f t="shared" si="402"/>
        <v>1131124.9038594812</v>
      </c>
      <c r="X455" s="27">
        <f t="shared" si="402"/>
        <v>1141949.7691894174</v>
      </c>
      <c r="Y455" s="27">
        <f t="shared" si="402"/>
        <v>1152878.2284805626</v>
      </c>
      <c r="Z455" s="27">
        <f t="shared" si="402"/>
        <v>1163911.2731271237</v>
      </c>
    </row>
    <row r="456" spans="1:26" ht="15.6">
      <c r="B456" s="473" t="s">
        <v>733</v>
      </c>
      <c r="C456" s="631"/>
      <c r="D456" s="631"/>
      <c r="E456" s="631"/>
      <c r="F456" s="631"/>
      <c r="G456" s="629"/>
      <c r="H456" s="27"/>
      <c r="I456" s="27">
        <f>+I455*0.235</f>
        <v>232631.3880000028</v>
      </c>
      <c r="J456" s="27">
        <f>+J455*0.235</f>
        <v>234857.67038316143</v>
      </c>
      <c r="K456" s="27">
        <f t="shared" ref="K456:Z456" si="403">+K455*0.235</f>
        <v>237105.25828872761</v>
      </c>
      <c r="L456" s="27">
        <f t="shared" si="403"/>
        <v>239374.35561055085</v>
      </c>
      <c r="M456" s="27">
        <f t="shared" si="403"/>
        <v>241665.1681937456</v>
      </c>
      <c r="N456" s="27">
        <f t="shared" si="403"/>
        <v>243977.90385335914</v>
      </c>
      <c r="O456" s="27">
        <f t="shared" si="403"/>
        <v>246312.77239323562</v>
      </c>
      <c r="P456" s="27">
        <f t="shared" si="403"/>
        <v>248669.98562503775</v>
      </c>
      <c r="Q456" s="27">
        <f t="shared" si="403"/>
        <v>251049.75738747147</v>
      </c>
      <c r="R456" s="27">
        <f t="shared" si="403"/>
        <v>253452.30356566829</v>
      </c>
      <c r="S456" s="27">
        <f t="shared" si="403"/>
        <v>255877.84211079171</v>
      </c>
      <c r="T456" s="27">
        <f t="shared" si="403"/>
        <v>258326.59305979422</v>
      </c>
      <c r="U456" s="27">
        <f t="shared" si="403"/>
        <v>260798.77855537389</v>
      </c>
      <c r="V456" s="27">
        <f t="shared" si="403"/>
        <v>263294.62286614819</v>
      </c>
      <c r="W456" s="27">
        <f t="shared" si="403"/>
        <v>265814.35240697808</v>
      </c>
      <c r="X456" s="27">
        <f t="shared" si="403"/>
        <v>268358.19575951307</v>
      </c>
      <c r="Y456" s="27">
        <f t="shared" si="403"/>
        <v>270926.3836929322</v>
      </c>
      <c r="Z456" s="27">
        <f t="shared" si="403"/>
        <v>273519.14918487408</v>
      </c>
    </row>
    <row r="457" spans="1:26" ht="15.6">
      <c r="B457" s="476" t="s">
        <v>734</v>
      </c>
      <c r="C457" s="631"/>
      <c r="D457" s="631"/>
      <c r="E457" s="631"/>
      <c r="F457" s="632"/>
      <c r="G457" s="632"/>
      <c r="H457" s="27"/>
      <c r="I457" s="486">
        <f>+I450+I453+I456</f>
        <v>615833.35192500486</v>
      </c>
      <c r="J457" s="486">
        <f>+J450+J453+J456</f>
        <v>621726.87710292591</v>
      </c>
      <c r="K457" s="486">
        <f t="shared" ref="K457:Z457" si="404">+K450+K453+K456</f>
        <v>627676.80331680097</v>
      </c>
      <c r="L457" s="486">
        <f t="shared" si="404"/>
        <v>633683.67032454419</v>
      </c>
      <c r="M457" s="486">
        <f t="shared" si="404"/>
        <v>639748.02304955223</v>
      </c>
      <c r="N457" s="486">
        <f t="shared" si="404"/>
        <v>645870.4116301355</v>
      </c>
      <c r="O457" s="486">
        <f t="shared" si="404"/>
        <v>652051.39146943262</v>
      </c>
      <c r="P457" s="486">
        <f t="shared" si="404"/>
        <v>658291.52328579722</v>
      </c>
      <c r="Q457" s="486">
        <f t="shared" si="404"/>
        <v>664591.37316364492</v>
      </c>
      <c r="R457" s="486">
        <f t="shared" si="404"/>
        <v>670951.51260481658</v>
      </c>
      <c r="S457" s="486">
        <f t="shared" si="404"/>
        <v>677372.51858044765</v>
      </c>
      <c r="T457" s="486">
        <f t="shared" si="404"/>
        <v>683854.97358326195</v>
      </c>
      <c r="U457" s="486">
        <f t="shared" si="404"/>
        <v>690399.46568045218</v>
      </c>
      <c r="V457" s="486">
        <f t="shared" si="404"/>
        <v>697006.58856701525</v>
      </c>
      <c r="W457" s="486">
        <f t="shared" si="404"/>
        <v>703676.94161960273</v>
      </c>
      <c r="X457" s="486">
        <f t="shared" si="404"/>
        <v>710411.12995090266</v>
      </c>
      <c r="Y457" s="486">
        <f t="shared" si="404"/>
        <v>717209.76446453482</v>
      </c>
      <c r="Z457" s="486">
        <f t="shared" si="404"/>
        <v>724073.46191045782</v>
      </c>
    </row>
    <row r="458" spans="1:26">
      <c r="A458" s="32">
        <v>2024</v>
      </c>
      <c r="B458" s="685" t="s">
        <v>860</v>
      </c>
      <c r="C458" s="683"/>
      <c r="D458" s="683"/>
      <c r="E458" s="683"/>
      <c r="F458" s="683"/>
      <c r="G458" s="683"/>
      <c r="H458" s="684"/>
      <c r="I458" s="684"/>
      <c r="J458" s="684"/>
      <c r="K458" s="684"/>
      <c r="L458" s="684"/>
      <c r="M458" s="684"/>
      <c r="N458" s="684"/>
      <c r="O458" s="684"/>
      <c r="P458" s="684"/>
      <c r="Q458" s="684"/>
      <c r="R458" s="684"/>
      <c r="S458" s="684"/>
      <c r="T458" s="684"/>
      <c r="U458" s="684"/>
      <c r="V458" s="684"/>
      <c r="W458" s="684"/>
      <c r="X458" s="684"/>
      <c r="Y458" s="684"/>
      <c r="Z458" s="684"/>
    </row>
    <row r="459" spans="1:26" ht="15.6">
      <c r="B459" s="638" t="s">
        <v>736</v>
      </c>
      <c r="C459" s="631">
        <f>-3.87*1000000</f>
        <v>-3870000</v>
      </c>
      <c r="D459" s="500">
        <f>-1.21*1000000</f>
        <v>-1210000</v>
      </c>
      <c r="E459" s="500">
        <f>0.7*1000000</f>
        <v>700000</v>
      </c>
      <c r="F459" s="500">
        <f>-0.26*1000000</f>
        <v>-260000</v>
      </c>
      <c r="G459" s="629"/>
      <c r="H459" s="27"/>
      <c r="I459" s="27"/>
      <c r="J459" s="27">
        <f>+I459*(1+$C$399/100)</f>
        <v>0</v>
      </c>
      <c r="K459" s="27"/>
      <c r="L459" s="27"/>
      <c r="M459" s="27"/>
      <c r="N459" s="27"/>
      <c r="O459" s="27"/>
      <c r="P459" s="27"/>
      <c r="Q459" s="27"/>
      <c r="R459" s="27"/>
      <c r="S459" s="27"/>
      <c r="T459" s="27"/>
      <c r="U459" s="27"/>
      <c r="V459" s="27"/>
      <c r="W459" s="27"/>
      <c r="X459" s="27"/>
      <c r="Y459" s="27"/>
      <c r="Z459" s="27"/>
    </row>
    <row r="460" spans="1:26" ht="15.6">
      <c r="B460" s="473" t="s">
        <v>723</v>
      </c>
      <c r="C460" s="640"/>
      <c r="D460" s="640"/>
      <c r="E460" s="641"/>
      <c r="F460" s="640"/>
      <c r="G460" s="639"/>
      <c r="H460" s="27"/>
      <c r="I460" s="27"/>
      <c r="J460" s="27">
        <f>+J459-I459</f>
        <v>0</v>
      </c>
      <c r="K460" s="27"/>
      <c r="L460" s="27"/>
      <c r="M460" s="27"/>
      <c r="N460" s="27"/>
      <c r="O460" s="27"/>
      <c r="P460" s="27"/>
      <c r="Q460" s="27"/>
      <c r="R460" s="27"/>
      <c r="S460" s="27"/>
      <c r="T460" s="27"/>
      <c r="U460" s="27"/>
      <c r="V460" s="27"/>
      <c r="W460" s="27"/>
      <c r="X460" s="27"/>
      <c r="Y460" s="27"/>
      <c r="Z460" s="27"/>
    </row>
    <row r="461" spans="1:26" ht="15.6">
      <c r="B461" s="473" t="s">
        <v>733</v>
      </c>
      <c r="C461" s="640"/>
      <c r="D461" s="640"/>
      <c r="E461" s="641"/>
      <c r="F461" s="640"/>
      <c r="G461" s="639"/>
      <c r="H461" s="27"/>
      <c r="I461" s="27"/>
      <c r="J461" s="27">
        <f>+J460*0.235</f>
        <v>0</v>
      </c>
      <c r="K461" s="27"/>
      <c r="L461" s="27"/>
      <c r="M461" s="27"/>
      <c r="N461" s="27"/>
      <c r="O461" s="27"/>
      <c r="P461" s="27"/>
      <c r="Q461" s="27"/>
      <c r="R461" s="27"/>
      <c r="S461" s="27"/>
      <c r="T461" s="27"/>
      <c r="U461" s="27"/>
      <c r="V461" s="27"/>
      <c r="W461" s="27"/>
      <c r="X461" s="27"/>
      <c r="Y461" s="27"/>
      <c r="Z461" s="27"/>
    </row>
    <row r="462" spans="1:26">
      <c r="B462" s="638" t="s">
        <v>724</v>
      </c>
      <c r="C462" s="500">
        <f>180446.7*1000</f>
        <v>180446700</v>
      </c>
      <c r="D462" s="500">
        <f>82090.8*1000</f>
        <v>82090800</v>
      </c>
      <c r="E462" s="500">
        <f>77976.3*1000</f>
        <v>77976300</v>
      </c>
      <c r="F462" s="500">
        <f>103937.7*1000</f>
        <v>103937700</v>
      </c>
      <c r="G462" s="639"/>
      <c r="H462" s="27"/>
      <c r="I462" s="27">
        <f>+F462*(1+$C$399/100*0.33)</f>
        <v>104932383.789</v>
      </c>
      <c r="J462" s="27">
        <f>+I462*(1+$C$399/100*0.33)</f>
        <v>105936586.70186074</v>
      </c>
      <c r="K462" s="27">
        <f t="shared" ref="K462:Z462" si="405">+J462*(1+$C$399/100*0.33)</f>
        <v>106950399.83659756</v>
      </c>
      <c r="L462" s="27">
        <f t="shared" si="405"/>
        <v>107973915.16303381</v>
      </c>
      <c r="M462" s="27">
        <f t="shared" si="405"/>
        <v>109007225.53114405</v>
      </c>
      <c r="N462" s="27">
        <f t="shared" si="405"/>
        <v>110050424.67947711</v>
      </c>
      <c r="O462" s="27">
        <f t="shared" si="405"/>
        <v>111103607.24365972</v>
      </c>
      <c r="P462" s="27">
        <f t="shared" si="405"/>
        <v>112166868.76498155</v>
      </c>
      <c r="Q462" s="27">
        <f t="shared" si="405"/>
        <v>113240305.69906244</v>
      </c>
      <c r="R462" s="27">
        <f t="shared" si="405"/>
        <v>114324015.42460248</v>
      </c>
      <c r="S462" s="27">
        <f t="shared" si="405"/>
        <v>115418096.25221594</v>
      </c>
      <c r="T462" s="27">
        <f t="shared" si="405"/>
        <v>116522647.43334965</v>
      </c>
      <c r="U462" s="27">
        <f t="shared" si="405"/>
        <v>117637769.16928682</v>
      </c>
      <c r="V462" s="27">
        <f t="shared" si="405"/>
        <v>118763562.6202369</v>
      </c>
      <c r="W462" s="27">
        <f t="shared" si="405"/>
        <v>119900129.91451257</v>
      </c>
      <c r="X462" s="27">
        <f t="shared" si="405"/>
        <v>121047574.15779448</v>
      </c>
      <c r="Y462" s="27">
        <f t="shared" si="405"/>
        <v>122205999.44248457</v>
      </c>
      <c r="Z462" s="27">
        <f t="shared" si="405"/>
        <v>123375510.85714915</v>
      </c>
    </row>
    <row r="463" spans="1:26" ht="15.6">
      <c r="B463" s="473" t="s">
        <v>723</v>
      </c>
      <c r="C463" s="640"/>
      <c r="D463" s="640"/>
      <c r="E463" s="641"/>
      <c r="F463" s="640"/>
      <c r="G463" s="639"/>
      <c r="H463" s="27"/>
      <c r="I463" s="27">
        <f>+I462-F462</f>
        <v>994683.78900000453</v>
      </c>
      <c r="J463" s="27">
        <f>+J462-I462</f>
        <v>1004202.9128607363</v>
      </c>
      <c r="K463" s="27">
        <f t="shared" ref="K463:Z463" si="406">+K462-J462</f>
        <v>1013813.1347368211</v>
      </c>
      <c r="L463" s="27">
        <f t="shared" si="406"/>
        <v>1023515.3264362514</v>
      </c>
      <c r="M463" s="27">
        <f t="shared" si="406"/>
        <v>1033310.3681102395</v>
      </c>
      <c r="N463" s="27">
        <f t="shared" si="406"/>
        <v>1043199.1483330578</v>
      </c>
      <c r="O463" s="27">
        <f t="shared" si="406"/>
        <v>1053182.5641826093</v>
      </c>
      <c r="P463" s="27">
        <f t="shared" si="406"/>
        <v>1063261.5213218331</v>
      </c>
      <c r="Q463" s="27">
        <f t="shared" si="406"/>
        <v>1073436.9340808839</v>
      </c>
      <c r="R463" s="27">
        <f t="shared" si="406"/>
        <v>1083709.7255400419</v>
      </c>
      <c r="S463" s="27">
        <f t="shared" si="406"/>
        <v>1094080.827613458</v>
      </c>
      <c r="T463" s="27">
        <f t="shared" si="406"/>
        <v>1104551.1811337173</v>
      </c>
      <c r="U463" s="27">
        <f t="shared" si="406"/>
        <v>1115121.7359371632</v>
      </c>
      <c r="V463" s="27">
        <f t="shared" si="406"/>
        <v>1125793.4509500861</v>
      </c>
      <c r="W463" s="27">
        <f t="shared" si="406"/>
        <v>1136567.2942756712</v>
      </c>
      <c r="X463" s="27">
        <f t="shared" si="406"/>
        <v>1147444.2432819009</v>
      </c>
      <c r="Y463" s="27">
        <f t="shared" si="406"/>
        <v>1158425.284690097</v>
      </c>
      <c r="Z463" s="27">
        <f t="shared" si="406"/>
        <v>1169511.4146645814</v>
      </c>
    </row>
    <row r="464" spans="1:26" ht="15.6">
      <c r="B464" s="473" t="s">
        <v>733</v>
      </c>
      <c r="C464" s="640"/>
      <c r="D464" s="640"/>
      <c r="E464" s="641"/>
      <c r="F464" s="640"/>
      <c r="G464" s="639"/>
      <c r="H464" s="27"/>
      <c r="I464" s="27">
        <f>+I463*0.235</f>
        <v>233750.69041500104</v>
      </c>
      <c r="J464" s="27">
        <f>+J463*0.235</f>
        <v>235987.68452227302</v>
      </c>
      <c r="K464" s="27">
        <f t="shared" ref="K464:Z464" si="407">+K463*0.235</f>
        <v>238246.08666315294</v>
      </c>
      <c r="L464" s="27">
        <f t="shared" si="407"/>
        <v>240526.10171251907</v>
      </c>
      <c r="M464" s="27">
        <f t="shared" si="407"/>
        <v>242827.93650590628</v>
      </c>
      <c r="N464" s="27">
        <f t="shared" si="407"/>
        <v>245151.79985826855</v>
      </c>
      <c r="O464" s="27">
        <f t="shared" si="407"/>
        <v>247497.90258291317</v>
      </c>
      <c r="P464" s="27">
        <f t="shared" si="407"/>
        <v>249866.45751063077</v>
      </c>
      <c r="Q464" s="27">
        <f t="shared" si="407"/>
        <v>252257.67950900769</v>
      </c>
      <c r="R464" s="27">
        <f t="shared" si="407"/>
        <v>254671.78550190985</v>
      </c>
      <c r="S464" s="27">
        <f t="shared" si="407"/>
        <v>257108.99448916264</v>
      </c>
      <c r="T464" s="27">
        <f t="shared" si="407"/>
        <v>259569.52756642355</v>
      </c>
      <c r="U464" s="27">
        <f t="shared" si="407"/>
        <v>262053.60794523335</v>
      </c>
      <c r="V464" s="27">
        <f t="shared" si="407"/>
        <v>264561.46097327024</v>
      </c>
      <c r="W464" s="27">
        <f t="shared" si="407"/>
        <v>267093.31415478274</v>
      </c>
      <c r="X464" s="27">
        <f t="shared" si="407"/>
        <v>269649.3971712467</v>
      </c>
      <c r="Y464" s="27">
        <f t="shared" si="407"/>
        <v>272229.94190217275</v>
      </c>
      <c r="Z464" s="27">
        <f t="shared" si="407"/>
        <v>274835.18244617659</v>
      </c>
    </row>
    <row r="465" spans="1:26">
      <c r="B465" s="483" t="s">
        <v>722</v>
      </c>
      <c r="C465" s="500">
        <f>3.73*1000000</f>
        <v>3730000</v>
      </c>
      <c r="D465" s="500">
        <f>4.16*1000000</f>
        <v>4160000</v>
      </c>
      <c r="E465" s="500">
        <f>6.73*1000000</f>
        <v>6730000</v>
      </c>
      <c r="F465" s="500">
        <f>6.9*1000000</f>
        <v>6900000</v>
      </c>
      <c r="G465" s="639"/>
      <c r="H465" s="27"/>
      <c r="I465" s="27">
        <f>+F465*(1+$C$399/100*0.33)</f>
        <v>6966033.0000000009</v>
      </c>
      <c r="J465" s="27">
        <f>+I465*(1+$C$399/100*0.33)</f>
        <v>7032697.9358100016</v>
      </c>
      <c r="K465" s="27">
        <f t="shared" ref="K465:Z465" si="408">+J465*(1+$C$399/100*0.33)</f>
        <v>7100000.8550557038</v>
      </c>
      <c r="L465" s="27">
        <f t="shared" si="408"/>
        <v>7167947.863238587</v>
      </c>
      <c r="M465" s="27">
        <f t="shared" si="408"/>
        <v>7236545.1242897809</v>
      </c>
      <c r="N465" s="27">
        <f t="shared" si="408"/>
        <v>7305798.8611292345</v>
      </c>
      <c r="O465" s="27">
        <f t="shared" si="408"/>
        <v>7375715.3562302422</v>
      </c>
      <c r="P465" s="27">
        <f t="shared" si="408"/>
        <v>7446300.9521893663</v>
      </c>
      <c r="Q465" s="27">
        <f t="shared" si="408"/>
        <v>7517562.0523018194</v>
      </c>
      <c r="R465" s="27">
        <f t="shared" si="408"/>
        <v>7589505.1211423483</v>
      </c>
      <c r="S465" s="27">
        <f t="shared" si="408"/>
        <v>7662136.6851516813</v>
      </c>
      <c r="T465" s="27">
        <f t="shared" si="408"/>
        <v>7735463.3332285834</v>
      </c>
      <c r="U465" s="27">
        <f t="shared" si="408"/>
        <v>7809491.7173275817</v>
      </c>
      <c r="V465" s="27">
        <f t="shared" si="408"/>
        <v>7884228.5530624073</v>
      </c>
      <c r="W465" s="27">
        <f t="shared" si="408"/>
        <v>7959680.6203152156</v>
      </c>
      <c r="X465" s="27">
        <f t="shared" si="408"/>
        <v>8035854.7638516324</v>
      </c>
      <c r="Y465" s="27">
        <f t="shared" si="408"/>
        <v>8112757.893941693</v>
      </c>
      <c r="Z465" s="27">
        <f t="shared" si="408"/>
        <v>8190396.9869867153</v>
      </c>
    </row>
    <row r="466" spans="1:26" ht="15.6">
      <c r="B466" s="473" t="s">
        <v>723</v>
      </c>
      <c r="C466" s="640"/>
      <c r="D466" s="640"/>
      <c r="E466" s="641"/>
      <c r="F466" s="640"/>
      <c r="G466" s="639"/>
      <c r="H466" s="27"/>
      <c r="I466" s="27">
        <f>+I465-F465</f>
        <v>66033.000000000931</v>
      </c>
      <c r="J466" s="27">
        <f>+J465-I465</f>
        <v>66664.935810000636</v>
      </c>
      <c r="K466" s="27">
        <f t="shared" ref="K466:Z466" si="409">+K465-J465</f>
        <v>67302.919245702215</v>
      </c>
      <c r="L466" s="27">
        <f t="shared" si="409"/>
        <v>67947.008182883263</v>
      </c>
      <c r="M466" s="27">
        <f t="shared" si="409"/>
        <v>68597.261051193811</v>
      </c>
      <c r="N466" s="27">
        <f t="shared" si="409"/>
        <v>69253.73683945369</v>
      </c>
      <c r="O466" s="27">
        <f t="shared" si="409"/>
        <v>69916.495101007633</v>
      </c>
      <c r="P466" s="27">
        <f t="shared" si="409"/>
        <v>70585.595959124155</v>
      </c>
      <c r="Q466" s="27">
        <f t="shared" si="409"/>
        <v>71261.100112453103</v>
      </c>
      <c r="R466" s="27">
        <f t="shared" si="409"/>
        <v>71943.068840528838</v>
      </c>
      <c r="S466" s="27">
        <f t="shared" si="409"/>
        <v>72631.564009333029</v>
      </c>
      <c r="T466" s="27">
        <f t="shared" si="409"/>
        <v>73326.648076902144</v>
      </c>
      <c r="U466" s="27">
        <f t="shared" si="409"/>
        <v>74028.384098998271</v>
      </c>
      <c r="V466" s="27">
        <f t="shared" si="409"/>
        <v>74736.835734825581</v>
      </c>
      <c r="W466" s="27">
        <f t="shared" si="409"/>
        <v>75452.06725280825</v>
      </c>
      <c r="X466" s="27">
        <f t="shared" si="409"/>
        <v>76174.143536416814</v>
      </c>
      <c r="Y466" s="27">
        <f t="shared" si="409"/>
        <v>76903.130090060644</v>
      </c>
      <c r="Z466" s="27">
        <f t="shared" si="409"/>
        <v>77639.093045022339</v>
      </c>
    </row>
    <row r="467" spans="1:26" ht="15.6">
      <c r="B467" s="473" t="s">
        <v>733</v>
      </c>
      <c r="C467" s="640"/>
      <c r="D467" s="640"/>
      <c r="E467" s="641"/>
      <c r="F467" s="640"/>
      <c r="G467" s="639"/>
      <c r="H467" s="27"/>
      <c r="I467" s="27">
        <f>+I466*0.235</f>
        <v>15517.755000000217</v>
      </c>
      <c r="J467" s="27">
        <f>+J466*0.235</f>
        <v>15666.259915350149</v>
      </c>
      <c r="K467" s="27">
        <f t="shared" ref="K467:Z467" si="410">+K466*0.235</f>
        <v>15816.186022740019</v>
      </c>
      <c r="L467" s="27">
        <f t="shared" si="410"/>
        <v>15967.546922977566</v>
      </c>
      <c r="M467" s="27">
        <f t="shared" si="410"/>
        <v>16120.356347030545</v>
      </c>
      <c r="N467" s="27">
        <f t="shared" si="410"/>
        <v>16274.628157271616</v>
      </c>
      <c r="O467" s="27">
        <f t="shared" si="410"/>
        <v>16430.376348736794</v>
      </c>
      <c r="P467" s="27">
        <f t="shared" si="410"/>
        <v>16587.615050394175</v>
      </c>
      <c r="Q467" s="27">
        <f t="shared" si="410"/>
        <v>16746.358526426477</v>
      </c>
      <c r="R467" s="27">
        <f t="shared" si="410"/>
        <v>16906.621177524277</v>
      </c>
      <c r="S467" s="27">
        <f t="shared" si="410"/>
        <v>17068.41754219326</v>
      </c>
      <c r="T467" s="27">
        <f t="shared" si="410"/>
        <v>17231.762298072004</v>
      </c>
      <c r="U467" s="27">
        <f t="shared" si="410"/>
        <v>17396.670263264594</v>
      </c>
      <c r="V467" s="27">
        <f t="shared" si="410"/>
        <v>17563.156397684012</v>
      </c>
      <c r="W467" s="27">
        <f t="shared" si="410"/>
        <v>17731.235804409938</v>
      </c>
      <c r="X467" s="27">
        <f t="shared" si="410"/>
        <v>17900.923731057952</v>
      </c>
      <c r="Y467" s="27">
        <f t="shared" si="410"/>
        <v>18072.235571164249</v>
      </c>
      <c r="Z467" s="27">
        <f t="shared" si="410"/>
        <v>18245.18686558025</v>
      </c>
    </row>
    <row r="468" spans="1:26" ht="15.6">
      <c r="B468" s="476" t="s">
        <v>734</v>
      </c>
      <c r="C468" s="633"/>
      <c r="D468" s="633"/>
      <c r="E468" s="633"/>
      <c r="F468" s="632"/>
      <c r="G468" s="632"/>
      <c r="H468" s="27"/>
      <c r="I468" s="486">
        <f>+I461+I464+I467</f>
        <v>249268.44541500125</v>
      </c>
      <c r="J468" s="486">
        <f>+J461+J464+J467</f>
        <v>251653.94443762317</v>
      </c>
      <c r="K468" s="486">
        <f t="shared" ref="K468:Z468" si="411">+K461+K464+K467</f>
        <v>254062.27268589297</v>
      </c>
      <c r="L468" s="486">
        <f t="shared" si="411"/>
        <v>256493.64863549665</v>
      </c>
      <c r="M468" s="486">
        <f t="shared" si="411"/>
        <v>258948.29285293684</v>
      </c>
      <c r="N468" s="486">
        <f t="shared" si="411"/>
        <v>261426.42801554018</v>
      </c>
      <c r="O468" s="486">
        <f t="shared" si="411"/>
        <v>263928.27893164998</v>
      </c>
      <c r="P468" s="486">
        <f t="shared" si="411"/>
        <v>266454.07256102492</v>
      </c>
      <c r="Q468" s="486">
        <f t="shared" si="411"/>
        <v>269004.03803543415</v>
      </c>
      <c r="R468" s="486">
        <f t="shared" si="411"/>
        <v>271578.40667943412</v>
      </c>
      <c r="S468" s="486">
        <f t="shared" si="411"/>
        <v>274177.4120313559</v>
      </c>
      <c r="T468" s="486">
        <f t="shared" si="411"/>
        <v>276801.28986449557</v>
      </c>
      <c r="U468" s="486">
        <f t="shared" si="411"/>
        <v>279450.27820849797</v>
      </c>
      <c r="V468" s="486">
        <f t="shared" si="411"/>
        <v>282124.61737095425</v>
      </c>
      <c r="W468" s="486">
        <f t="shared" si="411"/>
        <v>284824.54995919269</v>
      </c>
      <c r="X468" s="486">
        <f t="shared" si="411"/>
        <v>287550.32090230467</v>
      </c>
      <c r="Y468" s="486">
        <f t="shared" si="411"/>
        <v>290302.17747333698</v>
      </c>
      <c r="Z468" s="486">
        <f t="shared" si="411"/>
        <v>293080.36931175686</v>
      </c>
    </row>
    <row r="469" spans="1:26">
      <c r="A469" s="32">
        <v>2024</v>
      </c>
      <c r="B469" s="687" t="s">
        <v>861</v>
      </c>
      <c r="C469" s="683"/>
      <c r="D469" s="683"/>
      <c r="E469" s="683"/>
      <c r="F469" s="683"/>
      <c r="G469" s="683"/>
      <c r="H469" s="684"/>
      <c r="I469" s="684"/>
      <c r="J469" s="684"/>
      <c r="K469" s="684"/>
      <c r="L469" s="684"/>
      <c r="M469" s="684"/>
      <c r="N469" s="684"/>
      <c r="O469" s="684"/>
      <c r="P469" s="684"/>
      <c r="Q469" s="684"/>
      <c r="R469" s="684"/>
      <c r="S469" s="684"/>
      <c r="T469" s="684"/>
      <c r="U469" s="684"/>
      <c r="V469" s="684"/>
      <c r="W469" s="684"/>
      <c r="X469" s="684"/>
      <c r="Y469" s="684"/>
      <c r="Z469" s="684"/>
    </row>
    <row r="470" spans="1:26" ht="15.6">
      <c r="B470" s="638" t="s">
        <v>736</v>
      </c>
      <c r="C470" s="631">
        <f>117.16*1000000</f>
        <v>117160000</v>
      </c>
      <c r="D470" s="500">
        <f>118.88*1000000</f>
        <v>118880000</v>
      </c>
      <c r="E470" s="500">
        <f>94.66*1000000</f>
        <v>94660000</v>
      </c>
      <c r="F470" s="500">
        <f>103.47*1000000</f>
        <v>103470000</v>
      </c>
      <c r="G470" s="639"/>
      <c r="H470" s="27"/>
      <c r="I470" s="27">
        <f>+F470*(1+$C$399/100*0.33)</f>
        <v>104460207.90000001</v>
      </c>
      <c r="J470" s="27">
        <f>+I470*(1+$C$399/100*0.33)</f>
        <v>105459892.08960301</v>
      </c>
      <c r="K470" s="27">
        <f t="shared" ref="K470:Z470" si="412">+J470*(1+$C$399/100*0.33)</f>
        <v>106469143.25690052</v>
      </c>
      <c r="L470" s="27">
        <f t="shared" si="412"/>
        <v>107488052.95786907</v>
      </c>
      <c r="M470" s="27">
        <f t="shared" si="412"/>
        <v>108516713.62467588</v>
      </c>
      <c r="N470" s="27">
        <f t="shared" si="412"/>
        <v>109555218.57406405</v>
      </c>
      <c r="O470" s="27">
        <f t="shared" si="412"/>
        <v>110603662.01581785</v>
      </c>
      <c r="P470" s="27">
        <f t="shared" si="412"/>
        <v>111662139.06130923</v>
      </c>
      <c r="Q470" s="27">
        <f t="shared" si="412"/>
        <v>112730745.73212597</v>
      </c>
      <c r="R470" s="27">
        <f t="shared" si="412"/>
        <v>113809578.96878242</v>
      </c>
      <c r="S470" s="27">
        <f t="shared" si="412"/>
        <v>114898736.63951369</v>
      </c>
      <c r="T470" s="27">
        <f t="shared" si="412"/>
        <v>115998317.54915383</v>
      </c>
      <c r="U470" s="27">
        <f t="shared" si="412"/>
        <v>117108421.44809924</v>
      </c>
      <c r="V470" s="27">
        <f t="shared" si="412"/>
        <v>118229149.04135756</v>
      </c>
      <c r="W470" s="27">
        <f t="shared" si="412"/>
        <v>119360601.99768336</v>
      </c>
      <c r="X470" s="27">
        <f t="shared" si="412"/>
        <v>120502882.9588012</v>
      </c>
      <c r="Y470" s="27">
        <f t="shared" si="412"/>
        <v>121656095.54871693</v>
      </c>
      <c r="Z470" s="27">
        <f t="shared" si="412"/>
        <v>122820344.38311817</v>
      </c>
    </row>
    <row r="471" spans="1:26">
      <c r="B471" s="473" t="s">
        <v>723</v>
      </c>
      <c r="C471" s="639"/>
      <c r="D471" s="639"/>
      <c r="E471" s="639"/>
      <c r="F471" s="639"/>
      <c r="G471" s="639"/>
      <c r="H471" s="27"/>
      <c r="I471" s="27">
        <f>+I470-F470</f>
        <v>990207.90000000596</v>
      </c>
      <c r="J471" s="27">
        <f>+J470-I470</f>
        <v>999684.18960300088</v>
      </c>
      <c r="K471" s="27">
        <f t="shared" ref="K471:Z471" si="413">+K470-J470</f>
        <v>1009251.1672975123</v>
      </c>
      <c r="L471" s="27">
        <f t="shared" si="413"/>
        <v>1018909.7009685487</v>
      </c>
      <c r="M471" s="27">
        <f t="shared" si="413"/>
        <v>1028660.6668068171</v>
      </c>
      <c r="N471" s="27">
        <f t="shared" si="413"/>
        <v>1038504.9493881613</v>
      </c>
      <c r="O471" s="27">
        <f t="shared" si="413"/>
        <v>1048443.4417538047</v>
      </c>
      <c r="P471" s="27">
        <f t="shared" si="413"/>
        <v>1058477.0454913825</v>
      </c>
      <c r="Q471" s="27">
        <f t="shared" si="413"/>
        <v>1068606.6708167344</v>
      </c>
      <c r="R471" s="27">
        <f t="shared" si="413"/>
        <v>1078833.2366564572</v>
      </c>
      <c r="S471" s="27">
        <f t="shared" si="413"/>
        <v>1089157.6707312614</v>
      </c>
      <c r="T471" s="27">
        <f t="shared" si="413"/>
        <v>1099580.9096401483</v>
      </c>
      <c r="U471" s="27">
        <f t="shared" si="413"/>
        <v>1110103.8989454061</v>
      </c>
      <c r="V471" s="27">
        <f t="shared" si="413"/>
        <v>1120727.5932583213</v>
      </c>
      <c r="W471" s="27">
        <f t="shared" si="413"/>
        <v>1131452.9563257992</v>
      </c>
      <c r="X471" s="27">
        <f t="shared" si="413"/>
        <v>1142280.9611178339</v>
      </c>
      <c r="Y471" s="27">
        <f t="shared" si="413"/>
        <v>1153212.5899157375</v>
      </c>
      <c r="Z471" s="27">
        <f t="shared" si="413"/>
        <v>1164248.834401235</v>
      </c>
    </row>
    <row r="472" spans="1:26">
      <c r="B472" s="473" t="s">
        <v>733</v>
      </c>
      <c r="C472" s="639"/>
      <c r="D472" s="639"/>
      <c r="E472" s="639"/>
      <c r="F472" s="639"/>
      <c r="G472" s="639"/>
      <c r="H472" s="27"/>
      <c r="I472" s="27">
        <f>+I471*0.235</f>
        <v>232698.85650000139</v>
      </c>
      <c r="J472" s="27">
        <f>+J471*0.235</f>
        <v>234925.78455670518</v>
      </c>
      <c r="K472" s="27">
        <f t="shared" ref="K472:Z472" si="414">+K471*0.235</f>
        <v>237174.02431491538</v>
      </c>
      <c r="L472" s="27">
        <f t="shared" si="414"/>
        <v>239443.77972760893</v>
      </c>
      <c r="M472" s="27">
        <f t="shared" si="414"/>
        <v>241735.256699602</v>
      </c>
      <c r="N472" s="27">
        <f t="shared" si="414"/>
        <v>244048.66310621789</v>
      </c>
      <c r="O472" s="27">
        <f t="shared" si="414"/>
        <v>246384.20881214409</v>
      </c>
      <c r="P472" s="27">
        <f t="shared" si="414"/>
        <v>248742.10569047485</v>
      </c>
      <c r="Q472" s="27">
        <f t="shared" si="414"/>
        <v>251122.56764193258</v>
      </c>
      <c r="R472" s="27">
        <f t="shared" si="414"/>
        <v>253525.81061426742</v>
      </c>
      <c r="S472" s="27">
        <f t="shared" si="414"/>
        <v>255952.05262184641</v>
      </c>
      <c r="T472" s="27">
        <f t="shared" si="414"/>
        <v>258401.51376543482</v>
      </c>
      <c r="U472" s="27">
        <f t="shared" si="414"/>
        <v>260874.41625217043</v>
      </c>
      <c r="V472" s="27">
        <f t="shared" si="414"/>
        <v>263370.98441570549</v>
      </c>
      <c r="W472" s="27">
        <f t="shared" si="414"/>
        <v>265891.44473656279</v>
      </c>
      <c r="X472" s="27">
        <f t="shared" si="414"/>
        <v>268436.02586269093</v>
      </c>
      <c r="Y472" s="27">
        <f t="shared" si="414"/>
        <v>271004.95863019832</v>
      </c>
      <c r="Z472" s="27">
        <f t="shared" si="414"/>
        <v>273598.47608429019</v>
      </c>
    </row>
    <row r="473" spans="1:26">
      <c r="B473" s="638" t="s">
        <v>724</v>
      </c>
      <c r="C473" s="500">
        <f>77361.2*1000</f>
        <v>77361200</v>
      </c>
      <c r="D473" s="500">
        <f>53364.4*1000</f>
        <v>53364400</v>
      </c>
      <c r="E473" s="500">
        <f>69238.9*1000</f>
        <v>69238900</v>
      </c>
      <c r="F473" s="500">
        <f>163440.2*1000</f>
        <v>163440200</v>
      </c>
      <c r="G473" s="639"/>
      <c r="H473" s="27"/>
      <c r="I473" s="27">
        <f>+F473*(1+$C$399/100*0.33)</f>
        <v>165004322.71400002</v>
      </c>
      <c r="J473" s="27">
        <f>+I473*(1+$C$399/100*0.33)</f>
        <v>166583414.08237302</v>
      </c>
      <c r="K473" s="27">
        <f t="shared" ref="K473:Z473" si="415">+J473*(1+$C$399/100*0.33)</f>
        <v>168177617.35514134</v>
      </c>
      <c r="L473" s="27">
        <f t="shared" si="415"/>
        <v>169787077.15323007</v>
      </c>
      <c r="M473" s="27">
        <f t="shared" si="415"/>
        <v>171411939.48158649</v>
      </c>
      <c r="N473" s="27">
        <f t="shared" si="415"/>
        <v>173052351.74242529</v>
      </c>
      <c r="O473" s="27">
        <f t="shared" si="415"/>
        <v>174708462.7486003</v>
      </c>
      <c r="P473" s="27">
        <f t="shared" si="415"/>
        <v>176380422.73710442</v>
      </c>
      <c r="Q473" s="27">
        <f t="shared" si="415"/>
        <v>178068383.38269851</v>
      </c>
      <c r="R473" s="27">
        <f t="shared" si="415"/>
        <v>179772497.81167096</v>
      </c>
      <c r="S473" s="27">
        <f t="shared" si="415"/>
        <v>181492920.61572868</v>
      </c>
      <c r="T473" s="27">
        <f t="shared" si="415"/>
        <v>183229807.86602122</v>
      </c>
      <c r="U473" s="27">
        <f t="shared" si="415"/>
        <v>184983317.12729904</v>
      </c>
      <c r="V473" s="27">
        <f t="shared" si="415"/>
        <v>186753607.47220731</v>
      </c>
      <c r="W473" s="27">
        <f t="shared" si="415"/>
        <v>188540839.49571633</v>
      </c>
      <c r="X473" s="27">
        <f t="shared" si="415"/>
        <v>190345175.32969037</v>
      </c>
      <c r="Y473" s="27">
        <f t="shared" si="415"/>
        <v>192166778.65759552</v>
      </c>
      <c r="Z473" s="27">
        <f t="shared" si="415"/>
        <v>194005814.72934872</v>
      </c>
    </row>
    <row r="474" spans="1:26">
      <c r="B474" s="473" t="s">
        <v>723</v>
      </c>
      <c r="C474" s="639"/>
      <c r="D474" s="639"/>
      <c r="E474" s="639"/>
      <c r="F474" s="639"/>
      <c r="G474" s="639"/>
      <c r="H474" s="27"/>
      <c r="I474" s="27">
        <f>+I473-F473</f>
        <v>1564122.7140000165</v>
      </c>
      <c r="J474" s="27">
        <f>+J473-I473</f>
        <v>1579091.3683730066</v>
      </c>
      <c r="K474" s="27">
        <f t="shared" ref="K474:Z474" si="416">+K473-J473</f>
        <v>1594203.2727683187</v>
      </c>
      <c r="L474" s="27">
        <f t="shared" si="416"/>
        <v>1609459.7980887294</v>
      </c>
      <c r="M474" s="27">
        <f t="shared" si="416"/>
        <v>1624862.328356415</v>
      </c>
      <c r="N474" s="27">
        <f t="shared" si="416"/>
        <v>1640412.2608388066</v>
      </c>
      <c r="O474" s="27">
        <f t="shared" si="416"/>
        <v>1656111.0061750114</v>
      </c>
      <c r="P474" s="27">
        <f t="shared" si="416"/>
        <v>1671959.9885041118</v>
      </c>
      <c r="Q474" s="27">
        <f t="shared" si="416"/>
        <v>1687960.6455940902</v>
      </c>
      <c r="R474" s="27">
        <f t="shared" si="416"/>
        <v>1704114.4289724529</v>
      </c>
      <c r="S474" s="27">
        <f t="shared" si="416"/>
        <v>1720422.8040577173</v>
      </c>
      <c r="T474" s="27">
        <f t="shared" si="416"/>
        <v>1736887.2502925396</v>
      </c>
      <c r="U474" s="27">
        <f t="shared" si="416"/>
        <v>1753509.2612778246</v>
      </c>
      <c r="V474" s="27">
        <f t="shared" si="416"/>
        <v>1770290.3449082673</v>
      </c>
      <c r="W474" s="27">
        <f t="shared" si="416"/>
        <v>1787232.0235090256</v>
      </c>
      <c r="X474" s="27">
        <f t="shared" si="416"/>
        <v>1804335.8339740336</v>
      </c>
      <c r="Y474" s="27">
        <f t="shared" si="416"/>
        <v>1821603.3279051483</v>
      </c>
      <c r="Z474" s="27">
        <f t="shared" si="416"/>
        <v>1839036.0717532039</v>
      </c>
    </row>
    <row r="475" spans="1:26">
      <c r="B475" s="473" t="s">
        <v>733</v>
      </c>
      <c r="C475" s="639"/>
      <c r="D475" s="639"/>
      <c r="E475" s="639"/>
      <c r="F475" s="639"/>
      <c r="G475" s="639"/>
      <c r="H475" s="27"/>
      <c r="I475" s="27">
        <f>+I474*0.235</f>
        <v>367568.83779000386</v>
      </c>
      <c r="J475" s="27">
        <f>+J474*0.235</f>
        <v>371086.47156765655</v>
      </c>
      <c r="K475" s="27">
        <f t="shared" ref="K475:Z475" si="417">+K474*0.235</f>
        <v>374637.76910055487</v>
      </c>
      <c r="L475" s="27">
        <f t="shared" si="417"/>
        <v>378223.05255085137</v>
      </c>
      <c r="M475" s="27">
        <f t="shared" si="417"/>
        <v>381842.64716375753</v>
      </c>
      <c r="N475" s="27">
        <f t="shared" si="417"/>
        <v>385496.88129711954</v>
      </c>
      <c r="O475" s="27">
        <f t="shared" si="417"/>
        <v>389186.08645112766</v>
      </c>
      <c r="P475" s="27">
        <f t="shared" si="417"/>
        <v>392910.59729846625</v>
      </c>
      <c r="Q475" s="27">
        <f t="shared" si="417"/>
        <v>396670.75171461119</v>
      </c>
      <c r="R475" s="27">
        <f t="shared" si="417"/>
        <v>400466.89080852643</v>
      </c>
      <c r="S475" s="27">
        <f t="shared" si="417"/>
        <v>404299.35895356355</v>
      </c>
      <c r="T475" s="27">
        <f t="shared" si="417"/>
        <v>408168.50381874677</v>
      </c>
      <c r="U475" s="27">
        <f t="shared" si="417"/>
        <v>412074.67640028876</v>
      </c>
      <c r="V475" s="27">
        <f t="shared" si="417"/>
        <v>416018.23105344281</v>
      </c>
      <c r="W475" s="27">
        <f t="shared" si="417"/>
        <v>419999.52552462101</v>
      </c>
      <c r="X475" s="27">
        <f t="shared" si="417"/>
        <v>424018.92098389787</v>
      </c>
      <c r="Y475" s="27">
        <f t="shared" si="417"/>
        <v>428076.78205770982</v>
      </c>
      <c r="Z475" s="27">
        <f t="shared" si="417"/>
        <v>432173.47686200286</v>
      </c>
    </row>
    <row r="476" spans="1:26">
      <c r="B476" s="483" t="s">
        <v>722</v>
      </c>
      <c r="C476" s="500">
        <f>30.71*1000000</f>
        <v>30710000</v>
      </c>
      <c r="D476" s="500">
        <f>20.3*1000000</f>
        <v>20300000</v>
      </c>
      <c r="E476" s="500">
        <f>29.64*1000000</f>
        <v>29640000</v>
      </c>
      <c r="F476" s="500">
        <f>74.06*1000000</f>
        <v>74060000</v>
      </c>
      <c r="G476" s="639"/>
      <c r="H476" s="27"/>
      <c r="I476" s="27">
        <f>+F476*(1+$C$399/100*0.33)</f>
        <v>74768754.200000003</v>
      </c>
      <c r="J476" s="27">
        <f>+I476*(1+$C$399/100*0.33)</f>
        <v>75484291.177694008</v>
      </c>
      <c r="K476" s="27">
        <f t="shared" ref="K476:Z476" si="418">+J476*(1+$C$399/100*0.33)</f>
        <v>76206675.844264552</v>
      </c>
      <c r="L476" s="27">
        <f t="shared" si="418"/>
        <v>76935973.732094169</v>
      </c>
      <c r="M476" s="27">
        <f t="shared" si="418"/>
        <v>77672251.000710309</v>
      </c>
      <c r="N476" s="27">
        <f t="shared" si="418"/>
        <v>78415574.442787111</v>
      </c>
      <c r="O476" s="27">
        <f t="shared" si="418"/>
        <v>79166011.490204588</v>
      </c>
      <c r="P476" s="27">
        <f t="shared" si="418"/>
        <v>79923630.220165849</v>
      </c>
      <c r="Q476" s="27">
        <f t="shared" si="418"/>
        <v>80688499.361372843</v>
      </c>
      <c r="R476" s="27">
        <f t="shared" si="418"/>
        <v>81460688.300261185</v>
      </c>
      <c r="S476" s="27">
        <f t="shared" si="418"/>
        <v>82240267.087294698</v>
      </c>
      <c r="T476" s="27">
        <f t="shared" si="418"/>
        <v>83027306.44332011</v>
      </c>
      <c r="U476" s="27">
        <f t="shared" si="418"/>
        <v>83821877.765982687</v>
      </c>
      <c r="V476" s="27">
        <f t="shared" si="418"/>
        <v>84624053.136203155</v>
      </c>
      <c r="W476" s="27">
        <f t="shared" si="418"/>
        <v>85433905.324716628</v>
      </c>
      <c r="X476" s="27">
        <f t="shared" si="418"/>
        <v>86251507.798674166</v>
      </c>
      <c r="Y476" s="27">
        <f t="shared" si="418"/>
        <v>87076934.728307486</v>
      </c>
      <c r="Z476" s="27">
        <f t="shared" si="418"/>
        <v>87910260.993657395</v>
      </c>
    </row>
    <row r="477" spans="1:26">
      <c r="B477" s="473" t="s">
        <v>723</v>
      </c>
      <c r="C477" s="639"/>
      <c r="D477" s="639"/>
      <c r="E477" s="639"/>
      <c r="F477" s="639"/>
      <c r="G477" s="639"/>
      <c r="H477" s="27"/>
      <c r="I477" s="27">
        <f>+I476-F476</f>
        <v>708754.20000000298</v>
      </c>
      <c r="J477" s="27">
        <f>+J476-I476</f>
        <v>715536.97769400477</v>
      </c>
      <c r="K477" s="27">
        <f t="shared" ref="K477:Z477" si="419">+K476-J476</f>
        <v>722384.66657054424</v>
      </c>
      <c r="L477" s="27">
        <f t="shared" si="419"/>
        <v>729297.88782961667</v>
      </c>
      <c r="M477" s="27">
        <f t="shared" si="419"/>
        <v>736277.26861613989</v>
      </c>
      <c r="N477" s="27">
        <f t="shared" si="419"/>
        <v>743323.44207680225</v>
      </c>
      <c r="O477" s="27">
        <f t="shared" si="419"/>
        <v>750437.04741747677</v>
      </c>
      <c r="P477" s="27">
        <f t="shared" si="419"/>
        <v>757618.72996126115</v>
      </c>
      <c r="Q477" s="27">
        <f t="shared" si="419"/>
        <v>764869.14120699465</v>
      </c>
      <c r="R477" s="27">
        <f t="shared" si="419"/>
        <v>772188.93888834119</v>
      </c>
      <c r="S477" s="27">
        <f t="shared" si="419"/>
        <v>779578.78703351319</v>
      </c>
      <c r="T477" s="27">
        <f t="shared" si="419"/>
        <v>787039.35602541268</v>
      </c>
      <c r="U477" s="27">
        <f t="shared" si="419"/>
        <v>794571.32266257703</v>
      </c>
      <c r="V477" s="27">
        <f t="shared" si="419"/>
        <v>802175.37022046745</v>
      </c>
      <c r="W477" s="27">
        <f t="shared" si="419"/>
        <v>809852.18851347268</v>
      </c>
      <c r="X477" s="27">
        <f t="shared" si="419"/>
        <v>817602.4739575386</v>
      </c>
      <c r="Y477" s="27">
        <f t="shared" si="419"/>
        <v>825426.92963331938</v>
      </c>
      <c r="Z477" s="27">
        <f t="shared" si="419"/>
        <v>833326.26534990966</v>
      </c>
    </row>
    <row r="478" spans="1:26" ht="15.6">
      <c r="B478" s="473" t="s">
        <v>733</v>
      </c>
      <c r="C478" s="631"/>
      <c r="D478" s="631"/>
      <c r="E478" s="631"/>
      <c r="F478" s="631"/>
      <c r="G478" s="631"/>
      <c r="H478" s="27"/>
      <c r="I478" s="27">
        <f>+I477*0.235</f>
        <v>166557.23700000069</v>
      </c>
      <c r="J478" s="27">
        <f>+J477*0.235</f>
        <v>168151.18975809112</v>
      </c>
      <c r="K478" s="27">
        <f t="shared" ref="K478:Z478" si="420">+K477*0.235</f>
        <v>169760.39664407787</v>
      </c>
      <c r="L478" s="27">
        <f t="shared" si="420"/>
        <v>171385.0036399599</v>
      </c>
      <c r="M478" s="27">
        <f t="shared" si="420"/>
        <v>173025.15812479286</v>
      </c>
      <c r="N478" s="27">
        <f t="shared" si="420"/>
        <v>174681.00888804853</v>
      </c>
      <c r="O478" s="27">
        <f t="shared" si="420"/>
        <v>176352.70614310703</v>
      </c>
      <c r="P478" s="27">
        <f t="shared" si="420"/>
        <v>178040.40154089636</v>
      </c>
      <c r="Q478" s="27">
        <f t="shared" si="420"/>
        <v>179744.24818364374</v>
      </c>
      <c r="R478" s="27">
        <f t="shared" si="420"/>
        <v>181464.40063876015</v>
      </c>
      <c r="S478" s="27">
        <f t="shared" si="420"/>
        <v>183201.01495287559</v>
      </c>
      <c r="T478" s="27">
        <f t="shared" si="420"/>
        <v>184954.24866597197</v>
      </c>
      <c r="U478" s="27">
        <f t="shared" si="420"/>
        <v>186724.2608257056</v>
      </c>
      <c r="V478" s="27">
        <f t="shared" si="420"/>
        <v>188511.21200180985</v>
      </c>
      <c r="W478" s="27">
        <f t="shared" si="420"/>
        <v>190315.26430066608</v>
      </c>
      <c r="X478" s="27">
        <f t="shared" si="420"/>
        <v>192136.58138002155</v>
      </c>
      <c r="Y478" s="27">
        <f t="shared" si="420"/>
        <v>193975.32846383005</v>
      </c>
      <c r="Z478" s="27">
        <f t="shared" si="420"/>
        <v>195831.67235722876</v>
      </c>
    </row>
    <row r="479" spans="1:26" ht="15.6">
      <c r="B479" s="476" t="s">
        <v>734</v>
      </c>
      <c r="C479" s="631"/>
      <c r="D479" s="631"/>
      <c r="E479" s="631"/>
      <c r="F479" s="631"/>
      <c r="G479" s="631"/>
      <c r="H479" s="27"/>
      <c r="I479" s="486">
        <f>+I472+I475+I478</f>
        <v>766824.93129000592</v>
      </c>
      <c r="J479" s="486">
        <f>+J472+J475+J478</f>
        <v>774163.44588245288</v>
      </c>
      <c r="K479" s="486">
        <f t="shared" ref="K479:Z479" si="421">+K472+K475+K478</f>
        <v>781572.19005954813</v>
      </c>
      <c r="L479" s="486">
        <f t="shared" si="421"/>
        <v>789051.83591842023</v>
      </c>
      <c r="M479" s="486">
        <f t="shared" si="421"/>
        <v>796603.06198815233</v>
      </c>
      <c r="N479" s="486">
        <f t="shared" si="421"/>
        <v>804226.55329138599</v>
      </c>
      <c r="O479" s="486">
        <f t="shared" si="421"/>
        <v>811923.00140637881</v>
      </c>
      <c r="P479" s="486">
        <f t="shared" si="421"/>
        <v>819693.1045298375</v>
      </c>
      <c r="Q479" s="486">
        <f t="shared" si="421"/>
        <v>827537.56754018739</v>
      </c>
      <c r="R479" s="486">
        <f t="shared" si="421"/>
        <v>835457.10206155397</v>
      </c>
      <c r="S479" s="486">
        <f t="shared" si="421"/>
        <v>843452.42652828549</v>
      </c>
      <c r="T479" s="486">
        <f t="shared" si="421"/>
        <v>851524.26625015354</v>
      </c>
      <c r="U479" s="486">
        <f t="shared" si="421"/>
        <v>859673.35347816476</v>
      </c>
      <c r="V479" s="486">
        <f t="shared" si="421"/>
        <v>867900.42747095809</v>
      </c>
      <c r="W479" s="486">
        <f t="shared" si="421"/>
        <v>876206.23456184985</v>
      </c>
      <c r="X479" s="486">
        <f t="shared" si="421"/>
        <v>884591.52822661027</v>
      </c>
      <c r="Y479" s="486">
        <f t="shared" si="421"/>
        <v>893057.06915173819</v>
      </c>
      <c r="Z479" s="486">
        <f t="shared" si="421"/>
        <v>901603.62530352175</v>
      </c>
    </row>
    <row r="480" spans="1:26">
      <c r="A480" s="32">
        <v>2024</v>
      </c>
      <c r="B480" s="685" t="s">
        <v>862</v>
      </c>
      <c r="C480" s="683"/>
      <c r="D480" s="683"/>
      <c r="E480" s="683"/>
      <c r="F480" s="683"/>
      <c r="G480" s="683"/>
      <c r="H480" s="684"/>
      <c r="I480" s="684"/>
      <c r="J480" s="684"/>
      <c r="K480" s="684"/>
      <c r="L480" s="684"/>
      <c r="M480" s="684"/>
      <c r="N480" s="684"/>
      <c r="O480" s="684"/>
      <c r="P480" s="684"/>
      <c r="Q480" s="684"/>
      <c r="R480" s="684"/>
      <c r="S480" s="684"/>
      <c r="T480" s="684"/>
      <c r="U480" s="684"/>
      <c r="V480" s="684"/>
      <c r="W480" s="684"/>
      <c r="X480" s="684"/>
      <c r="Y480" s="684"/>
      <c r="Z480" s="684"/>
    </row>
    <row r="481" spans="1:27" ht="15.6">
      <c r="B481" s="638" t="s">
        <v>736</v>
      </c>
      <c r="C481" s="631">
        <v>0</v>
      </c>
      <c r="D481" s="500">
        <f>-0.21*1000000</f>
        <v>-210000</v>
      </c>
      <c r="E481" s="500">
        <f>-1.17*1000000</f>
        <v>-1170000</v>
      </c>
      <c r="F481" s="500">
        <f>1.36*1000000</f>
        <v>1360000</v>
      </c>
      <c r="G481" s="639"/>
      <c r="H481" s="27"/>
      <c r="I481" s="27">
        <f>+F481*(1+$C$399/100*0.33)</f>
        <v>1373015.2000000002</v>
      </c>
      <c r="J481" s="27">
        <f>+I481*(1+$C$399/100*0.33)</f>
        <v>1386154.9554640003</v>
      </c>
      <c r="K481" s="27">
        <f t="shared" ref="K481:Z481" si="422">+J481*(1+$C$399/100*0.33)</f>
        <v>1399420.4583877909</v>
      </c>
      <c r="L481" s="27">
        <f t="shared" si="422"/>
        <v>1412812.9121745622</v>
      </c>
      <c r="M481" s="27">
        <f t="shared" si="422"/>
        <v>1426333.5317440729</v>
      </c>
      <c r="N481" s="27">
        <f t="shared" si="422"/>
        <v>1439983.5436428639</v>
      </c>
      <c r="O481" s="27">
        <f t="shared" si="422"/>
        <v>1453764.1861555262</v>
      </c>
      <c r="P481" s="27">
        <f t="shared" si="422"/>
        <v>1467676.7094170346</v>
      </c>
      <c r="Q481" s="27">
        <f t="shared" si="422"/>
        <v>1481722.3755261558</v>
      </c>
      <c r="R481" s="27">
        <f t="shared" si="422"/>
        <v>1495902.4586599413</v>
      </c>
      <c r="S481" s="27">
        <f t="shared" si="422"/>
        <v>1510218.245189317</v>
      </c>
      <c r="T481" s="27">
        <f t="shared" si="422"/>
        <v>1524671.0337957789</v>
      </c>
      <c r="U481" s="27">
        <f t="shared" si="422"/>
        <v>1539262.1355892045</v>
      </c>
      <c r="V481" s="27">
        <f t="shared" si="422"/>
        <v>1553992.8742267934</v>
      </c>
      <c r="W481" s="27">
        <f t="shared" si="422"/>
        <v>1568864.586033144</v>
      </c>
      <c r="X481" s="27">
        <f t="shared" si="422"/>
        <v>1583878.6201214814</v>
      </c>
      <c r="Y481" s="27">
        <f t="shared" si="422"/>
        <v>1599036.338516044</v>
      </c>
      <c r="Z481" s="27">
        <f t="shared" si="422"/>
        <v>1614339.1162756425</v>
      </c>
    </row>
    <row r="482" spans="1:27" ht="15.6">
      <c r="B482" s="473" t="s">
        <v>723</v>
      </c>
      <c r="C482" s="631"/>
      <c r="D482" s="631"/>
      <c r="E482" s="631"/>
      <c r="F482" s="632"/>
      <c r="G482" s="629"/>
      <c r="H482" s="27"/>
      <c r="I482" s="27">
        <f>+I481-F481</f>
        <v>13015.200000000186</v>
      </c>
      <c r="J482" s="27">
        <f>+J481-I481</f>
        <v>13139.755464000162</v>
      </c>
      <c r="K482" s="27">
        <f t="shared" ref="K482:Z482" si="423">+K481-J481</f>
        <v>13265.502923790598</v>
      </c>
      <c r="L482" s="27">
        <f t="shared" si="423"/>
        <v>13392.453786771279</v>
      </c>
      <c r="M482" s="27">
        <f t="shared" si="423"/>
        <v>13520.619569510687</v>
      </c>
      <c r="N482" s="27">
        <f t="shared" si="423"/>
        <v>13650.011898790952</v>
      </c>
      <c r="O482" s="27">
        <f t="shared" si="423"/>
        <v>13780.642512662336</v>
      </c>
      <c r="P482" s="27">
        <f t="shared" si="423"/>
        <v>13912.523261508439</v>
      </c>
      <c r="Q482" s="27">
        <f t="shared" si="423"/>
        <v>14045.666109121172</v>
      </c>
      <c r="R482" s="27">
        <f t="shared" si="423"/>
        <v>14180.08313378552</v>
      </c>
      <c r="S482" s="27">
        <f t="shared" si="423"/>
        <v>14315.786529375706</v>
      </c>
      <c r="T482" s="27">
        <f t="shared" si="423"/>
        <v>14452.788606461836</v>
      </c>
      <c r="U482" s="27">
        <f t="shared" si="423"/>
        <v>14591.101793425623</v>
      </c>
      <c r="V482" s="27">
        <f t="shared" si="423"/>
        <v>14730.738637588918</v>
      </c>
      <c r="W482" s="27">
        <f t="shared" si="423"/>
        <v>14871.71180635062</v>
      </c>
      <c r="X482" s="27">
        <f t="shared" si="423"/>
        <v>15014.034088337328</v>
      </c>
      <c r="Y482" s="27">
        <f t="shared" si="423"/>
        <v>15157.718394562602</v>
      </c>
      <c r="Z482" s="27">
        <f t="shared" si="423"/>
        <v>15302.777759598568</v>
      </c>
    </row>
    <row r="483" spans="1:27" ht="15.6">
      <c r="B483" s="473" t="s">
        <v>733</v>
      </c>
      <c r="C483" s="640"/>
      <c r="D483" s="640"/>
      <c r="E483" s="640"/>
      <c r="F483" s="642"/>
      <c r="G483" s="639"/>
      <c r="H483" s="27"/>
      <c r="I483" s="27">
        <f>+I482*0.235</f>
        <v>3058.5720000000438</v>
      </c>
      <c r="J483" s="27">
        <f>+J482*0.235</f>
        <v>3087.8425340400377</v>
      </c>
      <c r="K483" s="27">
        <f t="shared" ref="K483:Z483" si="424">+K482*0.235</f>
        <v>3117.3931870907904</v>
      </c>
      <c r="L483" s="27">
        <f t="shared" si="424"/>
        <v>3147.2266398912502</v>
      </c>
      <c r="M483" s="27">
        <f t="shared" si="424"/>
        <v>3177.3455988350115</v>
      </c>
      <c r="N483" s="27">
        <f t="shared" si="424"/>
        <v>3207.7527962158733</v>
      </c>
      <c r="O483" s="27">
        <f t="shared" si="424"/>
        <v>3238.4509904756487</v>
      </c>
      <c r="P483" s="27">
        <f t="shared" si="424"/>
        <v>3269.4429664544828</v>
      </c>
      <c r="Q483" s="27">
        <f t="shared" si="424"/>
        <v>3300.7315356434751</v>
      </c>
      <c r="R483" s="27">
        <f t="shared" si="424"/>
        <v>3332.319536439597</v>
      </c>
      <c r="S483" s="27">
        <f t="shared" si="424"/>
        <v>3364.2098344032906</v>
      </c>
      <c r="T483" s="27">
        <f t="shared" si="424"/>
        <v>3396.4053225185312</v>
      </c>
      <c r="U483" s="27">
        <f t="shared" si="424"/>
        <v>3428.9089214550213</v>
      </c>
      <c r="V483" s="27">
        <f t="shared" si="424"/>
        <v>3461.7235798333954</v>
      </c>
      <c r="W483" s="27">
        <f t="shared" si="424"/>
        <v>3494.8522744923957</v>
      </c>
      <c r="X483" s="27">
        <f t="shared" si="424"/>
        <v>3528.2980107592721</v>
      </c>
      <c r="Y483" s="27">
        <f t="shared" si="424"/>
        <v>3562.0638227222112</v>
      </c>
      <c r="Z483" s="27">
        <f t="shared" si="424"/>
        <v>3596.1527735056634</v>
      </c>
    </row>
    <row r="484" spans="1:27">
      <c r="B484" s="638" t="s">
        <v>724</v>
      </c>
      <c r="C484" s="500">
        <f>61187.3*1000</f>
        <v>61187300</v>
      </c>
      <c r="D484" s="500">
        <f>57528*1000</f>
        <v>57528000</v>
      </c>
      <c r="E484" s="500">
        <f>105678.5*1000</f>
        <v>105678500</v>
      </c>
      <c r="F484" s="500">
        <f>114062.1*1000</f>
        <v>114062100</v>
      </c>
      <c r="G484" s="639"/>
      <c r="H484" s="27"/>
      <c r="I484" s="27">
        <f>+F484*(1+$C$399/100*0.33)</f>
        <v>115153674.29700001</v>
      </c>
      <c r="J484" s="27">
        <f>+I484*(1+$C$399/100*0.33)</f>
        <v>116255694.9600223</v>
      </c>
      <c r="K484" s="27">
        <f t="shared" ref="K484:Z484" si="425">+J484*(1+$C$399/100*0.33)</f>
        <v>117368261.96078973</v>
      </c>
      <c r="L484" s="27">
        <f t="shared" si="425"/>
        <v>118491476.22775449</v>
      </c>
      <c r="M484" s="27">
        <f t="shared" si="425"/>
        <v>119625439.65525411</v>
      </c>
      <c r="N484" s="27">
        <f t="shared" si="425"/>
        <v>120770255.1127549</v>
      </c>
      <c r="O484" s="27">
        <f t="shared" si="425"/>
        <v>121926026.45418397</v>
      </c>
      <c r="P484" s="27">
        <f t="shared" si="425"/>
        <v>123092858.52735052</v>
      </c>
      <c r="Q484" s="27">
        <f t="shared" si="425"/>
        <v>124270857.18345727</v>
      </c>
      <c r="R484" s="27">
        <f t="shared" si="425"/>
        <v>125460129.28670296</v>
      </c>
      <c r="S484" s="27">
        <f t="shared" si="425"/>
        <v>126660782.72397672</v>
      </c>
      <c r="T484" s="27">
        <f t="shared" si="425"/>
        <v>127872926.41464518</v>
      </c>
      <c r="U484" s="27">
        <f t="shared" si="425"/>
        <v>129096670.32043335</v>
      </c>
      <c r="V484" s="27">
        <f t="shared" si="425"/>
        <v>130332125.4553999</v>
      </c>
      <c r="W484" s="27">
        <f t="shared" si="425"/>
        <v>131579403.89600809</v>
      </c>
      <c r="X484" s="27">
        <f t="shared" si="425"/>
        <v>132838618.79129289</v>
      </c>
      <c r="Y484" s="27">
        <f t="shared" si="425"/>
        <v>134109884.37312557</v>
      </c>
      <c r="Z484" s="27">
        <f t="shared" si="425"/>
        <v>135393315.9665764</v>
      </c>
    </row>
    <row r="485" spans="1:27" ht="15.6">
      <c r="B485" s="473" t="s">
        <v>723</v>
      </c>
      <c r="C485" s="640"/>
      <c r="D485" s="640"/>
      <c r="E485" s="640"/>
      <c r="F485" s="642"/>
      <c r="G485" s="639"/>
      <c r="H485" s="27"/>
      <c r="I485" s="27">
        <f>+I484-F484</f>
        <v>1091574.2970000058</v>
      </c>
      <c r="J485" s="27">
        <f>+J484-I484</f>
        <v>1102020.6630222946</v>
      </c>
      <c r="K485" s="27">
        <f t="shared" ref="K485:Z485" si="426">+K484-J484</f>
        <v>1112567.0007674247</v>
      </c>
      <c r="L485" s="27">
        <f t="shared" si="426"/>
        <v>1123214.2669647634</v>
      </c>
      <c r="M485" s="27">
        <f t="shared" si="426"/>
        <v>1133963.4274996221</v>
      </c>
      <c r="N485" s="27">
        <f t="shared" si="426"/>
        <v>1144815.4575007856</v>
      </c>
      <c r="O485" s="27">
        <f t="shared" si="426"/>
        <v>1155771.3414290696</v>
      </c>
      <c r="P485" s="27">
        <f t="shared" si="426"/>
        <v>1166832.0731665492</v>
      </c>
      <c r="Q485" s="27">
        <f t="shared" si="426"/>
        <v>1177998.6561067551</v>
      </c>
      <c r="R485" s="27">
        <f t="shared" si="426"/>
        <v>1189272.1032456905</v>
      </c>
      <c r="S485" s="27">
        <f t="shared" si="426"/>
        <v>1200653.4372737557</v>
      </c>
      <c r="T485" s="27">
        <f t="shared" si="426"/>
        <v>1212143.6906684637</v>
      </c>
      <c r="U485" s="27">
        <f t="shared" si="426"/>
        <v>1223743.9057881683</v>
      </c>
      <c r="V485" s="27">
        <f t="shared" si="426"/>
        <v>1235455.1349665523</v>
      </c>
      <c r="W485" s="27">
        <f t="shared" si="426"/>
        <v>1247278.4406081885</v>
      </c>
      <c r="X485" s="27">
        <f t="shared" si="426"/>
        <v>1259214.8952848017</v>
      </c>
      <c r="Y485" s="27">
        <f t="shared" si="426"/>
        <v>1271265.5818326771</v>
      </c>
      <c r="Z485" s="27">
        <f t="shared" si="426"/>
        <v>1283431.5934508294</v>
      </c>
    </row>
    <row r="486" spans="1:27" ht="15.6">
      <c r="B486" s="473" t="s">
        <v>733</v>
      </c>
      <c r="C486" s="640"/>
      <c r="D486" s="640"/>
      <c r="E486" s="640"/>
      <c r="F486" s="642"/>
      <c r="G486" s="639"/>
      <c r="H486" s="27"/>
      <c r="I486" s="27">
        <f>+I485*0.235</f>
        <v>256519.95979500137</v>
      </c>
      <c r="J486" s="27">
        <f>+J485*0.235</f>
        <v>258974.85581023921</v>
      </c>
      <c r="K486" s="27">
        <f t="shared" ref="K486:Z486" si="427">+K485*0.235</f>
        <v>261453.24518034479</v>
      </c>
      <c r="L486" s="27">
        <f t="shared" si="427"/>
        <v>263955.35273671936</v>
      </c>
      <c r="M486" s="27">
        <f t="shared" si="427"/>
        <v>266481.40546241117</v>
      </c>
      <c r="N486" s="27">
        <f t="shared" si="427"/>
        <v>269031.63251268462</v>
      </c>
      <c r="O486" s="27">
        <f t="shared" si="427"/>
        <v>271606.26523583132</v>
      </c>
      <c r="P486" s="27">
        <f t="shared" si="427"/>
        <v>274205.53719413903</v>
      </c>
      <c r="Q486" s="27">
        <f t="shared" si="427"/>
        <v>276829.68418508745</v>
      </c>
      <c r="R486" s="27">
        <f t="shared" si="427"/>
        <v>279478.94426273723</v>
      </c>
      <c r="S486" s="27">
        <f t="shared" si="427"/>
        <v>282153.55775933259</v>
      </c>
      <c r="T486" s="27">
        <f t="shared" si="427"/>
        <v>284853.76730708894</v>
      </c>
      <c r="U486" s="27">
        <f t="shared" si="427"/>
        <v>287579.81786021951</v>
      </c>
      <c r="V486" s="27">
        <f t="shared" si="427"/>
        <v>290331.95671713975</v>
      </c>
      <c r="W486" s="27">
        <f t="shared" si="427"/>
        <v>293110.43354292429</v>
      </c>
      <c r="X486" s="27">
        <f t="shared" si="427"/>
        <v>295915.50039192836</v>
      </c>
      <c r="Y486" s="27">
        <f t="shared" si="427"/>
        <v>298747.4117306791</v>
      </c>
      <c r="Z486" s="27">
        <f t="shared" si="427"/>
        <v>301606.42446094489</v>
      </c>
    </row>
    <row r="487" spans="1:27">
      <c r="B487" s="483" t="s">
        <v>722</v>
      </c>
      <c r="C487" s="500">
        <f>4.26*1000000</f>
        <v>4260000</v>
      </c>
      <c r="D487" s="500">
        <f>1.45*1000000</f>
        <v>1450000</v>
      </c>
      <c r="E487" s="500">
        <f>4.78*1000000</f>
        <v>4780000</v>
      </c>
      <c r="F487" s="500">
        <f>7.37*1000000</f>
        <v>7370000</v>
      </c>
      <c r="G487" s="639"/>
      <c r="H487" s="27"/>
      <c r="I487" s="27">
        <f>+F487*(1+$C$399/100*0.33)</f>
        <v>7440530.9000000004</v>
      </c>
      <c r="J487" s="27">
        <f>+I487*(1+$C$399/100*0.33)</f>
        <v>7511736.7807130013</v>
      </c>
      <c r="K487" s="27">
        <f t="shared" ref="K487:Z487" si="428">+J487*(1+$C$399/100*0.33)</f>
        <v>7583624.1017044252</v>
      </c>
      <c r="L487" s="27">
        <f t="shared" si="428"/>
        <v>7656199.3843577374</v>
      </c>
      <c r="M487" s="27">
        <f t="shared" si="428"/>
        <v>7729469.2124660416</v>
      </c>
      <c r="N487" s="27">
        <f t="shared" si="428"/>
        <v>7803440.2328293426</v>
      </c>
      <c r="O487" s="27">
        <f t="shared" si="428"/>
        <v>7878119.1558575202</v>
      </c>
      <c r="P487" s="27">
        <f t="shared" si="428"/>
        <v>7953512.7561790776</v>
      </c>
      <c r="Q487" s="27">
        <f t="shared" si="428"/>
        <v>8029627.873255712</v>
      </c>
      <c r="R487" s="27">
        <f t="shared" si="428"/>
        <v>8106471.4120027702</v>
      </c>
      <c r="S487" s="27">
        <f t="shared" si="428"/>
        <v>8184050.3434156375</v>
      </c>
      <c r="T487" s="27">
        <f t="shared" si="428"/>
        <v>8262371.7052021259</v>
      </c>
      <c r="U487" s="27">
        <f t="shared" si="428"/>
        <v>8341442.6024209112</v>
      </c>
      <c r="V487" s="27">
        <f t="shared" si="428"/>
        <v>8421270.2081260793</v>
      </c>
      <c r="W487" s="27">
        <f t="shared" si="428"/>
        <v>8501861.7640178464</v>
      </c>
      <c r="X487" s="27">
        <f t="shared" si="428"/>
        <v>8583224.5810994972</v>
      </c>
      <c r="Y487" s="27">
        <f t="shared" si="428"/>
        <v>8665366.0403406192</v>
      </c>
      <c r="Z487" s="27">
        <f t="shared" si="428"/>
        <v>8748293.5933466796</v>
      </c>
    </row>
    <row r="488" spans="1:27" ht="15.6">
      <c r="B488" s="473" t="s">
        <v>723</v>
      </c>
      <c r="C488" s="633"/>
      <c r="D488" s="633"/>
      <c r="E488" s="633"/>
      <c r="F488" s="632"/>
      <c r="G488" s="632"/>
      <c r="H488" s="27"/>
      <c r="I488" s="27">
        <f>+I487-F487</f>
        <v>70530.900000000373</v>
      </c>
      <c r="J488" s="27">
        <f>+J487-I487</f>
        <v>71205.880713000894</v>
      </c>
      <c r="K488" s="27">
        <f t="shared" ref="K488:Z488" si="429">+K487-J487</f>
        <v>71887.320991423912</v>
      </c>
      <c r="L488" s="27">
        <f t="shared" si="429"/>
        <v>72575.282653312199</v>
      </c>
      <c r="M488" s="27">
        <f t="shared" si="429"/>
        <v>73269.82810830418</v>
      </c>
      <c r="N488" s="27">
        <f t="shared" si="429"/>
        <v>73971.020363301039</v>
      </c>
      <c r="O488" s="27">
        <f t="shared" si="429"/>
        <v>74678.923028177582</v>
      </c>
      <c r="P488" s="27">
        <f t="shared" si="429"/>
        <v>75393.600321557373</v>
      </c>
      <c r="Q488" s="27">
        <f t="shared" si="429"/>
        <v>76115.117076634429</v>
      </c>
      <c r="R488" s="27">
        <f t="shared" si="429"/>
        <v>76843.53874705825</v>
      </c>
      <c r="S488" s="27">
        <f t="shared" si="429"/>
        <v>77578.93141286727</v>
      </c>
      <c r="T488" s="27">
        <f t="shared" si="429"/>
        <v>78321.361786488444</v>
      </c>
      <c r="U488" s="27">
        <f t="shared" si="429"/>
        <v>79070.897218785249</v>
      </c>
      <c r="V488" s="27">
        <f t="shared" si="429"/>
        <v>79827.605705168098</v>
      </c>
      <c r="W488" s="27">
        <f t="shared" si="429"/>
        <v>80591.555891767144</v>
      </c>
      <c r="X488" s="27">
        <f t="shared" si="429"/>
        <v>81362.817081650719</v>
      </c>
      <c r="Y488" s="27">
        <f t="shared" si="429"/>
        <v>82141.459241122007</v>
      </c>
      <c r="Z488" s="27">
        <f t="shared" si="429"/>
        <v>82927.553006060421</v>
      </c>
    </row>
    <row r="489" spans="1:27" ht="15.6">
      <c r="B489" s="473" t="s">
        <v>733</v>
      </c>
      <c r="C489" s="641"/>
      <c r="D489" s="641"/>
      <c r="E489" s="641"/>
      <c r="F489" s="642"/>
      <c r="G489" s="642"/>
      <c r="H489" s="27"/>
      <c r="I489" s="27">
        <f>+I488*0.235</f>
        <v>16574.761500000088</v>
      </c>
      <c r="J489" s="27">
        <f>+J488*0.235</f>
        <v>16733.381967555208</v>
      </c>
      <c r="K489" s="27">
        <f t="shared" ref="K489:Z489" si="430">+K488*0.235</f>
        <v>16893.52043298462</v>
      </c>
      <c r="L489" s="27">
        <f t="shared" si="430"/>
        <v>17055.191423528366</v>
      </c>
      <c r="M489" s="27">
        <f t="shared" si="430"/>
        <v>17218.409605451481</v>
      </c>
      <c r="N489" s="27">
        <f t="shared" si="430"/>
        <v>17383.189785375744</v>
      </c>
      <c r="O489" s="27">
        <f t="shared" si="430"/>
        <v>17549.546911621732</v>
      </c>
      <c r="P489" s="27">
        <f t="shared" si="430"/>
        <v>17717.496075565981</v>
      </c>
      <c r="Q489" s="27">
        <f t="shared" si="430"/>
        <v>17887.05251300909</v>
      </c>
      <c r="R489" s="27">
        <f t="shared" si="430"/>
        <v>18058.231605558689</v>
      </c>
      <c r="S489" s="27">
        <f t="shared" si="430"/>
        <v>18231.048882023806</v>
      </c>
      <c r="T489" s="27">
        <f t="shared" si="430"/>
        <v>18405.520019824784</v>
      </c>
      <c r="U489" s="27">
        <f t="shared" si="430"/>
        <v>18581.660846414532</v>
      </c>
      <c r="V489" s="27">
        <f t="shared" si="430"/>
        <v>18759.487340714502</v>
      </c>
      <c r="W489" s="27">
        <f t="shared" si="430"/>
        <v>18939.015634565279</v>
      </c>
      <c r="X489" s="27">
        <f t="shared" si="430"/>
        <v>19120.26201418792</v>
      </c>
      <c r="Y489" s="27">
        <f t="shared" si="430"/>
        <v>19303.24292166367</v>
      </c>
      <c r="Z489" s="27">
        <f t="shared" si="430"/>
        <v>19487.974956424197</v>
      </c>
    </row>
    <row r="490" spans="1:27" ht="15.6">
      <c r="B490" s="476" t="s">
        <v>734</v>
      </c>
      <c r="C490" s="630"/>
      <c r="D490" s="633"/>
      <c r="E490" s="633"/>
      <c r="F490" s="633"/>
      <c r="G490" s="632"/>
      <c r="H490" s="27"/>
      <c r="I490" s="486">
        <f>+I483+I486+I489</f>
        <v>276153.29329500149</v>
      </c>
      <c r="J490" s="486">
        <f>+J483+J486+J489</f>
        <v>278796.08031183446</v>
      </c>
      <c r="K490" s="486">
        <f t="shared" ref="K490:Z490" si="431">+K483+K486+K489</f>
        <v>281464.15880042023</v>
      </c>
      <c r="L490" s="486">
        <f t="shared" si="431"/>
        <v>284157.770800139</v>
      </c>
      <c r="M490" s="486">
        <f t="shared" si="431"/>
        <v>286877.16066669766</v>
      </c>
      <c r="N490" s="486">
        <f t="shared" si="431"/>
        <v>289622.57509427622</v>
      </c>
      <c r="O490" s="486">
        <f t="shared" si="431"/>
        <v>292394.26313792873</v>
      </c>
      <c r="P490" s="486">
        <f t="shared" si="431"/>
        <v>295192.47623615951</v>
      </c>
      <c r="Q490" s="486">
        <f t="shared" si="431"/>
        <v>298017.46823374002</v>
      </c>
      <c r="R490" s="486">
        <f t="shared" si="431"/>
        <v>300869.49540473556</v>
      </c>
      <c r="S490" s="486">
        <f t="shared" si="431"/>
        <v>303748.81647575967</v>
      </c>
      <c r="T490" s="486">
        <f t="shared" si="431"/>
        <v>306655.69264943228</v>
      </c>
      <c r="U490" s="486">
        <f t="shared" si="431"/>
        <v>309590.38762808905</v>
      </c>
      <c r="V490" s="486">
        <f t="shared" si="431"/>
        <v>312553.16763768764</v>
      </c>
      <c r="W490" s="486">
        <f t="shared" si="431"/>
        <v>315544.30145198194</v>
      </c>
      <c r="X490" s="486">
        <f t="shared" si="431"/>
        <v>318564.06041687558</v>
      </c>
      <c r="Y490" s="486">
        <f t="shared" si="431"/>
        <v>321612.71847506502</v>
      </c>
      <c r="Z490" s="486">
        <f t="shared" si="431"/>
        <v>324690.55219087476</v>
      </c>
    </row>
    <row r="491" spans="1:27">
      <c r="A491" s="32">
        <v>2024</v>
      </c>
      <c r="B491" s="687" t="s">
        <v>863</v>
      </c>
      <c r="C491" s="683"/>
      <c r="D491" s="683"/>
      <c r="E491" s="683"/>
      <c r="F491" s="683"/>
      <c r="G491" s="683"/>
      <c r="H491" s="684"/>
      <c r="I491" s="684"/>
      <c r="J491" s="684"/>
      <c r="K491" s="684"/>
      <c r="L491" s="684"/>
      <c r="M491" s="684"/>
      <c r="N491" s="684"/>
      <c r="O491" s="684"/>
      <c r="P491" s="684"/>
      <c r="Q491" s="684"/>
      <c r="R491" s="684"/>
      <c r="S491" s="684"/>
      <c r="T491" s="684"/>
      <c r="U491" s="684"/>
      <c r="V491" s="684"/>
      <c r="W491" s="684"/>
      <c r="X491" s="684"/>
      <c r="Y491" s="684"/>
      <c r="Z491" s="684"/>
    </row>
    <row r="492" spans="1:27">
      <c r="B492" s="483" t="s">
        <v>736</v>
      </c>
      <c r="C492" s="500">
        <v>19650000</v>
      </c>
      <c r="D492" s="500">
        <f>27.64 *1000000</f>
        <v>27640000</v>
      </c>
      <c r="E492" s="500">
        <f>362.69*1000000</f>
        <v>362690000</v>
      </c>
      <c r="F492" s="500">
        <f>132.8*1000000</f>
        <v>132800000.00000001</v>
      </c>
      <c r="G492" s="501"/>
      <c r="H492" s="501"/>
      <c r="I492" s="27">
        <f>+F492*(1+$C$399/100*0.33)</f>
        <v>134070896.00000003</v>
      </c>
      <c r="J492" s="27">
        <f>+I492*(1+$C$399/100*0.33)</f>
        <v>135353954.47472003</v>
      </c>
      <c r="K492" s="27">
        <f t="shared" ref="K492:Z492" si="432">+J492*(1+$C$399/100*0.33)</f>
        <v>136649291.8190431</v>
      </c>
      <c r="L492" s="27">
        <f t="shared" si="432"/>
        <v>137957025.54175135</v>
      </c>
      <c r="M492" s="27">
        <f t="shared" si="432"/>
        <v>139277274.27618593</v>
      </c>
      <c r="N492" s="27">
        <f t="shared" si="432"/>
        <v>140610157.79100904</v>
      </c>
      <c r="O492" s="27">
        <f t="shared" si="432"/>
        <v>141955797.00106901</v>
      </c>
      <c r="P492" s="27">
        <f t="shared" si="432"/>
        <v>143314313.97836924</v>
      </c>
      <c r="Q492" s="27">
        <f t="shared" si="432"/>
        <v>144685831.96314225</v>
      </c>
      <c r="R492" s="27">
        <f t="shared" si="432"/>
        <v>146070475.37502953</v>
      </c>
      <c r="S492" s="27">
        <f t="shared" si="432"/>
        <v>147468369.82436857</v>
      </c>
      <c r="T492" s="27">
        <f t="shared" si="432"/>
        <v>148879642.12358779</v>
      </c>
      <c r="U492" s="27">
        <f t="shared" si="432"/>
        <v>150304420.29871053</v>
      </c>
      <c r="V492" s="27">
        <f t="shared" si="432"/>
        <v>151742833.6009692</v>
      </c>
      <c r="W492" s="27">
        <f t="shared" si="432"/>
        <v>153195012.51853049</v>
      </c>
      <c r="X492" s="27">
        <f t="shared" si="432"/>
        <v>154661088.78833285</v>
      </c>
      <c r="Y492" s="27">
        <f t="shared" si="432"/>
        <v>156141195.40803722</v>
      </c>
      <c r="Z492" s="27">
        <f t="shared" si="432"/>
        <v>157635466.64809215</v>
      </c>
      <c r="AA492" s="27"/>
    </row>
    <row r="493" spans="1:27">
      <c r="B493" s="473" t="s">
        <v>723</v>
      </c>
      <c r="C493" s="500"/>
      <c r="D493" s="500"/>
      <c r="E493" s="500"/>
      <c r="F493" s="487"/>
      <c r="G493" s="501"/>
      <c r="H493" s="501"/>
      <c r="I493" s="27">
        <f>+I492-F492</f>
        <v>1270896.0000000149</v>
      </c>
      <c r="J493" s="27">
        <f>+J492-I492</f>
        <v>1283058.4747200012</v>
      </c>
      <c r="K493" s="27">
        <f t="shared" ref="K493:Z493" si="433">+K492-J492</f>
        <v>1295337.3443230689</v>
      </c>
      <c r="L493" s="27">
        <f t="shared" si="433"/>
        <v>1307733.7227082551</v>
      </c>
      <c r="M493" s="27">
        <f t="shared" si="433"/>
        <v>1320248.7344345748</v>
      </c>
      <c r="N493" s="27">
        <f t="shared" si="433"/>
        <v>1332883.5148231089</v>
      </c>
      <c r="O493" s="27">
        <f t="shared" si="433"/>
        <v>1345639.2100599706</v>
      </c>
      <c r="P493" s="27">
        <f t="shared" si="433"/>
        <v>1358516.9773002267</v>
      </c>
      <c r="Q493" s="27">
        <f t="shared" si="433"/>
        <v>1371517.98477301</v>
      </c>
      <c r="R493" s="27">
        <f t="shared" si="433"/>
        <v>1384643.4118872881</v>
      </c>
      <c r="S493" s="27">
        <f t="shared" si="433"/>
        <v>1397894.4493390322</v>
      </c>
      <c r="T493" s="27">
        <f t="shared" si="433"/>
        <v>1411272.2992192209</v>
      </c>
      <c r="U493" s="27">
        <f t="shared" si="433"/>
        <v>1424778.1751227379</v>
      </c>
      <c r="V493" s="27">
        <f t="shared" si="433"/>
        <v>1438413.3022586703</v>
      </c>
      <c r="W493" s="27">
        <f t="shared" si="433"/>
        <v>1452178.9175612926</v>
      </c>
      <c r="X493" s="27">
        <f t="shared" si="433"/>
        <v>1466076.2698023617</v>
      </c>
      <c r="Y493" s="27">
        <f t="shared" si="433"/>
        <v>1480106.6197043657</v>
      </c>
      <c r="Z493" s="27">
        <f t="shared" si="433"/>
        <v>1494271.2400549352</v>
      </c>
      <c r="AA493" s="27"/>
    </row>
    <row r="494" spans="1:27">
      <c r="B494" s="473" t="s">
        <v>733</v>
      </c>
      <c r="C494" s="500"/>
      <c r="D494" s="500"/>
      <c r="E494" s="500"/>
      <c r="F494" s="487"/>
      <c r="G494" s="501"/>
      <c r="H494" s="501"/>
      <c r="I494" s="27">
        <f>+I493*0.235</f>
        <v>298660.56000000349</v>
      </c>
      <c r="J494" s="27">
        <f>+J493*0.235</f>
        <v>301518.74155920028</v>
      </c>
      <c r="K494" s="27">
        <f t="shared" ref="K494:Z494" si="434">+K493*0.235</f>
        <v>304404.27591592114</v>
      </c>
      <c r="L494" s="27">
        <f t="shared" si="434"/>
        <v>307317.4248364399</v>
      </c>
      <c r="M494" s="27">
        <f t="shared" si="434"/>
        <v>310258.45259212505</v>
      </c>
      <c r="N494" s="27">
        <f t="shared" si="434"/>
        <v>313227.6259834306</v>
      </c>
      <c r="O494" s="27">
        <f t="shared" si="434"/>
        <v>316225.21436409309</v>
      </c>
      <c r="P494" s="27">
        <f t="shared" si="434"/>
        <v>319251.48966555326</v>
      </c>
      <c r="Q494" s="27">
        <f t="shared" si="434"/>
        <v>322306.72642165731</v>
      </c>
      <c r="R494" s="27">
        <f t="shared" si="434"/>
        <v>325391.20179351268</v>
      </c>
      <c r="S494" s="27">
        <f t="shared" si="434"/>
        <v>328505.19559467252</v>
      </c>
      <c r="T494" s="27">
        <f t="shared" si="434"/>
        <v>331648.99031651689</v>
      </c>
      <c r="U494" s="27">
        <f t="shared" si="434"/>
        <v>334822.87115384336</v>
      </c>
      <c r="V494" s="27">
        <f t="shared" si="434"/>
        <v>338027.12603078753</v>
      </c>
      <c r="W494" s="27">
        <f t="shared" si="434"/>
        <v>341262.04562690377</v>
      </c>
      <c r="X494" s="27">
        <f t="shared" si="434"/>
        <v>344527.923403555</v>
      </c>
      <c r="Y494" s="27">
        <f t="shared" si="434"/>
        <v>347825.05563052592</v>
      </c>
      <c r="Z494" s="27">
        <f t="shared" si="434"/>
        <v>351153.74141290976</v>
      </c>
      <c r="AA494" s="27"/>
    </row>
    <row r="495" spans="1:27">
      <c r="B495" s="483" t="s">
        <v>724</v>
      </c>
      <c r="C495" s="500">
        <f>215786.2*1000</f>
        <v>215786200</v>
      </c>
      <c r="D495" s="500">
        <f>74082*1000</f>
        <v>74082000</v>
      </c>
      <c r="E495" s="500">
        <f>255087.5*1000</f>
        <v>255087500</v>
      </c>
      <c r="F495" s="500">
        <f>217842.8*1000</f>
        <v>217842800</v>
      </c>
      <c r="G495" s="501"/>
      <c r="H495" s="501"/>
      <c r="I495" s="27">
        <f>+F495*(1+$C$399/100*0.33)</f>
        <v>219927555.59600002</v>
      </c>
      <c r="J495" s="27">
        <f>+I495*(1+$C$399/100*0.33)</f>
        <v>222032262.30305377</v>
      </c>
      <c r="K495" s="27">
        <f t="shared" ref="K495:Z495" si="435">+J495*(1+$C$399/100*0.33)</f>
        <v>224157111.053294</v>
      </c>
      <c r="L495" s="27">
        <f t="shared" si="435"/>
        <v>226302294.60607404</v>
      </c>
      <c r="M495" s="27">
        <f t="shared" si="435"/>
        <v>228468007.56545419</v>
      </c>
      <c r="N495" s="27">
        <f t="shared" si="435"/>
        <v>230654446.39785561</v>
      </c>
      <c r="O495" s="27">
        <f t="shared" si="435"/>
        <v>232861809.4498831</v>
      </c>
      <c r="P495" s="27">
        <f t="shared" si="435"/>
        <v>235090296.96631849</v>
      </c>
      <c r="Q495" s="27">
        <f t="shared" si="435"/>
        <v>237340111.10828617</v>
      </c>
      <c r="R495" s="27">
        <f t="shared" si="435"/>
        <v>239611455.97159249</v>
      </c>
      <c r="S495" s="27">
        <f t="shared" si="435"/>
        <v>241904537.60524064</v>
      </c>
      <c r="T495" s="27">
        <f t="shared" si="435"/>
        <v>244219564.03012282</v>
      </c>
      <c r="U495" s="27">
        <f t="shared" si="435"/>
        <v>246556745.25789112</v>
      </c>
      <c r="V495" s="27">
        <f t="shared" si="435"/>
        <v>248916293.31000915</v>
      </c>
      <c r="W495" s="27">
        <f t="shared" si="435"/>
        <v>251298422.23698595</v>
      </c>
      <c r="X495" s="27">
        <f t="shared" si="435"/>
        <v>253703348.13779393</v>
      </c>
      <c r="Y495" s="27">
        <f t="shared" si="435"/>
        <v>256131289.17947263</v>
      </c>
      <c r="Z495" s="27">
        <f t="shared" si="435"/>
        <v>258582465.6169202</v>
      </c>
      <c r="AA495" s="27"/>
    </row>
    <row r="496" spans="1:27">
      <c r="B496" s="473" t="s">
        <v>723</v>
      </c>
      <c r="C496" s="500"/>
      <c r="D496" s="500"/>
      <c r="E496" s="500"/>
      <c r="F496" s="487"/>
      <c r="G496" s="501"/>
      <c r="H496" s="501"/>
      <c r="I496" s="27">
        <f>+I495-F495</f>
        <v>2084755.5960000157</v>
      </c>
      <c r="J496" s="27">
        <f>+J495-I495</f>
        <v>2104706.7070537508</v>
      </c>
      <c r="K496" s="27">
        <f t="shared" ref="K496:Z496" si="436">+K495-J495</f>
        <v>2124848.7502402365</v>
      </c>
      <c r="L496" s="27">
        <f t="shared" si="436"/>
        <v>2145183.5527800322</v>
      </c>
      <c r="M496" s="27">
        <f t="shared" si="436"/>
        <v>2165712.9593801498</v>
      </c>
      <c r="N496" s="27">
        <f t="shared" si="436"/>
        <v>2186438.8324014246</v>
      </c>
      <c r="O496" s="27">
        <f t="shared" si="436"/>
        <v>2207363.0520274937</v>
      </c>
      <c r="P496" s="27">
        <f t="shared" si="436"/>
        <v>2228487.5164353848</v>
      </c>
      <c r="Q496" s="27">
        <f t="shared" si="436"/>
        <v>2249814.141967684</v>
      </c>
      <c r="R496" s="27">
        <f t="shared" si="436"/>
        <v>2271344.8633063138</v>
      </c>
      <c r="S496" s="27">
        <f t="shared" si="436"/>
        <v>2293081.6336481571</v>
      </c>
      <c r="T496" s="27">
        <f t="shared" si="436"/>
        <v>2315026.4248821735</v>
      </c>
      <c r="U496" s="27">
        <f t="shared" si="436"/>
        <v>2337181.227768302</v>
      </c>
      <c r="V496" s="27">
        <f t="shared" si="436"/>
        <v>2359548.0521180332</v>
      </c>
      <c r="W496" s="27">
        <f t="shared" si="436"/>
        <v>2382128.9269768</v>
      </c>
      <c r="X496" s="27">
        <f t="shared" si="436"/>
        <v>2404925.9008079767</v>
      </c>
      <c r="Y496" s="27">
        <f t="shared" si="436"/>
        <v>2427941.0416786969</v>
      </c>
      <c r="Z496" s="27">
        <f t="shared" si="436"/>
        <v>2451176.4374475777</v>
      </c>
      <c r="AA496" s="27"/>
    </row>
    <row r="497" spans="1:27">
      <c r="B497" s="473" t="s">
        <v>733</v>
      </c>
      <c r="C497" s="500"/>
      <c r="D497" s="500"/>
      <c r="E497" s="500"/>
      <c r="F497" s="487"/>
      <c r="G497" s="501"/>
      <c r="H497" s="501"/>
      <c r="I497" s="27">
        <f>+I496*0.235</f>
        <v>489917.56506000366</v>
      </c>
      <c r="J497" s="27">
        <f>+J496*0.235</f>
        <v>494606.07615763141</v>
      </c>
      <c r="K497" s="27">
        <f t="shared" ref="K497:Z497" si="437">+K496*0.235</f>
        <v>499339.45630645554</v>
      </c>
      <c r="L497" s="27">
        <f t="shared" si="437"/>
        <v>504118.13490330754</v>
      </c>
      <c r="M497" s="27">
        <f t="shared" si="437"/>
        <v>508942.54545433517</v>
      </c>
      <c r="N497" s="27">
        <f t="shared" si="437"/>
        <v>513813.12561433477</v>
      </c>
      <c r="O497" s="27">
        <f t="shared" si="437"/>
        <v>518730.31722646102</v>
      </c>
      <c r="P497" s="27">
        <f t="shared" si="437"/>
        <v>523694.56636231538</v>
      </c>
      <c r="Q497" s="27">
        <f t="shared" si="437"/>
        <v>528706.32336240576</v>
      </c>
      <c r="R497" s="27">
        <f t="shared" si="437"/>
        <v>533766.04287698376</v>
      </c>
      <c r="S497" s="27">
        <f t="shared" si="437"/>
        <v>538874.18390731688</v>
      </c>
      <c r="T497" s="27">
        <f t="shared" si="437"/>
        <v>544031.20984731079</v>
      </c>
      <c r="U497" s="27">
        <f t="shared" si="437"/>
        <v>549237.58852555091</v>
      </c>
      <c r="V497" s="27">
        <f t="shared" si="437"/>
        <v>554493.79224773776</v>
      </c>
      <c r="W497" s="27">
        <f t="shared" si="437"/>
        <v>559800.29783954797</v>
      </c>
      <c r="X497" s="27">
        <f t="shared" si="437"/>
        <v>565157.58668987453</v>
      </c>
      <c r="Y497" s="27">
        <f t="shared" si="437"/>
        <v>570566.14479449368</v>
      </c>
      <c r="Z497" s="27">
        <f t="shared" si="437"/>
        <v>576026.46280018077</v>
      </c>
      <c r="AA497" s="27"/>
    </row>
    <row r="498" spans="1:27">
      <c r="B498" s="483" t="s">
        <v>722</v>
      </c>
      <c r="C498" s="500">
        <f>30.71*1000000</f>
        <v>30710000</v>
      </c>
      <c r="D498" s="500">
        <f>42.59*1000000</f>
        <v>42590000</v>
      </c>
      <c r="E498" s="500">
        <f>81.88*1000000</f>
        <v>81880000</v>
      </c>
      <c r="F498" s="500">
        <f>110.42*1000000</f>
        <v>110420000</v>
      </c>
      <c r="G498" s="501"/>
      <c r="H498" s="501"/>
      <c r="I498" s="27">
        <f>+F498*(1+$C$399/100*0.33)</f>
        <v>111476719.40000001</v>
      </c>
      <c r="J498" s="27">
        <f>+I498*(1+$C$399/100*0.33)</f>
        <v>112543551.60465801</v>
      </c>
      <c r="K498" s="27">
        <f t="shared" ref="K498:Z498" si="438">+J498*(1+$C$399/100*0.33)</f>
        <v>113620593.39351459</v>
      </c>
      <c r="L498" s="27">
        <f t="shared" si="438"/>
        <v>114707942.47229053</v>
      </c>
      <c r="M498" s="27">
        <f t="shared" si="438"/>
        <v>115805697.48175035</v>
      </c>
      <c r="N498" s="27">
        <f t="shared" si="438"/>
        <v>116913958.00665072</v>
      </c>
      <c r="O498" s="27">
        <f t="shared" si="438"/>
        <v>118032824.58477437</v>
      </c>
      <c r="P498" s="27">
        <f t="shared" si="438"/>
        <v>119162398.71605067</v>
      </c>
      <c r="Q498" s="27">
        <f t="shared" si="438"/>
        <v>120302782.87176329</v>
      </c>
      <c r="R498" s="27">
        <f t="shared" si="438"/>
        <v>121454080.50384608</v>
      </c>
      <c r="S498" s="27">
        <f t="shared" si="438"/>
        <v>122616396.0542679</v>
      </c>
      <c r="T498" s="27">
        <f t="shared" si="438"/>
        <v>123789834.96450725</v>
      </c>
      <c r="U498" s="27">
        <f t="shared" si="438"/>
        <v>124974503.6851176</v>
      </c>
      <c r="V498" s="27">
        <f t="shared" si="438"/>
        <v>126170509.68538418</v>
      </c>
      <c r="W498" s="27">
        <f t="shared" si="438"/>
        <v>127377961.46307331</v>
      </c>
      <c r="X498" s="27">
        <f t="shared" si="438"/>
        <v>128596968.55427493</v>
      </c>
      <c r="Y498" s="27">
        <f t="shared" si="438"/>
        <v>129827641.54333936</v>
      </c>
      <c r="Z498" s="27">
        <f t="shared" si="438"/>
        <v>131070092.07290913</v>
      </c>
      <c r="AA498" s="27"/>
    </row>
    <row r="499" spans="1:27">
      <c r="B499" s="473" t="s">
        <v>723</v>
      </c>
      <c r="C499" s="502"/>
      <c r="D499" s="502"/>
      <c r="E499" s="502"/>
      <c r="F499" s="487"/>
      <c r="G499" s="501"/>
      <c r="H499" s="501"/>
      <c r="I499" s="27">
        <f>+I498-F498</f>
        <v>1056719.400000006</v>
      </c>
      <c r="J499" s="27">
        <f>+J498-I498</f>
        <v>1066832.2046580017</v>
      </c>
      <c r="K499" s="27">
        <f t="shared" ref="K499:Z499" si="439">+K498-J498</f>
        <v>1077041.7888565809</v>
      </c>
      <c r="L499" s="27">
        <f t="shared" si="439"/>
        <v>1087349.0787759423</v>
      </c>
      <c r="M499" s="27">
        <f t="shared" si="439"/>
        <v>1097755.0094598234</v>
      </c>
      <c r="N499" s="27">
        <f t="shared" si="439"/>
        <v>1108260.5249003619</v>
      </c>
      <c r="O499" s="27">
        <f t="shared" si="439"/>
        <v>1118866.5781236589</v>
      </c>
      <c r="P499" s="27">
        <f t="shared" si="439"/>
        <v>1129574.1312762946</v>
      </c>
      <c r="Q499" s="27">
        <f t="shared" si="439"/>
        <v>1140384.1557126194</v>
      </c>
      <c r="R499" s="27">
        <f t="shared" si="439"/>
        <v>1151297.6320827901</v>
      </c>
      <c r="S499" s="27">
        <f t="shared" si="439"/>
        <v>1162315.5504218191</v>
      </c>
      <c r="T499" s="27">
        <f t="shared" si="439"/>
        <v>1173438.9102393538</v>
      </c>
      <c r="U499" s="27">
        <f t="shared" si="439"/>
        <v>1184668.7206103504</v>
      </c>
      <c r="V499" s="27">
        <f t="shared" si="439"/>
        <v>1196006.0002665818</v>
      </c>
      <c r="W499" s="27">
        <f t="shared" si="439"/>
        <v>1207451.7776891291</v>
      </c>
      <c r="X499" s="27">
        <f t="shared" si="439"/>
        <v>1219007.0912016183</v>
      </c>
      <c r="Y499" s="27">
        <f t="shared" si="439"/>
        <v>1230672.9890644252</v>
      </c>
      <c r="Z499" s="27">
        <f t="shared" si="439"/>
        <v>1242450.5295697749</v>
      </c>
      <c r="AA499" s="27"/>
    </row>
    <row r="500" spans="1:27">
      <c r="B500" s="473" t="s">
        <v>733</v>
      </c>
      <c r="C500" s="503"/>
      <c r="D500" s="503"/>
      <c r="E500" s="503"/>
      <c r="F500" s="501"/>
      <c r="G500" s="501"/>
      <c r="H500" s="501"/>
      <c r="I500" s="27">
        <f>+I499*0.235</f>
        <v>248329.05900000138</v>
      </c>
      <c r="J500" s="27">
        <f>+J499*0.235</f>
        <v>250705.56809463038</v>
      </c>
      <c r="K500" s="27">
        <f t="shared" ref="K500:Z500" si="440">+K499*0.235</f>
        <v>253104.82038129648</v>
      </c>
      <c r="L500" s="27">
        <f t="shared" si="440"/>
        <v>255527.03351234645</v>
      </c>
      <c r="M500" s="27">
        <f t="shared" si="440"/>
        <v>257972.42722305848</v>
      </c>
      <c r="N500" s="27">
        <f t="shared" si="440"/>
        <v>260441.22335158504</v>
      </c>
      <c r="O500" s="27">
        <f t="shared" si="440"/>
        <v>262933.64585905982</v>
      </c>
      <c r="P500" s="27">
        <f t="shared" si="440"/>
        <v>265449.92084992921</v>
      </c>
      <c r="Q500" s="27">
        <f t="shared" si="440"/>
        <v>267990.27659246553</v>
      </c>
      <c r="R500" s="27">
        <f t="shared" si="440"/>
        <v>270554.94353945565</v>
      </c>
      <c r="S500" s="27">
        <f t="shared" si="440"/>
        <v>273144.15434912749</v>
      </c>
      <c r="T500" s="27">
        <f t="shared" si="440"/>
        <v>275758.14390624809</v>
      </c>
      <c r="U500" s="27">
        <f t="shared" si="440"/>
        <v>278397.14934343233</v>
      </c>
      <c r="V500" s="27">
        <f t="shared" si="440"/>
        <v>281061.41006264673</v>
      </c>
      <c r="W500" s="27">
        <f t="shared" si="440"/>
        <v>283751.1677569453</v>
      </c>
      <c r="X500" s="27">
        <f t="shared" si="440"/>
        <v>286466.66643238027</v>
      </c>
      <c r="Y500" s="27">
        <f t="shared" si="440"/>
        <v>289208.15243013989</v>
      </c>
      <c r="Z500" s="27">
        <f t="shared" si="440"/>
        <v>291975.87444889708</v>
      </c>
    </row>
    <row r="501" spans="1:27" s="485" customFormat="1">
      <c r="B501" s="476" t="s">
        <v>734</v>
      </c>
      <c r="C501" s="504"/>
      <c r="D501" s="504"/>
      <c r="E501" s="504"/>
      <c r="F501" s="505"/>
      <c r="G501" s="505"/>
      <c r="H501" s="505"/>
      <c r="I501" s="486">
        <f>+I494+I497+I500</f>
        <v>1036907.1840600086</v>
      </c>
      <c r="J501" s="486">
        <f>+J494+J497+J500</f>
        <v>1046830.3858114621</v>
      </c>
      <c r="K501" s="486">
        <f t="shared" ref="K501:Z501" si="441">+K494+K497+K500</f>
        <v>1056848.5526036732</v>
      </c>
      <c r="L501" s="486">
        <f t="shared" si="441"/>
        <v>1066962.593252094</v>
      </c>
      <c r="M501" s="486">
        <f t="shared" si="441"/>
        <v>1077173.4252695187</v>
      </c>
      <c r="N501" s="486">
        <f t="shared" si="441"/>
        <v>1087481.9749493503</v>
      </c>
      <c r="O501" s="486">
        <f t="shared" si="441"/>
        <v>1097889.177449614</v>
      </c>
      <c r="P501" s="486">
        <f t="shared" si="441"/>
        <v>1108395.9768777979</v>
      </c>
      <c r="Q501" s="486">
        <f t="shared" si="441"/>
        <v>1119003.3263765287</v>
      </c>
      <c r="R501" s="486">
        <f t="shared" si="441"/>
        <v>1129712.1882099521</v>
      </c>
      <c r="S501" s="486">
        <f t="shared" si="441"/>
        <v>1140523.5338511169</v>
      </c>
      <c r="T501" s="486">
        <f t="shared" si="441"/>
        <v>1151438.3440700758</v>
      </c>
      <c r="U501" s="486">
        <f t="shared" si="441"/>
        <v>1162457.6090228267</v>
      </c>
      <c r="V501" s="486">
        <f t="shared" si="441"/>
        <v>1173582.3283411721</v>
      </c>
      <c r="W501" s="486">
        <f t="shared" si="441"/>
        <v>1184813.511223397</v>
      </c>
      <c r="X501" s="486">
        <f t="shared" si="441"/>
        <v>1196152.1765258098</v>
      </c>
      <c r="Y501" s="486">
        <f t="shared" si="441"/>
        <v>1207599.3528551594</v>
      </c>
      <c r="Z501" s="486">
        <f t="shared" si="441"/>
        <v>1219156.0786619876</v>
      </c>
    </row>
    <row r="502" spans="1:27" ht="15.6">
      <c r="A502" s="32">
        <v>2024</v>
      </c>
      <c r="B502" s="685" t="s">
        <v>826</v>
      </c>
      <c r="C502" s="686"/>
      <c r="D502" s="686"/>
      <c r="E502" s="686"/>
      <c r="F502" s="686"/>
      <c r="G502" s="686"/>
      <c r="H502" s="684"/>
      <c r="I502" s="684"/>
      <c r="J502" s="684"/>
      <c r="K502" s="684"/>
      <c r="L502" s="684"/>
      <c r="M502" s="684"/>
      <c r="N502" s="684"/>
      <c r="O502" s="684"/>
      <c r="P502" s="684"/>
      <c r="Q502" s="684"/>
      <c r="R502" s="684"/>
      <c r="S502" s="684"/>
      <c r="T502" s="684"/>
      <c r="U502" s="684"/>
      <c r="V502" s="684"/>
      <c r="W502" s="684"/>
      <c r="X502" s="684"/>
      <c r="Y502" s="684"/>
      <c r="Z502" s="684"/>
    </row>
    <row r="503" spans="1:27" ht="15.6">
      <c r="B503" s="483" t="s">
        <v>736</v>
      </c>
      <c r="C503" s="631">
        <f>-1.6*1000000</f>
        <v>-1600000</v>
      </c>
      <c r="D503" s="500">
        <f>-2.47*1000000</f>
        <v>-2470000</v>
      </c>
      <c r="E503" s="500">
        <f>-3.21*1000000</f>
        <v>-3210000</v>
      </c>
      <c r="F503" s="500">
        <f>-1.37*1000000</f>
        <v>-1370000</v>
      </c>
      <c r="G503" s="631"/>
      <c r="H503" s="27"/>
      <c r="I503" s="27"/>
      <c r="J503" s="27">
        <f>+I503*(1+$C$399/100)</f>
        <v>0</v>
      </c>
      <c r="K503" s="27"/>
      <c r="L503" s="27"/>
      <c r="M503" s="27"/>
      <c r="N503" s="27"/>
      <c r="O503" s="27"/>
      <c r="P503" s="27"/>
      <c r="Q503" s="27"/>
      <c r="R503" s="27"/>
      <c r="S503" s="27"/>
      <c r="T503" s="27"/>
      <c r="U503" s="27"/>
      <c r="V503" s="27"/>
      <c r="W503" s="27"/>
      <c r="X503" s="27"/>
      <c r="Y503" s="27"/>
      <c r="Z503" s="27"/>
    </row>
    <row r="504" spans="1:27" ht="15.6">
      <c r="B504" s="473" t="s">
        <v>723</v>
      </c>
      <c r="C504" s="640"/>
      <c r="D504" s="640"/>
      <c r="E504" s="640"/>
      <c r="F504" s="640"/>
      <c r="G504" s="640"/>
      <c r="H504" s="27"/>
      <c r="I504" s="27"/>
      <c r="J504" s="27">
        <f>+J503-I503</f>
        <v>0</v>
      </c>
      <c r="K504" s="27"/>
      <c r="L504" s="27"/>
      <c r="M504" s="27"/>
      <c r="N504" s="27"/>
      <c r="O504" s="27"/>
      <c r="P504" s="27"/>
      <c r="Q504" s="27"/>
      <c r="R504" s="27"/>
      <c r="S504" s="27"/>
      <c r="T504" s="27"/>
      <c r="U504" s="27"/>
      <c r="V504" s="27"/>
      <c r="W504" s="27"/>
      <c r="X504" s="27"/>
      <c r="Y504" s="27"/>
      <c r="Z504" s="27"/>
    </row>
    <row r="505" spans="1:27" ht="15.6">
      <c r="B505" s="473" t="s">
        <v>733</v>
      </c>
      <c r="C505" s="640"/>
      <c r="D505" s="640"/>
      <c r="E505" s="640"/>
      <c r="F505" s="640"/>
      <c r="G505" s="640"/>
      <c r="H505" s="27"/>
      <c r="I505" s="27"/>
      <c r="J505" s="27">
        <f>+J504*0.235</f>
        <v>0</v>
      </c>
      <c r="K505" s="27"/>
      <c r="L505" s="27"/>
      <c r="M505" s="27"/>
      <c r="N505" s="27"/>
      <c r="O505" s="27"/>
      <c r="P505" s="27"/>
      <c r="Q505" s="27"/>
      <c r="R505" s="27"/>
      <c r="S505" s="27"/>
      <c r="T505" s="27"/>
      <c r="U505" s="27"/>
      <c r="V505" s="27"/>
      <c r="W505" s="27"/>
      <c r="X505" s="27"/>
      <c r="Y505" s="27"/>
      <c r="Z505" s="27"/>
    </row>
    <row r="506" spans="1:27" ht="15.6">
      <c r="B506" s="483" t="s">
        <v>724</v>
      </c>
      <c r="C506" s="500">
        <f>111779*1000</f>
        <v>111779000</v>
      </c>
      <c r="D506" s="500">
        <f>60863*1000</f>
        <v>60863000</v>
      </c>
      <c r="E506" s="500">
        <f>127878.9*1000</f>
        <v>127878900</v>
      </c>
      <c r="F506" s="500">
        <f>87582.9*1000</f>
        <v>87582900</v>
      </c>
      <c r="G506" s="640"/>
      <c r="H506" s="27"/>
      <c r="I506" s="27">
        <f>+F506*(1+$C$399/100)</f>
        <v>90122804.099999994</v>
      </c>
      <c r="J506" s="27">
        <f>+I506*(1+$C$399/100)</f>
        <v>92736365.418899983</v>
      </c>
      <c r="K506" s="27">
        <f t="shared" ref="K506:Z506" si="442">+J506*(1+$C$399/100)</f>
        <v>95425720.016048074</v>
      </c>
      <c r="L506" s="27">
        <f t="shared" si="442"/>
        <v>98193065.896513462</v>
      </c>
      <c r="M506" s="27">
        <f t="shared" si="442"/>
        <v>101040664.80751234</v>
      </c>
      <c r="N506" s="27">
        <f t="shared" si="442"/>
        <v>103970844.08693019</v>
      </c>
      <c r="O506" s="27">
        <f t="shared" si="442"/>
        <v>106985998.56545115</v>
      </c>
      <c r="P506" s="27">
        <f t="shared" si="442"/>
        <v>110088592.52384922</v>
      </c>
      <c r="Q506" s="27">
        <f t="shared" si="442"/>
        <v>113281161.70704083</v>
      </c>
      <c r="R506" s="27">
        <f t="shared" si="442"/>
        <v>116566315.39654501</v>
      </c>
      <c r="S506" s="27">
        <f t="shared" si="442"/>
        <v>119946738.54304481</v>
      </c>
      <c r="T506" s="27">
        <f t="shared" si="442"/>
        <v>123425193.96079309</v>
      </c>
      <c r="U506" s="27">
        <f t="shared" si="442"/>
        <v>127004524.58565608</v>
      </c>
      <c r="V506" s="27">
        <f t="shared" si="442"/>
        <v>130687655.79864009</v>
      </c>
      <c r="W506" s="27">
        <f t="shared" si="442"/>
        <v>134477597.81680062</v>
      </c>
      <c r="X506" s="27">
        <f t="shared" si="442"/>
        <v>138377448.15348783</v>
      </c>
      <c r="Y506" s="27">
        <f t="shared" si="442"/>
        <v>142390394.14993897</v>
      </c>
      <c r="Z506" s="27">
        <f t="shared" si="442"/>
        <v>146519715.58028719</v>
      </c>
    </row>
    <row r="507" spans="1:27" ht="15.6">
      <c r="B507" s="473" t="s">
        <v>723</v>
      </c>
      <c r="C507" s="640"/>
      <c r="D507" s="640"/>
      <c r="E507" s="640"/>
      <c r="F507" s="640"/>
      <c r="G507" s="640"/>
      <c r="H507" s="27"/>
      <c r="I507" s="27">
        <f>+I506-F506</f>
        <v>2539904.099999994</v>
      </c>
      <c r="J507" s="27">
        <f>+J506-I506</f>
        <v>2613561.3188999891</v>
      </c>
      <c r="K507" s="27">
        <f t="shared" ref="K507:Z507" si="443">+K506-J506</f>
        <v>2689354.5971480906</v>
      </c>
      <c r="L507" s="27">
        <f t="shared" si="443"/>
        <v>2767345.8804653883</v>
      </c>
      <c r="M507" s="27">
        <f t="shared" si="443"/>
        <v>2847598.9109988809</v>
      </c>
      <c r="N507" s="27">
        <f t="shared" si="443"/>
        <v>2930179.2794178426</v>
      </c>
      <c r="O507" s="27">
        <f t="shared" si="443"/>
        <v>3015154.4785209596</v>
      </c>
      <c r="P507" s="27">
        <f t="shared" si="443"/>
        <v>3102593.9583980739</v>
      </c>
      <c r="Q507" s="27">
        <f t="shared" si="443"/>
        <v>3192569.1831916124</v>
      </c>
      <c r="R507" s="27">
        <f t="shared" si="443"/>
        <v>3285153.6895041764</v>
      </c>
      <c r="S507" s="27">
        <f t="shared" si="443"/>
        <v>3380423.1464997977</v>
      </c>
      <c r="T507" s="27">
        <f t="shared" si="443"/>
        <v>3478455.4177482873</v>
      </c>
      <c r="U507" s="27">
        <f t="shared" si="443"/>
        <v>3579330.6248629838</v>
      </c>
      <c r="V507" s="27">
        <f t="shared" si="443"/>
        <v>3683131.2129840106</v>
      </c>
      <c r="W507" s="27">
        <f t="shared" si="443"/>
        <v>3789942.0181605369</v>
      </c>
      <c r="X507" s="27">
        <f t="shared" si="443"/>
        <v>3899850.3366872072</v>
      </c>
      <c r="Y507" s="27">
        <f t="shared" si="443"/>
        <v>4012945.9964511395</v>
      </c>
      <c r="Z507" s="27">
        <f t="shared" si="443"/>
        <v>4129321.4303482175</v>
      </c>
    </row>
    <row r="508" spans="1:27" ht="15.6">
      <c r="B508" s="473" t="s">
        <v>733</v>
      </c>
      <c r="C508" s="640"/>
      <c r="D508" s="640"/>
      <c r="E508" s="640"/>
      <c r="F508" s="640"/>
      <c r="G508" s="640"/>
      <c r="H508" s="27"/>
      <c r="I508" s="27">
        <f>+I507*0.235</f>
        <v>596877.46349999856</v>
      </c>
      <c r="J508" s="27">
        <f>+J507*0.235</f>
        <v>614186.90994149738</v>
      </c>
      <c r="K508" s="27">
        <f t="shared" ref="K508:Z508" si="444">+K507*0.235</f>
        <v>631998.33032980131</v>
      </c>
      <c r="L508" s="27">
        <f t="shared" si="444"/>
        <v>650326.28190936625</v>
      </c>
      <c r="M508" s="27">
        <f t="shared" si="444"/>
        <v>669185.74408473691</v>
      </c>
      <c r="N508" s="27">
        <f t="shared" si="444"/>
        <v>688592.13066319295</v>
      </c>
      <c r="O508" s="27">
        <f t="shared" si="444"/>
        <v>708561.30245242547</v>
      </c>
      <c r="P508" s="27">
        <f t="shared" si="444"/>
        <v>729109.58022354729</v>
      </c>
      <c r="Q508" s="27">
        <f t="shared" si="444"/>
        <v>750253.75805002882</v>
      </c>
      <c r="R508" s="27">
        <f t="shared" si="444"/>
        <v>772011.11703348137</v>
      </c>
      <c r="S508" s="27">
        <f t="shared" si="444"/>
        <v>794399.43942745239</v>
      </c>
      <c r="T508" s="27">
        <f t="shared" si="444"/>
        <v>817437.02317084745</v>
      </c>
      <c r="U508" s="27">
        <f t="shared" si="444"/>
        <v>841142.69684280118</v>
      </c>
      <c r="V508" s="27">
        <f t="shared" si="444"/>
        <v>865535.83505124238</v>
      </c>
      <c r="W508" s="27">
        <f t="shared" si="444"/>
        <v>890636.37426772609</v>
      </c>
      <c r="X508" s="27">
        <f t="shared" si="444"/>
        <v>916464.82912149362</v>
      </c>
      <c r="Y508" s="27">
        <f t="shared" si="444"/>
        <v>943042.30916601769</v>
      </c>
      <c r="Z508" s="27">
        <f t="shared" si="444"/>
        <v>970390.536131831</v>
      </c>
    </row>
    <row r="509" spans="1:27" ht="15.6">
      <c r="B509" s="483" t="s">
        <v>722</v>
      </c>
      <c r="C509" s="500">
        <f>3.42*1000000</f>
        <v>3420000</v>
      </c>
      <c r="D509" s="500">
        <f>5.28*1000000</f>
        <v>5280000</v>
      </c>
      <c r="E509" s="500">
        <f>8.89*1000000</f>
        <v>8890000</v>
      </c>
      <c r="F509" s="500">
        <f>9.67*1000000</f>
        <v>9670000</v>
      </c>
      <c r="G509" s="640"/>
      <c r="H509" s="27"/>
      <c r="I509" s="27">
        <f>+F509*(1+$C$399/100)</f>
        <v>9950430</v>
      </c>
      <c r="J509" s="27">
        <f>+I509*(1+$C$399/100)</f>
        <v>10238992.469999999</v>
      </c>
      <c r="K509" s="27">
        <f t="shared" ref="K509:Z509" si="445">+J509*(1+$C$399/100)</f>
        <v>10535923.251629997</v>
      </c>
      <c r="L509" s="27">
        <f t="shared" si="445"/>
        <v>10841465.025927266</v>
      </c>
      <c r="M509" s="27">
        <f t="shared" si="445"/>
        <v>11155867.511679156</v>
      </c>
      <c r="N509" s="27">
        <f t="shared" si="445"/>
        <v>11479387.669517851</v>
      </c>
      <c r="O509" s="27">
        <f t="shared" si="445"/>
        <v>11812289.911933867</v>
      </c>
      <c r="P509" s="27">
        <f t="shared" si="445"/>
        <v>12154846.319379948</v>
      </c>
      <c r="Q509" s="27">
        <f t="shared" si="445"/>
        <v>12507336.862641966</v>
      </c>
      <c r="R509" s="27">
        <f t="shared" si="445"/>
        <v>12870049.631658582</v>
      </c>
      <c r="S509" s="27">
        <f t="shared" si="445"/>
        <v>13243281.07097668</v>
      </c>
      <c r="T509" s="27">
        <f t="shared" si="445"/>
        <v>13627336.222035002</v>
      </c>
      <c r="U509" s="27">
        <f t="shared" si="445"/>
        <v>14022528.972474016</v>
      </c>
      <c r="V509" s="27">
        <f t="shared" si="445"/>
        <v>14429182.312675761</v>
      </c>
      <c r="W509" s="27">
        <f t="shared" si="445"/>
        <v>14847628.599743357</v>
      </c>
      <c r="X509" s="27">
        <f t="shared" si="445"/>
        <v>15278209.829135913</v>
      </c>
      <c r="Y509" s="27">
        <f t="shared" si="445"/>
        <v>15721277.914180854</v>
      </c>
      <c r="Z509" s="27">
        <f t="shared" si="445"/>
        <v>16177194.973692099</v>
      </c>
    </row>
    <row r="510" spans="1:27" ht="15.6">
      <c r="B510" s="473" t="s">
        <v>723</v>
      </c>
      <c r="C510" s="640"/>
      <c r="D510" s="640"/>
      <c r="E510" s="640"/>
      <c r="F510" s="640"/>
      <c r="G510" s="640"/>
      <c r="H510" s="27"/>
      <c r="I510" s="27">
        <f>+I509-F509</f>
        <v>280430</v>
      </c>
      <c r="J510" s="27">
        <f>+J509-I509</f>
        <v>288562.46999999881</v>
      </c>
      <c r="K510" s="27">
        <f t="shared" ref="K510:Z510" si="446">+K509-J509</f>
        <v>296930.78162999824</v>
      </c>
      <c r="L510" s="27">
        <f t="shared" si="446"/>
        <v>305541.77429726906</v>
      </c>
      <c r="M510" s="27">
        <f t="shared" si="446"/>
        <v>314402.48575188965</v>
      </c>
      <c r="N510" s="27">
        <f t="shared" si="446"/>
        <v>323520.15783869475</v>
      </c>
      <c r="O510" s="27">
        <f t="shared" si="446"/>
        <v>332902.24241601676</v>
      </c>
      <c r="P510" s="27">
        <f t="shared" si="446"/>
        <v>342556.40744608082</v>
      </c>
      <c r="Q510" s="27">
        <f t="shared" si="446"/>
        <v>352490.54326201789</v>
      </c>
      <c r="R510" s="27">
        <f t="shared" si="446"/>
        <v>362712.76901661605</v>
      </c>
      <c r="S510" s="27">
        <f t="shared" si="446"/>
        <v>373231.43931809813</v>
      </c>
      <c r="T510" s="27">
        <f t="shared" si="446"/>
        <v>384055.15105832182</v>
      </c>
      <c r="U510" s="27">
        <f t="shared" si="446"/>
        <v>395192.75043901429</v>
      </c>
      <c r="V510" s="27">
        <f t="shared" si="446"/>
        <v>406653.34020174481</v>
      </c>
      <c r="W510" s="27">
        <f t="shared" si="446"/>
        <v>418446.28706759587</v>
      </c>
      <c r="X510" s="27">
        <f t="shared" si="446"/>
        <v>430581.22939255647</v>
      </c>
      <c r="Y510" s="27">
        <f t="shared" si="446"/>
        <v>443068.08504494093</v>
      </c>
      <c r="Z510" s="27">
        <f t="shared" si="446"/>
        <v>455917.0595112443</v>
      </c>
    </row>
    <row r="511" spans="1:27" ht="15.6">
      <c r="B511" s="473" t="s">
        <v>733</v>
      </c>
      <c r="C511" s="640"/>
      <c r="D511" s="640"/>
      <c r="E511" s="640"/>
      <c r="F511" s="640"/>
      <c r="G511" s="640"/>
      <c r="H511" s="27"/>
      <c r="I511" s="27">
        <f>+I510*0.235</f>
        <v>65901.05</v>
      </c>
      <c r="J511" s="27">
        <f>+J510*0.235</f>
        <v>67812.180449999709</v>
      </c>
      <c r="K511" s="27">
        <f t="shared" ref="K511:Z511" si="447">+K510*0.235</f>
        <v>69778.733683049577</v>
      </c>
      <c r="L511" s="27">
        <f t="shared" si="447"/>
        <v>71802.316959858232</v>
      </c>
      <c r="M511" s="27">
        <f t="shared" si="447"/>
        <v>73884.584151694056</v>
      </c>
      <c r="N511" s="27">
        <f t="shared" si="447"/>
        <v>76027.237092093259</v>
      </c>
      <c r="O511" s="27">
        <f t="shared" si="447"/>
        <v>78232.02696776393</v>
      </c>
      <c r="P511" s="27">
        <f t="shared" si="447"/>
        <v>80500.755749828983</v>
      </c>
      <c r="Q511" s="27">
        <f t="shared" si="447"/>
        <v>82835.277666574199</v>
      </c>
      <c r="R511" s="27">
        <f t="shared" si="447"/>
        <v>85237.500718904761</v>
      </c>
      <c r="S511" s="27">
        <f t="shared" si="447"/>
        <v>87709.388239753054</v>
      </c>
      <c r="T511" s="27">
        <f t="shared" si="447"/>
        <v>90252.960498705623</v>
      </c>
      <c r="U511" s="27">
        <f t="shared" si="447"/>
        <v>92870.296353168349</v>
      </c>
      <c r="V511" s="27">
        <f t="shared" si="447"/>
        <v>95563.534947410022</v>
      </c>
      <c r="W511" s="27">
        <f t="shared" si="447"/>
        <v>98334.877460885022</v>
      </c>
      <c r="X511" s="27">
        <f t="shared" si="447"/>
        <v>101186.58890725077</v>
      </c>
      <c r="Y511" s="27">
        <f t="shared" si="447"/>
        <v>104120.99998556111</v>
      </c>
      <c r="Z511" s="27">
        <f t="shared" si="447"/>
        <v>107140.5089851424</v>
      </c>
    </row>
    <row r="512" spans="1:27" ht="15.6">
      <c r="B512" s="476" t="s">
        <v>734</v>
      </c>
      <c r="C512" s="631"/>
      <c r="D512" s="631"/>
      <c r="E512" s="631"/>
      <c r="F512" s="631"/>
      <c r="G512" s="631"/>
      <c r="I512" s="486">
        <f>+I505+I508+I511</f>
        <v>662778.5134999986</v>
      </c>
      <c r="J512" s="486">
        <f>+J505+J508+J511</f>
        <v>681999.09039149713</v>
      </c>
      <c r="K512" s="486">
        <f t="shared" ref="K512:Z512" si="448">+K505+K508+K511</f>
        <v>701777.06401285087</v>
      </c>
      <c r="L512" s="486">
        <f t="shared" si="448"/>
        <v>722128.59886922454</v>
      </c>
      <c r="M512" s="486">
        <f t="shared" si="448"/>
        <v>743070.328236431</v>
      </c>
      <c r="N512" s="486">
        <f t="shared" si="448"/>
        <v>764619.36775528616</v>
      </c>
      <c r="O512" s="486">
        <f t="shared" si="448"/>
        <v>786793.32942018937</v>
      </c>
      <c r="P512" s="486">
        <f t="shared" si="448"/>
        <v>809610.33597337629</v>
      </c>
      <c r="Q512" s="486">
        <f t="shared" si="448"/>
        <v>833089.03571660304</v>
      </c>
      <c r="R512" s="486">
        <f t="shared" si="448"/>
        <v>857248.61775238614</v>
      </c>
      <c r="S512" s="486">
        <f t="shared" si="448"/>
        <v>882108.82766720548</v>
      </c>
      <c r="T512" s="486">
        <f t="shared" si="448"/>
        <v>907689.98366955307</v>
      </c>
      <c r="U512" s="486">
        <f t="shared" si="448"/>
        <v>934012.99319596949</v>
      </c>
      <c r="V512" s="486">
        <f t="shared" si="448"/>
        <v>961099.36999865237</v>
      </c>
      <c r="W512" s="486">
        <f t="shared" si="448"/>
        <v>988971.25172861107</v>
      </c>
      <c r="X512" s="486">
        <f t="shared" si="448"/>
        <v>1017651.4180287444</v>
      </c>
      <c r="Y512" s="486">
        <f t="shared" si="448"/>
        <v>1047163.3091515788</v>
      </c>
      <c r="Z512" s="486">
        <f t="shared" si="448"/>
        <v>1077531.0451169733</v>
      </c>
    </row>
    <row r="513" spans="1:26" ht="15.6">
      <c r="A513" s="32">
        <v>2025</v>
      </c>
      <c r="B513" s="685" t="s">
        <v>838</v>
      </c>
      <c r="C513" s="686"/>
      <c r="D513" s="686"/>
      <c r="E513" s="686"/>
      <c r="F513" s="686"/>
      <c r="G513" s="683"/>
      <c r="H513" s="688"/>
      <c r="I513" s="688"/>
      <c r="J513" s="688"/>
      <c r="K513" s="688"/>
      <c r="L513" s="688"/>
      <c r="M513" s="688"/>
      <c r="N513" s="688"/>
      <c r="O513" s="688"/>
      <c r="P513" s="688"/>
      <c r="Q513" s="688"/>
      <c r="R513" s="688"/>
      <c r="S513" s="688"/>
      <c r="T513" s="688"/>
      <c r="U513" s="688"/>
      <c r="V513" s="688"/>
      <c r="W513" s="688"/>
      <c r="X513" s="688"/>
      <c r="Y513" s="688"/>
      <c r="Z513" s="688"/>
    </row>
    <row r="514" spans="1:26" ht="15.6">
      <c r="B514" s="483" t="s">
        <v>736</v>
      </c>
      <c r="C514" s="631">
        <f>1.5*1000000</f>
        <v>1500000</v>
      </c>
      <c r="D514" s="500">
        <f>1.05*1000000</f>
        <v>1050000</v>
      </c>
      <c r="E514" s="500">
        <f>1.23*1000000</f>
        <v>1230000</v>
      </c>
      <c r="F514" s="500">
        <f>1.51*1000000</f>
        <v>1510000</v>
      </c>
      <c r="G514" s="639"/>
      <c r="J514" s="27">
        <f>+F514*(1+$C$399/100)</f>
        <v>1553789.9999999998</v>
      </c>
      <c r="K514" s="27">
        <f>+J514*(1+$C$399/100)</f>
        <v>1598849.9099999997</v>
      </c>
      <c r="L514" s="27">
        <f t="shared" ref="L514:Z514" si="449">+K514*(1+$C$399/100)</f>
        <v>1645216.5573899995</v>
      </c>
      <c r="M514" s="27">
        <f t="shared" si="449"/>
        <v>1692927.8375543093</v>
      </c>
      <c r="N514" s="27">
        <f t="shared" si="449"/>
        <v>1742022.744843384</v>
      </c>
      <c r="O514" s="27">
        <f t="shared" si="449"/>
        <v>1792541.4044438419</v>
      </c>
      <c r="P514" s="27">
        <f t="shared" si="449"/>
        <v>1844525.1051727131</v>
      </c>
      <c r="Q514" s="27">
        <f t="shared" si="449"/>
        <v>1898016.3332227215</v>
      </c>
      <c r="R514" s="27">
        <f t="shared" si="449"/>
        <v>1953058.8068861803</v>
      </c>
      <c r="S514" s="27">
        <f t="shared" si="449"/>
        <v>2009697.5122858793</v>
      </c>
      <c r="T514" s="27">
        <f t="shared" si="449"/>
        <v>2067978.7401421696</v>
      </c>
      <c r="U514" s="27">
        <f t="shared" si="449"/>
        <v>2127950.1236062925</v>
      </c>
      <c r="V514" s="27">
        <f t="shared" si="449"/>
        <v>2189660.6771908747</v>
      </c>
      <c r="W514" s="27">
        <f t="shared" si="449"/>
        <v>2253160.8368294099</v>
      </c>
      <c r="X514" s="27">
        <f t="shared" si="449"/>
        <v>2318502.5010974626</v>
      </c>
      <c r="Y514" s="27">
        <f t="shared" si="449"/>
        <v>2385739.0736292889</v>
      </c>
      <c r="Z514" s="27">
        <f t="shared" si="449"/>
        <v>2454925.5067645381</v>
      </c>
    </row>
    <row r="515" spans="1:26" ht="15.6">
      <c r="B515" s="473" t="s">
        <v>723</v>
      </c>
      <c r="C515" s="640"/>
      <c r="D515" s="640"/>
      <c r="E515" s="640"/>
      <c r="F515" s="640"/>
      <c r="G515" s="639"/>
      <c r="J515" s="27">
        <f>+J514-F514</f>
        <v>43789.999999999767</v>
      </c>
      <c r="K515" s="27">
        <f>+K514-J514</f>
        <v>45059.909999999916</v>
      </c>
      <c r="L515" s="27">
        <f t="shared" ref="L515:Z515" si="450">+L514-K514</f>
        <v>46366.647389999824</v>
      </c>
      <c r="M515" s="27">
        <f t="shared" si="450"/>
        <v>47711.280164309777</v>
      </c>
      <c r="N515" s="27">
        <f t="shared" si="450"/>
        <v>49094.907289074734</v>
      </c>
      <c r="O515" s="27">
        <f t="shared" si="450"/>
        <v>50518.659600457875</v>
      </c>
      <c r="P515" s="27">
        <f t="shared" si="450"/>
        <v>51983.700728871161</v>
      </c>
      <c r="Q515" s="27">
        <f t="shared" si="450"/>
        <v>53491.228050008416</v>
      </c>
      <c r="R515" s="27">
        <f t="shared" si="450"/>
        <v>55042.473663458833</v>
      </c>
      <c r="S515" s="27">
        <f t="shared" si="450"/>
        <v>56638.705399699043</v>
      </c>
      <c r="T515" s="27">
        <f t="shared" si="450"/>
        <v>58281.227856290294</v>
      </c>
      <c r="U515" s="27">
        <f t="shared" si="450"/>
        <v>59971.38346412289</v>
      </c>
      <c r="V515" s="27">
        <f t="shared" si="450"/>
        <v>61710.553584582172</v>
      </c>
      <c r="W515" s="27">
        <f t="shared" si="450"/>
        <v>63500.159638535231</v>
      </c>
      <c r="X515" s="27">
        <f t="shared" si="450"/>
        <v>65341.664268052671</v>
      </c>
      <c r="Y515" s="27">
        <f t="shared" si="450"/>
        <v>67236.572531826328</v>
      </c>
      <c r="Z515" s="27">
        <f t="shared" si="450"/>
        <v>69186.433135249186</v>
      </c>
    </row>
    <row r="516" spans="1:26" ht="15.6">
      <c r="B516" s="473" t="s">
        <v>733</v>
      </c>
      <c r="C516" s="631"/>
      <c r="D516" s="631"/>
      <c r="E516" s="631"/>
      <c r="F516" s="631"/>
      <c r="G516" s="629"/>
      <c r="J516" s="27">
        <f>+J515*0.235</f>
        <v>10290.649999999945</v>
      </c>
      <c r="K516" s="27">
        <f>+K515*0.235</f>
        <v>10589.07884999998</v>
      </c>
      <c r="L516" s="27">
        <f t="shared" ref="L516:Z516" si="451">+L515*0.235</f>
        <v>10896.162136649958</v>
      </c>
      <c r="M516" s="27">
        <f t="shared" si="451"/>
        <v>11212.150838612797</v>
      </c>
      <c r="N516" s="27">
        <f t="shared" si="451"/>
        <v>11537.303212932562</v>
      </c>
      <c r="O516" s="27">
        <f t="shared" si="451"/>
        <v>11871.885006107599</v>
      </c>
      <c r="P516" s="27">
        <f t="shared" si="451"/>
        <v>12216.169671284722</v>
      </c>
      <c r="Q516" s="27">
        <f t="shared" si="451"/>
        <v>12570.438591751978</v>
      </c>
      <c r="R516" s="27">
        <f t="shared" si="451"/>
        <v>12934.981310912824</v>
      </c>
      <c r="S516" s="27">
        <f t="shared" si="451"/>
        <v>13310.095768929274</v>
      </c>
      <c r="T516" s="27">
        <f t="shared" si="451"/>
        <v>13696.088546228219</v>
      </c>
      <c r="U516" s="27">
        <f t="shared" si="451"/>
        <v>14093.275114068878</v>
      </c>
      <c r="V516" s="27">
        <f t="shared" si="451"/>
        <v>14501.980092376809</v>
      </c>
      <c r="W516" s="27">
        <f t="shared" si="451"/>
        <v>14922.537515055779</v>
      </c>
      <c r="X516" s="27">
        <f t="shared" si="451"/>
        <v>15355.291102992376</v>
      </c>
      <c r="Y516" s="27">
        <f t="shared" si="451"/>
        <v>15800.594544979187</v>
      </c>
      <c r="Z516" s="27">
        <f t="shared" si="451"/>
        <v>16258.811786783557</v>
      </c>
    </row>
    <row r="517" spans="1:26">
      <c r="B517" s="483" t="s">
        <v>724</v>
      </c>
      <c r="C517" s="500">
        <f>12545.8*1000</f>
        <v>12545800</v>
      </c>
      <c r="D517" s="500">
        <f>13705.3*1000</f>
        <v>13705300</v>
      </c>
      <c r="E517" s="500">
        <f>17189.3*1000</f>
        <v>17189300</v>
      </c>
      <c r="F517" s="500">
        <f>147109.5*1000</f>
        <v>147109500</v>
      </c>
      <c r="G517" s="639"/>
      <c r="J517" s="27">
        <f>+F517*(1+$C$399/100)</f>
        <v>151375675.5</v>
      </c>
      <c r="K517" s="27">
        <f>+J517*(1+$C$399/100)</f>
        <v>155765570.08949998</v>
      </c>
      <c r="L517" s="27">
        <f t="shared" ref="L517:Z517" si="452">+K517*(1+$C$399/100)</f>
        <v>160282771.62209547</v>
      </c>
      <c r="M517" s="27">
        <f t="shared" si="452"/>
        <v>164930971.99913621</v>
      </c>
      <c r="N517" s="27">
        <f t="shared" si="452"/>
        <v>169713970.18711114</v>
      </c>
      <c r="O517" s="27">
        <f t="shared" si="452"/>
        <v>174635675.32253736</v>
      </c>
      <c r="P517" s="27">
        <f t="shared" si="452"/>
        <v>179700109.90689093</v>
      </c>
      <c r="Q517" s="27">
        <f t="shared" si="452"/>
        <v>184911413.09419075</v>
      </c>
      <c r="R517" s="27">
        <f t="shared" si="452"/>
        <v>190273844.07392228</v>
      </c>
      <c r="S517" s="27">
        <f t="shared" si="452"/>
        <v>195791785.552066</v>
      </c>
      <c r="T517" s="27">
        <f t="shared" si="452"/>
        <v>201469747.33307588</v>
      </c>
      <c r="U517" s="27">
        <f t="shared" si="452"/>
        <v>207312370.00573507</v>
      </c>
      <c r="V517" s="27">
        <f t="shared" si="452"/>
        <v>213324428.73590136</v>
      </c>
      <c r="W517" s="27">
        <f t="shared" si="452"/>
        <v>219510837.16924247</v>
      </c>
      <c r="X517" s="27">
        <f t="shared" si="452"/>
        <v>225876651.4471505</v>
      </c>
      <c r="Y517" s="27">
        <f t="shared" si="452"/>
        <v>232427074.33911785</v>
      </c>
      <c r="Z517" s="27">
        <f t="shared" si="452"/>
        <v>239167459.49495226</v>
      </c>
    </row>
    <row r="518" spans="1:26" ht="15.6">
      <c r="B518" s="473" t="s">
        <v>723</v>
      </c>
      <c r="C518" s="640"/>
      <c r="D518" s="640"/>
      <c r="E518" s="640"/>
      <c r="F518" s="640"/>
      <c r="G518" s="639"/>
      <c r="J518" s="27">
        <f>+J517-F517</f>
        <v>4266175.5</v>
      </c>
      <c r="K518" s="27">
        <f>+K517-J517</f>
        <v>4389894.5894999802</v>
      </c>
      <c r="L518" s="27">
        <f t="shared" ref="L518:Z518" si="453">+L517-K517</f>
        <v>4517201.5325954854</v>
      </c>
      <c r="M518" s="27">
        <f t="shared" si="453"/>
        <v>4648200.3770407438</v>
      </c>
      <c r="N518" s="27">
        <f t="shared" si="453"/>
        <v>4782998.1879749298</v>
      </c>
      <c r="O518" s="27">
        <f t="shared" si="453"/>
        <v>4921705.1354262233</v>
      </c>
      <c r="P518" s="27">
        <f t="shared" si="453"/>
        <v>5064434.5843535662</v>
      </c>
      <c r="Q518" s="27">
        <f t="shared" si="453"/>
        <v>5211303.1872998178</v>
      </c>
      <c r="R518" s="27">
        <f t="shared" si="453"/>
        <v>5362430.97973153</v>
      </c>
      <c r="S518" s="27">
        <f t="shared" si="453"/>
        <v>5517941.4781437218</v>
      </c>
      <c r="T518" s="27">
        <f t="shared" si="453"/>
        <v>5677961.7810098827</v>
      </c>
      <c r="U518" s="27">
        <f t="shared" si="453"/>
        <v>5842622.6726591885</v>
      </c>
      <c r="V518" s="27">
        <f t="shared" si="453"/>
        <v>6012058.7301662862</v>
      </c>
      <c r="W518" s="27">
        <f t="shared" si="453"/>
        <v>6186408.4333411157</v>
      </c>
      <c r="X518" s="27">
        <f t="shared" si="453"/>
        <v>6365814.2779080272</v>
      </c>
      <c r="Y518" s="27">
        <f t="shared" si="453"/>
        <v>6550422.8919673562</v>
      </c>
      <c r="Z518" s="27">
        <f t="shared" si="453"/>
        <v>6740385.1558344066</v>
      </c>
    </row>
    <row r="519" spans="1:26" ht="15.6">
      <c r="B519" s="473" t="s">
        <v>733</v>
      </c>
      <c r="C519" s="640"/>
      <c r="D519" s="640"/>
      <c r="E519" s="640"/>
      <c r="F519" s="640"/>
      <c r="G519" s="639"/>
      <c r="J519" s="27">
        <f>+J518*0.235</f>
        <v>1002551.2424999999</v>
      </c>
      <c r="K519" s="27">
        <f>+K518*0.235</f>
        <v>1031625.2285324953</v>
      </c>
      <c r="L519" s="27">
        <f t="shared" ref="L519:Z519" si="454">+L518*0.235</f>
        <v>1061542.3601599389</v>
      </c>
      <c r="M519" s="27">
        <f t="shared" si="454"/>
        <v>1092327.0886045748</v>
      </c>
      <c r="N519" s="27">
        <f t="shared" si="454"/>
        <v>1124004.5741741084</v>
      </c>
      <c r="O519" s="27">
        <f t="shared" si="454"/>
        <v>1156600.7068251625</v>
      </c>
      <c r="P519" s="27">
        <f t="shared" si="454"/>
        <v>1190142.127323088</v>
      </c>
      <c r="Q519" s="27">
        <f t="shared" si="454"/>
        <v>1224656.2490154572</v>
      </c>
      <c r="R519" s="27">
        <f t="shared" si="454"/>
        <v>1260171.2802369094</v>
      </c>
      <c r="S519" s="27">
        <f t="shared" si="454"/>
        <v>1296716.2473637746</v>
      </c>
      <c r="T519" s="27">
        <f t="shared" si="454"/>
        <v>1334321.0185373223</v>
      </c>
      <c r="U519" s="27">
        <f t="shared" si="454"/>
        <v>1373016.3280749093</v>
      </c>
      <c r="V519" s="27">
        <f t="shared" si="454"/>
        <v>1412833.8015890771</v>
      </c>
      <c r="W519" s="27">
        <f t="shared" si="454"/>
        <v>1453805.981835162</v>
      </c>
      <c r="X519" s="27">
        <f t="shared" si="454"/>
        <v>1495966.3553083863</v>
      </c>
      <c r="Y519" s="27">
        <f t="shared" si="454"/>
        <v>1539349.3796123287</v>
      </c>
      <c r="Z519" s="27">
        <f t="shared" si="454"/>
        <v>1583990.5116210855</v>
      </c>
    </row>
    <row r="520" spans="1:26">
      <c r="B520" s="483" t="s">
        <v>722</v>
      </c>
      <c r="C520" s="500">
        <f>9.23*1000000</f>
        <v>9230000</v>
      </c>
      <c r="D520" s="500">
        <f>2.57*1000000</f>
        <v>2570000</v>
      </c>
      <c r="E520" s="500">
        <f>4.27*1000000</f>
        <v>4270000</v>
      </c>
      <c r="F520" s="500">
        <f>22*1000000</f>
        <v>22000000</v>
      </c>
      <c r="G520" s="639"/>
      <c r="J520" s="27">
        <f>+F520*(1+$C$399/100)</f>
        <v>22637999.999999996</v>
      </c>
      <c r="K520" s="27">
        <f>+J520*(1+$C$399/100)</f>
        <v>23294501.999999993</v>
      </c>
      <c r="L520" s="27">
        <f t="shared" ref="L520:Z520" si="455">+K520*(1+$C$399/100)</f>
        <v>23970042.557999991</v>
      </c>
      <c r="M520" s="27">
        <f t="shared" si="455"/>
        <v>24665173.792181987</v>
      </c>
      <c r="N520" s="27">
        <f t="shared" si="455"/>
        <v>25380463.832155261</v>
      </c>
      <c r="O520" s="27">
        <f t="shared" si="455"/>
        <v>26116497.28328776</v>
      </c>
      <c r="P520" s="27">
        <f t="shared" si="455"/>
        <v>26873875.704503104</v>
      </c>
      <c r="Q520" s="27">
        <f t="shared" si="455"/>
        <v>27653218.099933691</v>
      </c>
      <c r="R520" s="27">
        <f t="shared" si="455"/>
        <v>28455161.424831767</v>
      </c>
      <c r="S520" s="27">
        <f t="shared" si="455"/>
        <v>29280361.106151886</v>
      </c>
      <c r="T520" s="27">
        <f t="shared" si="455"/>
        <v>30129491.578230288</v>
      </c>
      <c r="U520" s="27">
        <f t="shared" si="455"/>
        <v>31003246.833998963</v>
      </c>
      <c r="V520" s="27">
        <f t="shared" si="455"/>
        <v>31902340.99218493</v>
      </c>
      <c r="W520" s="27">
        <f t="shared" si="455"/>
        <v>32827508.880958289</v>
      </c>
      <c r="X520" s="27">
        <f t="shared" si="455"/>
        <v>33779506.638506077</v>
      </c>
      <c r="Y520" s="27">
        <f t="shared" si="455"/>
        <v>34759112.331022754</v>
      </c>
      <c r="Z520" s="27">
        <f t="shared" si="455"/>
        <v>35767126.588622414</v>
      </c>
    </row>
    <row r="521" spans="1:26" ht="15.6">
      <c r="B521" s="473" t="s">
        <v>723</v>
      </c>
      <c r="C521" s="640"/>
      <c r="D521" s="640"/>
      <c r="E521" s="640"/>
      <c r="F521" s="640"/>
      <c r="G521" s="639"/>
      <c r="J521" s="27">
        <f>+J520-F520</f>
        <v>637999.99999999627</v>
      </c>
      <c r="K521" s="27">
        <f>+K520-J520</f>
        <v>656501.99999999627</v>
      </c>
      <c r="L521" s="27">
        <f t="shared" ref="L521:Z521" si="456">+L520-K520</f>
        <v>675540.55799999833</v>
      </c>
      <c r="M521" s="27">
        <f t="shared" si="456"/>
        <v>695131.23418199643</v>
      </c>
      <c r="N521" s="27">
        <f t="shared" si="456"/>
        <v>715290.03997327387</v>
      </c>
      <c r="O521" s="27">
        <f t="shared" si="456"/>
        <v>736033.45113249868</v>
      </c>
      <c r="P521" s="27">
        <f t="shared" si="456"/>
        <v>757378.42121534422</v>
      </c>
      <c r="Q521" s="27">
        <f t="shared" si="456"/>
        <v>779342.39543058723</v>
      </c>
      <c r="R521" s="27">
        <f t="shared" si="456"/>
        <v>801943.32489807531</v>
      </c>
      <c r="S521" s="27">
        <f t="shared" si="456"/>
        <v>825199.68132011965</v>
      </c>
      <c r="T521" s="27">
        <f t="shared" si="456"/>
        <v>849130.4720784016</v>
      </c>
      <c r="U521" s="27">
        <f t="shared" si="456"/>
        <v>873755.25576867536</v>
      </c>
      <c r="V521" s="27">
        <f t="shared" si="456"/>
        <v>899094.15818596631</v>
      </c>
      <c r="W521" s="27">
        <f t="shared" si="456"/>
        <v>925167.88877335936</v>
      </c>
      <c r="X521" s="27">
        <f t="shared" si="456"/>
        <v>951997.75754778832</v>
      </c>
      <c r="Y521" s="27">
        <f t="shared" si="456"/>
        <v>979605.69251667708</v>
      </c>
      <c r="Z521" s="27">
        <f t="shared" si="456"/>
        <v>1008014.2575996593</v>
      </c>
    </row>
    <row r="522" spans="1:26" ht="15.6">
      <c r="B522" s="473" t="s">
        <v>733</v>
      </c>
      <c r="C522" s="640"/>
      <c r="D522" s="640"/>
      <c r="E522" s="640"/>
      <c r="F522" s="640"/>
      <c r="G522" s="639"/>
      <c r="J522" s="27">
        <f>+J521*0.235</f>
        <v>149929.99999999913</v>
      </c>
      <c r="K522" s="27">
        <f>+K521*0.235</f>
        <v>154277.96999999913</v>
      </c>
      <c r="L522" s="27">
        <f t="shared" ref="L522:Z522" si="457">+L521*0.235</f>
        <v>158752.03112999961</v>
      </c>
      <c r="M522" s="27">
        <f t="shared" si="457"/>
        <v>163355.84003276916</v>
      </c>
      <c r="N522" s="27">
        <f t="shared" si="457"/>
        <v>168093.15939371934</v>
      </c>
      <c r="O522" s="27">
        <f t="shared" si="457"/>
        <v>172967.86101613718</v>
      </c>
      <c r="P522" s="27">
        <f t="shared" si="457"/>
        <v>177983.92898560589</v>
      </c>
      <c r="Q522" s="27">
        <f t="shared" si="457"/>
        <v>183145.46292618799</v>
      </c>
      <c r="R522" s="27">
        <f t="shared" si="457"/>
        <v>188456.68135104768</v>
      </c>
      <c r="S522" s="27">
        <f t="shared" si="457"/>
        <v>193921.9251102281</v>
      </c>
      <c r="T522" s="27">
        <f t="shared" si="457"/>
        <v>199545.66093842435</v>
      </c>
      <c r="U522" s="27">
        <f t="shared" si="457"/>
        <v>205332.48510563868</v>
      </c>
      <c r="V522" s="27">
        <f t="shared" si="457"/>
        <v>211287.12717370206</v>
      </c>
      <c r="W522" s="27">
        <f t="shared" si="457"/>
        <v>217414.45386173943</v>
      </c>
      <c r="X522" s="27">
        <f t="shared" si="457"/>
        <v>223719.47302373024</v>
      </c>
      <c r="Y522" s="27">
        <f t="shared" si="457"/>
        <v>230207.33774141909</v>
      </c>
      <c r="Z522" s="27">
        <f t="shared" si="457"/>
        <v>236883.35053591992</v>
      </c>
    </row>
    <row r="523" spans="1:26" ht="15.6">
      <c r="B523" s="476" t="s">
        <v>734</v>
      </c>
      <c r="C523" s="640"/>
      <c r="D523" s="640"/>
      <c r="E523" s="640"/>
      <c r="F523" s="640"/>
      <c r="G523" s="639"/>
      <c r="J523" s="486">
        <f>+J516+J519+J522</f>
        <v>1162771.8924999989</v>
      </c>
      <c r="K523" s="486">
        <f>+K516+K519+K522</f>
        <v>1196492.2773824944</v>
      </c>
      <c r="L523" s="486">
        <f t="shared" ref="L523:Z523" si="458">+L516+L519+L522</f>
        <v>1231190.5534265884</v>
      </c>
      <c r="M523" s="486">
        <f t="shared" si="458"/>
        <v>1266895.0794759567</v>
      </c>
      <c r="N523" s="486">
        <f t="shared" si="458"/>
        <v>1303635.0367807604</v>
      </c>
      <c r="O523" s="486">
        <f t="shared" si="458"/>
        <v>1341440.4528474072</v>
      </c>
      <c r="P523" s="486">
        <f t="shared" si="458"/>
        <v>1380342.2259799787</v>
      </c>
      <c r="Q523" s="486">
        <f t="shared" si="458"/>
        <v>1420372.1505333972</v>
      </c>
      <c r="R523" s="486">
        <f t="shared" si="458"/>
        <v>1461562.94289887</v>
      </c>
      <c r="S523" s="486">
        <f t="shared" si="458"/>
        <v>1503948.2682429319</v>
      </c>
      <c r="T523" s="486">
        <f t="shared" si="458"/>
        <v>1547562.7680219747</v>
      </c>
      <c r="U523" s="486">
        <f t="shared" si="458"/>
        <v>1592442.0882946167</v>
      </c>
      <c r="V523" s="486">
        <f t="shared" si="458"/>
        <v>1638622.9088551558</v>
      </c>
      <c r="W523" s="486">
        <f t="shared" si="458"/>
        <v>1686142.9732119574</v>
      </c>
      <c r="X523" s="486">
        <f t="shared" si="458"/>
        <v>1735041.119435109</v>
      </c>
      <c r="Y523" s="486">
        <f t="shared" si="458"/>
        <v>1785357.311898727</v>
      </c>
      <c r="Z523" s="486">
        <f t="shared" si="458"/>
        <v>1837132.673943789</v>
      </c>
    </row>
    <row r="524" spans="1:26" ht="15.6">
      <c r="A524" s="32">
        <v>2025</v>
      </c>
      <c r="B524" s="687" t="s">
        <v>831</v>
      </c>
      <c r="C524" s="686"/>
      <c r="D524" s="686"/>
      <c r="E524" s="686"/>
      <c r="F524" s="686"/>
      <c r="G524" s="683"/>
      <c r="H524" s="688"/>
      <c r="I524" s="688"/>
      <c r="J524" s="688"/>
      <c r="K524" s="688"/>
      <c r="L524" s="688"/>
      <c r="M524" s="688"/>
      <c r="N524" s="688"/>
      <c r="O524" s="688"/>
      <c r="P524" s="688"/>
      <c r="Q524" s="688"/>
      <c r="R524" s="688"/>
      <c r="S524" s="688"/>
      <c r="T524" s="688"/>
      <c r="U524" s="688"/>
      <c r="V524" s="688"/>
      <c r="W524" s="688"/>
      <c r="X524" s="688"/>
      <c r="Y524" s="688"/>
      <c r="Z524" s="688"/>
    </row>
    <row r="525" spans="1:26" ht="15.6">
      <c r="B525" s="483" t="s">
        <v>736</v>
      </c>
      <c r="C525" s="631">
        <f>161.81*1000000</f>
        <v>161810000</v>
      </c>
      <c r="D525" s="500">
        <f>225.15*1000000</f>
        <v>225150000</v>
      </c>
      <c r="E525" s="500">
        <f>236.96*1000000</f>
        <v>236960000</v>
      </c>
      <c r="F525" s="500">
        <f>228.98*1000000</f>
        <v>228980000</v>
      </c>
      <c r="G525" s="639"/>
      <c r="J525" s="27">
        <f>+F525*(1+$C$399/100)</f>
        <v>235620419.99999997</v>
      </c>
      <c r="K525" s="27">
        <f>+J525*(1+$C$399/100)</f>
        <v>242453412.17999995</v>
      </c>
      <c r="L525" s="27">
        <f t="shared" ref="L525:Z525" si="459">+K525*(1+$C$399/100)</f>
        <v>249484561.13321993</v>
      </c>
      <c r="M525" s="27">
        <f t="shared" si="459"/>
        <v>256719613.40608329</v>
      </c>
      <c r="N525" s="27">
        <f t="shared" si="459"/>
        <v>264164482.19485968</v>
      </c>
      <c r="O525" s="27">
        <f t="shared" si="459"/>
        <v>271825252.17851061</v>
      </c>
      <c r="P525" s="27">
        <f t="shared" si="459"/>
        <v>279708184.49168742</v>
      </c>
      <c r="Q525" s="27">
        <f t="shared" si="459"/>
        <v>287819721.8419463</v>
      </c>
      <c r="R525" s="27">
        <f t="shared" si="459"/>
        <v>296166493.77536273</v>
      </c>
      <c r="S525" s="27">
        <f t="shared" si="459"/>
        <v>304755322.09484822</v>
      </c>
      <c r="T525" s="27">
        <f t="shared" si="459"/>
        <v>313593226.43559879</v>
      </c>
      <c r="U525" s="27">
        <f t="shared" si="459"/>
        <v>322687430.00223112</v>
      </c>
      <c r="V525" s="27">
        <f t="shared" si="459"/>
        <v>332045365.47229582</v>
      </c>
      <c r="W525" s="27">
        <f t="shared" si="459"/>
        <v>341674681.07099235</v>
      </c>
      <c r="X525" s="27">
        <f t="shared" si="459"/>
        <v>351583246.82205111</v>
      </c>
      <c r="Y525" s="27">
        <f t="shared" si="459"/>
        <v>361779160.97989058</v>
      </c>
      <c r="Z525" s="27">
        <f t="shared" si="459"/>
        <v>372270756.64830738</v>
      </c>
    </row>
    <row r="526" spans="1:26" ht="15.6">
      <c r="B526" s="473" t="s">
        <v>723</v>
      </c>
      <c r="C526" s="640"/>
      <c r="D526" s="640"/>
      <c r="E526" s="640"/>
      <c r="F526" s="640"/>
      <c r="G526" s="639"/>
      <c r="J526" s="27">
        <f>+J525-F525</f>
        <v>6640419.9999999702</v>
      </c>
      <c r="K526" s="27">
        <f>+K525-J525</f>
        <v>6832992.1799999774</v>
      </c>
      <c r="L526" s="27">
        <f t="shared" ref="L526:Z526" si="460">+L525-K525</f>
        <v>7031148.95321998</v>
      </c>
      <c r="M526" s="27">
        <f t="shared" si="460"/>
        <v>7235052.2728633583</v>
      </c>
      <c r="N526" s="27">
        <f t="shared" si="460"/>
        <v>7444868.7887763977</v>
      </c>
      <c r="O526" s="27">
        <f t="shared" si="460"/>
        <v>7660769.9836509228</v>
      </c>
      <c r="P526" s="27">
        <f t="shared" si="460"/>
        <v>7882932.3131768107</v>
      </c>
      <c r="Q526" s="27">
        <f t="shared" si="460"/>
        <v>8111537.3502588868</v>
      </c>
      <c r="R526" s="27">
        <f t="shared" si="460"/>
        <v>8346771.9334164262</v>
      </c>
      <c r="S526" s="27">
        <f t="shared" si="460"/>
        <v>8588828.3194854856</v>
      </c>
      <c r="T526" s="27">
        <f t="shared" si="460"/>
        <v>8837904.3407505751</v>
      </c>
      <c r="U526" s="27">
        <f t="shared" si="460"/>
        <v>9094203.5666323304</v>
      </c>
      <c r="V526" s="27">
        <f t="shared" si="460"/>
        <v>9357935.4700646996</v>
      </c>
      <c r="W526" s="27">
        <f t="shared" si="460"/>
        <v>9629315.5986965299</v>
      </c>
      <c r="X526" s="27">
        <f t="shared" si="460"/>
        <v>9908565.7510587573</v>
      </c>
      <c r="Y526" s="27">
        <f t="shared" si="460"/>
        <v>10195914.157839477</v>
      </c>
      <c r="Z526" s="27">
        <f t="shared" si="460"/>
        <v>10491595.668416798</v>
      </c>
    </row>
    <row r="527" spans="1:26" ht="15.6">
      <c r="B527" s="473" t="s">
        <v>733</v>
      </c>
      <c r="C527" s="640"/>
      <c r="D527" s="640"/>
      <c r="E527" s="640"/>
      <c r="F527" s="640"/>
      <c r="G527" s="639"/>
      <c r="J527" s="27">
        <f>+J526*0.235</f>
        <v>1560498.699999993</v>
      </c>
      <c r="K527" s="27">
        <f>+K526*0.235</f>
        <v>1605753.1622999946</v>
      </c>
      <c r="L527" s="27">
        <f t="shared" ref="L527:Z527" si="461">+L526*0.235</f>
        <v>1652320.0040066952</v>
      </c>
      <c r="M527" s="27">
        <f t="shared" si="461"/>
        <v>1700237.2841228892</v>
      </c>
      <c r="N527" s="27">
        <f t="shared" si="461"/>
        <v>1749544.1653624533</v>
      </c>
      <c r="O527" s="27">
        <f t="shared" si="461"/>
        <v>1800280.9461579667</v>
      </c>
      <c r="P527" s="27">
        <f t="shared" si="461"/>
        <v>1852489.0935965504</v>
      </c>
      <c r="Q527" s="27">
        <f t="shared" si="461"/>
        <v>1906211.2773108382</v>
      </c>
      <c r="R527" s="27">
        <f t="shared" si="461"/>
        <v>1961491.4043528601</v>
      </c>
      <c r="S527" s="27">
        <f t="shared" si="461"/>
        <v>2018374.6550790891</v>
      </c>
      <c r="T527" s="27">
        <f t="shared" si="461"/>
        <v>2076907.520076385</v>
      </c>
      <c r="U527" s="27">
        <f t="shared" si="461"/>
        <v>2137137.8381585977</v>
      </c>
      <c r="V527" s="27">
        <f t="shared" si="461"/>
        <v>2199114.8354652044</v>
      </c>
      <c r="W527" s="27">
        <f t="shared" si="461"/>
        <v>2262889.1656936845</v>
      </c>
      <c r="X527" s="27">
        <f t="shared" si="461"/>
        <v>2328512.9514988079</v>
      </c>
      <c r="Y527" s="27">
        <f t="shared" si="461"/>
        <v>2396039.8270922769</v>
      </c>
      <c r="Z527" s="27">
        <f t="shared" si="461"/>
        <v>2465524.9820779474</v>
      </c>
    </row>
    <row r="528" spans="1:26">
      <c r="B528" s="483" t="s">
        <v>724</v>
      </c>
      <c r="C528" s="500">
        <f>215356*1000</f>
        <v>215356000</v>
      </c>
      <c r="D528" s="500">
        <f>273478.8*1000</f>
        <v>273478800</v>
      </c>
      <c r="E528" s="500">
        <f>346109.6*1000</f>
        <v>346109600</v>
      </c>
      <c r="F528" s="500">
        <f>382116.6*1000</f>
        <v>382116600</v>
      </c>
      <c r="G528" s="639"/>
      <c r="J528" s="27">
        <f>+F528*(1+$C$399/100)</f>
        <v>393197981.39999998</v>
      </c>
      <c r="K528" s="27">
        <f>+J528*(1+$C$399/100)</f>
        <v>404600722.86059994</v>
      </c>
      <c r="L528" s="27">
        <f t="shared" ref="L528:Z528" si="462">+K528*(1+$C$399/100)</f>
        <v>416334143.82355732</v>
      </c>
      <c r="M528" s="27">
        <f t="shared" si="462"/>
        <v>428407833.99444044</v>
      </c>
      <c r="N528" s="27">
        <f t="shared" si="462"/>
        <v>440831661.1802792</v>
      </c>
      <c r="O528" s="27">
        <f t="shared" si="462"/>
        <v>453615779.35450727</v>
      </c>
      <c r="P528" s="27">
        <f t="shared" si="462"/>
        <v>466770636.95578796</v>
      </c>
      <c r="Q528" s="27">
        <f t="shared" si="462"/>
        <v>480306985.42750579</v>
      </c>
      <c r="R528" s="27">
        <f t="shared" si="462"/>
        <v>494235888.00490344</v>
      </c>
      <c r="S528" s="27">
        <f t="shared" si="462"/>
        <v>508568728.75704557</v>
      </c>
      <c r="T528" s="27">
        <f t="shared" si="462"/>
        <v>523317221.89099985</v>
      </c>
      <c r="U528" s="27">
        <f t="shared" si="462"/>
        <v>538493421.3258388</v>
      </c>
      <c r="V528" s="27">
        <f t="shared" si="462"/>
        <v>554109730.54428804</v>
      </c>
      <c r="W528" s="27">
        <f t="shared" si="462"/>
        <v>570178912.73007238</v>
      </c>
      <c r="X528" s="27">
        <f t="shared" si="462"/>
        <v>586714101.19924438</v>
      </c>
      <c r="Y528" s="27">
        <f t="shared" si="462"/>
        <v>603728810.13402247</v>
      </c>
      <c r="Z528" s="27">
        <f t="shared" si="462"/>
        <v>621236945.62790906</v>
      </c>
    </row>
    <row r="529" spans="1:26" ht="15.6">
      <c r="B529" s="473" t="s">
        <v>723</v>
      </c>
      <c r="C529" s="640"/>
      <c r="D529" s="640"/>
      <c r="E529" s="640"/>
      <c r="F529" s="640"/>
      <c r="G529" s="639"/>
      <c r="J529" s="27">
        <f>+J528-F528</f>
        <v>11081381.399999976</v>
      </c>
      <c r="K529" s="27">
        <f>+K528-J528</f>
        <v>11402741.460599959</v>
      </c>
      <c r="L529" s="27">
        <f t="shared" ref="L529:Z529" si="463">+L528-K528</f>
        <v>11733420.962957382</v>
      </c>
      <c r="M529" s="27">
        <f t="shared" si="463"/>
        <v>12073690.170883119</v>
      </c>
      <c r="N529" s="27">
        <f t="shared" si="463"/>
        <v>12423827.185838759</v>
      </c>
      <c r="O529" s="27">
        <f t="shared" si="463"/>
        <v>12784118.174228072</v>
      </c>
      <c r="P529" s="27">
        <f t="shared" si="463"/>
        <v>13154857.601280689</v>
      </c>
      <c r="Q529" s="27">
        <f t="shared" si="463"/>
        <v>13536348.471717834</v>
      </c>
      <c r="R529" s="27">
        <f t="shared" si="463"/>
        <v>13928902.577397645</v>
      </c>
      <c r="S529" s="27">
        <f t="shared" si="463"/>
        <v>14332840.752142131</v>
      </c>
      <c r="T529" s="27">
        <f t="shared" si="463"/>
        <v>14748493.133954287</v>
      </c>
      <c r="U529" s="27">
        <f t="shared" si="463"/>
        <v>15176199.434838951</v>
      </c>
      <c r="V529" s="27">
        <f t="shared" si="463"/>
        <v>15616309.218449235</v>
      </c>
      <c r="W529" s="27">
        <f t="shared" si="463"/>
        <v>16069182.18578434</v>
      </c>
      <c r="X529" s="27">
        <f t="shared" si="463"/>
        <v>16535188.469172001</v>
      </c>
      <c r="Y529" s="27">
        <f t="shared" si="463"/>
        <v>17014708.934778094</v>
      </c>
      <c r="Z529" s="27">
        <f t="shared" si="463"/>
        <v>17508135.49388659</v>
      </c>
    </row>
    <row r="530" spans="1:26" ht="15.6">
      <c r="B530" s="473" t="s">
        <v>733</v>
      </c>
      <c r="C530" s="640"/>
      <c r="D530" s="640"/>
      <c r="E530" s="640"/>
      <c r="F530" s="640"/>
      <c r="G530" s="639"/>
      <c r="J530" s="27">
        <f>+J529*0.235</f>
        <v>2604124.6289999941</v>
      </c>
      <c r="K530" s="27">
        <f>+K529*0.235</f>
        <v>2679644.2432409902</v>
      </c>
      <c r="L530" s="27">
        <f t="shared" ref="L530:Z530" si="464">+L529*0.235</f>
        <v>2757353.9262949848</v>
      </c>
      <c r="M530" s="27">
        <f t="shared" si="464"/>
        <v>2837317.1901575327</v>
      </c>
      <c r="N530" s="27">
        <f t="shared" si="464"/>
        <v>2919599.3886721083</v>
      </c>
      <c r="O530" s="27">
        <f t="shared" si="464"/>
        <v>3004267.770943597</v>
      </c>
      <c r="P530" s="27">
        <f t="shared" si="464"/>
        <v>3091391.5363009619</v>
      </c>
      <c r="Q530" s="27">
        <f t="shared" si="464"/>
        <v>3181041.8908536909</v>
      </c>
      <c r="R530" s="27">
        <f t="shared" si="464"/>
        <v>3273292.1056884462</v>
      </c>
      <c r="S530" s="27">
        <f t="shared" si="464"/>
        <v>3368217.5767534007</v>
      </c>
      <c r="T530" s="27">
        <f t="shared" si="464"/>
        <v>3465895.8864792571</v>
      </c>
      <c r="U530" s="27">
        <f t="shared" si="464"/>
        <v>3566406.8671871531</v>
      </c>
      <c r="V530" s="27">
        <f t="shared" si="464"/>
        <v>3669832.6663355702</v>
      </c>
      <c r="W530" s="27">
        <f t="shared" si="464"/>
        <v>3776257.8136593197</v>
      </c>
      <c r="X530" s="27">
        <f t="shared" si="464"/>
        <v>3885769.2902554199</v>
      </c>
      <c r="Y530" s="27">
        <f t="shared" si="464"/>
        <v>3998456.5996728521</v>
      </c>
      <c r="Z530" s="27">
        <f t="shared" si="464"/>
        <v>4114411.8410633486</v>
      </c>
    </row>
    <row r="531" spans="1:26">
      <c r="B531" s="483" t="s">
        <v>722</v>
      </c>
      <c r="C531" s="500">
        <f>398.89*1000000</f>
        <v>398890000</v>
      </c>
      <c r="D531" s="500">
        <f>368.9*1000000</f>
        <v>368900000</v>
      </c>
      <c r="E531" s="500">
        <f>400.76*1000000</f>
        <v>400760000</v>
      </c>
      <c r="F531" s="500">
        <f>594.54*1000000</f>
        <v>594540000</v>
      </c>
      <c r="G531" s="639"/>
      <c r="J531" s="27">
        <f>+F531*(1+$C$399/100)</f>
        <v>611781660</v>
      </c>
      <c r="K531" s="27">
        <f>+J531*(1+$C$399/100)</f>
        <v>629523328.13999999</v>
      </c>
      <c r="L531" s="27">
        <f t="shared" ref="L531:Z531" si="465">+K531*(1+$C$399/100)</f>
        <v>647779504.65605998</v>
      </c>
      <c r="M531" s="27">
        <f t="shared" si="465"/>
        <v>666565110.29108572</v>
      </c>
      <c r="N531" s="27">
        <f t="shared" si="465"/>
        <v>685895498.48952711</v>
      </c>
      <c r="O531" s="27">
        <f t="shared" si="465"/>
        <v>705786467.9457233</v>
      </c>
      <c r="P531" s="27">
        <f t="shared" si="465"/>
        <v>726254275.51614916</v>
      </c>
      <c r="Q531" s="27">
        <f t="shared" si="465"/>
        <v>747315649.50611746</v>
      </c>
      <c r="R531" s="27">
        <f t="shared" si="465"/>
        <v>768987803.34179485</v>
      </c>
      <c r="S531" s="27">
        <f t="shared" si="465"/>
        <v>791288449.6387068</v>
      </c>
      <c r="T531" s="27">
        <f t="shared" si="465"/>
        <v>814235814.67822921</v>
      </c>
      <c r="U531" s="27">
        <f t="shared" si="465"/>
        <v>837848653.30389774</v>
      </c>
      <c r="V531" s="27">
        <f t="shared" si="465"/>
        <v>862146264.24971068</v>
      </c>
      <c r="W531" s="27">
        <f t="shared" si="465"/>
        <v>887148505.91295218</v>
      </c>
      <c r="X531" s="27">
        <f t="shared" si="465"/>
        <v>912875812.58442771</v>
      </c>
      <c r="Y531" s="27">
        <f t="shared" si="465"/>
        <v>939349211.14937603</v>
      </c>
      <c r="Z531" s="27">
        <f t="shared" si="465"/>
        <v>966590338.27270782</v>
      </c>
    </row>
    <row r="532" spans="1:26" ht="15.6">
      <c r="B532" s="473" t="s">
        <v>723</v>
      </c>
      <c r="C532" s="640"/>
      <c r="D532" s="640"/>
      <c r="E532" s="640"/>
      <c r="F532" s="640"/>
      <c r="G532" s="639"/>
      <c r="J532" s="27">
        <f>+J531-F531</f>
        <v>17241660</v>
      </c>
      <c r="K532" s="27">
        <f>+K531-J531</f>
        <v>17741668.139999986</v>
      </c>
      <c r="L532" s="27">
        <f t="shared" ref="L532:Z532" si="466">+L531-K531</f>
        <v>18256176.516059995</v>
      </c>
      <c r="M532" s="27">
        <f t="shared" si="466"/>
        <v>18785605.63502574</v>
      </c>
      <c r="N532" s="27">
        <f t="shared" si="466"/>
        <v>19330388.198441386</v>
      </c>
      <c r="O532" s="27">
        <f t="shared" si="466"/>
        <v>19890969.456196189</v>
      </c>
      <c r="P532" s="27">
        <f t="shared" si="466"/>
        <v>20467807.570425868</v>
      </c>
      <c r="Q532" s="27">
        <f t="shared" si="466"/>
        <v>21061373.9899683</v>
      </c>
      <c r="R532" s="27">
        <f t="shared" si="466"/>
        <v>21672153.835677385</v>
      </c>
      <c r="S532" s="27">
        <f t="shared" si="466"/>
        <v>22300646.296911955</v>
      </c>
      <c r="T532" s="27">
        <f t="shared" si="466"/>
        <v>22947365.039522409</v>
      </c>
      <c r="U532" s="27">
        <f t="shared" si="466"/>
        <v>23612838.625668526</v>
      </c>
      <c r="V532" s="27">
        <f t="shared" si="466"/>
        <v>24297610.945812941</v>
      </c>
      <c r="W532" s="27">
        <f t="shared" si="466"/>
        <v>25002241.663241506</v>
      </c>
      <c r="X532" s="27">
        <f t="shared" si="466"/>
        <v>25727306.67147553</v>
      </c>
      <c r="Y532" s="27">
        <f t="shared" si="466"/>
        <v>26473398.56494832</v>
      </c>
      <c r="Z532" s="27">
        <f t="shared" si="466"/>
        <v>27241127.123331785</v>
      </c>
    </row>
    <row r="533" spans="1:26" ht="15.6">
      <c r="B533" s="473" t="s">
        <v>733</v>
      </c>
      <c r="C533" s="631"/>
      <c r="D533" s="631"/>
      <c r="E533" s="631"/>
      <c r="F533" s="631"/>
      <c r="G533" s="629"/>
      <c r="J533" s="27">
        <f>+J532*0.235</f>
        <v>4051790.0999999996</v>
      </c>
      <c r="K533" s="27">
        <f>+K532*0.235</f>
        <v>4169292.0128999962</v>
      </c>
      <c r="L533" s="27">
        <f t="shared" ref="L533:Z533" si="467">+L532*0.235</f>
        <v>4290201.4812740982</v>
      </c>
      <c r="M533" s="27">
        <f t="shared" si="467"/>
        <v>4414617.3242310481</v>
      </c>
      <c r="N533" s="27">
        <f t="shared" si="467"/>
        <v>4542641.2266337257</v>
      </c>
      <c r="O533" s="27">
        <f t="shared" si="467"/>
        <v>4674377.8222061042</v>
      </c>
      <c r="P533" s="27">
        <f t="shared" si="467"/>
        <v>4809934.7790500792</v>
      </c>
      <c r="Q533" s="27">
        <f t="shared" si="467"/>
        <v>4949422.8876425503</v>
      </c>
      <c r="R533" s="27">
        <f t="shared" si="467"/>
        <v>5092956.1513841851</v>
      </c>
      <c r="S533" s="27">
        <f t="shared" si="467"/>
        <v>5240651.8797743088</v>
      </c>
      <c r="T533" s="27">
        <f t="shared" si="467"/>
        <v>5392630.7842877656</v>
      </c>
      <c r="U533" s="27">
        <f t="shared" si="467"/>
        <v>5549017.0770321032</v>
      </c>
      <c r="V533" s="27">
        <f t="shared" si="467"/>
        <v>5709938.5722660404</v>
      </c>
      <c r="W533" s="27">
        <f t="shared" si="467"/>
        <v>5875526.7908617537</v>
      </c>
      <c r="X533" s="27">
        <f t="shared" si="467"/>
        <v>6045917.0677967491</v>
      </c>
      <c r="Y533" s="27">
        <f t="shared" si="467"/>
        <v>6221248.6627628552</v>
      </c>
      <c r="Z533" s="27">
        <f t="shared" si="467"/>
        <v>6401664.8739829687</v>
      </c>
    </row>
    <row r="534" spans="1:26" ht="15.6">
      <c r="B534" s="476" t="s">
        <v>734</v>
      </c>
      <c r="C534" s="633"/>
      <c r="D534" s="633"/>
      <c r="E534" s="633"/>
      <c r="F534" s="632"/>
      <c r="G534" s="632"/>
      <c r="J534" s="486">
        <f>+J527+J530+J533</f>
        <v>8216413.4289999865</v>
      </c>
      <c r="K534" s="486">
        <f>+K527+K530+K533</f>
        <v>8454689.4184409808</v>
      </c>
      <c r="L534" s="486">
        <f t="shared" ref="L534:Z534" si="468">+L527+L530+L533</f>
        <v>8699875.4115757793</v>
      </c>
      <c r="M534" s="486">
        <f t="shared" si="468"/>
        <v>8952171.7985114697</v>
      </c>
      <c r="N534" s="486">
        <f t="shared" si="468"/>
        <v>9211784.7806682885</v>
      </c>
      <c r="O534" s="486">
        <f t="shared" si="468"/>
        <v>9478926.5393076688</v>
      </c>
      <c r="P534" s="486">
        <f t="shared" si="468"/>
        <v>9753815.4089475907</v>
      </c>
      <c r="Q534" s="486">
        <f t="shared" si="468"/>
        <v>10036676.05580708</v>
      </c>
      <c r="R534" s="486">
        <f t="shared" si="468"/>
        <v>10327739.66142549</v>
      </c>
      <c r="S534" s="486">
        <f t="shared" si="468"/>
        <v>10627244.111606799</v>
      </c>
      <c r="T534" s="486">
        <f t="shared" si="468"/>
        <v>10935434.190843407</v>
      </c>
      <c r="U534" s="486">
        <f t="shared" si="468"/>
        <v>11252561.782377854</v>
      </c>
      <c r="V534" s="486">
        <f t="shared" si="468"/>
        <v>11578886.074066814</v>
      </c>
      <c r="W534" s="486">
        <f t="shared" si="468"/>
        <v>11914673.770214759</v>
      </c>
      <c r="X534" s="486">
        <f t="shared" si="468"/>
        <v>12260199.309550978</v>
      </c>
      <c r="Y534" s="486">
        <f t="shared" si="468"/>
        <v>12615745.089527983</v>
      </c>
      <c r="Z534" s="486">
        <f t="shared" si="468"/>
        <v>12981601.697124265</v>
      </c>
    </row>
    <row r="535" spans="1:26" ht="15.6">
      <c r="A535" s="32">
        <v>2025</v>
      </c>
      <c r="B535" s="685" t="s">
        <v>832</v>
      </c>
      <c r="C535" s="686"/>
      <c r="D535" s="686"/>
      <c r="E535" s="686"/>
      <c r="F535" s="686"/>
      <c r="G535" s="683"/>
      <c r="H535" s="688"/>
      <c r="I535" s="688"/>
      <c r="J535" s="688"/>
      <c r="K535" s="688"/>
      <c r="L535" s="688"/>
      <c r="M535" s="688"/>
      <c r="N535" s="688"/>
      <c r="O535" s="688"/>
      <c r="P535" s="688"/>
      <c r="Q535" s="688"/>
      <c r="R535" s="688"/>
      <c r="S535" s="688"/>
      <c r="T535" s="688"/>
      <c r="U535" s="688"/>
      <c r="V535" s="688"/>
      <c r="W535" s="688"/>
      <c r="X535" s="688"/>
      <c r="Y535" s="688"/>
      <c r="Z535" s="688"/>
    </row>
    <row r="536" spans="1:26" ht="15.6">
      <c r="B536" s="483" t="s">
        <v>736</v>
      </c>
      <c r="C536" s="631">
        <f>1.95*1000000</f>
        <v>1950000</v>
      </c>
      <c r="D536" s="500">
        <f>1.88*1000000</f>
        <v>1880000</v>
      </c>
      <c r="E536" s="500">
        <f>1.77*1000000</f>
        <v>1770000</v>
      </c>
      <c r="F536" s="500">
        <f>2.26*1000000</f>
        <v>2260000</v>
      </c>
      <c r="G536" s="639"/>
      <c r="J536" s="27">
        <f>+F536*(1+$C$399/100)</f>
        <v>2325540</v>
      </c>
      <c r="K536" s="27">
        <f>+J536*(1+$C$399/100)</f>
        <v>2392980.6599999997</v>
      </c>
      <c r="L536" s="27">
        <f t="shared" ref="L536:Z536" si="469">+K536*(1+$C$399/100)</f>
        <v>2462377.0991399996</v>
      </c>
      <c r="M536" s="27">
        <f t="shared" si="469"/>
        <v>2533786.0350150592</v>
      </c>
      <c r="N536" s="27">
        <f t="shared" si="469"/>
        <v>2607265.8300304958</v>
      </c>
      <c r="O536" s="27">
        <f t="shared" si="469"/>
        <v>2682876.5391013799</v>
      </c>
      <c r="P536" s="27">
        <f t="shared" si="469"/>
        <v>2760679.9587353198</v>
      </c>
      <c r="Q536" s="27">
        <f t="shared" si="469"/>
        <v>2840739.6775386441</v>
      </c>
      <c r="R536" s="27">
        <f t="shared" si="469"/>
        <v>2923121.1281872643</v>
      </c>
      <c r="S536" s="27">
        <f t="shared" si="469"/>
        <v>3007891.6409046948</v>
      </c>
      <c r="T536" s="27">
        <f t="shared" si="469"/>
        <v>3095120.4984909305</v>
      </c>
      <c r="U536" s="27">
        <f t="shared" si="469"/>
        <v>3184878.9929471673</v>
      </c>
      <c r="V536" s="27">
        <f t="shared" si="469"/>
        <v>3277240.4837426348</v>
      </c>
      <c r="W536" s="27">
        <f t="shared" si="469"/>
        <v>3372280.4577711709</v>
      </c>
      <c r="X536" s="27">
        <f t="shared" si="469"/>
        <v>3470076.5910465345</v>
      </c>
      <c r="Y536" s="27">
        <f t="shared" si="469"/>
        <v>3570708.8121868838</v>
      </c>
      <c r="Z536" s="27">
        <f t="shared" si="469"/>
        <v>3674259.3677403033</v>
      </c>
    </row>
    <row r="537" spans="1:26" ht="15.6">
      <c r="B537" s="473" t="s">
        <v>723</v>
      </c>
      <c r="C537" s="640"/>
      <c r="D537" s="640"/>
      <c r="E537" s="640"/>
      <c r="F537" s="640"/>
      <c r="G537" s="639"/>
      <c r="J537" s="27">
        <f>+J536-F536</f>
        <v>65540</v>
      </c>
      <c r="K537" s="27">
        <f>+K536-J536</f>
        <v>67440.659999999683</v>
      </c>
      <c r="L537" s="27">
        <f t="shared" ref="L537:Z537" si="470">+L536-K536</f>
        <v>69396.439139999915</v>
      </c>
      <c r="M537" s="27">
        <f t="shared" si="470"/>
        <v>71408.935875059571</v>
      </c>
      <c r="N537" s="27">
        <f t="shared" si="470"/>
        <v>73479.795015436597</v>
      </c>
      <c r="O537" s="27">
        <f t="shared" si="470"/>
        <v>75610.709070884157</v>
      </c>
      <c r="P537" s="27">
        <f t="shared" si="470"/>
        <v>77803.419633939862</v>
      </c>
      <c r="Q537" s="27">
        <f t="shared" si="470"/>
        <v>80059.718803324271</v>
      </c>
      <c r="R537" s="27">
        <f t="shared" si="470"/>
        <v>82381.450648620259</v>
      </c>
      <c r="S537" s="27">
        <f t="shared" si="470"/>
        <v>84770.51271743048</v>
      </c>
      <c r="T537" s="27">
        <f t="shared" si="470"/>
        <v>87228.857586235739</v>
      </c>
      <c r="U537" s="27">
        <f t="shared" si="470"/>
        <v>89758.494456236716</v>
      </c>
      <c r="V537" s="27">
        <f t="shared" si="470"/>
        <v>92361.490795467515</v>
      </c>
      <c r="W537" s="27">
        <f t="shared" si="470"/>
        <v>95039.974028536119</v>
      </c>
      <c r="X537" s="27">
        <f t="shared" si="470"/>
        <v>97796.133275363594</v>
      </c>
      <c r="Y537" s="27">
        <f t="shared" si="470"/>
        <v>100632.22114034928</v>
      </c>
      <c r="Z537" s="27">
        <f t="shared" si="470"/>
        <v>103550.55555341952</v>
      </c>
    </row>
    <row r="538" spans="1:26" ht="15.6">
      <c r="B538" s="473" t="s">
        <v>733</v>
      </c>
      <c r="C538" s="640"/>
      <c r="D538" s="640"/>
      <c r="E538" s="640"/>
      <c r="F538" s="640"/>
      <c r="G538" s="639"/>
      <c r="J538" s="27">
        <f>+J537*0.235</f>
        <v>15401.9</v>
      </c>
      <c r="K538" s="27">
        <f>+K537*0.235</f>
        <v>15848.555099999925</v>
      </c>
      <c r="L538" s="27">
        <f t="shared" ref="L538:Z538" si="471">+L537*0.235</f>
        <v>16308.163197899979</v>
      </c>
      <c r="M538" s="27">
        <f t="shared" si="471"/>
        <v>16781.099930638997</v>
      </c>
      <c r="N538" s="27">
        <f t="shared" si="471"/>
        <v>17267.751828627599</v>
      </c>
      <c r="O538" s="27">
        <f t="shared" si="471"/>
        <v>17768.516631657774</v>
      </c>
      <c r="P538" s="27">
        <f t="shared" si="471"/>
        <v>18283.803613975866</v>
      </c>
      <c r="Q538" s="27">
        <f t="shared" si="471"/>
        <v>18814.033918781202</v>
      </c>
      <c r="R538" s="27">
        <f t="shared" si="471"/>
        <v>19359.640902425759</v>
      </c>
      <c r="S538" s="27">
        <f t="shared" si="471"/>
        <v>19921.07048859616</v>
      </c>
      <c r="T538" s="27">
        <f t="shared" si="471"/>
        <v>20498.781532765399</v>
      </c>
      <c r="U538" s="27">
        <f t="shared" si="471"/>
        <v>21093.246197215627</v>
      </c>
      <c r="V538" s="27">
        <f t="shared" si="471"/>
        <v>21704.950336934864</v>
      </c>
      <c r="W538" s="27">
        <f t="shared" si="471"/>
        <v>22334.393896705988</v>
      </c>
      <c r="X538" s="27">
        <f t="shared" si="471"/>
        <v>22982.091319710442</v>
      </c>
      <c r="Y538" s="27">
        <f t="shared" si="471"/>
        <v>23648.57196798208</v>
      </c>
      <c r="Z538" s="27">
        <f t="shared" si="471"/>
        <v>24334.380555053584</v>
      </c>
    </row>
    <row r="539" spans="1:26">
      <c r="B539" s="483" t="s">
        <v>724</v>
      </c>
      <c r="C539" s="500">
        <f>40786.2*1000</f>
        <v>40786200</v>
      </c>
      <c r="D539" s="500">
        <f>36276.9*1000</f>
        <v>36276900</v>
      </c>
      <c r="E539" s="500">
        <f>34685.1*1000</f>
        <v>34685100</v>
      </c>
      <c r="F539" s="500">
        <f>51858.6*1000</f>
        <v>51858600</v>
      </c>
      <c r="G539" s="639"/>
      <c r="J539" s="27">
        <f>+F539*(1+$C$399/100)</f>
        <v>53362499.399999999</v>
      </c>
      <c r="K539" s="27">
        <f>+J539*(1+$C$399/100)</f>
        <v>54910011.882599995</v>
      </c>
      <c r="L539" s="27">
        <f t="shared" ref="L539:Z539" si="472">+K539*(1+$C$399/100)</f>
        <v>56502402.22719539</v>
      </c>
      <c r="M539" s="27">
        <f t="shared" si="472"/>
        <v>58140971.89178405</v>
      </c>
      <c r="N539" s="27">
        <f t="shared" si="472"/>
        <v>59827060.076645784</v>
      </c>
      <c r="O539" s="27">
        <f t="shared" si="472"/>
        <v>61562044.81886851</v>
      </c>
      <c r="P539" s="27">
        <f t="shared" si="472"/>
        <v>63347344.118615694</v>
      </c>
      <c r="Q539" s="27">
        <f t="shared" si="472"/>
        <v>65184417.098055542</v>
      </c>
      <c r="R539" s="27">
        <f t="shared" si="472"/>
        <v>67074765.193899147</v>
      </c>
      <c r="S539" s="27">
        <f t="shared" si="472"/>
        <v>69019933.384522215</v>
      </c>
      <c r="T539" s="27">
        <f t="shared" si="472"/>
        <v>71021511.452673346</v>
      </c>
      <c r="U539" s="27">
        <f t="shared" si="472"/>
        <v>73081135.284800872</v>
      </c>
      <c r="V539" s="27">
        <f t="shared" si="472"/>
        <v>75200488.208060086</v>
      </c>
      <c r="W539" s="27">
        <f t="shared" si="472"/>
        <v>77381302.366093829</v>
      </c>
      <c r="X539" s="27">
        <f t="shared" si="472"/>
        <v>79625360.13471055</v>
      </c>
      <c r="Y539" s="27">
        <f t="shared" si="472"/>
        <v>81934495.578617156</v>
      </c>
      <c r="Z539" s="27">
        <f t="shared" si="472"/>
        <v>84310595.950397044</v>
      </c>
    </row>
    <row r="540" spans="1:26" ht="15.6">
      <c r="B540" s="473" t="s">
        <v>723</v>
      </c>
      <c r="C540" s="640"/>
      <c r="D540" s="640"/>
      <c r="E540" s="640"/>
      <c r="F540" s="640"/>
      <c r="G540" s="639"/>
      <c r="J540" s="27">
        <f>+J539-F539</f>
        <v>1503899.3999999985</v>
      </c>
      <c r="K540" s="27">
        <f>+K539-J539</f>
        <v>1547512.482599996</v>
      </c>
      <c r="L540" s="27">
        <f t="shared" ref="L540:Z540" si="473">+L539-K539</f>
        <v>1592390.344595395</v>
      </c>
      <c r="M540" s="27">
        <f t="shared" si="473"/>
        <v>1638569.66458866</v>
      </c>
      <c r="N540" s="27">
        <f t="shared" si="473"/>
        <v>1686088.1848617345</v>
      </c>
      <c r="O540" s="27">
        <f t="shared" si="473"/>
        <v>1734984.7422227263</v>
      </c>
      <c r="P540" s="27">
        <f t="shared" si="473"/>
        <v>1785299.2997471839</v>
      </c>
      <c r="Q540" s="27">
        <f t="shared" si="473"/>
        <v>1837072.9794398472</v>
      </c>
      <c r="R540" s="27">
        <f t="shared" si="473"/>
        <v>1890348.0958436057</v>
      </c>
      <c r="S540" s="27">
        <f t="shared" si="473"/>
        <v>1945168.1906230673</v>
      </c>
      <c r="T540" s="27">
        <f t="shared" si="473"/>
        <v>2001578.0681511313</v>
      </c>
      <c r="U540" s="27">
        <f t="shared" si="473"/>
        <v>2059623.8321275264</v>
      </c>
      <c r="V540" s="27">
        <f t="shared" si="473"/>
        <v>2119352.9232592136</v>
      </c>
      <c r="W540" s="27">
        <f t="shared" si="473"/>
        <v>2180814.1580337435</v>
      </c>
      <c r="X540" s="27">
        <f t="shared" si="473"/>
        <v>2244057.768616721</v>
      </c>
      <c r="Y540" s="27">
        <f t="shared" si="473"/>
        <v>2309135.4439066052</v>
      </c>
      <c r="Z540" s="27">
        <f t="shared" si="473"/>
        <v>2376100.3717798889</v>
      </c>
    </row>
    <row r="541" spans="1:26" ht="15.6">
      <c r="B541" s="473" t="s">
        <v>733</v>
      </c>
      <c r="C541" s="640"/>
      <c r="D541" s="640"/>
      <c r="E541" s="640"/>
      <c r="F541" s="640"/>
      <c r="G541" s="639"/>
      <c r="J541" s="27">
        <f>+J540*0.235</f>
        <v>353416.35899999965</v>
      </c>
      <c r="K541" s="27">
        <f>+K540*0.235</f>
        <v>363665.43341099907</v>
      </c>
      <c r="L541" s="27">
        <f t="shared" ref="L541:Z541" si="474">+L540*0.235</f>
        <v>374211.7309799178</v>
      </c>
      <c r="M541" s="27">
        <f t="shared" si="474"/>
        <v>385063.8711783351</v>
      </c>
      <c r="N541" s="27">
        <f t="shared" si="474"/>
        <v>396230.72344250756</v>
      </c>
      <c r="O541" s="27">
        <f t="shared" si="474"/>
        <v>407721.41442234069</v>
      </c>
      <c r="P541" s="27">
        <f t="shared" si="474"/>
        <v>419545.33544058818</v>
      </c>
      <c r="Q541" s="27">
        <f t="shared" si="474"/>
        <v>431712.15016836405</v>
      </c>
      <c r="R541" s="27">
        <f t="shared" si="474"/>
        <v>444231.80252324732</v>
      </c>
      <c r="S541" s="27">
        <f t="shared" si="474"/>
        <v>457114.52479642077</v>
      </c>
      <c r="T541" s="27">
        <f t="shared" si="474"/>
        <v>470370.8460155158</v>
      </c>
      <c r="U541" s="27">
        <f t="shared" si="474"/>
        <v>484011.60054996866</v>
      </c>
      <c r="V541" s="27">
        <f t="shared" si="474"/>
        <v>498047.93696591514</v>
      </c>
      <c r="W541" s="27">
        <f t="shared" si="474"/>
        <v>512491.32713792968</v>
      </c>
      <c r="X541" s="27">
        <f t="shared" si="474"/>
        <v>527353.57562492939</v>
      </c>
      <c r="Y541" s="27">
        <f t="shared" si="474"/>
        <v>542646.82931805216</v>
      </c>
      <c r="Z541" s="27">
        <f t="shared" si="474"/>
        <v>558383.58736827387</v>
      </c>
    </row>
    <row r="542" spans="1:26">
      <c r="B542" s="483" t="s">
        <v>722</v>
      </c>
      <c r="C542" s="500">
        <f>4.06*1000000</f>
        <v>4059999.9999999995</v>
      </c>
      <c r="D542" s="500">
        <f>3.4*1000000</f>
        <v>3400000</v>
      </c>
      <c r="E542" s="500">
        <f>5.75*1000000</f>
        <v>5750000</v>
      </c>
      <c r="F542" s="500">
        <f>19*1000000</f>
        <v>19000000</v>
      </c>
      <c r="G542" s="639"/>
      <c r="J542" s="27">
        <f>+F542*(1+$C$399/100)</f>
        <v>19551000</v>
      </c>
      <c r="K542" s="27">
        <f>+J542*(1+$C$399/100)</f>
        <v>20117979</v>
      </c>
      <c r="L542" s="27">
        <f t="shared" ref="L542:Z542" si="475">+K542*(1+$C$399/100)</f>
        <v>20701400.390999999</v>
      </c>
      <c r="M542" s="27">
        <f t="shared" si="475"/>
        <v>21301741.002338998</v>
      </c>
      <c r="N542" s="27">
        <f t="shared" si="475"/>
        <v>21919491.491406828</v>
      </c>
      <c r="O542" s="27">
        <f t="shared" si="475"/>
        <v>22555156.744657625</v>
      </c>
      <c r="P542" s="27">
        <f t="shared" si="475"/>
        <v>23209256.290252693</v>
      </c>
      <c r="Q542" s="27">
        <f t="shared" si="475"/>
        <v>23882324.722670019</v>
      </c>
      <c r="R542" s="27">
        <f t="shared" si="475"/>
        <v>24574912.139627445</v>
      </c>
      <c r="S542" s="27">
        <f t="shared" si="475"/>
        <v>25287584.591676638</v>
      </c>
      <c r="T542" s="27">
        <f t="shared" si="475"/>
        <v>26020924.544835258</v>
      </c>
      <c r="U542" s="27">
        <f t="shared" si="475"/>
        <v>26775531.356635477</v>
      </c>
      <c r="V542" s="27">
        <f t="shared" si="475"/>
        <v>27552021.765977904</v>
      </c>
      <c r="W542" s="27">
        <f t="shared" si="475"/>
        <v>28351030.39719126</v>
      </c>
      <c r="X542" s="27">
        <f t="shared" si="475"/>
        <v>29173210.278709803</v>
      </c>
      <c r="Y542" s="27">
        <f t="shared" si="475"/>
        <v>30019233.376792386</v>
      </c>
      <c r="Z542" s="27">
        <f t="shared" si="475"/>
        <v>30889791.144719362</v>
      </c>
    </row>
    <row r="543" spans="1:26" ht="15.6">
      <c r="B543" s="473" t="s">
        <v>723</v>
      </c>
      <c r="C543" s="640"/>
      <c r="D543" s="640"/>
      <c r="E543" s="640"/>
      <c r="F543" s="640"/>
      <c r="G543" s="639"/>
      <c r="J543" s="27">
        <f>+J542-F542</f>
        <v>551000</v>
      </c>
      <c r="K543" s="27">
        <f>+K542-J542</f>
        <v>566979</v>
      </c>
      <c r="L543" s="27">
        <f t="shared" ref="L543:Z543" si="476">+L542-K542</f>
        <v>583421.3909999989</v>
      </c>
      <c r="M543" s="27">
        <f t="shared" si="476"/>
        <v>600340.61133899912</v>
      </c>
      <c r="N543" s="27">
        <f t="shared" si="476"/>
        <v>617750.48906783015</v>
      </c>
      <c r="O543" s="27">
        <f t="shared" si="476"/>
        <v>635665.25325079635</v>
      </c>
      <c r="P543" s="27">
        <f t="shared" si="476"/>
        <v>654099.54559506848</v>
      </c>
      <c r="Q543" s="27">
        <f t="shared" si="476"/>
        <v>673068.43241732568</v>
      </c>
      <c r="R543" s="27">
        <f t="shared" si="476"/>
        <v>692587.41695742682</v>
      </c>
      <c r="S543" s="27">
        <f t="shared" si="476"/>
        <v>712672.45204919204</v>
      </c>
      <c r="T543" s="27">
        <f t="shared" si="476"/>
        <v>733339.95315862074</v>
      </c>
      <c r="U543" s="27">
        <f t="shared" si="476"/>
        <v>754606.81180021912</v>
      </c>
      <c r="V543" s="27">
        <f t="shared" si="476"/>
        <v>776490.40934242681</v>
      </c>
      <c r="W543" s="27">
        <f t="shared" si="476"/>
        <v>799008.63121335581</v>
      </c>
      <c r="X543" s="27">
        <f t="shared" si="476"/>
        <v>822179.88151854277</v>
      </c>
      <c r="Y543" s="27">
        <f t="shared" si="476"/>
        <v>846023.0980825834</v>
      </c>
      <c r="Z543" s="27">
        <f t="shared" si="476"/>
        <v>870557.76792697608</v>
      </c>
    </row>
    <row r="544" spans="1:26" ht="15.6">
      <c r="B544" s="473" t="s">
        <v>733</v>
      </c>
      <c r="C544" s="631"/>
      <c r="D544" s="631"/>
      <c r="E544" s="631"/>
      <c r="F544" s="631"/>
      <c r="G544" s="629"/>
      <c r="J544" s="27">
        <f>+J543*0.235</f>
        <v>129484.99999999999</v>
      </c>
      <c r="K544" s="27">
        <f>+K543*0.235</f>
        <v>133240.065</v>
      </c>
      <c r="L544" s="27">
        <f t="shared" ref="L544:Z544" si="477">+L543*0.235</f>
        <v>137104.02688499974</v>
      </c>
      <c r="M544" s="27">
        <f t="shared" si="477"/>
        <v>141080.04366466479</v>
      </c>
      <c r="N544" s="27">
        <f t="shared" si="477"/>
        <v>145171.36493094006</v>
      </c>
      <c r="O544" s="27">
        <f t="shared" si="477"/>
        <v>149381.33451393712</v>
      </c>
      <c r="P544" s="27">
        <f t="shared" si="477"/>
        <v>153713.39321484108</v>
      </c>
      <c r="Q544" s="27">
        <f t="shared" si="477"/>
        <v>158171.08161807153</v>
      </c>
      <c r="R544" s="27">
        <f t="shared" si="477"/>
        <v>162758.04298499529</v>
      </c>
      <c r="S544" s="27">
        <f t="shared" si="477"/>
        <v>167478.02623156013</v>
      </c>
      <c r="T544" s="27">
        <f t="shared" si="477"/>
        <v>172334.88899227587</v>
      </c>
      <c r="U544" s="27">
        <f t="shared" si="477"/>
        <v>177332.60077305147</v>
      </c>
      <c r="V544" s="27">
        <f t="shared" si="477"/>
        <v>182475.2461954703</v>
      </c>
      <c r="W544" s="27">
        <f t="shared" si="477"/>
        <v>187767.0283351386</v>
      </c>
      <c r="X544" s="27">
        <f t="shared" si="477"/>
        <v>193212.27215685754</v>
      </c>
      <c r="Y544" s="27">
        <f t="shared" si="477"/>
        <v>198815.42804940708</v>
      </c>
      <c r="Z544" s="27">
        <f t="shared" si="477"/>
        <v>204581.07546283936</v>
      </c>
    </row>
    <row r="545" spans="1:26" ht="15.6">
      <c r="B545" s="476" t="s">
        <v>734</v>
      </c>
      <c r="C545" s="631"/>
      <c r="D545" s="631"/>
      <c r="E545" s="631"/>
      <c r="F545" s="631"/>
      <c r="G545" s="632"/>
      <c r="J545" s="486">
        <f>+J538+J541+J544</f>
        <v>498303.25899999967</v>
      </c>
      <c r="K545" s="486">
        <f>+K538+K541+K544</f>
        <v>512754.05351099902</v>
      </c>
      <c r="L545" s="486">
        <f t="shared" ref="L545:Z545" si="478">+L538+L541+L544</f>
        <v>527623.92106281756</v>
      </c>
      <c r="M545" s="486">
        <f t="shared" si="478"/>
        <v>542925.01477363892</v>
      </c>
      <c r="N545" s="486">
        <f t="shared" si="478"/>
        <v>558669.8402020752</v>
      </c>
      <c r="O545" s="486">
        <f t="shared" si="478"/>
        <v>574871.26556793554</v>
      </c>
      <c r="P545" s="486">
        <f t="shared" si="478"/>
        <v>591542.5322694052</v>
      </c>
      <c r="Q545" s="486">
        <f t="shared" si="478"/>
        <v>608697.26570521679</v>
      </c>
      <c r="R545" s="486">
        <f t="shared" si="478"/>
        <v>626349.48641066835</v>
      </c>
      <c r="S545" s="486">
        <f t="shared" si="478"/>
        <v>644513.62151657708</v>
      </c>
      <c r="T545" s="486">
        <f t="shared" si="478"/>
        <v>663204.51654055715</v>
      </c>
      <c r="U545" s="486">
        <f t="shared" si="478"/>
        <v>682437.44752023579</v>
      </c>
      <c r="V545" s="486">
        <f t="shared" si="478"/>
        <v>702228.13349832036</v>
      </c>
      <c r="W545" s="486">
        <f t="shared" si="478"/>
        <v>722592.74936977425</v>
      </c>
      <c r="X545" s="486">
        <f t="shared" si="478"/>
        <v>743547.93910149741</v>
      </c>
      <c r="Y545" s="486">
        <f t="shared" si="478"/>
        <v>765110.82933544135</v>
      </c>
      <c r="Z545" s="486">
        <f t="shared" si="478"/>
        <v>787299.0433861668</v>
      </c>
    </row>
    <row r="546" spans="1:26">
      <c r="A546" s="32">
        <v>2025</v>
      </c>
      <c r="B546" s="687" t="s">
        <v>828</v>
      </c>
      <c r="C546" s="683"/>
      <c r="D546" s="683"/>
      <c r="E546" s="683"/>
      <c r="F546" s="683"/>
      <c r="G546" s="683"/>
      <c r="H546" s="688"/>
      <c r="I546" s="688"/>
      <c r="J546" s="688"/>
      <c r="K546" s="688"/>
      <c r="L546" s="688"/>
      <c r="M546" s="688"/>
      <c r="N546" s="688"/>
      <c r="O546" s="688"/>
      <c r="P546" s="688"/>
      <c r="Q546" s="688"/>
      <c r="R546" s="688"/>
      <c r="S546" s="688"/>
      <c r="T546" s="688"/>
      <c r="U546" s="688"/>
      <c r="V546" s="688"/>
      <c r="W546" s="688"/>
      <c r="X546" s="688"/>
      <c r="Y546" s="688"/>
      <c r="Z546" s="688"/>
    </row>
    <row r="547" spans="1:26" ht="16.5" customHeight="1">
      <c r="B547" s="483" t="s">
        <v>736</v>
      </c>
      <c r="C547" s="631">
        <f>123.46*1000000</f>
        <v>123460000</v>
      </c>
      <c r="D547" s="500">
        <f>129.35*1000000</f>
        <v>129350000</v>
      </c>
      <c r="E547" s="500">
        <f>184.99*1000000</f>
        <v>184990000</v>
      </c>
      <c r="F547" s="500">
        <f>207.42*1000000</f>
        <v>207420000</v>
      </c>
      <c r="G547" s="629"/>
      <c r="J547" s="27">
        <f>+F547*(1+$C$399/100)</f>
        <v>213435179.99999997</v>
      </c>
      <c r="K547" s="27">
        <f>+J547*(1+$C$399/100)</f>
        <v>219624800.21999994</v>
      </c>
      <c r="L547" s="27">
        <f t="shared" ref="L547:Z547" si="479">+K547*(1+$C$399/100)</f>
        <v>225993919.42637992</v>
      </c>
      <c r="M547" s="27">
        <f t="shared" si="479"/>
        <v>232547743.08974493</v>
      </c>
      <c r="N547" s="27">
        <f t="shared" si="479"/>
        <v>239291627.63934749</v>
      </c>
      <c r="O547" s="27">
        <f t="shared" si="479"/>
        <v>246231084.84088856</v>
      </c>
      <c r="P547" s="27">
        <f t="shared" si="479"/>
        <v>253371786.3012743</v>
      </c>
      <c r="Q547" s="27">
        <f t="shared" si="479"/>
        <v>260719568.10401124</v>
      </c>
      <c r="R547" s="27">
        <f t="shared" si="479"/>
        <v>268280435.57902753</v>
      </c>
      <c r="S547" s="27">
        <f t="shared" si="479"/>
        <v>276060568.2108193</v>
      </c>
      <c r="T547" s="27">
        <f t="shared" si="479"/>
        <v>284066324.68893301</v>
      </c>
      <c r="U547" s="27">
        <f t="shared" si="479"/>
        <v>292304248.10491204</v>
      </c>
      <c r="V547" s="27">
        <f t="shared" si="479"/>
        <v>300781071.29995447</v>
      </c>
      <c r="W547" s="27">
        <f t="shared" si="479"/>
        <v>309503722.36765313</v>
      </c>
      <c r="X547" s="27">
        <f t="shared" si="479"/>
        <v>318479330.31631505</v>
      </c>
      <c r="Y547" s="27">
        <f t="shared" si="479"/>
        <v>327715230.89548814</v>
      </c>
      <c r="Z547" s="27">
        <f t="shared" si="479"/>
        <v>337218972.59145725</v>
      </c>
    </row>
    <row r="548" spans="1:26" ht="16.5" customHeight="1">
      <c r="B548" s="473" t="s">
        <v>723</v>
      </c>
      <c r="C548" s="640"/>
      <c r="D548" s="640"/>
      <c r="E548" s="640"/>
      <c r="F548" s="640"/>
      <c r="G548" s="639"/>
      <c r="J548" s="27">
        <f>+J547-F547</f>
        <v>6015179.9999999702</v>
      </c>
      <c r="K548" s="27">
        <f>+K547-J547</f>
        <v>6189620.219999969</v>
      </c>
      <c r="L548" s="27">
        <f t="shared" ref="L548:Z548" si="480">+L547-K547</f>
        <v>6369119.2063799798</v>
      </c>
      <c r="M548" s="27">
        <f t="shared" si="480"/>
        <v>6553823.6633650064</v>
      </c>
      <c r="N548" s="27">
        <f t="shared" si="480"/>
        <v>6743884.5496025681</v>
      </c>
      <c r="O548" s="27">
        <f t="shared" si="480"/>
        <v>6939457.2015410662</v>
      </c>
      <c r="P548" s="27">
        <f t="shared" si="480"/>
        <v>7140701.4603857398</v>
      </c>
      <c r="Q548" s="27">
        <f t="shared" si="480"/>
        <v>7347781.802736938</v>
      </c>
      <c r="R548" s="27">
        <f t="shared" si="480"/>
        <v>7560867.4750162959</v>
      </c>
      <c r="S548" s="27">
        <f t="shared" si="480"/>
        <v>7780132.6317917705</v>
      </c>
      <c r="T548" s="27">
        <f t="shared" si="480"/>
        <v>8005756.4781137109</v>
      </c>
      <c r="U548" s="27">
        <f t="shared" si="480"/>
        <v>8237923.4159790277</v>
      </c>
      <c r="V548" s="27">
        <f t="shared" si="480"/>
        <v>8476823.1950424314</v>
      </c>
      <c r="W548" s="27">
        <f t="shared" si="480"/>
        <v>8722651.0676986575</v>
      </c>
      <c r="X548" s="27">
        <f t="shared" si="480"/>
        <v>8975607.9486619234</v>
      </c>
      <c r="Y548" s="27">
        <f t="shared" si="480"/>
        <v>9235900.5791730881</v>
      </c>
      <c r="Z548" s="27">
        <f t="shared" si="480"/>
        <v>9503741.6959691048</v>
      </c>
    </row>
    <row r="549" spans="1:26" ht="16.5" customHeight="1">
      <c r="B549" s="473" t="s">
        <v>733</v>
      </c>
      <c r="C549" s="640"/>
      <c r="D549" s="640"/>
      <c r="E549" s="640"/>
      <c r="F549" s="640"/>
      <c r="G549" s="639"/>
      <c r="J549" s="27">
        <f>+J548*0.235</f>
        <v>1413567.2999999928</v>
      </c>
      <c r="K549" s="27">
        <f>+K548*0.235</f>
        <v>1454560.7516999927</v>
      </c>
      <c r="L549" s="27">
        <f t="shared" ref="L549:Z549" si="481">+L548*0.235</f>
        <v>1496743.0134992951</v>
      </c>
      <c r="M549" s="27">
        <f t="shared" si="481"/>
        <v>1540148.5608907763</v>
      </c>
      <c r="N549" s="27">
        <f t="shared" si="481"/>
        <v>1584812.8691566035</v>
      </c>
      <c r="O549" s="27">
        <f t="shared" si="481"/>
        <v>1630772.4423621504</v>
      </c>
      <c r="P549" s="27">
        <f t="shared" si="481"/>
        <v>1678064.8431906488</v>
      </c>
      <c r="Q549" s="27">
        <f t="shared" si="481"/>
        <v>1726728.7236431802</v>
      </c>
      <c r="R549" s="27">
        <f t="shared" si="481"/>
        <v>1776803.8566288294</v>
      </c>
      <c r="S549" s="27">
        <f t="shared" si="481"/>
        <v>1828331.168471066</v>
      </c>
      <c r="T549" s="27">
        <f t="shared" si="481"/>
        <v>1881352.772356722</v>
      </c>
      <c r="U549" s="27">
        <f t="shared" si="481"/>
        <v>1935912.0027550715</v>
      </c>
      <c r="V549" s="27">
        <f t="shared" si="481"/>
        <v>1992053.4508349712</v>
      </c>
      <c r="W549" s="27">
        <f t="shared" si="481"/>
        <v>2049823.0009091843</v>
      </c>
      <c r="X549" s="27">
        <f t="shared" si="481"/>
        <v>2109267.8679355518</v>
      </c>
      <c r="Y549" s="27">
        <f t="shared" si="481"/>
        <v>2170436.6361056757</v>
      </c>
      <c r="Z549" s="27">
        <f t="shared" si="481"/>
        <v>2233379.2985527394</v>
      </c>
    </row>
    <row r="550" spans="1:26" ht="16.5" customHeight="1">
      <c r="B550" s="483" t="s">
        <v>724</v>
      </c>
      <c r="C550" s="500">
        <f>555414.3*1000</f>
        <v>555414300</v>
      </c>
      <c r="D550" s="500">
        <f>608140*1000</f>
        <v>608140000</v>
      </c>
      <c r="E550" s="500">
        <f>679837.8*1000</f>
        <v>679837800</v>
      </c>
      <c r="F550" s="500">
        <f>666876.1*1000</f>
        <v>666876100</v>
      </c>
      <c r="G550" s="639"/>
      <c r="J550" s="27">
        <f>+F550*(1+$C$399/100)</f>
        <v>686215506.89999998</v>
      </c>
      <c r="K550" s="27">
        <f>+J550*(1+$C$399/100)</f>
        <v>706115756.60009992</v>
      </c>
      <c r="L550" s="27">
        <f t="shared" ref="L550:Z550" si="482">+K550*(1+$C$399/100)</f>
        <v>726593113.54150271</v>
      </c>
      <c r="M550" s="27">
        <f t="shared" si="482"/>
        <v>747664313.83420622</v>
      </c>
      <c r="N550" s="27">
        <f t="shared" si="482"/>
        <v>769346578.9353981</v>
      </c>
      <c r="O550" s="27">
        <f t="shared" si="482"/>
        <v>791657629.72452462</v>
      </c>
      <c r="P550" s="27">
        <f t="shared" si="482"/>
        <v>814615700.98653579</v>
      </c>
      <c r="Q550" s="27">
        <f t="shared" si="482"/>
        <v>838239556.31514525</v>
      </c>
      <c r="R550" s="27">
        <f t="shared" si="482"/>
        <v>862548503.44828439</v>
      </c>
      <c r="S550" s="27">
        <f t="shared" si="482"/>
        <v>887562410.04828453</v>
      </c>
      <c r="T550" s="27">
        <f t="shared" si="482"/>
        <v>913301719.93968475</v>
      </c>
      <c r="U550" s="27">
        <f t="shared" si="482"/>
        <v>939787469.81793559</v>
      </c>
      <c r="V550" s="27">
        <f t="shared" si="482"/>
        <v>967041306.44265568</v>
      </c>
      <c r="W550" s="27">
        <f t="shared" si="482"/>
        <v>995085504.32949257</v>
      </c>
      <c r="X550" s="27">
        <f t="shared" si="482"/>
        <v>1023942983.9550477</v>
      </c>
      <c r="Y550" s="27">
        <f t="shared" si="482"/>
        <v>1053637330.4897441</v>
      </c>
      <c r="Z550" s="27">
        <f t="shared" si="482"/>
        <v>1084192813.0739465</v>
      </c>
    </row>
    <row r="551" spans="1:26" ht="16.5" customHeight="1">
      <c r="B551" s="473" t="s">
        <v>723</v>
      </c>
      <c r="C551" s="640"/>
      <c r="D551" s="640"/>
      <c r="E551" s="640"/>
      <c r="F551" s="640"/>
      <c r="G551" s="639"/>
      <c r="J551" s="27">
        <f>+J550-F550</f>
        <v>19339406.899999976</v>
      </c>
      <c r="K551" s="27">
        <f>+K550-J550</f>
        <v>19900249.700099945</v>
      </c>
      <c r="L551" s="27">
        <f t="shared" ref="L551:Z551" si="483">+L550-K550</f>
        <v>20477356.941402793</v>
      </c>
      <c r="M551" s="27">
        <f t="shared" si="483"/>
        <v>21071200.292703509</v>
      </c>
      <c r="N551" s="27">
        <f t="shared" si="483"/>
        <v>21682265.101191878</v>
      </c>
      <c r="O551" s="27">
        <f t="shared" si="483"/>
        <v>22311050.789126515</v>
      </c>
      <c r="P551" s="27">
        <f t="shared" si="483"/>
        <v>22958071.26201117</v>
      </c>
      <c r="Q551" s="27">
        <f t="shared" si="483"/>
        <v>23623855.328609467</v>
      </c>
      <c r="R551" s="27">
        <f t="shared" si="483"/>
        <v>24308947.133139133</v>
      </c>
      <c r="S551" s="27">
        <f t="shared" si="483"/>
        <v>25013906.600000143</v>
      </c>
      <c r="T551" s="27">
        <f t="shared" si="483"/>
        <v>25739309.891400218</v>
      </c>
      <c r="U551" s="27">
        <f t="shared" si="483"/>
        <v>26485749.878250837</v>
      </c>
      <c r="V551" s="27">
        <f t="shared" si="483"/>
        <v>27253836.624720097</v>
      </c>
      <c r="W551" s="27">
        <f t="shared" si="483"/>
        <v>28044197.886836886</v>
      </c>
      <c r="X551" s="27">
        <f t="shared" si="483"/>
        <v>28857479.625555158</v>
      </c>
      <c r="Y551" s="27">
        <f t="shared" si="483"/>
        <v>29694346.534696341</v>
      </c>
      <c r="Z551" s="27">
        <f t="shared" si="483"/>
        <v>30555482.584202409</v>
      </c>
    </row>
    <row r="552" spans="1:26" ht="16.5" customHeight="1">
      <c r="B552" s="473" t="s">
        <v>733</v>
      </c>
      <c r="C552" s="640"/>
      <c r="D552" s="640"/>
      <c r="E552" s="640"/>
      <c r="F552" s="640"/>
      <c r="G552" s="639"/>
      <c r="J552" s="27">
        <f>+J551*0.235</f>
        <v>4544760.6214999938</v>
      </c>
      <c r="K552" s="27">
        <f>+K551*0.235</f>
        <v>4676558.6795234866</v>
      </c>
      <c r="L552" s="27">
        <f t="shared" ref="L552:Z552" si="484">+L551*0.235</f>
        <v>4812178.8812296558</v>
      </c>
      <c r="M552" s="27">
        <f t="shared" si="484"/>
        <v>4951732.0687853247</v>
      </c>
      <c r="N552" s="27">
        <f t="shared" si="484"/>
        <v>5095332.2987800911</v>
      </c>
      <c r="O552" s="27">
        <f t="shared" si="484"/>
        <v>5243096.9354447313</v>
      </c>
      <c r="P552" s="27">
        <f t="shared" si="484"/>
        <v>5395146.7465726249</v>
      </c>
      <c r="Q552" s="27">
        <f t="shared" si="484"/>
        <v>5551606.0022232244</v>
      </c>
      <c r="R552" s="27">
        <f t="shared" si="484"/>
        <v>5712602.5762876961</v>
      </c>
      <c r="S552" s="27">
        <f t="shared" si="484"/>
        <v>5878268.0510000335</v>
      </c>
      <c r="T552" s="27">
        <f t="shared" si="484"/>
        <v>6048737.8244790509</v>
      </c>
      <c r="U552" s="27">
        <f t="shared" si="484"/>
        <v>6224151.2213889463</v>
      </c>
      <c r="V552" s="27">
        <f t="shared" si="484"/>
        <v>6404651.6068092221</v>
      </c>
      <c r="W552" s="27">
        <f t="shared" si="484"/>
        <v>6590386.5034066681</v>
      </c>
      <c r="X552" s="27">
        <f t="shared" si="484"/>
        <v>6781507.7120054616</v>
      </c>
      <c r="Y552" s="27">
        <f t="shared" si="484"/>
        <v>6978171.43565364</v>
      </c>
      <c r="Z552" s="27">
        <f t="shared" si="484"/>
        <v>7180538.407287566</v>
      </c>
    </row>
    <row r="553" spans="1:26" ht="16.5" customHeight="1">
      <c r="B553" s="483" t="s">
        <v>722</v>
      </c>
      <c r="C553" s="500">
        <f>351.26*1000000</f>
        <v>351260000</v>
      </c>
      <c r="D553" s="500">
        <f>345.46*1000000</f>
        <v>345460000</v>
      </c>
      <c r="E553" s="500">
        <f>406.63*1000000</f>
        <v>406630000</v>
      </c>
      <c r="F553" s="500">
        <f>561.38*1000000</f>
        <v>561380000</v>
      </c>
      <c r="G553" s="639"/>
      <c r="J553" s="27">
        <f>+F553*(1+$C$399/100)</f>
        <v>577660020</v>
      </c>
      <c r="K553" s="27">
        <f>+J553*(1+$C$399/100)</f>
        <v>594412160.57999992</v>
      </c>
      <c r="L553" s="27">
        <f t="shared" ref="L553:Z553" si="485">+K553*(1+$C$399/100)</f>
        <v>611650113.23681986</v>
      </c>
      <c r="M553" s="27">
        <f t="shared" si="485"/>
        <v>629387966.52068758</v>
      </c>
      <c r="N553" s="27">
        <f t="shared" si="485"/>
        <v>647640217.54978752</v>
      </c>
      <c r="O553" s="27">
        <f t="shared" si="485"/>
        <v>666421783.85873127</v>
      </c>
      <c r="P553" s="27">
        <f t="shared" si="485"/>
        <v>685748015.59063447</v>
      </c>
      <c r="Q553" s="27">
        <f t="shared" si="485"/>
        <v>705634708.04276276</v>
      </c>
      <c r="R553" s="27">
        <f t="shared" si="485"/>
        <v>726098114.57600284</v>
      </c>
      <c r="S553" s="27">
        <f t="shared" si="485"/>
        <v>747154959.89870691</v>
      </c>
      <c r="T553" s="27">
        <f t="shared" si="485"/>
        <v>768822453.73576939</v>
      </c>
      <c r="U553" s="27">
        <f t="shared" si="485"/>
        <v>791118304.89410663</v>
      </c>
      <c r="V553" s="27">
        <f t="shared" si="485"/>
        <v>814060735.7360357</v>
      </c>
      <c r="W553" s="27">
        <f t="shared" si="485"/>
        <v>837668497.07238066</v>
      </c>
      <c r="X553" s="27">
        <f t="shared" si="485"/>
        <v>861960883.48747969</v>
      </c>
      <c r="Y553" s="27">
        <f t="shared" si="485"/>
        <v>886957749.10861647</v>
      </c>
      <c r="Z553" s="27">
        <f t="shared" si="485"/>
        <v>912679523.83276629</v>
      </c>
    </row>
    <row r="554" spans="1:26" ht="16.5" customHeight="1">
      <c r="B554" s="473" t="s">
        <v>723</v>
      </c>
      <c r="C554" s="640"/>
      <c r="D554" s="640"/>
      <c r="E554" s="640"/>
      <c r="F554" s="640"/>
      <c r="G554" s="639"/>
      <c r="J554" s="27">
        <f>+J553-F553</f>
        <v>16280020</v>
      </c>
      <c r="K554" s="27">
        <f>+K553-J553</f>
        <v>16752140.579999924</v>
      </c>
      <c r="L554" s="27">
        <f t="shared" ref="L554:Z554" si="486">+L553-K553</f>
        <v>17237952.65681994</v>
      </c>
      <c r="M554" s="27">
        <f t="shared" si="486"/>
        <v>17737853.283867717</v>
      </c>
      <c r="N554" s="27">
        <f t="shared" si="486"/>
        <v>18252251.029099941</v>
      </c>
      <c r="O554" s="27">
        <f t="shared" si="486"/>
        <v>18781566.308943748</v>
      </c>
      <c r="P554" s="27">
        <f t="shared" si="486"/>
        <v>19326231.731903195</v>
      </c>
      <c r="Q554" s="27">
        <f t="shared" si="486"/>
        <v>19886692.452128291</v>
      </c>
      <c r="R554" s="27">
        <f t="shared" si="486"/>
        <v>20463406.53324008</v>
      </c>
      <c r="S554" s="27">
        <f t="shared" si="486"/>
        <v>21056845.322704077</v>
      </c>
      <c r="T554" s="27">
        <f t="shared" si="486"/>
        <v>21667493.837062478</v>
      </c>
      <c r="U554" s="27">
        <f t="shared" si="486"/>
        <v>22295851.158337235</v>
      </c>
      <c r="V554" s="27">
        <f t="shared" si="486"/>
        <v>22942430.841929078</v>
      </c>
      <c r="W554" s="27">
        <f t="shared" si="486"/>
        <v>23607761.336344957</v>
      </c>
      <c r="X554" s="27">
        <f t="shared" si="486"/>
        <v>24292386.415099025</v>
      </c>
      <c r="Y554" s="27">
        <f t="shared" si="486"/>
        <v>24996865.621136785</v>
      </c>
      <c r="Z554" s="27">
        <f t="shared" si="486"/>
        <v>25721774.724149823</v>
      </c>
    </row>
    <row r="555" spans="1:26" ht="16.5" customHeight="1">
      <c r="B555" s="473" t="s">
        <v>733</v>
      </c>
      <c r="C555" s="640"/>
      <c r="D555" s="640"/>
      <c r="E555" s="640"/>
      <c r="F555" s="640"/>
      <c r="G555" s="639"/>
      <c r="J555" s="27">
        <f>+J554*0.235</f>
        <v>3825804.6999999997</v>
      </c>
      <c r="K555" s="27">
        <f>+K554*0.235</f>
        <v>3936753.0362999816</v>
      </c>
      <c r="L555" s="27">
        <f t="shared" ref="L555:Z555" si="487">+L554*0.235</f>
        <v>4050918.8743526856</v>
      </c>
      <c r="M555" s="27">
        <f t="shared" si="487"/>
        <v>4168395.5217089131</v>
      </c>
      <c r="N555" s="27">
        <f t="shared" si="487"/>
        <v>4289278.9918384859</v>
      </c>
      <c r="O555" s="27">
        <f t="shared" si="487"/>
        <v>4413668.082601781</v>
      </c>
      <c r="P555" s="27">
        <f t="shared" si="487"/>
        <v>4541664.4569972502</v>
      </c>
      <c r="Q555" s="27">
        <f t="shared" si="487"/>
        <v>4673372.7262501484</v>
      </c>
      <c r="R555" s="27">
        <f t="shared" si="487"/>
        <v>4808900.5353114186</v>
      </c>
      <c r="S555" s="27">
        <f t="shared" si="487"/>
        <v>4948358.6508354582</v>
      </c>
      <c r="T555" s="27">
        <f t="shared" si="487"/>
        <v>5091861.0517096817</v>
      </c>
      <c r="U555" s="27">
        <f t="shared" si="487"/>
        <v>5239525.0222092504</v>
      </c>
      <c r="V555" s="27">
        <f t="shared" si="487"/>
        <v>5391471.2478533331</v>
      </c>
      <c r="W555" s="27">
        <f t="shared" si="487"/>
        <v>5547823.9140410647</v>
      </c>
      <c r="X555" s="27">
        <f t="shared" si="487"/>
        <v>5708710.8075482706</v>
      </c>
      <c r="Y555" s="27">
        <f t="shared" si="487"/>
        <v>5874263.420967144</v>
      </c>
      <c r="Z555" s="27">
        <f t="shared" si="487"/>
        <v>6044617.0601752084</v>
      </c>
    </row>
    <row r="556" spans="1:26" ht="15.6">
      <c r="B556" s="476" t="s">
        <v>734</v>
      </c>
      <c r="C556" s="631"/>
      <c r="D556" s="631"/>
      <c r="E556" s="631"/>
      <c r="F556" s="631"/>
      <c r="G556" s="632"/>
      <c r="J556" s="486">
        <f>+J549+J552+J555</f>
        <v>9784132.6214999855</v>
      </c>
      <c r="K556" s="486">
        <f>+K549+K552+K555</f>
        <v>10067872.467523461</v>
      </c>
      <c r="L556" s="486">
        <f t="shared" ref="L556:Z556" si="488">+L549+L552+L555</f>
        <v>10359840.769081637</v>
      </c>
      <c r="M556" s="486">
        <f t="shared" si="488"/>
        <v>10660276.151385013</v>
      </c>
      <c r="N556" s="486">
        <f t="shared" si="488"/>
        <v>10969424.159775181</v>
      </c>
      <c r="O556" s="486">
        <f t="shared" si="488"/>
        <v>11287537.460408662</v>
      </c>
      <c r="P556" s="486">
        <f t="shared" si="488"/>
        <v>11614876.046760524</v>
      </c>
      <c r="Q556" s="486">
        <f t="shared" si="488"/>
        <v>11951707.452116553</v>
      </c>
      <c r="R556" s="486">
        <f t="shared" si="488"/>
        <v>12298306.968227945</v>
      </c>
      <c r="S556" s="486">
        <f t="shared" si="488"/>
        <v>12654957.870306559</v>
      </c>
      <c r="T556" s="486">
        <f t="shared" si="488"/>
        <v>13021951.648545455</v>
      </c>
      <c r="U556" s="486">
        <f t="shared" si="488"/>
        <v>13399588.246353269</v>
      </c>
      <c r="V556" s="486">
        <f t="shared" si="488"/>
        <v>13788176.305497527</v>
      </c>
      <c r="W556" s="486">
        <f t="shared" si="488"/>
        <v>14188033.418356918</v>
      </c>
      <c r="X556" s="486">
        <f t="shared" si="488"/>
        <v>14599486.387489285</v>
      </c>
      <c r="Y556" s="486">
        <f t="shared" si="488"/>
        <v>15022871.49272646</v>
      </c>
      <c r="Z556" s="486">
        <f t="shared" si="488"/>
        <v>15458534.766015513</v>
      </c>
    </row>
    <row r="557" spans="1:26" ht="15.6">
      <c r="A557" s="32">
        <v>2025</v>
      </c>
      <c r="B557" s="685" t="s">
        <v>829</v>
      </c>
      <c r="C557" s="686"/>
      <c r="D557" s="686"/>
      <c r="E557" s="686"/>
      <c r="F557" s="686"/>
      <c r="G557" s="683"/>
      <c r="H557" s="688"/>
      <c r="I557" s="688"/>
      <c r="J557" s="688"/>
      <c r="K557" s="688"/>
      <c r="L557" s="688"/>
      <c r="M557" s="688"/>
      <c r="N557" s="688"/>
      <c r="O557" s="688"/>
      <c r="P557" s="688"/>
      <c r="Q557" s="688"/>
      <c r="R557" s="688"/>
      <c r="S557" s="688"/>
      <c r="T557" s="688"/>
      <c r="U557" s="688"/>
      <c r="V557" s="688"/>
      <c r="W557" s="688"/>
      <c r="X557" s="688"/>
      <c r="Y557" s="688"/>
      <c r="Z557" s="688"/>
    </row>
    <row r="558" spans="1:26" ht="15.6">
      <c r="B558" s="483" t="s">
        <v>736</v>
      </c>
      <c r="C558" s="631">
        <f>39.28*1000000</f>
        <v>39280000</v>
      </c>
      <c r="D558" s="500">
        <f>77.78*1000000</f>
        <v>77780000</v>
      </c>
      <c r="E558" s="500">
        <f>66.1*1000000</f>
        <v>66099999.999999993</v>
      </c>
      <c r="F558" s="500">
        <f>78.36*1000000</f>
        <v>78360000</v>
      </c>
      <c r="G558" s="639"/>
      <c r="J558" s="27">
        <f>+F558*(1+$C$399/100)</f>
        <v>80632440</v>
      </c>
      <c r="K558" s="27">
        <f>+J558*(1+$C$399/100)</f>
        <v>82970780.75999999</v>
      </c>
      <c r="L558" s="27">
        <f t="shared" ref="L558:Z558" si="489">+K558*(1+$C$399/100)</f>
        <v>85376933.40203999</v>
      </c>
      <c r="M558" s="27">
        <f t="shared" si="489"/>
        <v>87852864.470699146</v>
      </c>
      <c r="N558" s="27">
        <f t="shared" si="489"/>
        <v>90400597.540349409</v>
      </c>
      <c r="O558" s="27">
        <f t="shared" si="489"/>
        <v>93022214.869019538</v>
      </c>
      <c r="P558" s="27">
        <f t="shared" si="489"/>
        <v>95719859.100221097</v>
      </c>
      <c r="Q558" s="27">
        <f t="shared" si="489"/>
        <v>98495735.014127508</v>
      </c>
      <c r="R558" s="27">
        <f t="shared" si="489"/>
        <v>101352111.3295372</v>
      </c>
      <c r="S558" s="27">
        <f t="shared" si="489"/>
        <v>104291322.55809377</v>
      </c>
      <c r="T558" s="27">
        <f t="shared" si="489"/>
        <v>107315770.91227849</v>
      </c>
      <c r="U558" s="27">
        <f t="shared" si="489"/>
        <v>110427928.26873456</v>
      </c>
      <c r="V558" s="27">
        <f t="shared" si="489"/>
        <v>113630338.18852785</v>
      </c>
      <c r="W558" s="27">
        <f t="shared" si="489"/>
        <v>116925617.99599515</v>
      </c>
      <c r="X558" s="27">
        <f t="shared" si="489"/>
        <v>120316460.917879</v>
      </c>
      <c r="Y558" s="27">
        <f t="shared" si="489"/>
        <v>123805638.28449748</v>
      </c>
      <c r="Z558" s="27">
        <f t="shared" si="489"/>
        <v>127396001.7947479</v>
      </c>
    </row>
    <row r="559" spans="1:26" ht="15.6">
      <c r="B559" s="473" t="s">
        <v>723</v>
      </c>
      <c r="C559" s="631"/>
      <c r="D559" s="631"/>
      <c r="E559" s="631"/>
      <c r="F559" s="631"/>
      <c r="G559" s="629"/>
      <c r="J559" s="27">
        <f>+J558-F558</f>
        <v>2272440</v>
      </c>
      <c r="K559" s="27">
        <f>+K558-J558</f>
        <v>2338340.7599999905</v>
      </c>
      <c r="L559" s="27">
        <f t="shared" ref="L559:Z559" si="490">+L558-K558</f>
        <v>2406152.6420399994</v>
      </c>
      <c r="M559" s="27">
        <f t="shared" si="490"/>
        <v>2475931.0686591566</v>
      </c>
      <c r="N559" s="27">
        <f t="shared" si="490"/>
        <v>2547733.0696502626</v>
      </c>
      <c r="O559" s="27">
        <f t="shared" si="490"/>
        <v>2621617.3286701292</v>
      </c>
      <c r="P559" s="27">
        <f t="shared" si="490"/>
        <v>2697644.2312015593</v>
      </c>
      <c r="Q559" s="27">
        <f t="shared" si="490"/>
        <v>2775875.9139064103</v>
      </c>
      <c r="R559" s="27">
        <f t="shared" si="490"/>
        <v>2856376.3154096901</v>
      </c>
      <c r="S559" s="27">
        <f t="shared" si="490"/>
        <v>2939211.2285565734</v>
      </c>
      <c r="T559" s="27">
        <f t="shared" si="490"/>
        <v>3024448.3541847169</v>
      </c>
      <c r="U559" s="27">
        <f t="shared" si="490"/>
        <v>3112157.3564560711</v>
      </c>
      <c r="V559" s="27">
        <f t="shared" si="490"/>
        <v>3202409.9197932929</v>
      </c>
      <c r="W559" s="27">
        <f t="shared" si="490"/>
        <v>3295279.8074672967</v>
      </c>
      <c r="X559" s="27">
        <f t="shared" si="490"/>
        <v>3390842.9218838513</v>
      </c>
      <c r="Y559" s="27">
        <f t="shared" si="490"/>
        <v>3489177.3666184843</v>
      </c>
      <c r="Z559" s="27">
        <f t="shared" si="490"/>
        <v>3590363.5102504194</v>
      </c>
    </row>
    <row r="560" spans="1:26" ht="15.6">
      <c r="B560" s="473" t="s">
        <v>733</v>
      </c>
      <c r="C560" s="640"/>
      <c r="D560" s="640"/>
      <c r="E560" s="640"/>
      <c r="F560" s="640"/>
      <c r="G560" s="639"/>
      <c r="J560" s="27">
        <f>+J559*0.235</f>
        <v>534023.4</v>
      </c>
      <c r="K560" s="27">
        <f>+K559*0.235</f>
        <v>549510.07859999768</v>
      </c>
      <c r="L560" s="27">
        <f t="shared" ref="L560:Z560" si="491">+L559*0.235</f>
        <v>565445.87087939982</v>
      </c>
      <c r="M560" s="27">
        <f t="shared" si="491"/>
        <v>581843.8011349017</v>
      </c>
      <c r="N560" s="27">
        <f t="shared" si="491"/>
        <v>598717.27136781171</v>
      </c>
      <c r="O560" s="27">
        <f t="shared" si="491"/>
        <v>616080.07223748032</v>
      </c>
      <c r="P560" s="27">
        <f t="shared" si="491"/>
        <v>633946.39433236641</v>
      </c>
      <c r="Q560" s="27">
        <f t="shared" si="491"/>
        <v>652330.83976800635</v>
      </c>
      <c r="R560" s="27">
        <f t="shared" si="491"/>
        <v>671248.43412127718</v>
      </c>
      <c r="S560" s="27">
        <f t="shared" si="491"/>
        <v>690714.63871079474</v>
      </c>
      <c r="T560" s="27">
        <f t="shared" si="491"/>
        <v>710745.36323340843</v>
      </c>
      <c r="U560" s="27">
        <f t="shared" si="491"/>
        <v>731356.97876717662</v>
      </c>
      <c r="V560" s="27">
        <f t="shared" si="491"/>
        <v>752566.33115142374</v>
      </c>
      <c r="W560" s="27">
        <f t="shared" si="491"/>
        <v>774390.75475481467</v>
      </c>
      <c r="X560" s="27">
        <f t="shared" si="491"/>
        <v>796848.08664270502</v>
      </c>
      <c r="Y560" s="27">
        <f t="shared" si="491"/>
        <v>819956.68115534377</v>
      </c>
      <c r="Z560" s="27">
        <f t="shared" si="491"/>
        <v>843735.42490884848</v>
      </c>
    </row>
    <row r="561" spans="1:26">
      <c r="B561" s="483" t="s">
        <v>724</v>
      </c>
      <c r="C561" s="500">
        <f>317093*1000</f>
        <v>317093000</v>
      </c>
      <c r="D561" s="500">
        <f>329835.2*1000</f>
        <v>329835200</v>
      </c>
      <c r="E561" s="500">
        <f>445401.2*1000</f>
        <v>445401200</v>
      </c>
      <c r="F561" s="500">
        <f>636609.9*1000</f>
        <v>636609900</v>
      </c>
      <c r="G561" s="639"/>
      <c r="J561" s="27">
        <f>+F561*(1+$C$399/100)</f>
        <v>655071587.0999999</v>
      </c>
      <c r="K561" s="27">
        <f>+J561*(1+$C$399/100)</f>
        <v>674068663.12589979</v>
      </c>
      <c r="L561" s="27">
        <f t="shared" ref="L561:Z561" si="492">+K561*(1+$C$399/100)</f>
        <v>693616654.35655081</v>
      </c>
      <c r="M561" s="27">
        <f t="shared" si="492"/>
        <v>713731537.33289075</v>
      </c>
      <c r="N561" s="27">
        <f t="shared" si="492"/>
        <v>734429751.91554451</v>
      </c>
      <c r="O561" s="27">
        <f t="shared" si="492"/>
        <v>755728214.7210952</v>
      </c>
      <c r="P561" s="27">
        <f t="shared" si="492"/>
        <v>777644332.94800687</v>
      </c>
      <c r="Q561" s="27">
        <f t="shared" si="492"/>
        <v>800196018.60349905</v>
      </c>
      <c r="R561" s="27">
        <f t="shared" si="492"/>
        <v>823401703.14300048</v>
      </c>
      <c r="S561" s="27">
        <f t="shared" si="492"/>
        <v>847280352.53414738</v>
      </c>
      <c r="T561" s="27">
        <f t="shared" si="492"/>
        <v>871851482.75763762</v>
      </c>
      <c r="U561" s="27">
        <f t="shared" si="492"/>
        <v>897135175.75760901</v>
      </c>
      <c r="V561" s="27">
        <f t="shared" si="492"/>
        <v>923152095.85457957</v>
      </c>
      <c r="W561" s="27">
        <f t="shared" si="492"/>
        <v>949923506.63436234</v>
      </c>
      <c r="X561" s="27">
        <f t="shared" si="492"/>
        <v>977471288.32675874</v>
      </c>
      <c r="Y561" s="27">
        <f t="shared" si="492"/>
        <v>1005817955.6882347</v>
      </c>
      <c r="Z561" s="27">
        <f t="shared" si="492"/>
        <v>1034986676.4031934</v>
      </c>
    </row>
    <row r="562" spans="1:26" ht="15.6">
      <c r="B562" s="473" t="s">
        <v>723</v>
      </c>
      <c r="C562" s="640"/>
      <c r="D562" s="640"/>
      <c r="E562" s="640"/>
      <c r="F562" s="640"/>
      <c r="G562" s="639"/>
      <c r="J562" s="27">
        <f>+J561-F561</f>
        <v>18461687.099999905</v>
      </c>
      <c r="K562" s="27">
        <f>+K561-J561</f>
        <v>18997076.025899887</v>
      </c>
      <c r="L562" s="27">
        <f t="shared" ref="L562:Z562" si="493">+L561-K561</f>
        <v>19547991.230651021</v>
      </c>
      <c r="M562" s="27">
        <f t="shared" si="493"/>
        <v>20114882.976339936</v>
      </c>
      <c r="N562" s="27">
        <f t="shared" si="493"/>
        <v>20698214.582653761</v>
      </c>
      <c r="O562" s="27">
        <f t="shared" si="493"/>
        <v>21298462.805550694</v>
      </c>
      <c r="P562" s="27">
        <f t="shared" si="493"/>
        <v>21916118.226911664</v>
      </c>
      <c r="Q562" s="27">
        <f t="shared" si="493"/>
        <v>22551685.655492187</v>
      </c>
      <c r="R562" s="27">
        <f t="shared" si="493"/>
        <v>23205684.539501429</v>
      </c>
      <c r="S562" s="27">
        <f t="shared" si="493"/>
        <v>23878649.391146898</v>
      </c>
      <c r="T562" s="27">
        <f t="shared" si="493"/>
        <v>24571130.223490238</v>
      </c>
      <c r="U562" s="27">
        <f t="shared" si="493"/>
        <v>25283692.99997139</v>
      </c>
      <c r="V562" s="27">
        <f t="shared" si="493"/>
        <v>26016920.096970558</v>
      </c>
      <c r="W562" s="27">
        <f t="shared" si="493"/>
        <v>26771410.779782772</v>
      </c>
      <c r="X562" s="27">
        <f t="shared" si="493"/>
        <v>27547781.692396402</v>
      </c>
      <c r="Y562" s="27">
        <f t="shared" si="493"/>
        <v>28346667.361475945</v>
      </c>
      <c r="Z562" s="27">
        <f t="shared" si="493"/>
        <v>29168720.714958668</v>
      </c>
    </row>
    <row r="563" spans="1:26" ht="15.6">
      <c r="B563" s="473" t="s">
        <v>733</v>
      </c>
      <c r="C563" s="640"/>
      <c r="D563" s="640"/>
      <c r="E563" s="640"/>
      <c r="F563" s="640"/>
      <c r="G563" s="639"/>
      <c r="J563" s="27">
        <f>+J562*0.235</f>
        <v>4338496.4684999771</v>
      </c>
      <c r="K563" s="27">
        <f>+K562*0.235</f>
        <v>4464312.8660864728</v>
      </c>
      <c r="L563" s="27">
        <f t="shared" ref="L563:Z563" si="494">+L562*0.235</f>
        <v>4593777.9392029895</v>
      </c>
      <c r="M563" s="27">
        <f t="shared" si="494"/>
        <v>4726997.4994398849</v>
      </c>
      <c r="N563" s="27">
        <f t="shared" si="494"/>
        <v>4864080.4269236336</v>
      </c>
      <c r="O563" s="27">
        <f t="shared" si="494"/>
        <v>5005138.7593044126</v>
      </c>
      <c r="P563" s="27">
        <f t="shared" si="494"/>
        <v>5150287.7833242407</v>
      </c>
      <c r="Q563" s="27">
        <f t="shared" si="494"/>
        <v>5299646.1290406631</v>
      </c>
      <c r="R563" s="27">
        <f t="shared" si="494"/>
        <v>5453335.8667828357</v>
      </c>
      <c r="S563" s="27">
        <f t="shared" si="494"/>
        <v>5611482.6069195205</v>
      </c>
      <c r="T563" s="27">
        <f t="shared" si="494"/>
        <v>5774215.602520206</v>
      </c>
      <c r="U563" s="27">
        <f t="shared" si="494"/>
        <v>5941667.8549932763</v>
      </c>
      <c r="V563" s="27">
        <f t="shared" si="494"/>
        <v>6113976.2227880806</v>
      </c>
      <c r="W563" s="27">
        <f t="shared" si="494"/>
        <v>6291281.5332489507</v>
      </c>
      <c r="X563" s="27">
        <f t="shared" si="494"/>
        <v>6473728.6977131544</v>
      </c>
      <c r="Y563" s="27">
        <f t="shared" si="494"/>
        <v>6661466.8299468467</v>
      </c>
      <c r="Z563" s="27">
        <f t="shared" si="494"/>
        <v>6854649.3680152865</v>
      </c>
    </row>
    <row r="564" spans="1:26">
      <c r="B564" s="483" t="s">
        <v>722</v>
      </c>
      <c r="C564" s="500">
        <f>287.6*1000000</f>
        <v>287600000</v>
      </c>
      <c r="D564" s="500">
        <f>262.34*1000000</f>
        <v>262339999.99999997</v>
      </c>
      <c r="E564" s="500">
        <f>280.48*1000000</f>
        <v>280480000</v>
      </c>
      <c r="F564" s="500">
        <f>375.53*1000000</f>
        <v>375530000</v>
      </c>
      <c r="G564" s="639"/>
      <c r="J564" s="27">
        <f>+F564*(1+$C$399/100)</f>
        <v>386420369.99999994</v>
      </c>
      <c r="K564" s="27">
        <f>+J564*(1+$C$399/100)</f>
        <v>397626560.7299999</v>
      </c>
      <c r="L564" s="27">
        <f t="shared" ref="L564:Z564" si="495">+K564*(1+$C$399/100)</f>
        <v>409157730.99116987</v>
      </c>
      <c r="M564" s="27">
        <f t="shared" si="495"/>
        <v>421023305.18991375</v>
      </c>
      <c r="N564" s="27">
        <f t="shared" si="495"/>
        <v>433232981.04042119</v>
      </c>
      <c r="O564" s="27">
        <f t="shared" si="495"/>
        <v>445796737.49059337</v>
      </c>
      <c r="P564" s="27">
        <f t="shared" si="495"/>
        <v>458724842.87782055</v>
      </c>
      <c r="Q564" s="27">
        <f t="shared" si="495"/>
        <v>472027863.32127732</v>
      </c>
      <c r="R564" s="27">
        <f t="shared" si="495"/>
        <v>485716671.35759431</v>
      </c>
      <c r="S564" s="27">
        <f t="shared" si="495"/>
        <v>499802454.8269645</v>
      </c>
      <c r="T564" s="27">
        <f t="shared" si="495"/>
        <v>514296726.01694643</v>
      </c>
      <c r="U564" s="27">
        <f t="shared" si="495"/>
        <v>529211331.07143784</v>
      </c>
      <c r="V564" s="27">
        <f t="shared" si="495"/>
        <v>544558459.67250943</v>
      </c>
      <c r="W564" s="27">
        <f t="shared" si="495"/>
        <v>560350655.00301218</v>
      </c>
      <c r="X564" s="27">
        <f t="shared" si="495"/>
        <v>576600823.99809945</v>
      </c>
      <c r="Y564" s="27">
        <f t="shared" si="495"/>
        <v>593322247.89404428</v>
      </c>
      <c r="Z564" s="27">
        <f t="shared" si="495"/>
        <v>610528593.08297157</v>
      </c>
    </row>
    <row r="565" spans="1:26" ht="15.6">
      <c r="B565" s="473" t="s">
        <v>723</v>
      </c>
      <c r="C565" s="640"/>
      <c r="D565" s="640"/>
      <c r="E565" s="640"/>
      <c r="F565" s="640"/>
      <c r="G565" s="639"/>
      <c r="J565" s="27">
        <f>+J564-F564</f>
        <v>10890369.99999994</v>
      </c>
      <c r="K565" s="27">
        <f>+K564-J564</f>
        <v>11206190.729999959</v>
      </c>
      <c r="L565" s="27">
        <f t="shared" ref="L565:Z565" si="496">+L564-K564</f>
        <v>11531170.26116997</v>
      </c>
      <c r="M565" s="27">
        <f t="shared" si="496"/>
        <v>11865574.19874388</v>
      </c>
      <c r="N565" s="27">
        <f t="shared" si="496"/>
        <v>12209675.850507438</v>
      </c>
      <c r="O565" s="27">
        <f t="shared" si="496"/>
        <v>12563756.450172186</v>
      </c>
      <c r="P565" s="27">
        <f t="shared" si="496"/>
        <v>12928105.387227178</v>
      </c>
      <c r="Q565" s="27">
        <f t="shared" si="496"/>
        <v>13303020.443456769</v>
      </c>
      <c r="R565" s="27">
        <f t="shared" si="496"/>
        <v>13688808.036316991</v>
      </c>
      <c r="S565" s="27">
        <f t="shared" si="496"/>
        <v>14085783.469370186</v>
      </c>
      <c r="T565" s="27">
        <f t="shared" si="496"/>
        <v>14494271.189981937</v>
      </c>
      <c r="U565" s="27">
        <f t="shared" si="496"/>
        <v>14914605.054491401</v>
      </c>
      <c r="V565" s="27">
        <f t="shared" si="496"/>
        <v>15347128.601071596</v>
      </c>
      <c r="W565" s="27">
        <f t="shared" si="496"/>
        <v>15792195.330502748</v>
      </c>
      <c r="X565" s="27">
        <f t="shared" si="496"/>
        <v>16250168.995087266</v>
      </c>
      <c r="Y565" s="27">
        <f t="shared" si="496"/>
        <v>16721423.895944834</v>
      </c>
      <c r="Z565" s="27">
        <f t="shared" si="496"/>
        <v>17206345.188927293</v>
      </c>
    </row>
    <row r="566" spans="1:26" ht="15.6">
      <c r="B566" s="473" t="s">
        <v>733</v>
      </c>
      <c r="C566" s="631"/>
      <c r="D566" s="631"/>
      <c r="E566" s="631"/>
      <c r="F566" s="631"/>
      <c r="G566" s="632"/>
      <c r="J566" s="27">
        <f>+J565*0.235</f>
        <v>2559236.9499999858</v>
      </c>
      <c r="K566" s="27">
        <f>+K565*0.235</f>
        <v>2633454.8215499902</v>
      </c>
      <c r="L566" s="27">
        <f t="shared" ref="L566:Z566" si="497">+L565*0.235</f>
        <v>2709825.011374943</v>
      </c>
      <c r="M566" s="27">
        <f t="shared" si="497"/>
        <v>2788409.9367048116</v>
      </c>
      <c r="N566" s="27">
        <f t="shared" si="497"/>
        <v>2869273.8248692476</v>
      </c>
      <c r="O566" s="27">
        <f t="shared" si="497"/>
        <v>2952482.7657904634</v>
      </c>
      <c r="P566" s="27">
        <f t="shared" si="497"/>
        <v>3038104.7659983868</v>
      </c>
      <c r="Q566" s="27">
        <f t="shared" si="497"/>
        <v>3126209.8042123406</v>
      </c>
      <c r="R566" s="27">
        <f t="shared" si="497"/>
        <v>3216869.8885344928</v>
      </c>
      <c r="S566" s="27">
        <f t="shared" si="497"/>
        <v>3310159.1153019937</v>
      </c>
      <c r="T566" s="27">
        <f t="shared" si="497"/>
        <v>3406153.7296457551</v>
      </c>
      <c r="U566" s="27">
        <f t="shared" si="497"/>
        <v>3504932.1878054789</v>
      </c>
      <c r="V566" s="27">
        <f t="shared" si="497"/>
        <v>3606575.2212518249</v>
      </c>
      <c r="W566" s="27">
        <f t="shared" si="497"/>
        <v>3711165.9026681455</v>
      </c>
      <c r="X566" s="27">
        <f t="shared" si="497"/>
        <v>3818789.7138455072</v>
      </c>
      <c r="Y566" s="27">
        <f t="shared" si="497"/>
        <v>3929534.6155470358</v>
      </c>
      <c r="Z566" s="27">
        <f t="shared" si="497"/>
        <v>4043491.1193979136</v>
      </c>
    </row>
    <row r="567" spans="1:26" ht="15.6">
      <c r="B567" s="476" t="s">
        <v>734</v>
      </c>
      <c r="C567" s="631"/>
      <c r="D567" s="631"/>
      <c r="E567" s="631"/>
      <c r="F567" s="631"/>
      <c r="G567" s="632"/>
      <c r="J567" s="486">
        <f>+J560+J563+J566</f>
        <v>7431756.8184999637</v>
      </c>
      <c r="K567" s="486">
        <f>+K560+K563+K566</f>
        <v>7647277.7662364608</v>
      </c>
      <c r="L567" s="486">
        <f t="shared" ref="L567:Z567" si="498">+L560+L563+L566</f>
        <v>7869048.821457332</v>
      </c>
      <c r="M567" s="486">
        <f t="shared" si="498"/>
        <v>8097251.2372795986</v>
      </c>
      <c r="N567" s="486">
        <f t="shared" si="498"/>
        <v>8332071.5231606923</v>
      </c>
      <c r="O567" s="486">
        <f t="shared" si="498"/>
        <v>8573701.5973323565</v>
      </c>
      <c r="P567" s="486">
        <f t="shared" si="498"/>
        <v>8822338.9436549935</v>
      </c>
      <c r="Q567" s="486">
        <f t="shared" si="498"/>
        <v>9078186.7730210107</v>
      </c>
      <c r="R567" s="486">
        <f t="shared" si="498"/>
        <v>9341454.1894386057</v>
      </c>
      <c r="S567" s="486">
        <f t="shared" si="498"/>
        <v>9612356.3609323092</v>
      </c>
      <c r="T567" s="486">
        <f t="shared" si="498"/>
        <v>9891114.69539937</v>
      </c>
      <c r="U567" s="486">
        <f t="shared" si="498"/>
        <v>10177957.021565933</v>
      </c>
      <c r="V567" s="486">
        <f t="shared" si="498"/>
        <v>10473117.775191329</v>
      </c>
      <c r="W567" s="486">
        <f t="shared" si="498"/>
        <v>10776838.19067191</v>
      </c>
      <c r="X567" s="486">
        <f t="shared" si="498"/>
        <v>11089366.498201367</v>
      </c>
      <c r="Y567" s="486">
        <f t="shared" si="498"/>
        <v>11410958.126649227</v>
      </c>
      <c r="Z567" s="486">
        <f t="shared" si="498"/>
        <v>11741875.912322048</v>
      </c>
    </row>
    <row r="568" spans="1:26" ht="15.6">
      <c r="A568" s="32">
        <v>2025</v>
      </c>
      <c r="B568" s="685" t="s">
        <v>830</v>
      </c>
      <c r="C568" s="686"/>
      <c r="D568" s="686"/>
      <c r="E568" s="686"/>
      <c r="F568" s="686"/>
      <c r="G568" s="683"/>
      <c r="H568" s="688"/>
      <c r="I568" s="688"/>
      <c r="J568" s="688"/>
      <c r="K568" s="688"/>
      <c r="L568" s="688"/>
      <c r="M568" s="688"/>
      <c r="N568" s="688"/>
      <c r="O568" s="688"/>
      <c r="P568" s="688"/>
      <c r="Q568" s="688"/>
      <c r="R568" s="688"/>
      <c r="S568" s="688"/>
      <c r="T568" s="688"/>
      <c r="U568" s="688"/>
      <c r="V568" s="688"/>
      <c r="W568" s="688"/>
      <c r="X568" s="688"/>
      <c r="Y568" s="688"/>
      <c r="Z568" s="688"/>
    </row>
    <row r="569" spans="1:26" ht="15.6">
      <c r="B569" s="483" t="s">
        <v>736</v>
      </c>
      <c r="C569" s="631">
        <v>0</v>
      </c>
      <c r="D569" s="500">
        <v>0</v>
      </c>
      <c r="E569" s="640">
        <v>0</v>
      </c>
      <c r="F569" s="640">
        <v>0</v>
      </c>
      <c r="G569" s="639"/>
      <c r="K569" s="27">
        <f>+J569*(1+$C$399/100)</f>
        <v>0</v>
      </c>
    </row>
    <row r="570" spans="1:26" ht="15.6">
      <c r="B570" s="473" t="s">
        <v>723</v>
      </c>
      <c r="C570" s="631"/>
      <c r="D570" s="631"/>
      <c r="E570" s="631"/>
      <c r="F570" s="631" t="s">
        <v>415</v>
      </c>
      <c r="G570" s="629"/>
      <c r="K570" s="27">
        <f>+K569-J569</f>
        <v>0</v>
      </c>
    </row>
    <row r="571" spans="1:26" ht="15.6">
      <c r="B571" s="473" t="s">
        <v>733</v>
      </c>
      <c r="C571" s="640"/>
      <c r="D571" s="640"/>
      <c r="E571" s="640"/>
      <c r="F571" s="640"/>
      <c r="G571" s="639"/>
      <c r="K571" s="27">
        <f>+K570*0.235</f>
        <v>0</v>
      </c>
    </row>
    <row r="572" spans="1:26">
      <c r="B572" s="483" t="s">
        <v>724</v>
      </c>
      <c r="C572" s="500">
        <f>1158.7*1000</f>
        <v>1158700</v>
      </c>
      <c r="D572" s="500">
        <f>2204.5*1000</f>
        <v>2204500</v>
      </c>
      <c r="E572" s="500">
        <f>2535.6*1000</f>
        <v>2535600</v>
      </c>
      <c r="F572" s="500">
        <f>2858.3*1000</f>
        <v>2858300</v>
      </c>
      <c r="G572" s="639"/>
      <c r="J572" s="27">
        <f>+F572*(1+$C$399/100)</f>
        <v>2941190.6999999997</v>
      </c>
      <c r="K572" s="27">
        <f>+J572*(1+$C$399/100)</f>
        <v>3026485.2302999995</v>
      </c>
      <c r="L572" s="27">
        <f t="shared" ref="L572:Z572" si="499">+K572*(1+$C$399/100)</f>
        <v>3114253.3019786994</v>
      </c>
      <c r="M572" s="27">
        <f t="shared" si="499"/>
        <v>3204566.6477360814</v>
      </c>
      <c r="N572" s="27">
        <f t="shared" si="499"/>
        <v>3297499.0805204273</v>
      </c>
      <c r="O572" s="27">
        <f t="shared" si="499"/>
        <v>3393126.5538555193</v>
      </c>
      <c r="P572" s="27">
        <f t="shared" si="499"/>
        <v>3491527.2239173292</v>
      </c>
      <c r="Q572" s="27">
        <f t="shared" si="499"/>
        <v>3592781.5134109315</v>
      </c>
      <c r="R572" s="27">
        <f t="shared" si="499"/>
        <v>3696972.1772998483</v>
      </c>
      <c r="S572" s="27">
        <f t="shared" si="499"/>
        <v>3804184.3704415434</v>
      </c>
      <c r="T572" s="27">
        <f t="shared" si="499"/>
        <v>3914505.717184348</v>
      </c>
      <c r="U572" s="27">
        <f t="shared" si="499"/>
        <v>4028026.3829826936</v>
      </c>
      <c r="V572" s="27">
        <f t="shared" si="499"/>
        <v>4144839.1480891914</v>
      </c>
      <c r="W572" s="27">
        <f t="shared" si="499"/>
        <v>4265039.4833837776</v>
      </c>
      <c r="X572" s="27">
        <f t="shared" si="499"/>
        <v>4388725.6284019072</v>
      </c>
      <c r="Y572" s="27">
        <f t="shared" si="499"/>
        <v>4515998.671625562</v>
      </c>
      <c r="Z572" s="27">
        <f t="shared" si="499"/>
        <v>4646962.6331027029</v>
      </c>
    </row>
    <row r="573" spans="1:26" ht="15.6">
      <c r="B573" s="473" t="s">
        <v>723</v>
      </c>
      <c r="C573" s="640"/>
      <c r="D573" s="640"/>
      <c r="E573" s="640"/>
      <c r="F573" s="640"/>
      <c r="G573" s="639"/>
      <c r="J573" s="27">
        <f>+J572-F572</f>
        <v>82890.699999999721</v>
      </c>
      <c r="K573" s="27">
        <f>+K572-J572</f>
        <v>85294.530299999751</v>
      </c>
      <c r="L573" s="27">
        <f t="shared" ref="L573:Z573" si="500">+L572-K572</f>
        <v>87768.071678699926</v>
      </c>
      <c r="M573" s="27">
        <f t="shared" si="500"/>
        <v>90313.345757381991</v>
      </c>
      <c r="N573" s="27">
        <f t="shared" si="500"/>
        <v>92932.432784345932</v>
      </c>
      <c r="O573" s="27">
        <f t="shared" si="500"/>
        <v>95627.473335091956</v>
      </c>
      <c r="P573" s="27">
        <f t="shared" si="500"/>
        <v>98400.670061809942</v>
      </c>
      <c r="Q573" s="27">
        <f t="shared" si="500"/>
        <v>101254.28949360223</v>
      </c>
      <c r="R573" s="27">
        <f t="shared" si="500"/>
        <v>104190.66388891684</v>
      </c>
      <c r="S573" s="27">
        <f t="shared" si="500"/>
        <v>107212.19314169511</v>
      </c>
      <c r="T573" s="27">
        <f t="shared" si="500"/>
        <v>110321.34674280463</v>
      </c>
      <c r="U573" s="27">
        <f t="shared" si="500"/>
        <v>113520.66579834558</v>
      </c>
      <c r="V573" s="27">
        <f t="shared" si="500"/>
        <v>116812.7651064978</v>
      </c>
      <c r="W573" s="27">
        <f t="shared" si="500"/>
        <v>120200.33529458614</v>
      </c>
      <c r="X573" s="27">
        <f t="shared" si="500"/>
        <v>123686.14501812961</v>
      </c>
      <c r="Y573" s="27">
        <f t="shared" si="500"/>
        <v>127273.04322365485</v>
      </c>
      <c r="Z573" s="27">
        <f t="shared" si="500"/>
        <v>130963.9614771409</v>
      </c>
    </row>
    <row r="574" spans="1:26" ht="15.6">
      <c r="B574" s="473" t="s">
        <v>733</v>
      </c>
      <c r="C574" s="640"/>
      <c r="D574" s="640"/>
      <c r="E574" s="640"/>
      <c r="F574" s="640"/>
      <c r="G574" s="639"/>
      <c r="J574" s="27">
        <f>+J573*0.235</f>
        <v>19479.314499999935</v>
      </c>
      <c r="K574" s="27">
        <f>+K573*0.235</f>
        <v>20044.214620499941</v>
      </c>
      <c r="L574" s="27">
        <f t="shared" ref="L574:Z574" si="501">+L573*0.235</f>
        <v>20625.496844494483</v>
      </c>
      <c r="M574" s="27">
        <f t="shared" si="501"/>
        <v>21223.636252984768</v>
      </c>
      <c r="N574" s="27">
        <f t="shared" si="501"/>
        <v>21839.121704321293</v>
      </c>
      <c r="O574" s="27">
        <f t="shared" si="501"/>
        <v>22472.456233746609</v>
      </c>
      <c r="P574" s="27">
        <f t="shared" si="501"/>
        <v>23124.157464525335</v>
      </c>
      <c r="Q574" s="27">
        <f t="shared" si="501"/>
        <v>23794.758030996523</v>
      </c>
      <c r="R574" s="27">
        <f t="shared" si="501"/>
        <v>24484.806013895457</v>
      </c>
      <c r="S574" s="27">
        <f t="shared" si="501"/>
        <v>25194.865388298349</v>
      </c>
      <c r="T574" s="27">
        <f t="shared" si="501"/>
        <v>25925.516484559084</v>
      </c>
      <c r="U574" s="27">
        <f t="shared" si="501"/>
        <v>26677.356462611209</v>
      </c>
      <c r="V574" s="27">
        <f t="shared" si="501"/>
        <v>27450.999800026981</v>
      </c>
      <c r="W574" s="27">
        <f t="shared" si="501"/>
        <v>28247.078794227742</v>
      </c>
      <c r="X574" s="27">
        <f t="shared" si="501"/>
        <v>29066.244079260458</v>
      </c>
      <c r="Y574" s="27">
        <f t="shared" si="501"/>
        <v>29909.165157558888</v>
      </c>
      <c r="Z574" s="27">
        <f t="shared" si="501"/>
        <v>30776.530947128107</v>
      </c>
    </row>
    <row r="575" spans="1:26">
      <c r="B575" s="483" t="s">
        <v>722</v>
      </c>
      <c r="C575" s="500">
        <f>0.9*1000000</f>
        <v>900000</v>
      </c>
      <c r="D575" s="500">
        <f>0.11*1000000</f>
        <v>110000</v>
      </c>
      <c r="E575" s="500">
        <f>0.12*1000000</f>
        <v>120000</v>
      </c>
      <c r="F575" s="500">
        <f>0.19*1000000</f>
        <v>190000</v>
      </c>
      <c r="G575" s="639"/>
      <c r="J575" s="27">
        <f>+F575*(1+$C$399/100)</f>
        <v>195509.99999999997</v>
      </c>
      <c r="K575" s="27">
        <f>+J575*(1+$C$399/100)</f>
        <v>201179.78999999995</v>
      </c>
      <c r="L575" s="27">
        <f t="shared" ref="L575:Z575" si="502">+K575*(1+$C$399/100)</f>
        <v>207014.00390999994</v>
      </c>
      <c r="M575" s="27">
        <f t="shared" si="502"/>
        <v>213017.41002338991</v>
      </c>
      <c r="N575" s="27">
        <f t="shared" si="502"/>
        <v>219194.91491406818</v>
      </c>
      <c r="O575" s="27">
        <f t="shared" si="502"/>
        <v>225551.56744657614</v>
      </c>
      <c r="P575" s="27">
        <f t="shared" si="502"/>
        <v>232092.56290252684</v>
      </c>
      <c r="Q575" s="27">
        <f t="shared" si="502"/>
        <v>238823.2472267001</v>
      </c>
      <c r="R575" s="27">
        <f t="shared" si="502"/>
        <v>245749.12139627439</v>
      </c>
      <c r="S575" s="27">
        <f t="shared" si="502"/>
        <v>252875.84591676632</v>
      </c>
      <c r="T575" s="27">
        <f t="shared" si="502"/>
        <v>260209.24544835254</v>
      </c>
      <c r="U575" s="27">
        <f t="shared" si="502"/>
        <v>267755.31356635474</v>
      </c>
      <c r="V575" s="27">
        <f t="shared" si="502"/>
        <v>275520.21765977901</v>
      </c>
      <c r="W575" s="27">
        <f t="shared" si="502"/>
        <v>283510.3039719126</v>
      </c>
      <c r="X575" s="27">
        <f t="shared" si="502"/>
        <v>291732.10278709803</v>
      </c>
      <c r="Y575" s="27">
        <f t="shared" si="502"/>
        <v>300192.33376792388</v>
      </c>
      <c r="Z575" s="27">
        <f t="shared" si="502"/>
        <v>308897.91144719365</v>
      </c>
    </row>
    <row r="576" spans="1:26" ht="15.6">
      <c r="B576" s="473" t="s">
        <v>723</v>
      </c>
      <c r="C576" s="640"/>
      <c r="D576" s="640"/>
      <c r="E576" s="640"/>
      <c r="F576" s="640"/>
      <c r="G576" s="639"/>
      <c r="J576" s="27">
        <f>+J575-F575</f>
        <v>5509.9999999999709</v>
      </c>
      <c r="K576" s="27">
        <f>+K575-J575</f>
        <v>5669.789999999979</v>
      </c>
      <c r="L576" s="27">
        <f t="shared" ref="L576:Z576" si="503">+L575-K575</f>
        <v>5834.2139099999913</v>
      </c>
      <c r="M576" s="27">
        <f t="shared" si="503"/>
        <v>6003.4061133899668</v>
      </c>
      <c r="N576" s="27">
        <f t="shared" si="503"/>
        <v>6177.5048906782758</v>
      </c>
      <c r="O576" s="27">
        <f t="shared" si="503"/>
        <v>6356.6525325079565</v>
      </c>
      <c r="P576" s="27">
        <f t="shared" si="503"/>
        <v>6540.9954559507023</v>
      </c>
      <c r="Q576" s="27">
        <f t="shared" si="503"/>
        <v>6730.6843241732568</v>
      </c>
      <c r="R576" s="27">
        <f t="shared" si="503"/>
        <v>6925.8741695742938</v>
      </c>
      <c r="S576" s="27">
        <f t="shared" si="503"/>
        <v>7126.7245204919309</v>
      </c>
      <c r="T576" s="27">
        <f t="shared" si="503"/>
        <v>7333.3995315862121</v>
      </c>
      <c r="U576" s="27">
        <f t="shared" si="503"/>
        <v>7546.0681180022075</v>
      </c>
      <c r="V576" s="27">
        <f t="shared" si="503"/>
        <v>7764.9040934242657</v>
      </c>
      <c r="W576" s="27">
        <f t="shared" si="503"/>
        <v>7990.086312133586</v>
      </c>
      <c r="X576" s="27">
        <f t="shared" si="503"/>
        <v>8221.798815185437</v>
      </c>
      <c r="Y576" s="27">
        <f t="shared" si="503"/>
        <v>8460.2309808258433</v>
      </c>
      <c r="Z576" s="27">
        <f t="shared" si="503"/>
        <v>8705.5776792697725</v>
      </c>
    </row>
    <row r="577" spans="1:26" ht="15.6">
      <c r="B577" s="473" t="s">
        <v>733</v>
      </c>
      <c r="C577" s="631"/>
      <c r="D577" s="631"/>
      <c r="E577" s="631"/>
      <c r="F577" s="631"/>
      <c r="G577" s="632"/>
      <c r="J577" s="27">
        <f>+J576*0.235</f>
        <v>1294.8499999999931</v>
      </c>
      <c r="K577" s="27">
        <f>+K576*0.235</f>
        <v>1332.400649999995</v>
      </c>
      <c r="L577" s="27">
        <f t="shared" ref="L577:Z577" si="504">+L576*0.235</f>
        <v>1371.0402688499978</v>
      </c>
      <c r="M577" s="27">
        <f t="shared" si="504"/>
        <v>1410.8004366466421</v>
      </c>
      <c r="N577" s="27">
        <f t="shared" si="504"/>
        <v>1451.7136493093947</v>
      </c>
      <c r="O577" s="27">
        <f t="shared" si="504"/>
        <v>1493.8133451393696</v>
      </c>
      <c r="P577" s="27">
        <f t="shared" si="504"/>
        <v>1537.1339321484149</v>
      </c>
      <c r="Q577" s="27">
        <f t="shared" si="504"/>
        <v>1581.7108161807153</v>
      </c>
      <c r="R577" s="27">
        <f t="shared" si="504"/>
        <v>1627.580429849959</v>
      </c>
      <c r="S577" s="27">
        <f t="shared" si="504"/>
        <v>1674.7802623156037</v>
      </c>
      <c r="T577" s="27">
        <f t="shared" si="504"/>
        <v>1723.3488899227598</v>
      </c>
      <c r="U577" s="27">
        <f t="shared" si="504"/>
        <v>1773.3260077305188</v>
      </c>
      <c r="V577" s="27">
        <f t="shared" si="504"/>
        <v>1824.7524619547023</v>
      </c>
      <c r="W577" s="27">
        <f t="shared" si="504"/>
        <v>1877.6702833513925</v>
      </c>
      <c r="X577" s="27">
        <f t="shared" si="504"/>
        <v>1932.1227215685776</v>
      </c>
      <c r="Y577" s="27">
        <f t="shared" si="504"/>
        <v>1988.154280494073</v>
      </c>
      <c r="Z577" s="27">
        <f t="shared" si="504"/>
        <v>2045.8107546283964</v>
      </c>
    </row>
    <row r="578" spans="1:26" ht="15.6">
      <c r="B578" s="476" t="s">
        <v>734</v>
      </c>
      <c r="C578" s="631"/>
      <c r="D578" s="631"/>
      <c r="E578" s="631"/>
      <c r="F578" s="631"/>
      <c r="G578" s="632"/>
      <c r="J578" s="486">
        <f>+J571+J574+J577</f>
        <v>20774.164499999926</v>
      </c>
      <c r="K578" s="486">
        <f>+K571+K574+K577</f>
        <v>21376.615270499937</v>
      </c>
      <c r="L578" s="486">
        <f t="shared" ref="L578:Z578" si="505">+L571+L574+L577</f>
        <v>21996.537113344479</v>
      </c>
      <c r="M578" s="486">
        <f t="shared" si="505"/>
        <v>22634.43668963141</v>
      </c>
      <c r="N578" s="486">
        <f t="shared" si="505"/>
        <v>23290.835353630686</v>
      </c>
      <c r="O578" s="486">
        <f t="shared" si="505"/>
        <v>23966.269578885978</v>
      </c>
      <c r="P578" s="486">
        <f t="shared" si="505"/>
        <v>24661.291396673751</v>
      </c>
      <c r="Q578" s="486">
        <f t="shared" si="505"/>
        <v>25376.468847177239</v>
      </c>
      <c r="R578" s="486">
        <f t="shared" si="505"/>
        <v>26112.386443745418</v>
      </c>
      <c r="S578" s="486">
        <f t="shared" si="505"/>
        <v>26869.645650613951</v>
      </c>
      <c r="T578" s="486">
        <f t="shared" si="505"/>
        <v>27648.865374481844</v>
      </c>
      <c r="U578" s="486">
        <f t="shared" si="505"/>
        <v>28450.68247034173</v>
      </c>
      <c r="V578" s="486">
        <f t="shared" si="505"/>
        <v>29275.752261981685</v>
      </c>
      <c r="W578" s="486">
        <f t="shared" si="505"/>
        <v>30124.749077579134</v>
      </c>
      <c r="X578" s="486">
        <f t="shared" si="505"/>
        <v>30998.366800829033</v>
      </c>
      <c r="Y578" s="486">
        <f t="shared" si="505"/>
        <v>31897.31943805296</v>
      </c>
      <c r="Z578" s="486">
        <f t="shared" si="505"/>
        <v>32822.341701756501</v>
      </c>
    </row>
    <row r="579" spans="1:26" ht="15.6">
      <c r="A579" s="32">
        <v>2025</v>
      </c>
      <c r="B579" s="685" t="s">
        <v>833</v>
      </c>
      <c r="C579" s="686"/>
      <c r="D579" s="686"/>
      <c r="E579" s="686"/>
      <c r="F579" s="686"/>
      <c r="G579" s="683"/>
      <c r="H579" s="688"/>
      <c r="I579" s="688"/>
      <c r="J579" s="688"/>
      <c r="K579" s="688"/>
      <c r="L579" s="688"/>
      <c r="M579" s="688"/>
      <c r="N579" s="688"/>
      <c r="O579" s="688"/>
      <c r="P579" s="688"/>
      <c r="Q579" s="688"/>
      <c r="R579" s="688"/>
      <c r="S579" s="688"/>
      <c r="T579" s="688"/>
      <c r="U579" s="688"/>
      <c r="V579" s="688"/>
      <c r="W579" s="688"/>
      <c r="X579" s="688"/>
      <c r="Y579" s="688"/>
      <c r="Z579" s="688"/>
    </row>
    <row r="580" spans="1:26" ht="15.6">
      <c r="B580" s="483" t="s">
        <v>736</v>
      </c>
      <c r="C580" s="631">
        <f>-0.87*1000000</f>
        <v>-870000</v>
      </c>
      <c r="D580" s="500">
        <f>8.22*1000000</f>
        <v>8220000.0000000009</v>
      </c>
      <c r="E580" s="500">
        <f>7.65*1000000</f>
        <v>7650000</v>
      </c>
      <c r="F580" s="500">
        <f>12.11*1000000</f>
        <v>12110000</v>
      </c>
      <c r="G580" s="639"/>
      <c r="J580" s="27">
        <f>+F580*(1+$C$399/100)</f>
        <v>12461189.999999998</v>
      </c>
      <c r="K580" s="27">
        <f>+J580*(1+$C$399/100)</f>
        <v>12822564.509999998</v>
      </c>
      <c r="L580" s="27">
        <f t="shared" ref="L580:Z580" si="506">+K580*(1+$C$399/100)</f>
        <v>13194418.880789997</v>
      </c>
      <c r="M580" s="27">
        <f t="shared" si="506"/>
        <v>13577057.028332906</v>
      </c>
      <c r="N580" s="27">
        <f t="shared" si="506"/>
        <v>13970791.682154559</v>
      </c>
      <c r="O580" s="27">
        <f t="shared" si="506"/>
        <v>14375944.64093704</v>
      </c>
      <c r="P580" s="27">
        <f t="shared" si="506"/>
        <v>14792847.035524212</v>
      </c>
      <c r="Q580" s="27">
        <f t="shared" si="506"/>
        <v>15221839.599554412</v>
      </c>
      <c r="R580" s="27">
        <f t="shared" si="506"/>
        <v>15663272.94794149</v>
      </c>
      <c r="S580" s="27">
        <f t="shared" si="506"/>
        <v>16117507.863431791</v>
      </c>
      <c r="T580" s="27">
        <f t="shared" si="506"/>
        <v>16584915.591471311</v>
      </c>
      <c r="U580" s="27">
        <f t="shared" si="506"/>
        <v>17065878.143623978</v>
      </c>
      <c r="V580" s="27">
        <f t="shared" si="506"/>
        <v>17560788.609789073</v>
      </c>
      <c r="W580" s="27">
        <f t="shared" si="506"/>
        <v>18070051.479472954</v>
      </c>
      <c r="X580" s="27">
        <f t="shared" si="506"/>
        <v>18594082.972377669</v>
      </c>
      <c r="Y580" s="27">
        <f t="shared" si="506"/>
        <v>19133311.378576621</v>
      </c>
      <c r="Z580" s="27">
        <f t="shared" si="506"/>
        <v>19688177.40855534</v>
      </c>
    </row>
    <row r="581" spans="1:26" ht="15.6">
      <c r="B581" s="473" t="s">
        <v>723</v>
      </c>
      <c r="C581" s="640"/>
      <c r="D581" s="640"/>
      <c r="E581" s="640"/>
      <c r="F581" s="640"/>
      <c r="G581" s="639"/>
      <c r="J581" s="27">
        <f>+J580-F580</f>
        <v>351189.99999999814</v>
      </c>
      <c r="K581" s="27">
        <f>+K580-J580</f>
        <v>361374.50999999978</v>
      </c>
      <c r="L581" s="27">
        <f t="shared" ref="L581:Z581" si="507">+L580-K580</f>
        <v>371854.37078999914</v>
      </c>
      <c r="M581" s="27">
        <f t="shared" si="507"/>
        <v>382638.14754290879</v>
      </c>
      <c r="N581" s="27">
        <f t="shared" si="507"/>
        <v>393734.65382165276</v>
      </c>
      <c r="O581" s="27">
        <f t="shared" si="507"/>
        <v>405152.95878248103</v>
      </c>
      <c r="P581" s="27">
        <f t="shared" si="507"/>
        <v>416902.3945871722</v>
      </c>
      <c r="Q581" s="27">
        <f t="shared" si="507"/>
        <v>428992.56403020024</v>
      </c>
      <c r="R581" s="27">
        <f t="shared" si="507"/>
        <v>441433.34838707745</v>
      </c>
      <c r="S581" s="27">
        <f t="shared" si="507"/>
        <v>454234.91549030133</v>
      </c>
      <c r="T581" s="27">
        <f t="shared" si="507"/>
        <v>467407.72803951986</v>
      </c>
      <c r="U581" s="27">
        <f t="shared" si="507"/>
        <v>480962.55215266719</v>
      </c>
      <c r="V581" s="27">
        <f t="shared" si="507"/>
        <v>494910.46616509557</v>
      </c>
      <c r="W581" s="27">
        <f t="shared" si="507"/>
        <v>509262.86968388036</v>
      </c>
      <c r="X581" s="27">
        <f t="shared" si="507"/>
        <v>524031.49290471524</v>
      </c>
      <c r="Y581" s="27">
        <f t="shared" si="507"/>
        <v>539228.40619895235</v>
      </c>
      <c r="Z581" s="27">
        <f t="shared" si="507"/>
        <v>554866.02997871861</v>
      </c>
    </row>
    <row r="582" spans="1:26" ht="15.6">
      <c r="B582" s="473" t="s">
        <v>733</v>
      </c>
      <c r="C582" s="640"/>
      <c r="D582" s="640"/>
      <c r="E582" s="640"/>
      <c r="F582" s="640"/>
      <c r="G582" s="639"/>
      <c r="J582" s="27">
        <f>+J581*0.235</f>
        <v>82529.649999999558</v>
      </c>
      <c r="K582" s="27">
        <f>+K581*0.235</f>
        <v>84923.009849999944</v>
      </c>
      <c r="L582" s="27">
        <f t="shared" ref="L582:Z582" si="508">+L581*0.235</f>
        <v>87385.777135649798</v>
      </c>
      <c r="M582" s="27">
        <f t="shared" si="508"/>
        <v>89919.964672583563</v>
      </c>
      <c r="N582" s="27">
        <f t="shared" si="508"/>
        <v>92527.643648088386</v>
      </c>
      <c r="O582" s="27">
        <f t="shared" si="508"/>
        <v>95210.945313883043</v>
      </c>
      <c r="P582" s="27">
        <f t="shared" si="508"/>
        <v>97972.062727985467</v>
      </c>
      <c r="Q582" s="27">
        <f t="shared" si="508"/>
        <v>100813.25254709706</v>
      </c>
      <c r="R582" s="27">
        <f t="shared" si="508"/>
        <v>103736.83687096319</v>
      </c>
      <c r="S582" s="27">
        <f t="shared" si="508"/>
        <v>106745.2051402208</v>
      </c>
      <c r="T582" s="27">
        <f t="shared" si="508"/>
        <v>109840.81608928717</v>
      </c>
      <c r="U582" s="27">
        <f t="shared" si="508"/>
        <v>113026.19975587679</v>
      </c>
      <c r="V582" s="27">
        <f t="shared" si="508"/>
        <v>116303.95954879746</v>
      </c>
      <c r="W582" s="27">
        <f t="shared" si="508"/>
        <v>119676.77437571187</v>
      </c>
      <c r="X582" s="27">
        <f t="shared" si="508"/>
        <v>123147.40083260808</v>
      </c>
      <c r="Y582" s="27">
        <f t="shared" si="508"/>
        <v>126718.6754567538</v>
      </c>
      <c r="Z582" s="27">
        <f t="shared" si="508"/>
        <v>130393.51704499887</v>
      </c>
    </row>
    <row r="583" spans="1:26">
      <c r="B583" s="483" t="s">
        <v>724</v>
      </c>
      <c r="C583" s="500">
        <f>30630.8*1000</f>
        <v>30630800</v>
      </c>
      <c r="D583" s="500">
        <f>33069*1000</f>
        <v>33069000</v>
      </c>
      <c r="E583" s="500">
        <f>42887.8*1000</f>
        <v>42887800</v>
      </c>
      <c r="F583" s="500">
        <f>111070.9*1000</f>
        <v>111070900</v>
      </c>
      <c r="G583" s="639"/>
      <c r="J583" s="27">
        <f>+F583*(1+$C$399/100)</f>
        <v>114291956.09999999</v>
      </c>
      <c r="K583" s="27">
        <f>+J583*(1+$C$399/100)</f>
        <v>117606422.82689999</v>
      </c>
      <c r="L583" s="27">
        <f t="shared" ref="L583:Z583" si="509">+K583*(1+$C$399/100)</f>
        <v>121017009.08888008</v>
      </c>
      <c r="M583" s="27">
        <f t="shared" si="509"/>
        <v>124526502.35245758</v>
      </c>
      <c r="N583" s="27">
        <f t="shared" si="509"/>
        <v>128137770.92067884</v>
      </c>
      <c r="O583" s="27">
        <f t="shared" si="509"/>
        <v>131853766.27737851</v>
      </c>
      <c r="P583" s="27">
        <f t="shared" si="509"/>
        <v>135677525.49942249</v>
      </c>
      <c r="Q583" s="27">
        <f t="shared" si="509"/>
        <v>139612173.73890573</v>
      </c>
      <c r="R583" s="27">
        <f t="shared" si="509"/>
        <v>143660926.77733397</v>
      </c>
      <c r="S583" s="27">
        <f t="shared" si="509"/>
        <v>147827093.65387666</v>
      </c>
      <c r="T583" s="27">
        <f t="shared" si="509"/>
        <v>152114079.36983907</v>
      </c>
      <c r="U583" s="27">
        <f t="shared" si="509"/>
        <v>156525387.6715644</v>
      </c>
      <c r="V583" s="27">
        <f t="shared" si="509"/>
        <v>161064623.91403976</v>
      </c>
      <c r="W583" s="27">
        <f t="shared" si="509"/>
        <v>165735498.0075469</v>
      </c>
      <c r="X583" s="27">
        <f t="shared" si="509"/>
        <v>170541827.44976574</v>
      </c>
      <c r="Y583" s="27">
        <f t="shared" si="509"/>
        <v>175487540.44580895</v>
      </c>
      <c r="Z583" s="27">
        <f t="shared" si="509"/>
        <v>180576679.1187374</v>
      </c>
    </row>
    <row r="584" spans="1:26" ht="15.6">
      <c r="B584" s="473" t="s">
        <v>723</v>
      </c>
      <c r="C584" s="631"/>
      <c r="D584" s="631"/>
      <c r="E584" s="631"/>
      <c r="F584" s="631"/>
      <c r="G584" s="629"/>
      <c r="J584" s="27">
        <f>+J583-F583</f>
        <v>3221056.099999994</v>
      </c>
      <c r="K584" s="27">
        <f>+K583-J583</f>
        <v>3314466.7268999964</v>
      </c>
      <c r="L584" s="27">
        <f t="shared" ref="L584:Z584" si="510">+L583-K583</f>
        <v>3410586.2619800866</v>
      </c>
      <c r="M584" s="27">
        <f t="shared" si="510"/>
        <v>3509493.2635775059</v>
      </c>
      <c r="N584" s="27">
        <f t="shared" si="510"/>
        <v>3611268.5682212561</v>
      </c>
      <c r="O584" s="27">
        <f t="shared" si="510"/>
        <v>3715995.3566996753</v>
      </c>
      <c r="P584" s="27">
        <f t="shared" si="510"/>
        <v>3823759.2220439762</v>
      </c>
      <c r="Q584" s="27">
        <f t="shared" si="510"/>
        <v>3934648.2394832373</v>
      </c>
      <c r="R584" s="27">
        <f t="shared" si="510"/>
        <v>4048753.038428247</v>
      </c>
      <c r="S584" s="27">
        <f t="shared" si="510"/>
        <v>4166166.8765426874</v>
      </c>
      <c r="T584" s="27">
        <f t="shared" si="510"/>
        <v>4286985.71596241</v>
      </c>
      <c r="U584" s="27">
        <f t="shared" si="510"/>
        <v>4411308.301725328</v>
      </c>
      <c r="V584" s="27">
        <f t="shared" si="510"/>
        <v>4539236.2424753606</v>
      </c>
      <c r="W584" s="27">
        <f t="shared" si="510"/>
        <v>4670874.0935071409</v>
      </c>
      <c r="X584" s="27">
        <f t="shared" si="510"/>
        <v>4806329.4422188401</v>
      </c>
      <c r="Y584" s="27">
        <f t="shared" si="510"/>
        <v>4945712.9960432053</v>
      </c>
      <c r="Z584" s="27">
        <f t="shared" si="510"/>
        <v>5089138.6729284525</v>
      </c>
    </row>
    <row r="585" spans="1:26" ht="15.6">
      <c r="B585" s="473" t="s">
        <v>733</v>
      </c>
      <c r="C585" s="640"/>
      <c r="D585" s="640"/>
      <c r="E585" s="640"/>
      <c r="F585" s="640"/>
      <c r="G585" s="639"/>
      <c r="J585" s="27">
        <f>+J584*0.235</f>
        <v>756948.18349999853</v>
      </c>
      <c r="K585" s="27">
        <f>+K584*0.235</f>
        <v>778899.68082149909</v>
      </c>
      <c r="L585" s="27">
        <f t="shared" ref="L585:Z585" si="511">+L584*0.235</f>
        <v>801487.77156532032</v>
      </c>
      <c r="M585" s="27">
        <f t="shared" si="511"/>
        <v>824730.91694071388</v>
      </c>
      <c r="N585" s="27">
        <f t="shared" si="511"/>
        <v>848648.1135319951</v>
      </c>
      <c r="O585" s="27">
        <f t="shared" si="511"/>
        <v>873258.90882442368</v>
      </c>
      <c r="P585" s="27">
        <f t="shared" si="511"/>
        <v>898583.41718033433</v>
      </c>
      <c r="Q585" s="27">
        <f t="shared" si="511"/>
        <v>924642.33627856069</v>
      </c>
      <c r="R585" s="27">
        <f t="shared" si="511"/>
        <v>951456.96403063799</v>
      </c>
      <c r="S585" s="27">
        <f t="shared" si="511"/>
        <v>979049.21598753147</v>
      </c>
      <c r="T585" s="27">
        <f t="shared" si="511"/>
        <v>1007441.6432511663</v>
      </c>
      <c r="U585" s="27">
        <f t="shared" si="511"/>
        <v>1036657.450905452</v>
      </c>
      <c r="V585" s="27">
        <f t="shared" si="511"/>
        <v>1066720.5169817097</v>
      </c>
      <c r="W585" s="27">
        <f t="shared" si="511"/>
        <v>1097655.4119741779</v>
      </c>
      <c r="X585" s="27">
        <f t="shared" si="511"/>
        <v>1129487.4189214273</v>
      </c>
      <c r="Y585" s="27">
        <f t="shared" si="511"/>
        <v>1162242.5540701533</v>
      </c>
      <c r="Z585" s="27">
        <f t="shared" si="511"/>
        <v>1195947.5881381864</v>
      </c>
    </row>
    <row r="586" spans="1:26">
      <c r="B586" s="483" t="s">
        <v>722</v>
      </c>
      <c r="C586" s="500">
        <f>18.81*1000000</f>
        <v>18810000</v>
      </c>
      <c r="D586" s="500">
        <f>13.61*1000000</f>
        <v>13610000</v>
      </c>
      <c r="E586" s="500">
        <f>22.05*1000000</f>
        <v>22050000</v>
      </c>
      <c r="F586" s="500">
        <f>43.86*1000000</f>
        <v>43860000</v>
      </c>
      <c r="G586" s="639"/>
      <c r="J586" s="27">
        <f>+F586*(1+$C$399/100)</f>
        <v>45131939.999999993</v>
      </c>
      <c r="K586" s="27">
        <f>+J586*(1+$C$399/100)</f>
        <v>46440766.25999999</v>
      </c>
      <c r="L586" s="27">
        <f t="shared" ref="L586:Z586" si="512">+K586*(1+$C$399/100)</f>
        <v>47787548.481539987</v>
      </c>
      <c r="M586" s="27">
        <f t="shared" si="512"/>
        <v>49173387.387504645</v>
      </c>
      <c r="N586" s="27">
        <f t="shared" si="512"/>
        <v>50599415.621742278</v>
      </c>
      <c r="O586" s="27">
        <f t="shared" si="512"/>
        <v>52066798.674772799</v>
      </c>
      <c r="P586" s="27">
        <f t="shared" si="512"/>
        <v>53576735.836341202</v>
      </c>
      <c r="Q586" s="27">
        <f t="shared" si="512"/>
        <v>55130461.17559509</v>
      </c>
      <c r="R586" s="27">
        <f t="shared" si="512"/>
        <v>56729244.549687341</v>
      </c>
      <c r="S586" s="27">
        <f t="shared" si="512"/>
        <v>58374392.641628265</v>
      </c>
      <c r="T586" s="27">
        <f t="shared" si="512"/>
        <v>60067250.02823548</v>
      </c>
      <c r="U586" s="27">
        <f t="shared" si="512"/>
        <v>61809200.279054306</v>
      </c>
      <c r="V586" s="27">
        <f t="shared" si="512"/>
        <v>63601667.087146878</v>
      </c>
      <c r="W586" s="27">
        <f t="shared" si="512"/>
        <v>65446115.432674132</v>
      </c>
      <c r="X586" s="27">
        <f t="shared" si="512"/>
        <v>67344052.780221671</v>
      </c>
      <c r="Y586" s="27">
        <f t="shared" si="512"/>
        <v>69297030.310848087</v>
      </c>
      <c r="Z586" s="27">
        <f t="shared" si="512"/>
        <v>71306644.189862669</v>
      </c>
    </row>
    <row r="587" spans="1:26" ht="15.6">
      <c r="B587" s="473" t="s">
        <v>723</v>
      </c>
      <c r="C587" s="640"/>
      <c r="D587" s="640"/>
      <c r="E587" s="640"/>
      <c r="F587" s="640"/>
      <c r="G587" s="639"/>
      <c r="J587" s="27">
        <f>+J586-F586</f>
        <v>1271939.9999999925</v>
      </c>
      <c r="K587" s="27">
        <f>+K586-J586</f>
        <v>1308826.2599999979</v>
      </c>
      <c r="L587" s="27">
        <f t="shared" ref="L587:Z587" si="513">+L586-K586</f>
        <v>1346782.2215399966</v>
      </c>
      <c r="M587" s="27">
        <f t="shared" si="513"/>
        <v>1385838.9059646577</v>
      </c>
      <c r="N587" s="27">
        <f t="shared" si="513"/>
        <v>1426028.2342376336</v>
      </c>
      <c r="O587" s="27">
        <f t="shared" si="513"/>
        <v>1467383.0530305207</v>
      </c>
      <c r="P587" s="27">
        <f t="shared" si="513"/>
        <v>1509937.1615684032</v>
      </c>
      <c r="Q587" s="27">
        <f t="shared" si="513"/>
        <v>1553725.3392538875</v>
      </c>
      <c r="R587" s="27">
        <f t="shared" si="513"/>
        <v>1598783.3740922511</v>
      </c>
      <c r="S587" s="27">
        <f t="shared" si="513"/>
        <v>1645148.0919409245</v>
      </c>
      <c r="T587" s="27">
        <f t="shared" si="513"/>
        <v>1692857.3866072148</v>
      </c>
      <c r="U587" s="27">
        <f t="shared" si="513"/>
        <v>1741950.2508188263</v>
      </c>
      <c r="V587" s="27">
        <f t="shared" si="513"/>
        <v>1792466.8080925718</v>
      </c>
      <c r="W587" s="27">
        <f t="shared" si="513"/>
        <v>1844448.345527254</v>
      </c>
      <c r="X587" s="27">
        <f t="shared" si="513"/>
        <v>1897937.3475475386</v>
      </c>
      <c r="Y587" s="27">
        <f t="shared" si="513"/>
        <v>1952977.5306264162</v>
      </c>
      <c r="Z587" s="27">
        <f t="shared" si="513"/>
        <v>2009613.8790145814</v>
      </c>
    </row>
    <row r="588" spans="1:26" ht="15.6">
      <c r="B588" s="473" t="s">
        <v>733</v>
      </c>
      <c r="C588" s="631"/>
      <c r="D588" s="631"/>
      <c r="E588" s="631"/>
      <c r="F588" s="631"/>
      <c r="G588" s="632"/>
      <c r="J588" s="27">
        <f>+J587*0.235</f>
        <v>298905.89999999822</v>
      </c>
      <c r="K588" s="27">
        <f>+K587*0.235</f>
        <v>307574.17109999951</v>
      </c>
      <c r="L588" s="27">
        <f t="shared" ref="L588:Z588" si="514">+L587*0.235</f>
        <v>316493.82206189918</v>
      </c>
      <c r="M588" s="27">
        <f t="shared" si="514"/>
        <v>325672.14290169452</v>
      </c>
      <c r="N588" s="27">
        <f t="shared" si="514"/>
        <v>335116.6350458439</v>
      </c>
      <c r="O588" s="27">
        <f t="shared" si="514"/>
        <v>344835.01746217231</v>
      </c>
      <c r="P588" s="27">
        <f t="shared" si="514"/>
        <v>354835.23296857474</v>
      </c>
      <c r="Q588" s="27">
        <f t="shared" si="514"/>
        <v>365125.45472466358</v>
      </c>
      <c r="R588" s="27">
        <f t="shared" si="514"/>
        <v>375714.09291167901</v>
      </c>
      <c r="S588" s="27">
        <f t="shared" si="514"/>
        <v>386609.80160611722</v>
      </c>
      <c r="T588" s="27">
        <f t="shared" si="514"/>
        <v>397821.48585269548</v>
      </c>
      <c r="U588" s="27">
        <f t="shared" si="514"/>
        <v>409358.30894242413</v>
      </c>
      <c r="V588" s="27">
        <f t="shared" si="514"/>
        <v>421229.69990175433</v>
      </c>
      <c r="W588" s="27">
        <f t="shared" si="514"/>
        <v>433445.36119890469</v>
      </c>
      <c r="X588" s="27">
        <f t="shared" si="514"/>
        <v>446015.27667367156</v>
      </c>
      <c r="Y588" s="27">
        <f t="shared" si="514"/>
        <v>458949.71969720779</v>
      </c>
      <c r="Z588" s="27">
        <f t="shared" si="514"/>
        <v>472259.26156842662</v>
      </c>
    </row>
    <row r="589" spans="1:26" ht="15.6">
      <c r="B589" s="476" t="s">
        <v>734</v>
      </c>
      <c r="C589" s="631"/>
      <c r="D589" s="631"/>
      <c r="E589" s="631"/>
      <c r="F589" s="631"/>
      <c r="G589" s="632"/>
      <c r="J589" s="486">
        <f>+J582+J585+J588</f>
        <v>1138383.7334999964</v>
      </c>
      <c r="K589" s="486">
        <f>+K582+K585+K588</f>
        <v>1171396.8617714986</v>
      </c>
      <c r="L589" s="486">
        <f t="shared" ref="L589:Z589" si="515">+L582+L585+L588</f>
        <v>1205367.3707628693</v>
      </c>
      <c r="M589" s="486">
        <f t="shared" si="515"/>
        <v>1240323.0245149918</v>
      </c>
      <c r="N589" s="486">
        <f t="shared" si="515"/>
        <v>1276292.3922259274</v>
      </c>
      <c r="O589" s="486">
        <f t="shared" si="515"/>
        <v>1313304.8716004789</v>
      </c>
      <c r="P589" s="486">
        <f t="shared" si="515"/>
        <v>1351390.7128768945</v>
      </c>
      <c r="Q589" s="486">
        <f t="shared" si="515"/>
        <v>1390581.0435503214</v>
      </c>
      <c r="R589" s="486">
        <f t="shared" si="515"/>
        <v>1430907.8938132802</v>
      </c>
      <c r="S589" s="486">
        <f t="shared" si="515"/>
        <v>1472404.2227338695</v>
      </c>
      <c r="T589" s="486">
        <f t="shared" si="515"/>
        <v>1515103.9451931491</v>
      </c>
      <c r="U589" s="486">
        <f t="shared" si="515"/>
        <v>1559041.9596037529</v>
      </c>
      <c r="V589" s="486">
        <f t="shared" si="515"/>
        <v>1604254.1764322615</v>
      </c>
      <c r="W589" s="486">
        <f t="shared" si="515"/>
        <v>1650777.5475487944</v>
      </c>
      <c r="X589" s="486">
        <f t="shared" si="515"/>
        <v>1698650.096427707</v>
      </c>
      <c r="Y589" s="486">
        <f t="shared" si="515"/>
        <v>1747910.9492241149</v>
      </c>
      <c r="Z589" s="486">
        <f t="shared" si="515"/>
        <v>1798600.3667516119</v>
      </c>
    </row>
    <row r="590" spans="1:26" ht="15.6">
      <c r="A590" s="32">
        <v>2025</v>
      </c>
      <c r="B590" s="685" t="s">
        <v>834</v>
      </c>
      <c r="C590" s="686"/>
      <c r="D590" s="686"/>
      <c r="E590" s="686"/>
      <c r="F590" s="686"/>
      <c r="G590" s="683"/>
      <c r="H590" s="688"/>
      <c r="I590" s="688"/>
      <c r="J590" s="688"/>
      <c r="K590" s="688"/>
      <c r="L590" s="688"/>
      <c r="M590" s="688"/>
      <c r="N590" s="688"/>
      <c r="O590" s="688"/>
      <c r="P590" s="688"/>
      <c r="Q590" s="688"/>
      <c r="R590" s="688"/>
      <c r="S590" s="688"/>
      <c r="T590" s="688"/>
      <c r="U590" s="688"/>
      <c r="V590" s="688"/>
      <c r="W590" s="688"/>
      <c r="X590" s="688"/>
      <c r="Y590" s="688"/>
      <c r="Z590" s="688"/>
    </row>
    <row r="591" spans="1:26" ht="15.6">
      <c r="B591" s="483" t="s">
        <v>736</v>
      </c>
      <c r="C591" s="631">
        <f>2.68*1000000</f>
        <v>2680000</v>
      </c>
      <c r="D591" s="500">
        <f>4.93*1000000</f>
        <v>4930000</v>
      </c>
      <c r="E591" s="500">
        <f>23.94*1000000</f>
        <v>23940000</v>
      </c>
      <c r="F591" s="500">
        <f>18.9*1000000</f>
        <v>18900000</v>
      </c>
      <c r="G591" s="639"/>
      <c r="J591" s="27">
        <f>+F591*(1+$C$399/100)</f>
        <v>19448100</v>
      </c>
      <c r="K591" s="27">
        <f>+J591*(1+$C$399/100)</f>
        <v>20012094.899999999</v>
      </c>
      <c r="L591" s="27">
        <f t="shared" ref="L591:Z591" si="516">+K591*(1+$C$399/100)</f>
        <v>20592445.652099997</v>
      </c>
      <c r="M591" s="27">
        <f t="shared" si="516"/>
        <v>21189626.576010894</v>
      </c>
      <c r="N591" s="27">
        <f t="shared" si="516"/>
        <v>21804125.746715207</v>
      </c>
      <c r="O591" s="27">
        <f t="shared" si="516"/>
        <v>22436445.393369947</v>
      </c>
      <c r="P591" s="27">
        <f t="shared" si="516"/>
        <v>23087102.309777673</v>
      </c>
      <c r="Q591" s="27">
        <f t="shared" si="516"/>
        <v>23756628.276761223</v>
      </c>
      <c r="R591" s="27">
        <f t="shared" si="516"/>
        <v>24445570.496787295</v>
      </c>
      <c r="S591" s="27">
        <f t="shared" si="516"/>
        <v>25154492.041194126</v>
      </c>
      <c r="T591" s="27">
        <f t="shared" si="516"/>
        <v>25883972.310388755</v>
      </c>
      <c r="U591" s="27">
        <f t="shared" si="516"/>
        <v>26634607.507390026</v>
      </c>
      <c r="V591" s="27">
        <f t="shared" si="516"/>
        <v>27407011.125104334</v>
      </c>
      <c r="W591" s="27">
        <f t="shared" si="516"/>
        <v>28201814.447732359</v>
      </c>
      <c r="X591" s="27">
        <f t="shared" si="516"/>
        <v>29019667.066716596</v>
      </c>
      <c r="Y591" s="27">
        <f t="shared" si="516"/>
        <v>29861237.411651377</v>
      </c>
      <c r="Z591" s="27">
        <f t="shared" si="516"/>
        <v>30727213.296589263</v>
      </c>
    </row>
    <row r="592" spans="1:26" ht="15.6">
      <c r="B592" s="473" t="s">
        <v>723</v>
      </c>
      <c r="C592" s="640"/>
      <c r="D592" s="640"/>
      <c r="E592" s="640"/>
      <c r="F592" s="640"/>
      <c r="G592" s="639"/>
      <c r="J592" s="27">
        <f>+J591-F591</f>
        <v>548100</v>
      </c>
      <c r="K592" s="27">
        <f>+K591-J591</f>
        <v>563994.89999999851</v>
      </c>
      <c r="L592" s="27">
        <f t="shared" ref="L592:Z592" si="517">+L591-K591</f>
        <v>580350.7520999983</v>
      </c>
      <c r="M592" s="27">
        <f t="shared" si="517"/>
        <v>597180.92391089723</v>
      </c>
      <c r="N592" s="27">
        <f t="shared" si="517"/>
        <v>614499.17070431262</v>
      </c>
      <c r="O592" s="27">
        <f t="shared" si="517"/>
        <v>632319.64665473998</v>
      </c>
      <c r="P592" s="27">
        <f t="shared" si="517"/>
        <v>650656.91640772671</v>
      </c>
      <c r="Q592" s="27">
        <f t="shared" si="517"/>
        <v>669525.9669835493</v>
      </c>
      <c r="R592" s="27">
        <f t="shared" si="517"/>
        <v>688942.22002607211</v>
      </c>
      <c r="S592" s="27">
        <f t="shared" si="517"/>
        <v>708921.54440683126</v>
      </c>
      <c r="T592" s="27">
        <f t="shared" si="517"/>
        <v>729480.26919462904</v>
      </c>
      <c r="U592" s="27">
        <f t="shared" si="517"/>
        <v>750635.19700127095</v>
      </c>
      <c r="V592" s="27">
        <f t="shared" si="517"/>
        <v>772403.6177143082</v>
      </c>
      <c r="W592" s="27">
        <f t="shared" si="517"/>
        <v>794803.32262802497</v>
      </c>
      <c r="X592" s="27">
        <f t="shared" si="517"/>
        <v>817852.61898423731</v>
      </c>
      <c r="Y592" s="27">
        <f t="shared" si="517"/>
        <v>841570.34493478015</v>
      </c>
      <c r="Z592" s="27">
        <f t="shared" si="517"/>
        <v>865975.88493788615</v>
      </c>
    </row>
    <row r="593" spans="1:26" ht="15.6">
      <c r="B593" s="473" t="s">
        <v>733</v>
      </c>
      <c r="C593" s="640"/>
      <c r="D593" s="640"/>
      <c r="E593" s="640"/>
      <c r="F593" s="640"/>
      <c r="G593" s="639"/>
      <c r="J593" s="27">
        <f>+J592*0.235</f>
        <v>128803.49999999999</v>
      </c>
      <c r="K593" s="27">
        <f>+K592*0.235</f>
        <v>132538.80149999965</v>
      </c>
      <c r="L593" s="27">
        <f t="shared" ref="L593:Z593" si="518">+L592*0.235</f>
        <v>136382.42674349959</v>
      </c>
      <c r="M593" s="27">
        <f t="shared" si="518"/>
        <v>140337.51711906085</v>
      </c>
      <c r="N593" s="27">
        <f t="shared" si="518"/>
        <v>144407.30511551345</v>
      </c>
      <c r="O593" s="27">
        <f t="shared" si="518"/>
        <v>148595.1169638639</v>
      </c>
      <c r="P593" s="27">
        <f t="shared" si="518"/>
        <v>152904.37535581578</v>
      </c>
      <c r="Q593" s="27">
        <f t="shared" si="518"/>
        <v>157338.60224113407</v>
      </c>
      <c r="R593" s="27">
        <f t="shared" si="518"/>
        <v>161901.42170612694</v>
      </c>
      <c r="S593" s="27">
        <f t="shared" si="518"/>
        <v>166596.56293560533</v>
      </c>
      <c r="T593" s="27">
        <f t="shared" si="518"/>
        <v>171427.86326073782</v>
      </c>
      <c r="U593" s="27">
        <f t="shared" si="518"/>
        <v>176399.27129529868</v>
      </c>
      <c r="V593" s="27">
        <f t="shared" si="518"/>
        <v>181514.85016286242</v>
      </c>
      <c r="W593" s="27">
        <f t="shared" si="518"/>
        <v>186778.78081758585</v>
      </c>
      <c r="X593" s="27">
        <f t="shared" si="518"/>
        <v>192195.36546129576</v>
      </c>
      <c r="Y593" s="27">
        <f t="shared" si="518"/>
        <v>197769.03105967332</v>
      </c>
      <c r="Z593" s="27">
        <f t="shared" si="518"/>
        <v>203504.33296040323</v>
      </c>
    </row>
    <row r="594" spans="1:26">
      <c r="B594" s="483" t="s">
        <v>724</v>
      </c>
      <c r="C594" s="500">
        <f>117279.9*1000</f>
        <v>117279900</v>
      </c>
      <c r="D594" s="500">
        <f>114282.7*1000</f>
        <v>114282700</v>
      </c>
      <c r="E594" s="500">
        <f>165101.7*1000</f>
        <v>165101700</v>
      </c>
      <c r="F594" s="500">
        <f>259309.9*1000</f>
        <v>259309900</v>
      </c>
      <c r="G594" s="629"/>
      <c r="J594" s="27">
        <f>+F594*(1+$C$399/100)</f>
        <v>266829887.09999996</v>
      </c>
      <c r="K594" s="27">
        <f>+J594*(1+$C$399/100)</f>
        <v>274567953.82589996</v>
      </c>
      <c r="L594" s="27">
        <f t="shared" ref="L594:Z594" si="519">+K594*(1+$C$399/100)</f>
        <v>282530424.48685104</v>
      </c>
      <c r="M594" s="27">
        <f t="shared" si="519"/>
        <v>290723806.79696971</v>
      </c>
      <c r="N594" s="27">
        <f t="shared" si="519"/>
        <v>299154797.19408178</v>
      </c>
      <c r="O594" s="27">
        <f t="shared" si="519"/>
        <v>307830286.31271011</v>
      </c>
      <c r="P594" s="27">
        <f t="shared" si="519"/>
        <v>316757364.61577868</v>
      </c>
      <c r="Q594" s="27">
        <f t="shared" si="519"/>
        <v>325943328.18963623</v>
      </c>
      <c r="R594" s="27">
        <f t="shared" si="519"/>
        <v>335395684.70713568</v>
      </c>
      <c r="S594" s="27">
        <f t="shared" si="519"/>
        <v>345122159.56364256</v>
      </c>
      <c r="T594" s="27">
        <f t="shared" si="519"/>
        <v>355130702.19098818</v>
      </c>
      <c r="U594" s="27">
        <f t="shared" si="519"/>
        <v>365429492.55452681</v>
      </c>
      <c r="V594" s="27">
        <f t="shared" si="519"/>
        <v>376026947.83860803</v>
      </c>
      <c r="W594" s="27">
        <f t="shared" si="519"/>
        <v>386931729.32592762</v>
      </c>
      <c r="X594" s="27">
        <f t="shared" si="519"/>
        <v>398152749.47637945</v>
      </c>
      <c r="Y594" s="27">
        <f t="shared" si="519"/>
        <v>409699179.2111944</v>
      </c>
      <c r="Z594" s="27">
        <f t="shared" si="519"/>
        <v>421580455.408319</v>
      </c>
    </row>
    <row r="595" spans="1:26" ht="15.6">
      <c r="B595" s="473" t="s">
        <v>723</v>
      </c>
      <c r="C595" s="640"/>
      <c r="D595" s="640"/>
      <c r="E595" s="640"/>
      <c r="F595" s="640"/>
      <c r="G595" s="639"/>
      <c r="J595" s="27">
        <f>+J594-F594</f>
        <v>7519987.0999999642</v>
      </c>
      <c r="K595" s="27">
        <f>+K594-J594</f>
        <v>7738066.7258999944</v>
      </c>
      <c r="L595" s="27">
        <f t="shared" ref="L595:Z595" si="520">+L594-K594</f>
        <v>7962470.6609510779</v>
      </c>
      <c r="M595" s="27">
        <f t="shared" si="520"/>
        <v>8193382.3101186752</v>
      </c>
      <c r="N595" s="27">
        <f t="shared" si="520"/>
        <v>8430990.3971120715</v>
      </c>
      <c r="O595" s="27">
        <f t="shared" si="520"/>
        <v>8675489.1186283231</v>
      </c>
      <c r="P595" s="27">
        <f t="shared" si="520"/>
        <v>8927078.3030685782</v>
      </c>
      <c r="Q595" s="27">
        <f t="shared" si="520"/>
        <v>9185963.5738575459</v>
      </c>
      <c r="R595" s="27">
        <f t="shared" si="520"/>
        <v>9452356.5174994469</v>
      </c>
      <c r="S595" s="27">
        <f t="shared" si="520"/>
        <v>9726474.8565068841</v>
      </c>
      <c r="T595" s="27">
        <f t="shared" si="520"/>
        <v>10008542.627345622</v>
      </c>
      <c r="U595" s="27">
        <f t="shared" si="520"/>
        <v>10298790.363538623</v>
      </c>
      <c r="V595" s="27">
        <f t="shared" si="520"/>
        <v>10597455.284081221</v>
      </c>
      <c r="W595" s="27">
        <f t="shared" si="520"/>
        <v>10904781.487319589</v>
      </c>
      <c r="X595" s="27">
        <f t="shared" si="520"/>
        <v>11221020.150451839</v>
      </c>
      <c r="Y595" s="27">
        <f t="shared" si="520"/>
        <v>11546429.734814942</v>
      </c>
      <c r="Z595" s="27">
        <f t="shared" si="520"/>
        <v>11881276.1971246</v>
      </c>
    </row>
    <row r="596" spans="1:26" ht="15.6">
      <c r="B596" s="473" t="s">
        <v>733</v>
      </c>
      <c r="C596" s="640"/>
      <c r="D596" s="640"/>
      <c r="E596" s="640"/>
      <c r="F596" s="640"/>
      <c r="G596" s="639"/>
      <c r="J596" s="27">
        <f>+J595*0.235</f>
        <v>1767196.9684999916</v>
      </c>
      <c r="K596" s="27">
        <f>+K595*0.235</f>
        <v>1818445.6805864985</v>
      </c>
      <c r="L596" s="27">
        <f t="shared" ref="L596:Z596" si="521">+L595*0.235</f>
        <v>1871180.6053235033</v>
      </c>
      <c r="M596" s="27">
        <f t="shared" si="521"/>
        <v>1925444.8428778886</v>
      </c>
      <c r="N596" s="27">
        <f t="shared" si="521"/>
        <v>1981282.7433213368</v>
      </c>
      <c r="O596" s="27">
        <f t="shared" si="521"/>
        <v>2038739.9428776558</v>
      </c>
      <c r="P596" s="27">
        <f t="shared" si="521"/>
        <v>2097863.4012211156</v>
      </c>
      <c r="Q596" s="27">
        <f t="shared" si="521"/>
        <v>2158701.4398565232</v>
      </c>
      <c r="R596" s="27">
        <f t="shared" si="521"/>
        <v>2221303.7816123697</v>
      </c>
      <c r="S596" s="27">
        <f t="shared" si="521"/>
        <v>2285721.5912791179</v>
      </c>
      <c r="T596" s="27">
        <f t="shared" si="521"/>
        <v>2352007.5174262212</v>
      </c>
      <c r="U596" s="27">
        <f t="shared" si="521"/>
        <v>2420215.7354315761</v>
      </c>
      <c r="V596" s="27">
        <f t="shared" si="521"/>
        <v>2490401.9917590865</v>
      </c>
      <c r="W596" s="27">
        <f t="shared" si="521"/>
        <v>2562623.6495201034</v>
      </c>
      <c r="X596" s="27">
        <f t="shared" si="521"/>
        <v>2636939.7353561819</v>
      </c>
      <c r="Y596" s="27">
        <f t="shared" si="521"/>
        <v>2713410.9876815113</v>
      </c>
      <c r="Z596" s="27">
        <f t="shared" si="521"/>
        <v>2792099.9063242809</v>
      </c>
    </row>
    <row r="597" spans="1:26">
      <c r="B597" s="483" t="s">
        <v>722</v>
      </c>
      <c r="C597" s="500">
        <f>24.18*1000000</f>
        <v>24180000</v>
      </c>
      <c r="D597" s="500">
        <f>23.82*1000000</f>
        <v>23820000</v>
      </c>
      <c r="E597" s="500">
        <f>147.44*1000000</f>
        <v>147440000</v>
      </c>
      <c r="F597" s="500">
        <f>119.54*1000000</f>
        <v>119540000</v>
      </c>
      <c r="G597" s="639"/>
      <c r="J597" s="27">
        <f>+F597*(1+$C$399/100)</f>
        <v>123006659.99999999</v>
      </c>
      <c r="K597" s="27">
        <f>+J597*(1+$C$399/100)</f>
        <v>126573853.13999997</v>
      </c>
      <c r="L597" s="27">
        <f t="shared" ref="L597:Z597" si="522">+K597*(1+$C$399/100)</f>
        <v>130244494.88105996</v>
      </c>
      <c r="M597" s="27">
        <f t="shared" si="522"/>
        <v>134021585.23261069</v>
      </c>
      <c r="N597" s="27">
        <f t="shared" si="522"/>
        <v>137908211.20435637</v>
      </c>
      <c r="O597" s="27">
        <f t="shared" si="522"/>
        <v>141907549.3292827</v>
      </c>
      <c r="P597" s="27">
        <f t="shared" si="522"/>
        <v>146022868.25983188</v>
      </c>
      <c r="Q597" s="27">
        <f t="shared" si="522"/>
        <v>150257531.439367</v>
      </c>
      <c r="R597" s="27">
        <f t="shared" si="522"/>
        <v>154614999.85110864</v>
      </c>
      <c r="S597" s="27">
        <f t="shared" si="522"/>
        <v>159098834.84679079</v>
      </c>
      <c r="T597" s="27">
        <f t="shared" si="522"/>
        <v>163712701.05734771</v>
      </c>
      <c r="U597" s="27">
        <f t="shared" si="522"/>
        <v>168460369.38801077</v>
      </c>
      <c r="V597" s="27">
        <f t="shared" si="522"/>
        <v>173345720.10026306</v>
      </c>
      <c r="W597" s="27">
        <f t="shared" si="522"/>
        <v>178372745.98317066</v>
      </c>
      <c r="X597" s="27">
        <f t="shared" si="522"/>
        <v>183545555.61668259</v>
      </c>
      <c r="Y597" s="27">
        <f t="shared" si="522"/>
        <v>188868376.72956637</v>
      </c>
      <c r="Z597" s="27">
        <f t="shared" si="522"/>
        <v>194345559.65472376</v>
      </c>
    </row>
    <row r="598" spans="1:26" ht="15.6">
      <c r="B598" s="473" t="s">
        <v>723</v>
      </c>
      <c r="C598" s="631"/>
      <c r="D598" s="631"/>
      <c r="E598" s="631"/>
      <c r="F598" s="631"/>
      <c r="G598" s="632"/>
      <c r="J598" s="27">
        <f>+J597-F597</f>
        <v>3466659.9999999851</v>
      </c>
      <c r="K598" s="27">
        <f>+K597-J597</f>
        <v>3567193.1399999857</v>
      </c>
      <c r="L598" s="27">
        <f t="shared" ref="L598:Z598" si="523">+L597-K597</f>
        <v>3670641.7410599887</v>
      </c>
      <c r="M598" s="27">
        <f t="shared" si="523"/>
        <v>3777090.3515507281</v>
      </c>
      <c r="N598" s="27">
        <f t="shared" si="523"/>
        <v>3886625.9717456847</v>
      </c>
      <c r="O598" s="27">
        <f t="shared" si="523"/>
        <v>3999338.1249263287</v>
      </c>
      <c r="P598" s="27">
        <f t="shared" si="523"/>
        <v>4115318.9305491745</v>
      </c>
      <c r="Q598" s="27">
        <f t="shared" si="523"/>
        <v>4234663.1795351207</v>
      </c>
      <c r="R598" s="27">
        <f t="shared" si="523"/>
        <v>4357468.4117416441</v>
      </c>
      <c r="S598" s="27">
        <f t="shared" si="523"/>
        <v>4483834.9956821501</v>
      </c>
      <c r="T598" s="27">
        <f t="shared" si="523"/>
        <v>4613866.2105569243</v>
      </c>
      <c r="U598" s="27">
        <f t="shared" si="523"/>
        <v>4747668.3306630552</v>
      </c>
      <c r="V598" s="27">
        <f t="shared" si="523"/>
        <v>4885350.7122522891</v>
      </c>
      <c r="W598" s="27">
        <f t="shared" si="523"/>
        <v>5027025.8829075992</v>
      </c>
      <c r="X598" s="27">
        <f t="shared" si="523"/>
        <v>5172809.6335119307</v>
      </c>
      <c r="Y598" s="27">
        <f t="shared" si="523"/>
        <v>5322821.1128837764</v>
      </c>
      <c r="Z598" s="27">
        <f t="shared" si="523"/>
        <v>5477182.925157398</v>
      </c>
    </row>
    <row r="599" spans="1:26" ht="15.6">
      <c r="B599" s="473" t="s">
        <v>733</v>
      </c>
      <c r="C599" s="640"/>
      <c r="D599" s="640"/>
      <c r="E599" s="640"/>
      <c r="F599" s="640"/>
      <c r="G599" s="642"/>
      <c r="J599" s="27">
        <f>+J598*0.235</f>
        <v>814665.09999999648</v>
      </c>
      <c r="K599" s="27">
        <f>+K598*0.235</f>
        <v>838290.3878999966</v>
      </c>
      <c r="L599" s="27">
        <f t="shared" ref="L599:Z599" si="524">+L598*0.235</f>
        <v>862600.8091490973</v>
      </c>
      <c r="M599" s="27">
        <f t="shared" si="524"/>
        <v>887616.23261442105</v>
      </c>
      <c r="N599" s="27">
        <f t="shared" si="524"/>
        <v>913357.10336023581</v>
      </c>
      <c r="O599" s="27">
        <f t="shared" si="524"/>
        <v>939844.45935768716</v>
      </c>
      <c r="P599" s="27">
        <f t="shared" si="524"/>
        <v>967099.94867905602</v>
      </c>
      <c r="Q599" s="27">
        <f t="shared" si="524"/>
        <v>995145.84719075332</v>
      </c>
      <c r="R599" s="27">
        <f t="shared" si="524"/>
        <v>1024005.0767592863</v>
      </c>
      <c r="S599" s="27">
        <f t="shared" si="524"/>
        <v>1053701.2239853053</v>
      </c>
      <c r="T599" s="27">
        <f t="shared" si="524"/>
        <v>1084258.5594808771</v>
      </c>
      <c r="U599" s="27">
        <f t="shared" si="524"/>
        <v>1115702.057705818</v>
      </c>
      <c r="V599" s="27">
        <f t="shared" si="524"/>
        <v>1148057.4173792878</v>
      </c>
      <c r="W599" s="27">
        <f t="shared" si="524"/>
        <v>1181351.0824832858</v>
      </c>
      <c r="X599" s="27">
        <f t="shared" si="524"/>
        <v>1215610.2638753036</v>
      </c>
      <c r="Y599" s="27">
        <f t="shared" si="524"/>
        <v>1250862.9615276875</v>
      </c>
      <c r="Z599" s="27">
        <f t="shared" si="524"/>
        <v>1287137.9874119884</v>
      </c>
    </row>
    <row r="600" spans="1:26" ht="15.6">
      <c r="B600" s="476" t="s">
        <v>734</v>
      </c>
      <c r="C600" s="640"/>
      <c r="D600" s="640"/>
      <c r="E600" s="640"/>
      <c r="F600" s="640"/>
      <c r="G600" s="642"/>
      <c r="J600" s="486">
        <f>+J593+J596+J599</f>
        <v>2710665.5684999879</v>
      </c>
      <c r="K600" s="486">
        <f>+K593+K596+K599</f>
        <v>2789274.8699864945</v>
      </c>
      <c r="L600" s="486">
        <f t="shared" ref="L600:Z600" si="525">+L593+L596+L599</f>
        <v>2870163.8412160999</v>
      </c>
      <c r="M600" s="486">
        <f t="shared" si="525"/>
        <v>2953398.5926113706</v>
      </c>
      <c r="N600" s="486">
        <f t="shared" si="525"/>
        <v>3039047.151797086</v>
      </c>
      <c r="O600" s="486">
        <f t="shared" si="525"/>
        <v>3127179.519199207</v>
      </c>
      <c r="P600" s="486">
        <f t="shared" si="525"/>
        <v>3217867.7252559876</v>
      </c>
      <c r="Q600" s="486">
        <f t="shared" si="525"/>
        <v>3311185.8892884105</v>
      </c>
      <c r="R600" s="486">
        <f t="shared" si="525"/>
        <v>3407210.2800777829</v>
      </c>
      <c r="S600" s="486">
        <f t="shared" si="525"/>
        <v>3506019.3782000281</v>
      </c>
      <c r="T600" s="486">
        <f t="shared" si="525"/>
        <v>3607693.9401678359</v>
      </c>
      <c r="U600" s="486">
        <f t="shared" si="525"/>
        <v>3712317.0644326927</v>
      </c>
      <c r="V600" s="486">
        <f t="shared" si="525"/>
        <v>3819974.2593012368</v>
      </c>
      <c r="W600" s="486">
        <f t="shared" si="525"/>
        <v>3930753.5128209749</v>
      </c>
      <c r="X600" s="486">
        <f t="shared" si="525"/>
        <v>4044745.3646927811</v>
      </c>
      <c r="Y600" s="486">
        <f t="shared" si="525"/>
        <v>4162042.9802688723</v>
      </c>
      <c r="Z600" s="486">
        <f t="shared" si="525"/>
        <v>4282742.2266966719</v>
      </c>
    </row>
    <row r="601" spans="1:26" ht="15.6">
      <c r="A601" s="32">
        <v>2025</v>
      </c>
      <c r="B601" s="685" t="s">
        <v>835</v>
      </c>
      <c r="C601" s="686"/>
      <c r="D601" s="686"/>
      <c r="E601" s="686"/>
      <c r="F601" s="686"/>
      <c r="G601" s="683"/>
      <c r="H601" s="688"/>
      <c r="I601" s="688"/>
      <c r="J601" s="688"/>
      <c r="K601" s="688"/>
      <c r="L601" s="688"/>
      <c r="M601" s="688"/>
      <c r="N601" s="688"/>
      <c r="O601" s="688"/>
      <c r="P601" s="688"/>
      <c r="Q601" s="688"/>
      <c r="R601" s="688"/>
      <c r="S601" s="688"/>
      <c r="T601" s="688"/>
      <c r="U601" s="688"/>
      <c r="V601" s="688"/>
      <c r="W601" s="688"/>
      <c r="X601" s="688"/>
      <c r="Y601" s="688"/>
      <c r="Z601" s="688"/>
    </row>
    <row r="602" spans="1:26" ht="15.6">
      <c r="B602" s="483" t="s">
        <v>736</v>
      </c>
      <c r="C602" s="631">
        <f>8.87*1000000</f>
        <v>8870000</v>
      </c>
      <c r="D602" s="500">
        <f>12.1*1000000</f>
        <v>12100000</v>
      </c>
      <c r="E602" s="500">
        <f>20.97*1000000</f>
        <v>20970000</v>
      </c>
      <c r="F602" s="500">
        <f>21*1000000</f>
        <v>21000000</v>
      </c>
      <c r="G602" s="629"/>
      <c r="J602" s="27">
        <f>+F602*(1+$C$399/100)</f>
        <v>21609000</v>
      </c>
      <c r="K602" s="27">
        <f>+J602*(1+$C$399/100)</f>
        <v>22235661</v>
      </c>
      <c r="L602" s="27">
        <f t="shared" ref="L602:Z602" si="526">+K602*(1+$C$399/100)</f>
        <v>22880495.169</v>
      </c>
      <c r="M602" s="27">
        <f t="shared" si="526"/>
        <v>23544029.528901</v>
      </c>
      <c r="N602" s="27">
        <f t="shared" si="526"/>
        <v>24226806.385239128</v>
      </c>
      <c r="O602" s="27">
        <f t="shared" si="526"/>
        <v>24929383.770411059</v>
      </c>
      <c r="P602" s="27">
        <f t="shared" si="526"/>
        <v>25652335.899752978</v>
      </c>
      <c r="Q602" s="27">
        <f t="shared" si="526"/>
        <v>26396253.640845813</v>
      </c>
      <c r="R602" s="27">
        <f t="shared" si="526"/>
        <v>27161744.996430337</v>
      </c>
      <c r="S602" s="27">
        <f t="shared" si="526"/>
        <v>27949435.601326816</v>
      </c>
      <c r="T602" s="27">
        <f t="shared" si="526"/>
        <v>28759969.233765293</v>
      </c>
      <c r="U602" s="27">
        <f t="shared" si="526"/>
        <v>29594008.341544483</v>
      </c>
      <c r="V602" s="27">
        <f t="shared" si="526"/>
        <v>30452234.583449271</v>
      </c>
      <c r="W602" s="27">
        <f t="shared" si="526"/>
        <v>31335349.386369295</v>
      </c>
      <c r="X602" s="27">
        <f t="shared" si="526"/>
        <v>32244074.518574003</v>
      </c>
      <c r="Y602" s="27">
        <f t="shared" si="526"/>
        <v>33179152.679612648</v>
      </c>
      <c r="Z602" s="27">
        <f t="shared" si="526"/>
        <v>34141348.107321411</v>
      </c>
    </row>
    <row r="603" spans="1:26" ht="15.6">
      <c r="B603" s="473" t="s">
        <v>723</v>
      </c>
      <c r="C603" s="640"/>
      <c r="D603" s="640"/>
      <c r="E603" s="640"/>
      <c r="F603" s="640"/>
      <c r="G603" s="639"/>
      <c r="J603" s="27">
        <f>+J602-F602</f>
        <v>609000</v>
      </c>
      <c r="K603" s="27">
        <f>+K602-J602</f>
        <v>626661</v>
      </c>
      <c r="L603" s="27">
        <f t="shared" ref="L603:Z603" si="527">+L602-K602</f>
        <v>644834.16899999976</v>
      </c>
      <c r="M603" s="27">
        <f t="shared" si="527"/>
        <v>663534.35990099981</v>
      </c>
      <c r="N603" s="27">
        <f t="shared" si="527"/>
        <v>682776.85633812845</v>
      </c>
      <c r="O603" s="27">
        <f t="shared" si="527"/>
        <v>702577.38517193124</v>
      </c>
      <c r="P603" s="27">
        <f t="shared" si="527"/>
        <v>722952.12934191898</v>
      </c>
      <c r="Q603" s="27">
        <f t="shared" si="527"/>
        <v>743917.74109283462</v>
      </c>
      <c r="R603" s="27">
        <f t="shared" si="527"/>
        <v>765491.35558452457</v>
      </c>
      <c r="S603" s="27">
        <f t="shared" si="527"/>
        <v>787690.60489647835</v>
      </c>
      <c r="T603" s="27">
        <f t="shared" si="527"/>
        <v>810533.63243847713</v>
      </c>
      <c r="U603" s="27">
        <f t="shared" si="527"/>
        <v>834039.10777918994</v>
      </c>
      <c r="V603" s="27">
        <f t="shared" si="527"/>
        <v>858226.24190478772</v>
      </c>
      <c r="W603" s="27">
        <f t="shared" si="527"/>
        <v>883114.80292002484</v>
      </c>
      <c r="X603" s="27">
        <f t="shared" si="527"/>
        <v>908725.13220470771</v>
      </c>
      <c r="Y603" s="27">
        <f t="shared" si="527"/>
        <v>935078.16103864461</v>
      </c>
      <c r="Z603" s="27">
        <f t="shared" si="527"/>
        <v>962195.42770876363</v>
      </c>
    </row>
    <row r="604" spans="1:26" ht="15.6">
      <c r="B604" s="473" t="s">
        <v>733</v>
      </c>
      <c r="C604" s="640"/>
      <c r="D604" s="640"/>
      <c r="E604" s="640"/>
      <c r="F604" s="640"/>
      <c r="G604" s="639"/>
      <c r="J604" s="27">
        <f>+J603*0.235</f>
        <v>143115</v>
      </c>
      <c r="K604" s="27">
        <f>+K603*0.235</f>
        <v>147265.33499999999</v>
      </c>
      <c r="L604" s="27">
        <f t="shared" ref="L604:Z604" si="528">+L603*0.235</f>
        <v>151536.02971499992</v>
      </c>
      <c r="M604" s="27">
        <f t="shared" si="528"/>
        <v>155930.57457673494</v>
      </c>
      <c r="N604" s="27">
        <f t="shared" si="528"/>
        <v>160452.56123946016</v>
      </c>
      <c r="O604" s="27">
        <f t="shared" si="528"/>
        <v>165105.68551540383</v>
      </c>
      <c r="P604" s="27">
        <f t="shared" si="528"/>
        <v>169893.75039535094</v>
      </c>
      <c r="Q604" s="27">
        <f t="shared" si="528"/>
        <v>174820.66915681612</v>
      </c>
      <c r="R604" s="27">
        <f t="shared" si="528"/>
        <v>179890.46856236327</v>
      </c>
      <c r="S604" s="27">
        <f t="shared" si="528"/>
        <v>185107.29215067241</v>
      </c>
      <c r="T604" s="27">
        <f t="shared" si="528"/>
        <v>190475.4036230421</v>
      </c>
      <c r="U604" s="27">
        <f t="shared" si="528"/>
        <v>195999.19032810963</v>
      </c>
      <c r="V604" s="27">
        <f t="shared" si="528"/>
        <v>201683.16684762511</v>
      </c>
      <c r="W604" s="27">
        <f t="shared" si="528"/>
        <v>207531.97868620584</v>
      </c>
      <c r="X604" s="27">
        <f t="shared" si="528"/>
        <v>213550.4060681063</v>
      </c>
      <c r="Y604" s="27">
        <f t="shared" si="528"/>
        <v>219743.36784408148</v>
      </c>
      <c r="Z604" s="27">
        <f t="shared" si="528"/>
        <v>226115.92551155944</v>
      </c>
    </row>
    <row r="605" spans="1:26">
      <c r="B605" s="483" t="s">
        <v>724</v>
      </c>
      <c r="C605" s="500">
        <f>339545.8*1000</f>
        <v>339545800</v>
      </c>
      <c r="D605" s="500">
        <f>373348.4*1000</f>
        <v>373348400</v>
      </c>
      <c r="E605" s="500">
        <f>419209.7*1000</f>
        <v>419209700</v>
      </c>
      <c r="F605" s="500">
        <f>512131.6*1000</f>
        <v>512131600</v>
      </c>
      <c r="G605" s="639"/>
      <c r="J605" s="27">
        <f>+F605*(1+$C$399/100)</f>
        <v>526983416.39999998</v>
      </c>
      <c r="K605" s="27">
        <f>+J605*(1+$C$399/100)</f>
        <v>542265935.47559988</v>
      </c>
      <c r="L605" s="27">
        <f t="shared" ref="L605:Z605" si="529">+K605*(1+$C$399/100)</f>
        <v>557991647.60439229</v>
      </c>
      <c r="M605" s="27">
        <f t="shared" si="529"/>
        <v>574173405.38491964</v>
      </c>
      <c r="N605" s="27">
        <f t="shared" si="529"/>
        <v>590824434.14108229</v>
      </c>
      <c r="O605" s="27">
        <f t="shared" si="529"/>
        <v>607958342.73117363</v>
      </c>
      <c r="P605" s="27">
        <f t="shared" si="529"/>
        <v>625589134.67037761</v>
      </c>
      <c r="Q605" s="27">
        <f t="shared" si="529"/>
        <v>643731219.57581854</v>
      </c>
      <c r="R605" s="27">
        <f t="shared" si="529"/>
        <v>662399424.94351721</v>
      </c>
      <c r="S605" s="27">
        <f t="shared" si="529"/>
        <v>681609008.2668792</v>
      </c>
      <c r="T605" s="27">
        <f t="shared" si="529"/>
        <v>701375669.50661862</v>
      </c>
      <c r="U605" s="27">
        <f t="shared" si="529"/>
        <v>721715563.92231047</v>
      </c>
      <c r="V605" s="27">
        <f t="shared" si="529"/>
        <v>742645315.27605736</v>
      </c>
      <c r="W605" s="27">
        <f t="shared" si="529"/>
        <v>764182029.41906297</v>
      </c>
      <c r="X605" s="27">
        <f t="shared" si="529"/>
        <v>786343308.27221572</v>
      </c>
      <c r="Y605" s="27">
        <f t="shared" si="529"/>
        <v>809147264.21210992</v>
      </c>
      <c r="Z605" s="27">
        <f t="shared" si="529"/>
        <v>832612534.87426102</v>
      </c>
    </row>
    <row r="606" spans="1:26" ht="15.6">
      <c r="B606" s="473" t="s">
        <v>723</v>
      </c>
      <c r="C606" s="640"/>
      <c r="D606" s="640"/>
      <c r="E606" s="640"/>
      <c r="F606" s="640"/>
      <c r="G606" s="639"/>
      <c r="J606" s="27">
        <f>+J605-F605</f>
        <v>14851816.399999976</v>
      </c>
      <c r="K606" s="27">
        <f>+K605-J605</f>
        <v>15282519.075599909</v>
      </c>
      <c r="L606" s="27">
        <f t="shared" ref="L606:Z606" si="530">+L605-K605</f>
        <v>15725712.128792405</v>
      </c>
      <c r="M606" s="27">
        <f t="shared" si="530"/>
        <v>16181757.780527353</v>
      </c>
      <c r="N606" s="27">
        <f t="shared" si="530"/>
        <v>16651028.756162643</v>
      </c>
      <c r="O606" s="27">
        <f t="shared" si="530"/>
        <v>17133908.590091348</v>
      </c>
      <c r="P606" s="27">
        <f t="shared" si="530"/>
        <v>17630791.939203978</v>
      </c>
      <c r="Q606" s="27">
        <f t="shared" si="530"/>
        <v>18142084.905440927</v>
      </c>
      <c r="R606" s="27">
        <f t="shared" si="530"/>
        <v>18668205.367698669</v>
      </c>
      <c r="S606" s="27">
        <f t="shared" si="530"/>
        <v>19209583.323361993</v>
      </c>
      <c r="T606" s="27">
        <f t="shared" si="530"/>
        <v>19766661.239739418</v>
      </c>
      <c r="U606" s="27">
        <f t="shared" si="530"/>
        <v>20339894.415691853</v>
      </c>
      <c r="V606" s="27">
        <f t="shared" si="530"/>
        <v>20929751.353746891</v>
      </c>
      <c r="W606" s="27">
        <f t="shared" si="530"/>
        <v>21536714.14300561</v>
      </c>
      <c r="X606" s="27">
        <f t="shared" si="530"/>
        <v>22161278.853152752</v>
      </c>
      <c r="Y606" s="27">
        <f t="shared" si="530"/>
        <v>22803955.939894199</v>
      </c>
      <c r="Z606" s="27">
        <f t="shared" si="530"/>
        <v>23465270.662151098</v>
      </c>
    </row>
    <row r="607" spans="1:26" ht="15.6">
      <c r="B607" s="473" t="s">
        <v>733</v>
      </c>
      <c r="C607" s="640"/>
      <c r="D607" s="640"/>
      <c r="E607" s="640"/>
      <c r="F607" s="640"/>
      <c r="G607" s="639"/>
      <c r="J607" s="27">
        <f>+J606*0.235</f>
        <v>3490176.8539999942</v>
      </c>
      <c r="K607" s="27">
        <f>+K606*0.235</f>
        <v>3591391.9827659782</v>
      </c>
      <c r="L607" s="27">
        <f t="shared" ref="L607:Z607" si="531">+L606*0.235</f>
        <v>3695542.3502662149</v>
      </c>
      <c r="M607" s="27">
        <f t="shared" si="531"/>
        <v>3802713.078423928</v>
      </c>
      <c r="N607" s="27">
        <f t="shared" si="531"/>
        <v>3912991.7576982211</v>
      </c>
      <c r="O607" s="27">
        <f t="shared" si="531"/>
        <v>4026468.5186714665</v>
      </c>
      <c r="P607" s="27">
        <f t="shared" si="531"/>
        <v>4143236.1057129344</v>
      </c>
      <c r="Q607" s="27">
        <f t="shared" si="531"/>
        <v>4263389.9527786179</v>
      </c>
      <c r="R607" s="27">
        <f t="shared" si="531"/>
        <v>4387028.2614091868</v>
      </c>
      <c r="S607" s="27">
        <f t="shared" si="531"/>
        <v>4514252.0809900677</v>
      </c>
      <c r="T607" s="27">
        <f t="shared" si="531"/>
        <v>4645165.3913387628</v>
      </c>
      <c r="U607" s="27">
        <f t="shared" si="531"/>
        <v>4779875.1876875851</v>
      </c>
      <c r="V607" s="27">
        <f t="shared" si="531"/>
        <v>4918491.5681305192</v>
      </c>
      <c r="W607" s="27">
        <f t="shared" si="531"/>
        <v>5061127.8236063179</v>
      </c>
      <c r="X607" s="27">
        <f t="shared" si="531"/>
        <v>5207900.5304908967</v>
      </c>
      <c r="Y607" s="27">
        <f t="shared" si="531"/>
        <v>5358929.6458751364</v>
      </c>
      <c r="Z607" s="27">
        <f t="shared" si="531"/>
        <v>5514338.6056055082</v>
      </c>
    </row>
    <row r="608" spans="1:26">
      <c r="B608" s="483" t="s">
        <v>722</v>
      </c>
      <c r="C608" s="500">
        <f>58.2*1000000</f>
        <v>58200000</v>
      </c>
      <c r="D608" s="500">
        <f>53.97*1000000</f>
        <v>53970000</v>
      </c>
      <c r="E608" s="500">
        <f>66.88*1000000</f>
        <v>66879999.999999993</v>
      </c>
      <c r="F608" s="500">
        <f>117.61*1000000</f>
        <v>117610000</v>
      </c>
      <c r="G608" s="639"/>
      <c r="J608" s="27">
        <f>+F608*(1+$C$399/100)</f>
        <v>121020689.99999999</v>
      </c>
      <c r="K608" s="27">
        <f>+J608*(1+$C$399/100)</f>
        <v>124530290.00999998</v>
      </c>
      <c r="L608" s="27">
        <f t="shared" ref="L608:Z608" si="532">+K608*(1+$C$399/100)</f>
        <v>128141668.42028996</v>
      </c>
      <c r="M608" s="27">
        <f t="shared" si="532"/>
        <v>131857776.80447836</v>
      </c>
      <c r="N608" s="27">
        <f t="shared" si="532"/>
        <v>135681652.33180821</v>
      </c>
      <c r="O608" s="27">
        <f t="shared" si="532"/>
        <v>139616420.24943063</v>
      </c>
      <c r="P608" s="27">
        <f t="shared" si="532"/>
        <v>143665296.4366641</v>
      </c>
      <c r="Q608" s="27">
        <f t="shared" si="532"/>
        <v>147831590.03332734</v>
      </c>
      <c r="R608" s="27">
        <f t="shared" si="532"/>
        <v>152118706.14429381</v>
      </c>
      <c r="S608" s="27">
        <f t="shared" si="532"/>
        <v>156530148.62247834</v>
      </c>
      <c r="T608" s="27">
        <f t="shared" si="532"/>
        <v>161069522.93253019</v>
      </c>
      <c r="U608" s="27">
        <f t="shared" si="532"/>
        <v>165740539.09757355</v>
      </c>
      <c r="V608" s="27">
        <f t="shared" si="532"/>
        <v>170547014.73140317</v>
      </c>
      <c r="W608" s="27">
        <f t="shared" si="532"/>
        <v>175492878.15861386</v>
      </c>
      <c r="X608" s="27">
        <f t="shared" si="532"/>
        <v>180582171.62521365</v>
      </c>
      <c r="Y608" s="27">
        <f t="shared" si="532"/>
        <v>185819054.60234484</v>
      </c>
      <c r="Z608" s="27">
        <f t="shared" si="532"/>
        <v>191207807.18581283</v>
      </c>
    </row>
    <row r="609" spans="1:26" ht="15.6">
      <c r="B609" s="473" t="s">
        <v>723</v>
      </c>
      <c r="C609" s="640"/>
      <c r="D609" s="640"/>
      <c r="E609" s="640"/>
      <c r="F609" s="640"/>
      <c r="G609" s="639"/>
      <c r="J609" s="27">
        <f>+J608-F608</f>
        <v>3410689.9999999851</v>
      </c>
      <c r="K609" s="27">
        <f>+K608-J608</f>
        <v>3509600.0099999905</v>
      </c>
      <c r="L609" s="27">
        <f t="shared" ref="L609:Z609" si="533">+L608-K608</f>
        <v>3611378.4102899879</v>
      </c>
      <c r="M609" s="27">
        <f t="shared" si="533"/>
        <v>3716108.3841883987</v>
      </c>
      <c r="N609" s="27">
        <f t="shared" si="533"/>
        <v>3823875.5273298472</v>
      </c>
      <c r="O609" s="27">
        <f t="shared" si="533"/>
        <v>3934767.9176224172</v>
      </c>
      <c r="P609" s="27">
        <f t="shared" si="533"/>
        <v>4048876.1872334778</v>
      </c>
      <c r="Q609" s="27">
        <f t="shared" si="533"/>
        <v>4166293.5966632366</v>
      </c>
      <c r="R609" s="27">
        <f t="shared" si="533"/>
        <v>4287116.1109664738</v>
      </c>
      <c r="S609" s="27">
        <f t="shared" si="533"/>
        <v>4411442.4781845212</v>
      </c>
      <c r="T609" s="27">
        <f t="shared" si="533"/>
        <v>4539374.3100518584</v>
      </c>
      <c r="U609" s="27">
        <f t="shared" si="533"/>
        <v>4671016.165043354</v>
      </c>
      <c r="V609" s="27">
        <f t="shared" si="533"/>
        <v>4806475.6338296235</v>
      </c>
      <c r="W609" s="27">
        <f t="shared" si="533"/>
        <v>4945863.4272106886</v>
      </c>
      <c r="X609" s="27">
        <f t="shared" si="533"/>
        <v>5089293.4665997922</v>
      </c>
      <c r="Y609" s="27">
        <f t="shared" si="533"/>
        <v>5236882.9771311879</v>
      </c>
      <c r="Z609" s="27">
        <f t="shared" si="533"/>
        <v>5388752.5834679902</v>
      </c>
    </row>
    <row r="610" spans="1:26" ht="15.6">
      <c r="B610" s="473" t="s">
        <v>733</v>
      </c>
      <c r="C610" s="631"/>
      <c r="D610" s="631"/>
      <c r="E610" s="631"/>
      <c r="F610" s="631"/>
      <c r="G610" s="632"/>
      <c r="J610" s="27">
        <f>+J609*0.235</f>
        <v>801512.14999999641</v>
      </c>
      <c r="K610" s="27">
        <f>+K609*0.235</f>
        <v>824756.00234999775</v>
      </c>
      <c r="L610" s="27">
        <f t="shared" ref="L610:Z610" si="534">+L609*0.235</f>
        <v>848673.92641814717</v>
      </c>
      <c r="M610" s="27">
        <f t="shared" si="534"/>
        <v>873285.47028427362</v>
      </c>
      <c r="N610" s="27">
        <f t="shared" si="534"/>
        <v>898610.74892251403</v>
      </c>
      <c r="O610" s="27">
        <f t="shared" si="534"/>
        <v>924670.46064126794</v>
      </c>
      <c r="P610" s="27">
        <f t="shared" si="534"/>
        <v>951485.90399986727</v>
      </c>
      <c r="Q610" s="27">
        <f t="shared" si="534"/>
        <v>979078.99521586054</v>
      </c>
      <c r="R610" s="27">
        <f t="shared" si="534"/>
        <v>1007472.2860771213</v>
      </c>
      <c r="S610" s="27">
        <f t="shared" si="534"/>
        <v>1036688.9823733624</v>
      </c>
      <c r="T610" s="27">
        <f t="shared" si="534"/>
        <v>1066752.9628621866</v>
      </c>
      <c r="U610" s="27">
        <f t="shared" si="534"/>
        <v>1097688.7987851882</v>
      </c>
      <c r="V610" s="27">
        <f t="shared" si="534"/>
        <v>1129521.7739499614</v>
      </c>
      <c r="W610" s="27">
        <f t="shared" si="534"/>
        <v>1162277.9053945118</v>
      </c>
      <c r="X610" s="27">
        <f t="shared" si="534"/>
        <v>1195983.9646509511</v>
      </c>
      <c r="Y610" s="27">
        <f t="shared" si="534"/>
        <v>1230667.499625829</v>
      </c>
      <c r="Z610" s="27">
        <f t="shared" si="534"/>
        <v>1266356.8571149777</v>
      </c>
    </row>
    <row r="611" spans="1:26" ht="15.6">
      <c r="B611" s="476" t="s">
        <v>734</v>
      </c>
      <c r="C611" s="631"/>
      <c r="D611" s="631"/>
      <c r="E611" s="631"/>
      <c r="F611" s="631"/>
      <c r="G611" s="632"/>
      <c r="J611" s="486">
        <f>+J604+J607+J610</f>
        <v>4434804.0039999904</v>
      </c>
      <c r="K611" s="486">
        <f>+K604+K607+K610</f>
        <v>4563413.320115976</v>
      </c>
      <c r="L611" s="486">
        <f t="shared" ref="L611:Z611" si="535">+L604+L607+L610</f>
        <v>4695752.3063993622</v>
      </c>
      <c r="M611" s="486">
        <f t="shared" si="535"/>
        <v>4831929.1232849369</v>
      </c>
      <c r="N611" s="486">
        <f t="shared" si="535"/>
        <v>4972055.0678601954</v>
      </c>
      <c r="O611" s="486">
        <f t="shared" si="535"/>
        <v>5116244.6648281384</v>
      </c>
      <c r="P611" s="486">
        <f t="shared" si="535"/>
        <v>5264615.7601081524</v>
      </c>
      <c r="Q611" s="486">
        <f t="shared" si="535"/>
        <v>5417289.6171512939</v>
      </c>
      <c r="R611" s="486">
        <f t="shared" si="535"/>
        <v>5574391.0160486717</v>
      </c>
      <c r="S611" s="486">
        <f t="shared" si="535"/>
        <v>5736048.3555141026</v>
      </c>
      <c r="T611" s="486">
        <f t="shared" si="535"/>
        <v>5902393.7578239907</v>
      </c>
      <c r="U611" s="486">
        <f t="shared" si="535"/>
        <v>6073563.1768008834</v>
      </c>
      <c r="V611" s="486">
        <f t="shared" si="535"/>
        <v>6249696.5089281052</v>
      </c>
      <c r="W611" s="486">
        <f t="shared" si="535"/>
        <v>6430937.7076870352</v>
      </c>
      <c r="X611" s="486">
        <f t="shared" si="535"/>
        <v>6617434.9012099542</v>
      </c>
      <c r="Y611" s="486">
        <f t="shared" si="535"/>
        <v>6809340.5133450469</v>
      </c>
      <c r="Z611" s="486">
        <f t="shared" si="535"/>
        <v>7006811.3882320449</v>
      </c>
    </row>
    <row r="612" spans="1:26" ht="15.6">
      <c r="A612" s="32">
        <v>2025</v>
      </c>
      <c r="B612" s="685" t="s">
        <v>836</v>
      </c>
      <c r="C612" s="686"/>
      <c r="D612" s="686"/>
      <c r="E612" s="686"/>
      <c r="F612" s="686"/>
      <c r="G612" s="683"/>
      <c r="H612" s="688"/>
      <c r="I612" s="688"/>
      <c r="J612" s="688"/>
      <c r="K612" s="688"/>
      <c r="L612" s="688"/>
      <c r="M612" s="688"/>
      <c r="N612" s="688"/>
      <c r="O612" s="688"/>
      <c r="P612" s="688"/>
      <c r="Q612" s="688"/>
      <c r="R612" s="688"/>
      <c r="S612" s="688"/>
      <c r="T612" s="688"/>
      <c r="U612" s="688"/>
      <c r="V612" s="688"/>
      <c r="W612" s="688"/>
      <c r="X612" s="688"/>
      <c r="Y612" s="688"/>
      <c r="Z612" s="688"/>
    </row>
    <row r="613" spans="1:26" ht="15.6">
      <c r="B613" s="483" t="s">
        <v>736</v>
      </c>
      <c r="C613" s="631">
        <f>7*1000000</f>
        <v>7000000</v>
      </c>
      <c r="D613" s="500">
        <f>11.1*1000000</f>
        <v>11100000</v>
      </c>
      <c r="E613" s="500">
        <f>7.15*1000000</f>
        <v>7150000</v>
      </c>
      <c r="F613" s="500">
        <f>8.23*1000000</f>
        <v>8230000</v>
      </c>
      <c r="G613" s="629"/>
      <c r="J613" s="27">
        <f>+F613*(1+$C$399/100)</f>
        <v>8468670</v>
      </c>
      <c r="K613" s="27">
        <f>+J613*(1+$C$399/100)</f>
        <v>8714261.4299999997</v>
      </c>
      <c r="L613" s="27">
        <f t="shared" ref="L613:Z613" si="536">+K613*(1+$C$399/100)</f>
        <v>8966975.0114699993</v>
      </c>
      <c r="M613" s="27">
        <f t="shared" si="536"/>
        <v>9227017.286802629</v>
      </c>
      <c r="N613" s="27">
        <f t="shared" si="536"/>
        <v>9494600.7881199047</v>
      </c>
      <c r="O613" s="27">
        <f t="shared" si="536"/>
        <v>9769944.2109753806</v>
      </c>
      <c r="P613" s="27">
        <f t="shared" si="536"/>
        <v>10053272.593093665</v>
      </c>
      <c r="Q613" s="27">
        <f t="shared" si="536"/>
        <v>10344817.498293381</v>
      </c>
      <c r="R613" s="27">
        <f t="shared" si="536"/>
        <v>10644817.205743888</v>
      </c>
      <c r="S613" s="27">
        <f t="shared" si="536"/>
        <v>10953516.90471046</v>
      </c>
      <c r="T613" s="27">
        <f t="shared" si="536"/>
        <v>11271168.894947063</v>
      </c>
      <c r="U613" s="27">
        <f t="shared" si="536"/>
        <v>11598032.792900527</v>
      </c>
      <c r="V613" s="27">
        <f t="shared" si="536"/>
        <v>11934375.74389464</v>
      </c>
      <c r="W613" s="27">
        <f t="shared" si="536"/>
        <v>12280472.640467584</v>
      </c>
      <c r="X613" s="27">
        <f t="shared" si="536"/>
        <v>12636606.347041143</v>
      </c>
      <c r="Y613" s="27">
        <f t="shared" si="536"/>
        <v>13003067.931105334</v>
      </c>
      <c r="Z613" s="27">
        <f t="shared" si="536"/>
        <v>13380156.901107388</v>
      </c>
    </row>
    <row r="614" spans="1:26" ht="15.6">
      <c r="B614" s="473" t="s">
        <v>723</v>
      </c>
      <c r="C614" s="640"/>
      <c r="D614" s="640"/>
      <c r="E614" s="640"/>
      <c r="F614" s="640"/>
      <c r="G614" s="639"/>
      <c r="J614" s="27">
        <f>+J613-F613</f>
        <v>238670</v>
      </c>
      <c r="K614" s="27">
        <f>+K613-J613</f>
        <v>245591.4299999997</v>
      </c>
      <c r="L614" s="27">
        <f t="shared" ref="L614:Z614" si="537">+L613-K613</f>
        <v>252713.58146999963</v>
      </c>
      <c r="M614" s="27">
        <f t="shared" si="537"/>
        <v>260042.27533262968</v>
      </c>
      <c r="N614" s="27">
        <f t="shared" si="537"/>
        <v>267583.50131727569</v>
      </c>
      <c r="O614" s="27">
        <f t="shared" si="537"/>
        <v>275343.42285547592</v>
      </c>
      <c r="P614" s="27">
        <f t="shared" si="537"/>
        <v>283328.3821182847</v>
      </c>
      <c r="Q614" s="27">
        <f t="shared" si="537"/>
        <v>291544.90519971587</v>
      </c>
      <c r="R614" s="27">
        <f t="shared" si="537"/>
        <v>299999.70745050721</v>
      </c>
      <c r="S614" s="27">
        <f t="shared" si="537"/>
        <v>308699.69896657206</v>
      </c>
      <c r="T614" s="27">
        <f t="shared" si="537"/>
        <v>317651.99023660272</v>
      </c>
      <c r="U614" s="27">
        <f t="shared" si="537"/>
        <v>326863.89795346372</v>
      </c>
      <c r="V614" s="27">
        <f t="shared" si="537"/>
        <v>336342.95099411346</v>
      </c>
      <c r="W614" s="27">
        <f t="shared" si="537"/>
        <v>346096.89657294378</v>
      </c>
      <c r="X614" s="27">
        <f t="shared" si="537"/>
        <v>356133.70657355897</v>
      </c>
      <c r="Y614" s="27">
        <f t="shared" si="537"/>
        <v>366461.58406419121</v>
      </c>
      <c r="Z614" s="27">
        <f t="shared" si="537"/>
        <v>377088.97000205331</v>
      </c>
    </row>
    <row r="615" spans="1:26" ht="15.6">
      <c r="B615" s="473" t="s">
        <v>733</v>
      </c>
      <c r="C615" s="640"/>
      <c r="D615" s="640"/>
      <c r="E615" s="640"/>
      <c r="F615" s="640"/>
      <c r="G615" s="639"/>
      <c r="J615" s="27">
        <f>+J614*0.235</f>
        <v>56087.45</v>
      </c>
      <c r="K615" s="27">
        <f>+K614*0.235</f>
        <v>57713.986049999927</v>
      </c>
      <c r="L615" s="27">
        <f t="shared" ref="L615:Z615" si="538">+L614*0.235</f>
        <v>59387.691645449908</v>
      </c>
      <c r="M615" s="27">
        <f t="shared" si="538"/>
        <v>61109.934703167972</v>
      </c>
      <c r="N615" s="27">
        <f t="shared" si="538"/>
        <v>62882.122809559783</v>
      </c>
      <c r="O615" s="27">
        <f t="shared" si="538"/>
        <v>64705.704371036838</v>
      </c>
      <c r="P615" s="27">
        <f t="shared" si="538"/>
        <v>66582.169797796902</v>
      </c>
      <c r="Q615" s="27">
        <f t="shared" si="538"/>
        <v>68513.052721933229</v>
      </c>
      <c r="R615" s="27">
        <f t="shared" si="538"/>
        <v>70499.931250869195</v>
      </c>
      <c r="S615" s="27">
        <f t="shared" si="538"/>
        <v>72544.429257144424</v>
      </c>
      <c r="T615" s="27">
        <f t="shared" si="538"/>
        <v>74648.217705601637</v>
      </c>
      <c r="U615" s="27">
        <f t="shared" si="538"/>
        <v>76813.016019063973</v>
      </c>
      <c r="V615" s="27">
        <f t="shared" si="538"/>
        <v>79040.593483616656</v>
      </c>
      <c r="W615" s="27">
        <f t="shared" si="538"/>
        <v>81332.770694641789</v>
      </c>
      <c r="X615" s="27">
        <f t="shared" si="538"/>
        <v>83691.421044786359</v>
      </c>
      <c r="Y615" s="27">
        <f t="shared" si="538"/>
        <v>86118.472255084926</v>
      </c>
      <c r="Z615" s="27">
        <f t="shared" si="538"/>
        <v>88615.90795048252</v>
      </c>
    </row>
    <row r="616" spans="1:26">
      <c r="B616" s="483" t="s">
        <v>724</v>
      </c>
      <c r="C616" s="500">
        <f>197295.6*1000</f>
        <v>197295600</v>
      </c>
      <c r="D616" s="500">
        <f>205972.9*1000</f>
        <v>205972900</v>
      </c>
      <c r="E616" s="500">
        <f>285730.8*1000</f>
        <v>285730800</v>
      </c>
      <c r="F616" s="500">
        <f>291486.5*1000</f>
        <v>291486500</v>
      </c>
      <c r="G616" s="639"/>
      <c r="J616" s="27">
        <f>+F616*(1+$C$399/100)</f>
        <v>299939608.5</v>
      </c>
      <c r="K616" s="27">
        <f>+J616*(1+$C$399/100)</f>
        <v>308637857.14649999</v>
      </c>
      <c r="L616" s="27">
        <f t="shared" ref="L616:Z616" si="539">+K616*(1+$C$399/100)</f>
        <v>317588355.00374848</v>
      </c>
      <c r="M616" s="27">
        <f t="shared" si="539"/>
        <v>326798417.29885715</v>
      </c>
      <c r="N616" s="27">
        <f t="shared" si="539"/>
        <v>336275571.40052396</v>
      </c>
      <c r="O616" s="27">
        <f t="shared" si="539"/>
        <v>346027562.97113913</v>
      </c>
      <c r="P616" s="27">
        <f t="shared" si="539"/>
        <v>356062362.29730213</v>
      </c>
      <c r="Q616" s="27">
        <f t="shared" si="539"/>
        <v>366388170.80392385</v>
      </c>
      <c r="R616" s="27">
        <f t="shared" si="539"/>
        <v>377013427.75723761</v>
      </c>
      <c r="S616" s="27">
        <f t="shared" si="539"/>
        <v>387946817.16219747</v>
      </c>
      <c r="T616" s="27">
        <f t="shared" si="539"/>
        <v>399197274.85990119</v>
      </c>
      <c r="U616" s="27">
        <f t="shared" si="539"/>
        <v>410773995.83083826</v>
      </c>
      <c r="V616" s="27">
        <f t="shared" si="539"/>
        <v>422686441.70993257</v>
      </c>
      <c r="W616" s="27">
        <f t="shared" si="539"/>
        <v>434944348.51952058</v>
      </c>
      <c r="X616" s="27">
        <f t="shared" si="539"/>
        <v>447557734.62658662</v>
      </c>
      <c r="Y616" s="27">
        <f t="shared" si="539"/>
        <v>460536908.93075758</v>
      </c>
      <c r="Z616" s="27">
        <f t="shared" si="539"/>
        <v>473892479.2897495</v>
      </c>
    </row>
    <row r="617" spans="1:26" ht="15.6">
      <c r="B617" s="473" t="s">
        <v>723</v>
      </c>
      <c r="C617" s="640"/>
      <c r="D617" s="640"/>
      <c r="E617" s="640"/>
      <c r="F617" s="640"/>
      <c r="G617" s="639"/>
      <c r="J617" s="27">
        <f>+J616-F616</f>
        <v>8453108.5</v>
      </c>
      <c r="K617" s="27">
        <f>+K616-J616</f>
        <v>8698248.6464999914</v>
      </c>
      <c r="L617" s="27">
        <f t="shared" ref="L617:Z617" si="540">+L616-K616</f>
        <v>8950497.8572484851</v>
      </c>
      <c r="M617" s="27">
        <f t="shared" si="540"/>
        <v>9210062.295108676</v>
      </c>
      <c r="N617" s="27">
        <f t="shared" si="540"/>
        <v>9477154.1016668081</v>
      </c>
      <c r="O617" s="27">
        <f t="shared" si="540"/>
        <v>9751991.5706151724</v>
      </c>
      <c r="P617" s="27">
        <f t="shared" si="540"/>
        <v>10034799.326162994</v>
      </c>
      <c r="Q617" s="27">
        <f t="shared" si="540"/>
        <v>10325808.506621718</v>
      </c>
      <c r="R617" s="27">
        <f t="shared" si="540"/>
        <v>10625256.953313768</v>
      </c>
      <c r="S617" s="27">
        <f t="shared" si="540"/>
        <v>10933389.404959857</v>
      </c>
      <c r="T617" s="27">
        <f t="shared" si="540"/>
        <v>11250457.697703719</v>
      </c>
      <c r="U617" s="27">
        <f t="shared" si="540"/>
        <v>11576720.970937073</v>
      </c>
      <c r="V617" s="27">
        <f t="shared" si="540"/>
        <v>11912445.879094303</v>
      </c>
      <c r="W617" s="27">
        <f t="shared" si="540"/>
        <v>12257906.809588015</v>
      </c>
      <c r="X617" s="27">
        <f t="shared" si="540"/>
        <v>12613386.107066035</v>
      </c>
      <c r="Y617" s="27">
        <f t="shared" si="540"/>
        <v>12979174.304170966</v>
      </c>
      <c r="Z617" s="27">
        <f t="shared" si="540"/>
        <v>13355570.358991921</v>
      </c>
    </row>
    <row r="618" spans="1:26" ht="15.6">
      <c r="B618" s="473" t="s">
        <v>733</v>
      </c>
      <c r="C618" s="640"/>
      <c r="D618" s="640"/>
      <c r="E618" s="640"/>
      <c r="F618" s="640"/>
      <c r="G618" s="639"/>
      <c r="J618" s="27">
        <f>+J617*0.235</f>
        <v>1986480.4974999998</v>
      </c>
      <c r="K618" s="27">
        <f>+K617*0.235</f>
        <v>2044088.431927498</v>
      </c>
      <c r="L618" s="27">
        <f t="shared" ref="L618:Z618" si="541">+L617*0.235</f>
        <v>2103366.9964533937</v>
      </c>
      <c r="M618" s="27">
        <f t="shared" si="541"/>
        <v>2164364.6393505386</v>
      </c>
      <c r="N618" s="27">
        <f t="shared" si="541"/>
        <v>2227131.2138916999</v>
      </c>
      <c r="O618" s="27">
        <f t="shared" si="541"/>
        <v>2291718.0190945654</v>
      </c>
      <c r="P618" s="27">
        <f t="shared" si="541"/>
        <v>2358177.8416483034</v>
      </c>
      <c r="Q618" s="27">
        <f t="shared" si="541"/>
        <v>2426564.9990561036</v>
      </c>
      <c r="R618" s="27">
        <f t="shared" si="541"/>
        <v>2496935.3840287351</v>
      </c>
      <c r="S618" s="27">
        <f t="shared" si="541"/>
        <v>2569346.5101655666</v>
      </c>
      <c r="T618" s="27">
        <f t="shared" si="541"/>
        <v>2643857.558960374</v>
      </c>
      <c r="U618" s="27">
        <f t="shared" si="541"/>
        <v>2720529.4281702121</v>
      </c>
      <c r="V618" s="27">
        <f t="shared" si="541"/>
        <v>2799424.7815871611</v>
      </c>
      <c r="W618" s="27">
        <f t="shared" si="541"/>
        <v>2880608.1002531834</v>
      </c>
      <c r="X618" s="27">
        <f t="shared" si="541"/>
        <v>2964145.735160518</v>
      </c>
      <c r="Y618" s="27">
        <f t="shared" si="541"/>
        <v>3050105.961480177</v>
      </c>
      <c r="Z618" s="27">
        <f t="shared" si="541"/>
        <v>3138559.0343631012</v>
      </c>
    </row>
    <row r="619" spans="1:26">
      <c r="B619" s="483" t="s">
        <v>722</v>
      </c>
      <c r="C619" s="500">
        <f>26.41*1000000</f>
        <v>26410000</v>
      </c>
      <c r="D619" s="500">
        <f>22.36*1000000</f>
        <v>22360000</v>
      </c>
      <c r="E619" s="500">
        <f>62.15*1000000</f>
        <v>62150000</v>
      </c>
      <c r="F619" s="500">
        <f>98.07*1000000</f>
        <v>98070000</v>
      </c>
      <c r="G619" s="639"/>
      <c r="J619" s="27">
        <f>+F619*(1+$C$399/100)</f>
        <v>100914029.99999999</v>
      </c>
      <c r="K619" s="27">
        <f>+J619*(1+$C$399/100)</f>
        <v>103840536.86999997</v>
      </c>
      <c r="L619" s="27">
        <f t="shared" ref="L619:Z619" si="542">+K619*(1+$C$399/100)</f>
        <v>106851912.43922997</v>
      </c>
      <c r="M619" s="27">
        <f t="shared" si="542"/>
        <v>109950617.89996763</v>
      </c>
      <c r="N619" s="27">
        <f t="shared" si="542"/>
        <v>113139185.81906667</v>
      </c>
      <c r="O619" s="27">
        <f t="shared" si="542"/>
        <v>116420222.2078196</v>
      </c>
      <c r="P619" s="27">
        <f t="shared" si="542"/>
        <v>119796408.65184635</v>
      </c>
      <c r="Q619" s="27">
        <f t="shared" si="542"/>
        <v>123270504.50274989</v>
      </c>
      <c r="R619" s="27">
        <f t="shared" si="542"/>
        <v>126845349.13332963</v>
      </c>
      <c r="S619" s="27">
        <f t="shared" si="542"/>
        <v>130523864.25819618</v>
      </c>
      <c r="T619" s="27">
        <f t="shared" si="542"/>
        <v>134309056.32168385</v>
      </c>
      <c r="U619" s="27">
        <f t="shared" si="542"/>
        <v>138204018.95501268</v>
      </c>
      <c r="V619" s="27">
        <f t="shared" si="542"/>
        <v>142211935.50470802</v>
      </c>
      <c r="W619" s="27">
        <f t="shared" si="542"/>
        <v>146336081.63434455</v>
      </c>
      <c r="X619" s="27">
        <f t="shared" si="542"/>
        <v>150579828.00174052</v>
      </c>
      <c r="Y619" s="27">
        <f t="shared" si="542"/>
        <v>154946643.01379097</v>
      </c>
      <c r="Z619" s="27">
        <f t="shared" si="542"/>
        <v>159440095.6611909</v>
      </c>
    </row>
    <row r="620" spans="1:26" ht="15.6">
      <c r="B620" s="473" t="s">
        <v>723</v>
      </c>
      <c r="C620" s="640"/>
      <c r="D620" s="640"/>
      <c r="E620" s="640"/>
      <c r="F620" s="640"/>
      <c r="G620" s="639"/>
      <c r="J620" s="27">
        <f>+J619-F619</f>
        <v>2844029.9999999851</v>
      </c>
      <c r="K620" s="27">
        <f>+K619-J619</f>
        <v>2926506.8699999899</v>
      </c>
      <c r="L620" s="27">
        <f t="shared" ref="L620:Z620" si="543">+L619-K619</f>
        <v>3011375.5692299902</v>
      </c>
      <c r="M620" s="27">
        <f t="shared" si="543"/>
        <v>3098705.4607376605</v>
      </c>
      <c r="N620" s="27">
        <f t="shared" si="543"/>
        <v>3188567.9190990478</v>
      </c>
      <c r="O620" s="27">
        <f t="shared" si="543"/>
        <v>3281036.3887529224</v>
      </c>
      <c r="P620" s="27">
        <f t="shared" si="543"/>
        <v>3376186.4440267533</v>
      </c>
      <c r="Q620" s="27">
        <f t="shared" si="543"/>
        <v>3474095.8509035408</v>
      </c>
      <c r="R620" s="27">
        <f t="shared" si="543"/>
        <v>3574844.6305797398</v>
      </c>
      <c r="S620" s="27">
        <f t="shared" si="543"/>
        <v>3678515.1248665452</v>
      </c>
      <c r="T620" s="27">
        <f t="shared" si="543"/>
        <v>3785192.0634876788</v>
      </c>
      <c r="U620" s="27">
        <f t="shared" si="543"/>
        <v>3894962.6333288252</v>
      </c>
      <c r="V620" s="27">
        <f t="shared" si="543"/>
        <v>4007916.5496953428</v>
      </c>
      <c r="W620" s="27">
        <f t="shared" si="543"/>
        <v>4124146.1296365261</v>
      </c>
      <c r="X620" s="27">
        <f t="shared" si="543"/>
        <v>4243746.3673959672</v>
      </c>
      <c r="Y620" s="27">
        <f t="shared" si="543"/>
        <v>4366815.0120504498</v>
      </c>
      <c r="Z620" s="27">
        <f t="shared" si="543"/>
        <v>4493452.6473999321</v>
      </c>
    </row>
    <row r="621" spans="1:26" ht="15.6">
      <c r="B621" s="473" t="s">
        <v>733</v>
      </c>
      <c r="C621" s="631"/>
      <c r="D621" s="631"/>
      <c r="E621" s="631"/>
      <c r="F621" s="631"/>
      <c r="G621" s="632"/>
      <c r="J621" s="27">
        <f>+J620*0.235</f>
        <v>668347.04999999644</v>
      </c>
      <c r="K621" s="27">
        <f>+K620*0.235</f>
        <v>687729.11444999755</v>
      </c>
      <c r="L621" s="27">
        <f t="shared" ref="L621:Z621" si="544">+L620*0.235</f>
        <v>707673.25876904768</v>
      </c>
      <c r="M621" s="27">
        <f t="shared" si="544"/>
        <v>728195.78327335021</v>
      </c>
      <c r="N621" s="27">
        <f t="shared" si="544"/>
        <v>749313.46098827617</v>
      </c>
      <c r="O621" s="27">
        <f t="shared" si="544"/>
        <v>771043.55135693669</v>
      </c>
      <c r="P621" s="27">
        <f t="shared" si="544"/>
        <v>793403.81434628693</v>
      </c>
      <c r="Q621" s="27">
        <f t="shared" si="544"/>
        <v>816412.5249623321</v>
      </c>
      <c r="R621" s="27">
        <f t="shared" si="544"/>
        <v>840088.4881862388</v>
      </c>
      <c r="S621" s="27">
        <f t="shared" si="544"/>
        <v>864451.05434363813</v>
      </c>
      <c r="T621" s="27">
        <f t="shared" si="544"/>
        <v>889520.1349196044</v>
      </c>
      <c r="U621" s="27">
        <f t="shared" si="544"/>
        <v>915316.21883227385</v>
      </c>
      <c r="V621" s="27">
        <f t="shared" si="544"/>
        <v>941860.38917840552</v>
      </c>
      <c r="W621" s="27">
        <f t="shared" si="544"/>
        <v>969174.3404645836</v>
      </c>
      <c r="X621" s="27">
        <f t="shared" si="544"/>
        <v>997280.39633805223</v>
      </c>
      <c r="Y621" s="27">
        <f t="shared" si="544"/>
        <v>1026201.5278318557</v>
      </c>
      <c r="Z621" s="27">
        <f t="shared" si="544"/>
        <v>1055961.372138984</v>
      </c>
    </row>
    <row r="622" spans="1:26" ht="15.6">
      <c r="B622" s="476" t="s">
        <v>734</v>
      </c>
      <c r="C622" s="630"/>
      <c r="D622" s="633"/>
      <c r="E622" s="633"/>
      <c r="F622" s="633"/>
      <c r="G622" s="632"/>
      <c r="J622" s="486">
        <f>+J615+J618+J621</f>
        <v>2710914.9974999963</v>
      </c>
      <c r="K622" s="486">
        <f>+K615+K618+K621</f>
        <v>2789531.5324274953</v>
      </c>
      <c r="L622" s="486">
        <f t="shared" ref="L622:Z622" si="545">+L615+L618+L621</f>
        <v>2870427.9468678916</v>
      </c>
      <c r="M622" s="486">
        <f t="shared" si="545"/>
        <v>2953670.357327057</v>
      </c>
      <c r="N622" s="486">
        <f t="shared" si="545"/>
        <v>3039326.7976895357</v>
      </c>
      <c r="O622" s="486">
        <f t="shared" si="545"/>
        <v>3127467.2748225392</v>
      </c>
      <c r="P622" s="486">
        <f t="shared" si="545"/>
        <v>3218163.8257923871</v>
      </c>
      <c r="Q622" s="486">
        <f t="shared" si="545"/>
        <v>3311490.5767403692</v>
      </c>
      <c r="R622" s="486">
        <f t="shared" si="545"/>
        <v>3407523.8034658432</v>
      </c>
      <c r="S622" s="486">
        <f t="shared" si="545"/>
        <v>3506341.9937663488</v>
      </c>
      <c r="T622" s="486">
        <f t="shared" si="545"/>
        <v>3608025.9115855801</v>
      </c>
      <c r="U622" s="486">
        <f t="shared" si="545"/>
        <v>3712658.66302155</v>
      </c>
      <c r="V622" s="486">
        <f t="shared" si="545"/>
        <v>3820325.7642491832</v>
      </c>
      <c r="W622" s="486">
        <f t="shared" si="545"/>
        <v>3931115.2114124089</v>
      </c>
      <c r="X622" s="486">
        <f t="shared" si="545"/>
        <v>4045117.5525433565</v>
      </c>
      <c r="Y622" s="486">
        <f t="shared" si="545"/>
        <v>4162425.9615671178</v>
      </c>
      <c r="Z622" s="486">
        <f t="shared" si="545"/>
        <v>4283136.3144525681</v>
      </c>
    </row>
    <row r="623" spans="1:26">
      <c r="B623" s="723" t="s">
        <v>867</v>
      </c>
      <c r="C623" s="723"/>
      <c r="D623" s="723"/>
      <c r="E623" s="723"/>
      <c r="F623" s="723"/>
      <c r="G623" s="723"/>
      <c r="H623" s="723"/>
      <c r="I623" s="724">
        <f t="shared" ref="I623:Z623" si="546">+I622+I611+I600+I589+I578+I567+I556+I545+I534+I523+I512+I501+I490+I479+I468+I457+I446+I435+I424+I413</f>
        <v>6036584.0144850146</v>
      </c>
      <c r="J623" s="724">
        <f t="shared" si="546"/>
        <v>44263344.337992691</v>
      </c>
      <c r="K623" s="724">
        <f t="shared" si="546"/>
        <v>45489212.61644163</v>
      </c>
      <c r="L623" s="724">
        <f t="shared" si="546"/>
        <v>46750078.228436306</v>
      </c>
      <c r="M623" s="724">
        <f t="shared" si="546"/>
        <v>48046950.805908144</v>
      </c>
      <c r="N623" s="724">
        <f t="shared" si="546"/>
        <v>49380869.209482275</v>
      </c>
      <c r="O623" s="724">
        <f t="shared" si="546"/>
        <v>50752902.375625148</v>
      </c>
      <c r="P623" s="724">
        <f t="shared" si="546"/>
        <v>52164150.18835444</v>
      </c>
      <c r="Q623" s="724">
        <f t="shared" si="546"/>
        <v>53615744.376224443</v>
      </c>
      <c r="R623" s="724">
        <f t="shared" si="546"/>
        <v>55108849.435318768</v>
      </c>
      <c r="S623" s="724">
        <f t="shared" si="546"/>
        <v>56644663.579005577</v>
      </c>
      <c r="T623" s="724">
        <f t="shared" si="546"/>
        <v>58224419.715230681</v>
      </c>
      <c r="U623" s="724">
        <f t="shared" si="546"/>
        <v>59849386.452146806</v>
      </c>
      <c r="V623" s="724">
        <f t="shared" si="546"/>
        <v>61520869.132902302</v>
      </c>
      <c r="W623" s="724">
        <f t="shared" si="546"/>
        <v>63240210.900432497</v>
      </c>
      <c r="X623" s="724">
        <f t="shared" si="546"/>
        <v>65008793.793125808</v>
      </c>
      <c r="Y623" s="724">
        <f t="shared" si="546"/>
        <v>66828039.872259185</v>
      </c>
      <c r="Z623" s="724">
        <f t="shared" si="546"/>
        <v>68699412.382123217</v>
      </c>
    </row>
    <row r="624" spans="1:26">
      <c r="B624" s="32" t="s">
        <v>864</v>
      </c>
    </row>
    <row r="627" spans="12:12">
      <c r="L627" s="485"/>
    </row>
  </sheetData>
  <customSheetViews>
    <customSheetView guid="{B7831A28-C714-4DC9-BB36-A1304866CBB0}" showPageBreaks="1" fitToPage="1">
      <selection activeCell="M17" sqref="M17"/>
      <pageMargins left="0.7" right="0.7" top="0.75" bottom="0.75" header="0.3" footer="0.3"/>
      <pageSetup paperSize="9" scale="10" fitToWidth="2" orientation="landscape" r:id="rId1"/>
    </customSheetView>
  </customSheetViews>
  <mergeCells count="31">
    <mergeCell ref="D205:L205"/>
    <mergeCell ref="G206:L206"/>
    <mergeCell ref="F193:H193"/>
    <mergeCell ref="E175:E176"/>
    <mergeCell ref="F185:J185"/>
    <mergeCell ref="F175:L175"/>
    <mergeCell ref="E132:L132"/>
    <mergeCell ref="C147:V147"/>
    <mergeCell ref="E148:L148"/>
    <mergeCell ref="X134:Y134"/>
    <mergeCell ref="X150:Y150"/>
    <mergeCell ref="X51:Y51"/>
    <mergeCell ref="C99:V99"/>
    <mergeCell ref="E100:L100"/>
    <mergeCell ref="X68:Y68"/>
    <mergeCell ref="X85:Y85"/>
    <mergeCell ref="X102:Y102"/>
    <mergeCell ref="C115:V115"/>
    <mergeCell ref="E116:L116"/>
    <mergeCell ref="C131:V131"/>
    <mergeCell ref="E66:L66"/>
    <mergeCell ref="C82:V82"/>
    <mergeCell ref="E83:L83"/>
    <mergeCell ref="B4:N4"/>
    <mergeCell ref="C65:V65"/>
    <mergeCell ref="A36:A39"/>
    <mergeCell ref="C48:U48"/>
    <mergeCell ref="D49:K49"/>
    <mergeCell ref="A21:A23"/>
    <mergeCell ref="A24:A26"/>
    <mergeCell ref="A27:A29"/>
  </mergeCells>
  <pageMargins left="0.7" right="0.7" top="0.75" bottom="0.75" header="0.3" footer="0.3"/>
  <pageSetup paperSize="9" scale="10" fitToWidth="2" orientation="landscape" r:id="rId2"/>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70</vt:i4>
      </vt:variant>
    </vt:vector>
  </HeadingPairs>
  <TitlesOfParts>
    <vt:vector size="85" baseType="lpstr">
      <vt:lpstr>Pradžia</vt:lpstr>
      <vt:lpstr>Alternatyva 1</vt:lpstr>
      <vt:lpstr>Alternatyva 2</vt:lpstr>
      <vt:lpstr>Alternatyva 3</vt:lpstr>
      <vt:lpstr>Alternatyva 4</vt:lpstr>
      <vt:lpstr>Alternatyva 5</vt:lpstr>
      <vt:lpstr>Prielaidos</vt:lpstr>
      <vt:lpstr>SNA</vt:lpstr>
      <vt:lpstr>SVA</vt:lpstr>
      <vt:lpstr>DA</vt:lpstr>
      <vt:lpstr>Poveikis VF</vt:lpstr>
      <vt:lpstr>Rezultatai</vt:lpstr>
      <vt:lpstr>Jautrumo analizė</vt:lpstr>
      <vt:lpstr>Scenarijų analizė</vt:lpstr>
      <vt:lpstr>Grafikas</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Prielaidos!Print_Titles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Marius Radžiūnas</cp:lastModifiedBy>
  <cp:lastPrinted>2023-04-19T06:48:50Z</cp:lastPrinted>
  <dcterms:created xsi:type="dcterms:W3CDTF">2019-07-15T08:17:38Z</dcterms:created>
  <dcterms:modified xsi:type="dcterms:W3CDTF">2023-05-08T16:32:15Z</dcterms:modified>
</cp:coreProperties>
</file>